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kl13\Desktop\Workspace\MyFund\"/>
    </mc:Choice>
  </mc:AlternateContent>
  <xr:revisionPtr revIDLastSave="0" documentId="13_ncr:1_{787E4F30-AEA2-4D28-A18B-F7C05EBD321A}" xr6:coauthVersionLast="47" xr6:coauthVersionMax="47" xr10:uidLastSave="{00000000-0000-0000-0000-000000000000}"/>
  <bookViews>
    <workbookView xWindow="20640" yWindow="0" windowWidth="20640" windowHeight="16824" activeTab="1" xr2:uid="{00000000-000D-0000-FFFF-FFFF00000000}"/>
  </bookViews>
  <sheets>
    <sheet name="決算入力" sheetId="7" r:id="rId1"/>
    <sheet name="決算分析" sheetId="6" r:id="rId2"/>
  </sheets>
  <calcPr calcId="191029" calcOnSave="0"/>
</workbook>
</file>

<file path=xl/calcChain.xml><?xml version="1.0" encoding="utf-8"?>
<calcChain xmlns="http://schemas.openxmlformats.org/spreadsheetml/2006/main">
  <c r="P2" i="7" l="1"/>
  <c r="P2" i="6" s="1"/>
  <c r="O4" i="7"/>
  <c r="L4" i="7" s="1"/>
  <c r="P4" i="7"/>
  <c r="M4" i="7" s="1"/>
  <c r="J4" i="7" s="1"/>
  <c r="G4" i="7" s="1"/>
  <c r="D4" i="7" s="1"/>
  <c r="H5" i="7"/>
  <c r="Q5" i="7" s="1"/>
  <c r="K5" i="7"/>
  <c r="N5" i="7"/>
  <c r="P5" i="7"/>
  <c r="Q9" i="7" s="1"/>
  <c r="E6" i="7"/>
  <c r="H6" i="7"/>
  <c r="K6" i="7"/>
  <c r="N6" i="7"/>
  <c r="E7" i="7"/>
  <c r="H7" i="7"/>
  <c r="K7" i="7"/>
  <c r="N7" i="7"/>
  <c r="Q7" i="7"/>
  <c r="E8" i="7"/>
  <c r="H8" i="7"/>
  <c r="K8" i="7"/>
  <c r="N8" i="7"/>
  <c r="Q8" i="7"/>
  <c r="E9" i="7"/>
  <c r="H9" i="7"/>
  <c r="K9" i="7"/>
  <c r="N9" i="7"/>
  <c r="E10" i="7"/>
  <c r="H10" i="7"/>
  <c r="K10" i="7"/>
  <c r="N10" i="7"/>
  <c r="P10" i="7"/>
  <c r="P10" i="6" s="1"/>
  <c r="G58" i="6" s="1"/>
  <c r="G106" i="6" s="1"/>
  <c r="G103" i="6" s="1"/>
  <c r="E11" i="7"/>
  <c r="H11" i="7"/>
  <c r="K11" i="7"/>
  <c r="N11" i="7"/>
  <c r="P11" i="7"/>
  <c r="Q11" i="7" s="1"/>
  <c r="H13" i="7"/>
  <c r="K13" i="7"/>
  <c r="N13" i="7" s="1"/>
  <c r="Q13" i="7" s="1"/>
  <c r="D14" i="7"/>
  <c r="E14" i="7" s="1"/>
  <c r="E14" i="6" s="1"/>
  <c r="G14" i="7"/>
  <c r="H14" i="7" s="1"/>
  <c r="H14" i="6" s="1"/>
  <c r="J14" i="7"/>
  <c r="K14" i="7" s="1"/>
  <c r="K14" i="6" s="1"/>
  <c r="M14" i="7"/>
  <c r="N14" i="7" s="1"/>
  <c r="N14" i="6" s="1"/>
  <c r="E17" i="7"/>
  <c r="H17" i="7"/>
  <c r="K17" i="7"/>
  <c r="N17" i="7"/>
  <c r="C18" i="7"/>
  <c r="D18" i="7"/>
  <c r="C25" i="7" s="1"/>
  <c r="C98" i="6" s="1"/>
  <c r="F18" i="7"/>
  <c r="G18" i="7"/>
  <c r="H18" i="7" s="1"/>
  <c r="H18" i="6" s="1"/>
  <c r="D102" i="6" s="1"/>
  <c r="I103" i="6" s="1"/>
  <c r="I18" i="7"/>
  <c r="J18" i="7"/>
  <c r="K18" i="7" s="1"/>
  <c r="K18" i="6" s="1"/>
  <c r="E102" i="6" s="1"/>
  <c r="J103" i="6" s="1"/>
  <c r="L18" i="7"/>
  <c r="M18" i="7"/>
  <c r="L25" i="7" s="1"/>
  <c r="C19" i="7"/>
  <c r="D25" i="7" s="1"/>
  <c r="H98" i="6" s="1"/>
  <c r="F19" i="7"/>
  <c r="G25" i="7" s="1"/>
  <c r="I98" i="6" s="1"/>
  <c r="I19" i="7"/>
  <c r="J25" i="7" s="1"/>
  <c r="J98" i="6" s="1"/>
  <c r="L19" i="7"/>
  <c r="O21" i="7"/>
  <c r="P21" i="7"/>
  <c r="Q21" i="7"/>
  <c r="E22" i="7"/>
  <c r="E22" i="6" s="1"/>
  <c r="H22" i="7"/>
  <c r="K22" i="7"/>
  <c r="N22" i="7"/>
  <c r="Q22" i="7"/>
  <c r="O26" i="7"/>
  <c r="G29" i="7"/>
  <c r="J29" i="7"/>
  <c r="M29" i="7"/>
  <c r="P29" i="7"/>
  <c r="E30" i="7"/>
  <c r="H30" i="7"/>
  <c r="K30" i="7"/>
  <c r="N30" i="7"/>
  <c r="Q30" i="7"/>
  <c r="E31" i="7"/>
  <c r="H31" i="7"/>
  <c r="K31" i="7"/>
  <c r="N31" i="7"/>
  <c r="Q31" i="7"/>
  <c r="E32" i="7"/>
  <c r="H32" i="7"/>
  <c r="K32" i="7"/>
  <c r="N32" i="7"/>
  <c r="Q32" i="7"/>
  <c r="F36" i="7"/>
  <c r="H36" i="7"/>
  <c r="I36" i="7"/>
  <c r="K36" i="7"/>
  <c r="N36" i="7"/>
  <c r="Q36" i="7"/>
  <c r="F37" i="7"/>
  <c r="H37" i="7"/>
  <c r="I37" i="7"/>
  <c r="K37" i="7"/>
  <c r="N37" i="7"/>
  <c r="Q37" i="7"/>
  <c r="F38" i="7"/>
  <c r="H38" i="7"/>
  <c r="I38" i="7"/>
  <c r="K38" i="7"/>
  <c r="N38" i="7"/>
  <c r="Q38" i="7"/>
  <c r="D40" i="7"/>
  <c r="H40" i="7"/>
  <c r="K40" i="7" s="1"/>
  <c r="N40" i="7" s="1"/>
  <c r="Q40" i="7" s="1"/>
  <c r="G41" i="7"/>
  <c r="H41" i="7" s="1"/>
  <c r="J41" i="7"/>
  <c r="K41" i="7" s="1"/>
  <c r="M41" i="7"/>
  <c r="N41" i="7" s="1"/>
  <c r="P41" i="7"/>
  <c r="Q41" i="7" s="1"/>
  <c r="C44" i="7"/>
  <c r="C45" i="7" s="1"/>
  <c r="D44" i="7"/>
  <c r="H44" i="7"/>
  <c r="K44" i="7"/>
  <c r="N44" i="7"/>
  <c r="Q44" i="7"/>
  <c r="F45" i="7"/>
  <c r="G45" i="7"/>
  <c r="H45" i="7" s="1"/>
  <c r="I45" i="7"/>
  <c r="J45" i="7"/>
  <c r="K45" i="7" s="1"/>
  <c r="L45" i="7"/>
  <c r="M45" i="7"/>
  <c r="O45" i="7"/>
  <c r="P45" i="7"/>
  <c r="Q45" i="7" s="1"/>
  <c r="F46" i="7"/>
  <c r="G52" i="7" s="1"/>
  <c r="I46" i="7"/>
  <c r="J52" i="7" s="1"/>
  <c r="L46" i="7"/>
  <c r="M52" i="7" s="1"/>
  <c r="O46" i="7"/>
  <c r="P52" i="7" s="1"/>
  <c r="D49" i="7"/>
  <c r="P22" i="7" s="1"/>
  <c r="P22" i="6" s="1"/>
  <c r="G78" i="6" s="1"/>
  <c r="E49" i="7"/>
  <c r="H49" i="7"/>
  <c r="K49" i="7"/>
  <c r="N49" i="7"/>
  <c r="Q49" i="7"/>
  <c r="D53" i="7"/>
  <c r="P26" i="7" s="1"/>
  <c r="G62" i="6" s="1"/>
  <c r="I53" i="7"/>
  <c r="K2" i="6"/>
  <c r="L2" i="6"/>
  <c r="N2" i="6"/>
  <c r="B54" i="6" s="1"/>
  <c r="B58" i="6" s="1"/>
  <c r="O2" i="6"/>
  <c r="O4" i="6"/>
  <c r="L4" i="6" s="1"/>
  <c r="I4" i="6" s="1"/>
  <c r="F4" i="6" s="1"/>
  <c r="C4" i="6" s="1"/>
  <c r="P4" i="6"/>
  <c r="M4" i="6" s="1"/>
  <c r="J4" i="6" s="1"/>
  <c r="G4" i="6" s="1"/>
  <c r="D4" i="6" s="1"/>
  <c r="D5" i="6"/>
  <c r="G5" i="6"/>
  <c r="H5" i="6"/>
  <c r="Q5" i="6" s="1"/>
  <c r="J5" i="6"/>
  <c r="K5" i="6"/>
  <c r="M5" i="6"/>
  <c r="N5" i="6"/>
  <c r="P5" i="6"/>
  <c r="D6" i="6"/>
  <c r="E6" i="6"/>
  <c r="G6" i="6"/>
  <c r="D82" i="6" s="1"/>
  <c r="J6" i="6"/>
  <c r="M6" i="6"/>
  <c r="F82" i="6" s="1"/>
  <c r="P6" i="6"/>
  <c r="G82" i="6" s="1"/>
  <c r="D7" i="6"/>
  <c r="H82" i="6" s="1"/>
  <c r="G7" i="6"/>
  <c r="J7" i="6"/>
  <c r="J82" i="6" s="1"/>
  <c r="M7" i="6"/>
  <c r="P7" i="6"/>
  <c r="L82" i="6" s="1"/>
  <c r="D8" i="6"/>
  <c r="E8" i="6" s="1"/>
  <c r="G8" i="6"/>
  <c r="N82" i="6" s="1"/>
  <c r="J8" i="6"/>
  <c r="O82" i="6" s="1"/>
  <c r="M8" i="6"/>
  <c r="P82" i="6" s="1"/>
  <c r="P8" i="6"/>
  <c r="D9" i="6"/>
  <c r="E9" i="6"/>
  <c r="G9" i="6"/>
  <c r="J9" i="6"/>
  <c r="M9" i="6"/>
  <c r="P9" i="6"/>
  <c r="D10" i="6"/>
  <c r="C58" i="6" s="1"/>
  <c r="O58" i="6" s="1"/>
  <c r="E10" i="6"/>
  <c r="G10" i="6"/>
  <c r="D58" i="6" s="1"/>
  <c r="J10" i="6"/>
  <c r="E58" i="6" s="1"/>
  <c r="M10" i="6"/>
  <c r="D11" i="6"/>
  <c r="G11" i="6"/>
  <c r="J11" i="6"/>
  <c r="M11" i="6"/>
  <c r="P11" i="6"/>
  <c r="D13" i="6"/>
  <c r="G13" i="6"/>
  <c r="D110" i="6" s="1"/>
  <c r="I114" i="6" s="1"/>
  <c r="H13" i="6"/>
  <c r="K13" i="6" s="1"/>
  <c r="N13" i="6" s="1"/>
  <c r="Q13" i="6" s="1"/>
  <c r="J13" i="6"/>
  <c r="J110" i="6" s="1"/>
  <c r="M13" i="6"/>
  <c r="F66" i="6" s="1"/>
  <c r="D14" i="6"/>
  <c r="M14" i="6"/>
  <c r="C17" i="6"/>
  <c r="D17" i="6"/>
  <c r="F17" i="6"/>
  <c r="F18" i="6" s="1"/>
  <c r="G17" i="6"/>
  <c r="I17" i="6"/>
  <c r="J17" i="6"/>
  <c r="L17" i="6"/>
  <c r="L18" i="6" s="1"/>
  <c r="M17" i="6"/>
  <c r="N17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D22" i="6"/>
  <c r="C78" i="6" s="1"/>
  <c r="I78" i="6" s="1"/>
  <c r="G22" i="6"/>
  <c r="H22" i="6"/>
  <c r="J22" i="6"/>
  <c r="E78" i="6" s="1"/>
  <c r="K22" i="6"/>
  <c r="M22" i="6"/>
  <c r="F78" i="6" s="1"/>
  <c r="N22" i="6"/>
  <c r="F114" i="6" s="1"/>
  <c r="Q22" i="6"/>
  <c r="H53" i="6"/>
  <c r="I53" i="6"/>
  <c r="J53" i="6"/>
  <c r="O53" i="6" s="1"/>
  <c r="K53" i="6"/>
  <c r="L53" i="6"/>
  <c r="N53" i="6"/>
  <c r="P53" i="6"/>
  <c r="C54" i="6"/>
  <c r="P54" i="6" s="1"/>
  <c r="D54" i="6"/>
  <c r="J54" i="6" s="1"/>
  <c r="C57" i="6"/>
  <c r="D57" i="6"/>
  <c r="I69" i="6" s="1"/>
  <c r="E57" i="6"/>
  <c r="O65" i="6" s="1"/>
  <c r="F57" i="6"/>
  <c r="G57" i="6"/>
  <c r="G65" i="6" s="1"/>
  <c r="H57" i="6"/>
  <c r="I57" i="6"/>
  <c r="J57" i="6"/>
  <c r="K57" i="6"/>
  <c r="L57" i="6"/>
  <c r="N57" i="6"/>
  <c r="P57" i="6"/>
  <c r="F58" i="6"/>
  <c r="K58" i="6"/>
  <c r="C61" i="6"/>
  <c r="C73" i="6" s="1"/>
  <c r="C77" i="6" s="1"/>
  <c r="D61" i="6"/>
  <c r="I73" i="6" s="1"/>
  <c r="E61" i="6"/>
  <c r="F61" i="6"/>
  <c r="K73" i="6" s="1"/>
  <c r="G61" i="6"/>
  <c r="H61" i="6"/>
  <c r="C101" i="6" s="1"/>
  <c r="I61" i="6"/>
  <c r="J61" i="6"/>
  <c r="K61" i="6"/>
  <c r="L61" i="6"/>
  <c r="G101" i="6" s="1"/>
  <c r="M61" i="6"/>
  <c r="N61" i="6"/>
  <c r="O61" i="6"/>
  <c r="P61" i="6"/>
  <c r="Q61" i="6"/>
  <c r="B62" i="6"/>
  <c r="C62" i="6"/>
  <c r="N62" i="6" s="1"/>
  <c r="D62" i="6"/>
  <c r="J62" i="6" s="1"/>
  <c r="E62" i="6"/>
  <c r="K62" i="6" s="1"/>
  <c r="F62" i="6"/>
  <c r="L62" i="6" s="1"/>
  <c r="M62" i="6"/>
  <c r="O62" i="6"/>
  <c r="P62" i="6"/>
  <c r="Q62" i="6"/>
  <c r="C65" i="6"/>
  <c r="D65" i="6"/>
  <c r="E65" i="6"/>
  <c r="E93" i="6" s="1"/>
  <c r="F65" i="6"/>
  <c r="H65" i="6"/>
  <c r="J65" i="6"/>
  <c r="L65" i="6"/>
  <c r="M65" i="6"/>
  <c r="N65" i="6"/>
  <c r="Q65" i="6"/>
  <c r="B66" i="6"/>
  <c r="C69" i="6"/>
  <c r="C109" i="6" s="1"/>
  <c r="D69" i="6"/>
  <c r="D109" i="6" s="1"/>
  <c r="E69" i="6"/>
  <c r="G69" i="6"/>
  <c r="H69" i="6"/>
  <c r="H109" i="6" s="1"/>
  <c r="J69" i="6"/>
  <c r="L69" i="6"/>
  <c r="M69" i="6"/>
  <c r="N69" i="6"/>
  <c r="N109" i="6" s="1"/>
  <c r="O69" i="6"/>
  <c r="D73" i="6"/>
  <c r="D113" i="6" s="1"/>
  <c r="E73" i="6"/>
  <c r="E77" i="6" s="1"/>
  <c r="F73" i="6"/>
  <c r="G73" i="6"/>
  <c r="H73" i="6"/>
  <c r="H113" i="6" s="1"/>
  <c r="J73" i="6"/>
  <c r="L73" i="6"/>
  <c r="L113" i="6" s="1"/>
  <c r="M73" i="6"/>
  <c r="N73" i="6"/>
  <c r="O73" i="6"/>
  <c r="P73" i="6"/>
  <c r="Q73" i="6"/>
  <c r="B74" i="6"/>
  <c r="F77" i="6"/>
  <c r="G77" i="6"/>
  <c r="B78" i="6"/>
  <c r="D78" i="6"/>
  <c r="O78" i="6"/>
  <c r="Q78" i="6"/>
  <c r="H81" i="6"/>
  <c r="I81" i="6"/>
  <c r="N81" i="6" s="1"/>
  <c r="J81" i="6"/>
  <c r="K81" i="6"/>
  <c r="P81" i="6" s="1"/>
  <c r="L81" i="6"/>
  <c r="M81" i="6"/>
  <c r="O81" i="6"/>
  <c r="Q81" i="6"/>
  <c r="C82" i="6"/>
  <c r="E82" i="6"/>
  <c r="I82" i="6"/>
  <c r="K82" i="6"/>
  <c r="M82" i="6"/>
  <c r="Q82" i="6"/>
  <c r="H85" i="6"/>
  <c r="I85" i="6"/>
  <c r="N85" i="6" s="1"/>
  <c r="J85" i="6"/>
  <c r="K85" i="6"/>
  <c r="P85" i="6" s="1"/>
  <c r="L85" i="6"/>
  <c r="M85" i="6"/>
  <c r="O85" i="6"/>
  <c r="Q85" i="6"/>
  <c r="C89" i="6"/>
  <c r="E89" i="6"/>
  <c r="E97" i="6" s="1"/>
  <c r="F89" i="6"/>
  <c r="F97" i="6" s="1"/>
  <c r="K77" i="6" s="1"/>
  <c r="G89" i="6"/>
  <c r="H89" i="6"/>
  <c r="I89" i="6"/>
  <c r="I97" i="6" s="1"/>
  <c r="J89" i="6"/>
  <c r="J97" i="6" s="1"/>
  <c r="M89" i="6"/>
  <c r="N89" i="6"/>
  <c r="N97" i="6" s="1"/>
  <c r="O89" i="6"/>
  <c r="O97" i="6" s="1"/>
  <c r="Q89" i="6"/>
  <c r="B90" i="6"/>
  <c r="B98" i="6" s="1"/>
  <c r="C93" i="6"/>
  <c r="D93" i="6"/>
  <c r="F93" i="6"/>
  <c r="G93" i="6"/>
  <c r="H93" i="6"/>
  <c r="J93" i="6"/>
  <c r="L93" i="6"/>
  <c r="M93" i="6"/>
  <c r="N93" i="6"/>
  <c r="O93" i="6"/>
  <c r="P93" i="6"/>
  <c r="Q93" i="6"/>
  <c r="B94" i="6"/>
  <c r="C97" i="6"/>
  <c r="M77" i="6" s="1"/>
  <c r="G97" i="6"/>
  <c r="Q77" i="6" s="1"/>
  <c r="H97" i="6"/>
  <c r="M97" i="6"/>
  <c r="Q97" i="6"/>
  <c r="D101" i="6"/>
  <c r="I101" i="6" s="1"/>
  <c r="E101" i="6"/>
  <c r="J101" i="6" s="1"/>
  <c r="F101" i="6"/>
  <c r="K101" i="6" s="1"/>
  <c r="H101" i="6"/>
  <c r="L101" i="6"/>
  <c r="B102" i="6"/>
  <c r="C105" i="6"/>
  <c r="H105" i="6" s="1"/>
  <c r="D105" i="6"/>
  <c r="I105" i="6" s="1"/>
  <c r="E105" i="6"/>
  <c r="F105" i="6"/>
  <c r="G105" i="6"/>
  <c r="J105" i="6"/>
  <c r="K105" i="6"/>
  <c r="L105" i="6"/>
  <c r="B106" i="6"/>
  <c r="E109" i="6"/>
  <c r="G109" i="6"/>
  <c r="I109" i="6"/>
  <c r="J109" i="6"/>
  <c r="L109" i="6"/>
  <c r="M109" i="6"/>
  <c r="O109" i="6"/>
  <c r="K110" i="6"/>
  <c r="C113" i="6"/>
  <c r="E113" i="6"/>
  <c r="F113" i="6"/>
  <c r="G113" i="6"/>
  <c r="I113" i="6"/>
  <c r="J113" i="6"/>
  <c r="K113" i="6"/>
  <c r="M113" i="6"/>
  <c r="N113" i="6"/>
  <c r="O113" i="6"/>
  <c r="P113" i="6"/>
  <c r="Q113" i="6"/>
  <c r="B114" i="6"/>
  <c r="Q10" i="7" l="1"/>
  <c r="Q6" i="7"/>
  <c r="I52" i="7"/>
  <c r="K52" i="7" s="1"/>
  <c r="K53" i="7" s="1"/>
  <c r="F52" i="7"/>
  <c r="H52" i="7" s="1"/>
  <c r="H53" i="7" s="1"/>
  <c r="I62" i="6"/>
  <c r="C90" i="6"/>
  <c r="F110" i="6"/>
  <c r="F90" i="6"/>
  <c r="P110" i="6"/>
  <c r="M25" i="7"/>
  <c r="K98" i="6" s="1"/>
  <c r="M18" i="6"/>
  <c r="K90" i="6" s="1"/>
  <c r="P90" i="6" s="1"/>
  <c r="E110" i="6"/>
  <c r="I25" i="7"/>
  <c r="E98" i="6" s="1"/>
  <c r="O110" i="6"/>
  <c r="J114" i="6"/>
  <c r="K114" i="6"/>
  <c r="M78" i="6"/>
  <c r="L78" i="6"/>
  <c r="K78" i="6"/>
  <c r="J78" i="6"/>
  <c r="I18" i="6"/>
  <c r="J18" i="6"/>
  <c r="J90" i="6" s="1"/>
  <c r="E66" i="6"/>
  <c r="E90" i="6"/>
  <c r="E114" i="6"/>
  <c r="J14" i="6"/>
  <c r="P94" i="6"/>
  <c r="F74" i="6"/>
  <c r="K94" i="6" s="1"/>
  <c r="F70" i="6"/>
  <c r="N18" i="7"/>
  <c r="N18" i="6" s="1"/>
  <c r="F102" i="6" s="1"/>
  <c r="K103" i="6" s="1"/>
  <c r="C114" i="6"/>
  <c r="C18" i="6"/>
  <c r="E17" i="6"/>
  <c r="M110" i="6"/>
  <c r="H110" i="6"/>
  <c r="E18" i="7"/>
  <c r="E18" i="6" s="1"/>
  <c r="C102" i="6" s="1"/>
  <c r="H103" i="6" s="1"/>
  <c r="I58" i="6"/>
  <c r="Q58" i="6"/>
  <c r="E7" i="6"/>
  <c r="Q54" i="6"/>
  <c r="O54" i="6"/>
  <c r="M54" i="6"/>
  <c r="E11" i="6"/>
  <c r="M86" i="6"/>
  <c r="M87" i="6" s="1"/>
  <c r="H86" i="6"/>
  <c r="H87" i="6" s="1"/>
  <c r="D114" i="6"/>
  <c r="N110" i="6"/>
  <c r="D66" i="6"/>
  <c r="J66" i="6" s="1"/>
  <c r="G14" i="6"/>
  <c r="I110" i="6"/>
  <c r="D90" i="6"/>
  <c r="G18" i="6"/>
  <c r="I90" i="6" s="1"/>
  <c r="C86" i="6"/>
  <c r="C87" i="6" s="1"/>
  <c r="I54" i="6"/>
  <c r="H7" i="6"/>
  <c r="K25" i="7"/>
  <c r="O53" i="7"/>
  <c r="D86" i="6"/>
  <c r="D87" i="6" s="1"/>
  <c r="I86" i="6"/>
  <c r="I87" i="6" s="1"/>
  <c r="L53" i="7"/>
  <c r="F53" i="7"/>
  <c r="O77" i="6"/>
  <c r="J77" i="6"/>
  <c r="L58" i="6"/>
  <c r="N9" i="6"/>
  <c r="N6" i="6"/>
  <c r="N10" i="6"/>
  <c r="N7" i="6"/>
  <c r="N11" i="6"/>
  <c r="N8" i="6"/>
  <c r="D77" i="6"/>
  <c r="D74" i="6"/>
  <c r="D18" i="6"/>
  <c r="H90" i="6" s="1"/>
  <c r="M94" i="6" s="1"/>
  <c r="C110" i="6"/>
  <c r="C66" i="6"/>
  <c r="P77" i="6"/>
  <c r="P65" i="6"/>
  <c r="K69" i="6"/>
  <c r="K109" i="6" s="1"/>
  <c r="K65" i="6"/>
  <c r="K93" i="6" s="1"/>
  <c r="P89" i="6"/>
  <c r="P97" i="6" s="1"/>
  <c r="F54" i="6"/>
  <c r="K6" i="6"/>
  <c r="K10" i="6"/>
  <c r="K7" i="6"/>
  <c r="K11" i="6"/>
  <c r="K8" i="6"/>
  <c r="K9" i="6"/>
  <c r="E54" i="6"/>
  <c r="J86" i="6" s="1"/>
  <c r="J87" i="6" s="1"/>
  <c r="M57" i="6"/>
  <c r="M53" i="6"/>
  <c r="J58" i="6"/>
  <c r="N86" i="6"/>
  <c r="N87" i="6" s="1"/>
  <c r="P17" i="7"/>
  <c r="C46" i="7"/>
  <c r="D52" i="7" s="1"/>
  <c r="D45" i="7"/>
  <c r="P13" i="7"/>
  <c r="D41" i="7"/>
  <c r="E41" i="7" s="1"/>
  <c r="F98" i="6"/>
  <c r="N25" i="7"/>
  <c r="E25" i="7"/>
  <c r="L77" i="6"/>
  <c r="D70" i="6"/>
  <c r="K17" i="6"/>
  <c r="K89" i="6"/>
  <c r="K97" i="6" s="1"/>
  <c r="F86" i="6"/>
  <c r="F87" i="6" s="1"/>
  <c r="P69" i="6"/>
  <c r="P109" i="6" s="1"/>
  <c r="F69" i="6"/>
  <c r="F109" i="6" s="1"/>
  <c r="N78" i="6"/>
  <c r="P78" i="6"/>
  <c r="H17" i="6"/>
  <c r="M58" i="6"/>
  <c r="N58" i="6"/>
  <c r="P58" i="6"/>
  <c r="B82" i="6"/>
  <c r="B86" i="6"/>
  <c r="B70" i="6"/>
  <c r="B110" i="6" s="1"/>
  <c r="H77" i="6"/>
  <c r="Q8" i="6"/>
  <c r="G54" i="6"/>
  <c r="Q9" i="6"/>
  <c r="Q6" i="6"/>
  <c r="Q10" i="6"/>
  <c r="Q7" i="6"/>
  <c r="Q11" i="6"/>
  <c r="L26" i="7"/>
  <c r="C53" i="7" s="1"/>
  <c r="I4" i="7"/>
  <c r="Q57" i="6"/>
  <c r="Q53" i="6"/>
  <c r="N45" i="7"/>
  <c r="L52" i="7"/>
  <c r="N52" i="7" s="1"/>
  <c r="N53" i="7" s="1"/>
  <c r="O57" i="6"/>
  <c r="N54" i="6"/>
  <c r="H10" i="6"/>
  <c r="H6" i="6"/>
  <c r="O52" i="7"/>
  <c r="Q52" i="7" s="1"/>
  <c r="Q53" i="7" s="1"/>
  <c r="F25" i="7"/>
  <c r="I65" i="6"/>
  <c r="I93" i="6" s="1"/>
  <c r="H9" i="6"/>
  <c r="L89" i="6"/>
  <c r="L97" i="6" s="1"/>
  <c r="D89" i="6"/>
  <c r="D97" i="6" s="1"/>
  <c r="Q69" i="6"/>
  <c r="Q109" i="6" s="1"/>
  <c r="H8" i="6"/>
  <c r="E44" i="7"/>
  <c r="O17" i="7"/>
  <c r="H11" i="6"/>
  <c r="N90" i="6" l="1"/>
  <c r="F94" i="6"/>
  <c r="O94" i="6"/>
  <c r="E70" i="6"/>
  <c r="K66" i="6"/>
  <c r="E74" i="6"/>
  <c r="K74" i="6" s="1"/>
  <c r="O90" i="6"/>
  <c r="J94" i="6"/>
  <c r="F106" i="6"/>
  <c r="F103" i="6" s="1"/>
  <c r="I94" i="6"/>
  <c r="D94" i="6"/>
  <c r="N94" i="6"/>
  <c r="J70" i="6"/>
  <c r="D106" i="6"/>
  <c r="D103" i="6" s="1"/>
  <c r="K26" i="7"/>
  <c r="O98" i="6"/>
  <c r="H114" i="6"/>
  <c r="P18" i="7"/>
  <c r="P14" i="7"/>
  <c r="P13" i="6"/>
  <c r="L54" i="6"/>
  <c r="K86" i="6"/>
  <c r="K87" i="6" s="1"/>
  <c r="H94" i="6"/>
  <c r="M90" i="6"/>
  <c r="I77" i="6"/>
  <c r="N77" i="6"/>
  <c r="E45" i="7"/>
  <c r="C52" i="7"/>
  <c r="E52" i="7" s="1"/>
  <c r="E53" i="7" s="1"/>
  <c r="K54" i="6"/>
  <c r="O86" i="6"/>
  <c r="O87" i="6" s="1"/>
  <c r="E86" i="6"/>
  <c r="E87" i="6" s="1"/>
  <c r="O19" i="7"/>
  <c r="P25" i="7" s="1"/>
  <c r="L98" i="6" s="1"/>
  <c r="P17" i="6"/>
  <c r="O18" i="7"/>
  <c r="Q17" i="7"/>
  <c r="O17" i="6"/>
  <c r="E26" i="7"/>
  <c r="M98" i="6"/>
  <c r="H106" i="6" s="1"/>
  <c r="P86" i="6"/>
  <c r="P87" i="6" s="1"/>
  <c r="H25" i="7"/>
  <c r="D98" i="6"/>
  <c r="G86" i="6"/>
  <c r="G87" i="6" s="1"/>
  <c r="L86" i="6"/>
  <c r="L87" i="6" s="1"/>
  <c r="Q86" i="6"/>
  <c r="Q87" i="6" s="1"/>
  <c r="N26" i="7"/>
  <c r="P98" i="6"/>
  <c r="P114" i="6" s="1"/>
  <c r="F4" i="7"/>
  <c r="I26" i="7"/>
  <c r="N66" i="6"/>
  <c r="P66" i="6"/>
  <c r="C74" i="6"/>
  <c r="C94" i="6" s="1"/>
  <c r="I66" i="6"/>
  <c r="C70" i="6"/>
  <c r="C106" i="6" s="1"/>
  <c r="C103" i="6" s="1"/>
  <c r="M66" i="6"/>
  <c r="O66" i="6"/>
  <c r="M114" i="6" l="1"/>
  <c r="J106" i="6"/>
  <c r="O114" i="6"/>
  <c r="E94" i="6"/>
  <c r="J102" i="6"/>
  <c r="K70" i="6"/>
  <c r="E106" i="6"/>
  <c r="E103" i="6" s="1"/>
  <c r="J74" i="6"/>
  <c r="K106" i="6"/>
  <c r="K102" i="6"/>
  <c r="H102" i="6"/>
  <c r="P70" i="6"/>
  <c r="N70" i="6"/>
  <c r="I70" i="6"/>
  <c r="M70" i="6"/>
  <c r="O70" i="6"/>
  <c r="Q17" i="6"/>
  <c r="O18" i="6"/>
  <c r="N74" i="6"/>
  <c r="P74" i="6"/>
  <c r="I74" i="6"/>
  <c r="M74" i="6"/>
  <c r="O74" i="6"/>
  <c r="G66" i="6"/>
  <c r="P18" i="6"/>
  <c r="L90" i="6" s="1"/>
  <c r="G114" i="6"/>
  <c r="G110" i="6"/>
  <c r="Q110" i="6"/>
  <c r="G90" i="6"/>
  <c r="L110" i="6"/>
  <c r="P14" i="6"/>
  <c r="Q14" i="7"/>
  <c r="Q14" i="6" s="1"/>
  <c r="Q18" i="7"/>
  <c r="Q18" i="6" s="1"/>
  <c r="G102" i="6" s="1"/>
  <c r="L103" i="6" s="1"/>
  <c r="O25" i="7"/>
  <c r="N98" i="6"/>
  <c r="N114" i="6" s="1"/>
  <c r="H26" i="7"/>
  <c r="C4" i="7"/>
  <c r="C26" i="7" s="1"/>
  <c r="F26" i="7"/>
  <c r="L66" i="6" l="1"/>
  <c r="Q66" i="6"/>
  <c r="I106" i="6"/>
  <c r="I102" i="6"/>
  <c r="G74" i="6"/>
  <c r="G94" i="6" s="1"/>
  <c r="G70" i="6"/>
  <c r="L94" i="6"/>
  <c r="Q94" i="6"/>
  <c r="Q90" i="6"/>
  <c r="L114" i="6"/>
  <c r="Q114" i="6"/>
  <c r="Q25" i="7"/>
  <c r="G98" i="6"/>
  <c r="L70" i="6" l="1"/>
  <c r="Q70" i="6"/>
  <c r="L74" i="6"/>
  <c r="Q74" i="6"/>
  <c r="Q26" i="7"/>
  <c r="Q98" i="6"/>
  <c r="L102" i="6" l="1"/>
  <c r="L106" i="6"/>
</calcChain>
</file>

<file path=xl/sharedStrings.xml><?xml version="1.0" encoding="utf-8"?>
<sst xmlns="http://schemas.openxmlformats.org/spreadsheetml/2006/main" count="322" uniqueCount="105">
  <si>
    <t>売上高</t>
    <rPh sb="0" eb="2">
      <t>ウリアゲ</t>
    </rPh>
    <rPh sb="2" eb="3">
      <t>ダカ</t>
    </rPh>
    <phoneticPr fontId="2"/>
  </si>
  <si>
    <t>売上原価</t>
    <rPh sb="0" eb="2">
      <t>ウリアゲ</t>
    </rPh>
    <rPh sb="2" eb="4">
      <t>ゲンカ</t>
    </rPh>
    <phoneticPr fontId="2"/>
  </si>
  <si>
    <t>売上総利益</t>
    <rPh sb="0" eb="2">
      <t>ウリアゲ</t>
    </rPh>
    <rPh sb="2" eb="5">
      <t>ソウリエキ</t>
    </rPh>
    <phoneticPr fontId="2"/>
  </si>
  <si>
    <t>販管費</t>
    <rPh sb="0" eb="3">
      <t>ハンカンヒ</t>
    </rPh>
    <phoneticPr fontId="2"/>
  </si>
  <si>
    <t>営業利益</t>
    <rPh sb="0" eb="2">
      <t>エイギョウ</t>
    </rPh>
    <rPh sb="2" eb="4">
      <t>リエキ</t>
    </rPh>
    <phoneticPr fontId="2"/>
  </si>
  <si>
    <t>経常利益</t>
    <rPh sb="0" eb="2">
      <t>ケイジョウ</t>
    </rPh>
    <rPh sb="2" eb="4">
      <t>リエキ</t>
    </rPh>
    <phoneticPr fontId="2"/>
  </si>
  <si>
    <t>純利益</t>
    <rPh sb="0" eb="3">
      <t>ジュンリエキ</t>
    </rPh>
    <phoneticPr fontId="2"/>
  </si>
  <si>
    <t>発行株数</t>
    <rPh sb="0" eb="2">
      <t>ハッコウ</t>
    </rPh>
    <rPh sb="2" eb="4">
      <t>カブスウ</t>
    </rPh>
    <phoneticPr fontId="2"/>
  </si>
  <si>
    <t>売上</t>
    <rPh sb="0" eb="2">
      <t>ウリアゲ</t>
    </rPh>
    <phoneticPr fontId="2"/>
  </si>
  <si>
    <t>ＥＰＳ</t>
    <phoneticPr fontId="2"/>
  </si>
  <si>
    <t>前期比</t>
    <rPh sb="0" eb="3">
      <t>ゼンキヒ</t>
    </rPh>
    <phoneticPr fontId="2"/>
  </si>
  <si>
    <t>構成比</t>
    <rPh sb="0" eb="3">
      <t>コウセイヒ</t>
    </rPh>
    <phoneticPr fontId="2"/>
  </si>
  <si>
    <t>前期</t>
    <rPh sb="0" eb="2">
      <t>ゼンキ</t>
    </rPh>
    <phoneticPr fontId="2"/>
  </si>
  <si>
    <t>３期前</t>
    <rPh sb="1" eb="2">
      <t>キ</t>
    </rPh>
    <rPh sb="2" eb="3">
      <t>マエ</t>
    </rPh>
    <phoneticPr fontId="2"/>
  </si>
  <si>
    <t>２期前</t>
    <rPh sb="1" eb="2">
      <t>キ</t>
    </rPh>
    <rPh sb="2" eb="3">
      <t>マエ</t>
    </rPh>
    <phoneticPr fontId="2"/>
  </si>
  <si>
    <t>売上増収率</t>
    <rPh sb="0" eb="2">
      <t>ウリアゲ</t>
    </rPh>
    <rPh sb="2" eb="4">
      <t>ゾウシュウ</t>
    </rPh>
    <rPh sb="4" eb="5">
      <t>リツ</t>
    </rPh>
    <phoneticPr fontId="2"/>
  </si>
  <si>
    <t>経常増益率</t>
    <rPh sb="0" eb="2">
      <t>ケイジョウ</t>
    </rPh>
    <rPh sb="2" eb="4">
      <t>ゾウエキ</t>
    </rPh>
    <rPh sb="4" eb="5">
      <t>リツ</t>
    </rPh>
    <phoneticPr fontId="2"/>
  </si>
  <si>
    <t>(今期)</t>
    <rPh sb="1" eb="3">
      <t>コンキ</t>
    </rPh>
    <phoneticPr fontId="2"/>
  </si>
  <si>
    <t>株価</t>
    <rPh sb="0" eb="2">
      <t>カブカ</t>
    </rPh>
    <phoneticPr fontId="2"/>
  </si>
  <si>
    <t>時価総額</t>
    <rPh sb="0" eb="2">
      <t>ジカ</t>
    </rPh>
    <rPh sb="2" eb="4">
      <t>ソウガク</t>
    </rPh>
    <phoneticPr fontId="2"/>
  </si>
  <si>
    <t>株価上昇率</t>
    <rPh sb="0" eb="2">
      <t>カブカ</t>
    </rPh>
    <rPh sb="2" eb="4">
      <t>ジョウショウ</t>
    </rPh>
    <rPh sb="4" eb="5">
      <t>リツ</t>
    </rPh>
    <phoneticPr fontId="2"/>
  </si>
  <si>
    <t>ＥＰＳ増加率</t>
    <rPh sb="3" eb="5">
      <t>ゾウカ</t>
    </rPh>
    <rPh sb="5" eb="6">
      <t>リツ</t>
    </rPh>
    <phoneticPr fontId="2"/>
  </si>
  <si>
    <t>百万</t>
    <rPh sb="0" eb="2">
      <t>ヒャクマン</t>
    </rPh>
    <phoneticPr fontId="2"/>
  </si>
  <si>
    <t>-</t>
    <phoneticPr fontId="2"/>
  </si>
  <si>
    <t>３期前比較</t>
    <rPh sb="1" eb="2">
      <t>キ</t>
    </rPh>
    <rPh sb="2" eb="3">
      <t>マエ</t>
    </rPh>
    <rPh sb="3" eb="5">
      <t>ヒカク</t>
    </rPh>
    <phoneticPr fontId="2"/>
  </si>
  <si>
    <t>ＰＥＲ</t>
    <phoneticPr fontId="2"/>
  </si>
  <si>
    <t>(期末株価)</t>
    <rPh sb="3" eb="5">
      <t>カブカ</t>
    </rPh>
    <phoneticPr fontId="2"/>
  </si>
  <si>
    <t>時価総額増加率</t>
    <rPh sb="0" eb="2">
      <t>ジカ</t>
    </rPh>
    <rPh sb="2" eb="4">
      <t>ソウガク</t>
    </rPh>
    <rPh sb="4" eb="6">
      <t>ゾウカ</t>
    </rPh>
    <rPh sb="6" eb="7">
      <t>リツ</t>
    </rPh>
    <phoneticPr fontId="2"/>
  </si>
  <si>
    <t>発行株数増加率</t>
    <rPh sb="0" eb="2">
      <t>ハッコウ</t>
    </rPh>
    <rPh sb="2" eb="3">
      <t>カブ</t>
    </rPh>
    <rPh sb="3" eb="4">
      <t>スウ</t>
    </rPh>
    <rPh sb="4" eb="6">
      <t>ゾウカ</t>
    </rPh>
    <rPh sb="6" eb="7">
      <t>リツ</t>
    </rPh>
    <phoneticPr fontId="2"/>
  </si>
  <si>
    <t>発行株数増加率</t>
    <rPh sb="0" eb="3">
      <t>ハッコウカブ</t>
    </rPh>
    <rPh sb="3" eb="4">
      <t>スウ</t>
    </rPh>
    <rPh sb="4" eb="6">
      <t>ゾウカ</t>
    </rPh>
    <rPh sb="6" eb="7">
      <t>リツ</t>
    </rPh>
    <phoneticPr fontId="2"/>
  </si>
  <si>
    <t>千株</t>
    <rPh sb="0" eb="1">
      <t>セン</t>
    </rPh>
    <rPh sb="1" eb="2">
      <t>カブ</t>
    </rPh>
    <phoneticPr fontId="2"/>
  </si>
  <si>
    <t>自己資本比率</t>
    <rPh sb="0" eb="2">
      <t>ジコ</t>
    </rPh>
    <rPh sb="2" eb="4">
      <t>シホン</t>
    </rPh>
    <rPh sb="4" eb="6">
      <t>ヒリツ</t>
    </rPh>
    <phoneticPr fontId="2"/>
  </si>
  <si>
    <t>ＲＯＡ</t>
    <phoneticPr fontId="2"/>
  </si>
  <si>
    <t>資産</t>
    <rPh sb="0" eb="2">
      <t>シサン</t>
    </rPh>
    <phoneticPr fontId="2"/>
  </si>
  <si>
    <t>資本</t>
    <rPh sb="0" eb="2">
      <t>シホン</t>
    </rPh>
    <phoneticPr fontId="2"/>
  </si>
  <si>
    <t>負債</t>
    <rPh sb="0" eb="2">
      <t>フサイ</t>
    </rPh>
    <phoneticPr fontId="2"/>
  </si>
  <si>
    <t>営業</t>
    <rPh sb="0" eb="2">
      <t>エイギョウ</t>
    </rPh>
    <phoneticPr fontId="2"/>
  </si>
  <si>
    <t>投資</t>
    <rPh sb="0" eb="2">
      <t>トウシ</t>
    </rPh>
    <phoneticPr fontId="2"/>
  </si>
  <si>
    <t>財務</t>
    <rPh sb="0" eb="2">
      <t>ザイム</t>
    </rPh>
    <phoneticPr fontId="2"/>
  </si>
  <si>
    <t>キャッシュフロー</t>
    <phoneticPr fontId="2"/>
  </si>
  <si>
    <t>バランスシート</t>
    <phoneticPr fontId="2"/>
  </si>
  <si>
    <t>４期前</t>
    <rPh sb="1" eb="2">
      <t>キ</t>
    </rPh>
    <rPh sb="2" eb="3">
      <t>マエ</t>
    </rPh>
    <phoneticPr fontId="2"/>
  </si>
  <si>
    <t>■時系列比較データ</t>
    <rPh sb="1" eb="4">
      <t>ジケイレツ</t>
    </rPh>
    <rPh sb="4" eb="6">
      <t>ヒカク</t>
    </rPh>
    <phoneticPr fontId="2"/>
  </si>
  <si>
    <t>ＲＯＥ</t>
    <phoneticPr fontId="2"/>
  </si>
  <si>
    <t>ＰＢＲ</t>
    <phoneticPr fontId="2"/>
  </si>
  <si>
    <t>営業ＣＦ</t>
    <rPh sb="0" eb="2">
      <t>エイギョウ</t>
    </rPh>
    <phoneticPr fontId="2"/>
  </si>
  <si>
    <t>投資ＣＦ</t>
    <rPh sb="0" eb="2">
      <t>トウシ</t>
    </rPh>
    <phoneticPr fontId="2"/>
  </si>
  <si>
    <t>財務ＣＦ</t>
    <rPh sb="0" eb="2">
      <t>ザイム</t>
    </rPh>
    <phoneticPr fontId="2"/>
  </si>
  <si>
    <t>１株ＢＳ</t>
    <rPh sb="1" eb="2">
      <t>カブ</t>
    </rPh>
    <phoneticPr fontId="2"/>
  </si>
  <si>
    <t>１株資産</t>
    <rPh sb="1" eb="2">
      <t>カブ</t>
    </rPh>
    <rPh sb="2" eb="4">
      <t>シサン</t>
    </rPh>
    <phoneticPr fontId="2"/>
  </si>
  <si>
    <t>１株資本</t>
    <rPh sb="2" eb="4">
      <t>シホン</t>
    </rPh>
    <phoneticPr fontId="2"/>
  </si>
  <si>
    <t>１株負債</t>
    <rPh sb="2" eb="4">
      <t>フサイ</t>
    </rPh>
    <phoneticPr fontId="2"/>
  </si>
  <si>
    <t>ＢＰＳ／ＰＢＲ</t>
    <phoneticPr fontId="2"/>
  </si>
  <si>
    <t>収益効率</t>
    <rPh sb="0" eb="2">
      <t>シュウエキ</t>
    </rPh>
    <rPh sb="2" eb="4">
      <t>コウリツ</t>
    </rPh>
    <phoneticPr fontId="2"/>
  </si>
  <si>
    <t>バランスシート</t>
    <phoneticPr fontId="2"/>
  </si>
  <si>
    <t>ＢＰＳ／ＰＢＲ</t>
    <phoneticPr fontId="2"/>
  </si>
  <si>
    <t>キャッシュフロー</t>
    <phoneticPr fontId="2"/>
  </si>
  <si>
    <t>期初</t>
    <rPh sb="0" eb="2">
      <t>キショ</t>
    </rPh>
    <phoneticPr fontId="2"/>
  </si>
  <si>
    <t>実績</t>
    <rPh sb="0" eb="2">
      <t>ジッセキ</t>
    </rPh>
    <phoneticPr fontId="2"/>
  </si>
  <si>
    <t>進捗率</t>
    <rPh sb="0" eb="2">
      <t>シンチョク</t>
    </rPh>
    <rPh sb="2" eb="3">
      <t>リツ</t>
    </rPh>
    <phoneticPr fontId="2"/>
  </si>
  <si>
    <t>現金残</t>
    <rPh sb="0" eb="2">
      <t>ゲンキン</t>
    </rPh>
    <rPh sb="2" eb="3">
      <t>ザン</t>
    </rPh>
    <phoneticPr fontId="2"/>
  </si>
  <si>
    <t>現金残増加率</t>
    <rPh sb="0" eb="2">
      <t>ゲンキン</t>
    </rPh>
    <rPh sb="2" eb="3">
      <t>ザン</t>
    </rPh>
    <rPh sb="3" eb="5">
      <t>ゾウカ</t>
    </rPh>
    <rPh sb="5" eb="6">
      <t>リツ</t>
    </rPh>
    <phoneticPr fontId="2"/>
  </si>
  <si>
    <t>ＦＣＦ</t>
    <phoneticPr fontId="2"/>
  </si>
  <si>
    <t>現金残／ＦＣＦ</t>
    <rPh sb="0" eb="2">
      <t>ゲンキン</t>
    </rPh>
    <rPh sb="2" eb="3">
      <t>ザン</t>
    </rPh>
    <phoneticPr fontId="2"/>
  </si>
  <si>
    <t>２Ｑ</t>
    <phoneticPr fontId="2"/>
  </si>
  <si>
    <t>３Ｑ</t>
    <phoneticPr fontId="2"/>
  </si>
  <si>
    <t>４Ｑ</t>
    <phoneticPr fontId="2"/>
  </si>
  <si>
    <t>■今期四半期決算</t>
    <rPh sb="1" eb="3">
      <t>コンキ</t>
    </rPh>
    <rPh sb="3" eb="6">
      <t>シハンキ</t>
    </rPh>
    <rPh sb="6" eb="8">
      <t>ケッサン</t>
    </rPh>
    <phoneticPr fontId="2"/>
  </si>
  <si>
    <t>■時系列決算データ比較</t>
    <rPh sb="1" eb="4">
      <t>ジケイレツ</t>
    </rPh>
    <rPh sb="4" eb="6">
      <t>ケッサン</t>
    </rPh>
    <rPh sb="9" eb="11">
      <t>ヒカク</t>
    </rPh>
    <phoneticPr fontId="2"/>
  </si>
  <si>
    <t>■今期会社予想</t>
    <rPh sb="1" eb="3">
      <t>コンキ</t>
    </rPh>
    <rPh sb="3" eb="5">
      <t>カイシャ</t>
    </rPh>
    <rPh sb="5" eb="7">
      <t>ヨソウ</t>
    </rPh>
    <phoneticPr fontId="2"/>
  </si>
  <si>
    <t>決算年</t>
    <rPh sb="0" eb="2">
      <t>ケッサン</t>
    </rPh>
    <rPh sb="2" eb="3">
      <t>ネン</t>
    </rPh>
    <phoneticPr fontId="2"/>
  </si>
  <si>
    <t>決算月</t>
    <rPh sb="0" eb="2">
      <t>ケッサン</t>
    </rPh>
    <rPh sb="2" eb="3">
      <t>ツキ</t>
    </rPh>
    <phoneticPr fontId="2"/>
  </si>
  <si>
    <t>【はっしゃん式】決算入力シート</t>
    <rPh sb="6" eb="7">
      <t>シキ</t>
    </rPh>
    <rPh sb="8" eb="10">
      <t>ケッサン</t>
    </rPh>
    <rPh sb="10" eb="12">
      <t>ニュウリョク</t>
    </rPh>
    <phoneticPr fontId="2"/>
  </si>
  <si>
    <t>【はっしゃん式】決算分析シート</t>
    <rPh sb="6" eb="7">
      <t>シキ</t>
    </rPh>
    <rPh sb="8" eb="10">
      <t>ケッサン</t>
    </rPh>
    <rPh sb="10" eb="12">
      <t>ブンセキ</t>
    </rPh>
    <phoneticPr fontId="2"/>
  </si>
  <si>
    <t>銘柄名</t>
    <rPh sb="0" eb="2">
      <t>メイガラ</t>
    </rPh>
    <rPh sb="2" eb="3">
      <t>メイ</t>
    </rPh>
    <phoneticPr fontId="2"/>
  </si>
  <si>
    <t>更新日</t>
    <rPh sb="0" eb="3">
      <t>コウシンビ</t>
    </rPh>
    <phoneticPr fontId="2"/>
  </si>
  <si>
    <t>資産価値</t>
    <rPh sb="0" eb="2">
      <t>シサン</t>
    </rPh>
    <rPh sb="2" eb="4">
      <t>カチ</t>
    </rPh>
    <phoneticPr fontId="2"/>
  </si>
  <si>
    <t>事業価値</t>
    <rPh sb="0" eb="2">
      <t>ジギョウ</t>
    </rPh>
    <rPh sb="2" eb="4">
      <t>カチ</t>
    </rPh>
    <phoneticPr fontId="2"/>
  </si>
  <si>
    <t>理論株価</t>
    <rPh sb="0" eb="2">
      <t>リロン</t>
    </rPh>
    <rPh sb="2" eb="4">
      <t>カブカ</t>
    </rPh>
    <phoneticPr fontId="2"/>
  </si>
  <si>
    <t>理論ＰＥＲ</t>
    <rPh sb="0" eb="2">
      <t>リロン</t>
    </rPh>
    <phoneticPr fontId="2"/>
  </si>
  <si>
    <t>理論ＰＢＲ</t>
    <rPh sb="0" eb="2">
      <t>リロン</t>
    </rPh>
    <phoneticPr fontId="2"/>
  </si>
  <si>
    <t>１Q</t>
    <phoneticPr fontId="2"/>
  </si>
  <si>
    <t>２Ｑ</t>
    <phoneticPr fontId="2"/>
  </si>
  <si>
    <t>３Ｑ</t>
    <phoneticPr fontId="2"/>
  </si>
  <si>
    <t>１Ｑ</t>
    <phoneticPr fontId="2"/>
  </si>
  <si>
    <t>販管費</t>
    <rPh sb="0" eb="1">
      <t>ハン</t>
    </rPh>
    <rPh sb="1" eb="2">
      <t>カン</t>
    </rPh>
    <rPh sb="2" eb="3">
      <t>ヒ</t>
    </rPh>
    <phoneticPr fontId="2"/>
  </si>
  <si>
    <t>ＰＬ</t>
    <phoneticPr fontId="2"/>
  </si>
  <si>
    <t>利益率</t>
    <rPh sb="0" eb="2">
      <t>リエキ</t>
    </rPh>
    <rPh sb="2" eb="3">
      <t>リツ</t>
    </rPh>
    <phoneticPr fontId="2"/>
  </si>
  <si>
    <t>販管費比率</t>
    <rPh sb="0" eb="1">
      <t>ハン</t>
    </rPh>
    <rPh sb="1" eb="2">
      <t>カン</t>
    </rPh>
    <rPh sb="2" eb="3">
      <t>ヒ</t>
    </rPh>
    <rPh sb="3" eb="5">
      <t>ヒリツ</t>
    </rPh>
    <phoneticPr fontId="2"/>
  </si>
  <si>
    <t>粗利益</t>
    <rPh sb="0" eb="3">
      <t>アラリエキ</t>
    </rPh>
    <phoneticPr fontId="2"/>
  </si>
  <si>
    <t>粗利益率</t>
    <rPh sb="0" eb="3">
      <t>アラリエキ</t>
    </rPh>
    <rPh sb="3" eb="4">
      <t>リツ</t>
    </rPh>
    <phoneticPr fontId="2"/>
  </si>
  <si>
    <t>経常利益率</t>
    <rPh sb="0" eb="2">
      <t>ケイジョウ</t>
    </rPh>
    <rPh sb="2" eb="4">
      <t>リエキ</t>
    </rPh>
    <rPh sb="4" eb="5">
      <t>リツ</t>
    </rPh>
    <phoneticPr fontId="2"/>
  </si>
  <si>
    <t>ＰＥＲ</t>
    <phoneticPr fontId="2"/>
  </si>
  <si>
    <t>１株ＣＦ</t>
    <rPh sb="1" eb="2">
      <t>カブ</t>
    </rPh>
    <phoneticPr fontId="2"/>
  </si>
  <si>
    <t>ＰＣＦＲ</t>
    <phoneticPr fontId="2"/>
  </si>
  <si>
    <t>株価／理論比</t>
    <rPh sb="0" eb="2">
      <t>カブカ</t>
    </rPh>
    <rPh sb="3" eb="5">
      <t>リロン</t>
    </rPh>
    <rPh sb="5" eb="6">
      <t>ヒ</t>
    </rPh>
    <phoneticPr fontId="2"/>
  </si>
  <si>
    <t>ＥＰＳ／ＰＥＲ</t>
    <phoneticPr fontId="2"/>
  </si>
  <si>
    <t>千株</t>
    <phoneticPr fontId="2"/>
  </si>
  <si>
    <t>理論ＰＣＦＲ</t>
    <rPh sb="0" eb="2">
      <t>リロン</t>
    </rPh>
    <phoneticPr fontId="2"/>
  </si>
  <si>
    <t>(経常*30%)</t>
    <phoneticPr fontId="2"/>
  </si>
  <si>
    <t>(経常*30%)</t>
    <phoneticPr fontId="2"/>
  </si>
  <si>
    <t>(経常*30%)</t>
    <phoneticPr fontId="2"/>
  </si>
  <si>
    <t>コード</t>
    <phoneticPr fontId="2"/>
  </si>
  <si>
    <t>コード</t>
    <phoneticPr fontId="2"/>
  </si>
  <si>
    <t>丸善CHIホールディングス</t>
    <rPh sb="0" eb="2">
      <t>マルゼン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</si>
</sst>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;[Red]\-#,##0\ "/>
    <numFmt numFmtId="177" formatCode="#,##0_ "/>
    <numFmt numFmtId="178" formatCode="0.0%"/>
    <numFmt numFmtId="179" formatCode="#,##0.0_ "/>
    <numFmt numFmtId="180" formatCode="yy/mm/dd"/>
    <numFmt numFmtId="181" formatCode="0.0_ ;[Red]\-0.0\ "/>
  </numFmts>
  <fonts count="9" x14ac:knownFonts="1"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10"/>
      <color indexed="9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right"/>
    </xf>
    <xf numFmtId="0" fontId="1" fillId="3" borderId="1" xfId="0" applyFont="1" applyFill="1" applyBorder="1"/>
    <xf numFmtId="0" fontId="1" fillId="4" borderId="1" xfId="0" applyFont="1" applyFill="1" applyBorder="1"/>
    <xf numFmtId="178" fontId="4" fillId="2" borderId="2" xfId="0" applyNumberFormat="1" applyFont="1" applyFill="1" applyBorder="1"/>
    <xf numFmtId="0" fontId="4" fillId="2" borderId="1" xfId="0" applyFont="1" applyFill="1" applyBorder="1"/>
    <xf numFmtId="177" fontId="4" fillId="2" borderId="3" xfId="0" applyNumberFormat="1" applyFont="1" applyFill="1" applyBorder="1"/>
    <xf numFmtId="0" fontId="4" fillId="2" borderId="2" xfId="0" applyFont="1" applyFill="1" applyBorder="1"/>
    <xf numFmtId="0" fontId="1" fillId="2" borderId="0" xfId="0" applyFont="1" applyFill="1"/>
    <xf numFmtId="0" fontId="4" fillId="2" borderId="0" xfId="0" applyFont="1" applyFill="1"/>
    <xf numFmtId="177" fontId="4" fillId="2" borderId="0" xfId="0" applyNumberFormat="1" applyFont="1" applyFill="1"/>
    <xf numFmtId="178" fontId="4" fillId="2" borderId="0" xfId="0" applyNumberFormat="1" applyFont="1" applyFill="1"/>
    <xf numFmtId="177" fontId="4" fillId="2" borderId="4" xfId="0" applyNumberFormat="1" applyFont="1" applyFill="1" applyBorder="1"/>
    <xf numFmtId="177" fontId="1" fillId="2" borderId="0" xfId="0" applyNumberFormat="1" applyFont="1" applyFill="1"/>
    <xf numFmtId="178" fontId="1" fillId="2" borderId="0" xfId="0" applyNumberFormat="1" applyFont="1" applyFill="1"/>
    <xf numFmtId="177" fontId="4" fillId="2" borderId="5" xfId="0" applyNumberFormat="1" applyFont="1" applyFill="1" applyBorder="1" applyAlignment="1">
      <alignment horizontal="right"/>
    </xf>
    <xf numFmtId="178" fontId="4" fillId="2" borderId="5" xfId="0" applyNumberFormat="1" applyFont="1" applyFill="1" applyBorder="1" applyAlignment="1">
      <alignment horizontal="right"/>
    </xf>
    <xf numFmtId="180" fontId="5" fillId="2" borderId="6" xfId="0" applyNumberFormat="1" applyFont="1" applyFill="1" applyBorder="1"/>
    <xf numFmtId="0" fontId="5" fillId="5" borderId="3" xfId="0" applyFont="1" applyFill="1" applyBorder="1" applyAlignment="1">
      <alignment horizontal="right"/>
    </xf>
    <xf numFmtId="0" fontId="5" fillId="6" borderId="3" xfId="0" applyFont="1" applyFill="1" applyBorder="1" applyAlignment="1">
      <alignment horizontal="right"/>
    </xf>
    <xf numFmtId="0" fontId="0" fillId="3" borderId="1" xfId="0" applyFill="1" applyBorder="1"/>
    <xf numFmtId="0" fontId="0" fillId="3" borderId="3" xfId="0" applyFill="1" applyBorder="1"/>
    <xf numFmtId="0" fontId="0" fillId="3" borderId="7" xfId="0" applyFill="1" applyBorder="1"/>
    <xf numFmtId="0" fontId="5" fillId="3" borderId="3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5" xfId="0" applyFont="1" applyFill="1" applyBorder="1" applyAlignment="1">
      <alignment horizontal="right"/>
    </xf>
    <xf numFmtId="177" fontId="5" fillId="2" borderId="5" xfId="0" applyNumberFormat="1" applyFont="1" applyFill="1" applyBorder="1" applyAlignment="1">
      <alignment horizontal="right"/>
    </xf>
    <xf numFmtId="178" fontId="5" fillId="2" borderId="5" xfId="0" applyNumberFormat="1" applyFont="1" applyFill="1" applyBorder="1" applyAlignment="1">
      <alignment horizontal="right"/>
    </xf>
    <xf numFmtId="0" fontId="5" fillId="4" borderId="5" xfId="0" applyFont="1" applyFill="1" applyBorder="1" applyAlignment="1">
      <alignment horizontal="right"/>
    </xf>
    <xf numFmtId="0" fontId="5" fillId="2" borderId="0" xfId="0" applyFont="1" applyFill="1"/>
    <xf numFmtId="177" fontId="5" fillId="2" borderId="0" xfId="0" applyNumberFormat="1" applyFont="1" applyFill="1" applyAlignment="1">
      <alignment horizontal="right"/>
    </xf>
    <xf numFmtId="179" fontId="5" fillId="2" borderId="5" xfId="0" applyNumberFormat="1" applyFont="1" applyFill="1" applyBorder="1" applyAlignment="1">
      <alignment horizontal="right"/>
    </xf>
    <xf numFmtId="178" fontId="5" fillId="2" borderId="4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5" fillId="7" borderId="5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5" fillId="8" borderId="5" xfId="0" applyFont="1" applyFill="1" applyBorder="1" applyAlignment="1">
      <alignment horizontal="right"/>
    </xf>
    <xf numFmtId="0" fontId="5" fillId="3" borderId="7" xfId="0" applyFont="1" applyFill="1" applyBorder="1"/>
    <xf numFmtId="0" fontId="5" fillId="4" borderId="7" xfId="0" applyFont="1" applyFill="1" applyBorder="1" applyAlignment="1">
      <alignment horizontal="right"/>
    </xf>
    <xf numFmtId="179" fontId="4" fillId="2" borderId="0" xfId="0" applyNumberFormat="1" applyFont="1" applyFill="1"/>
    <xf numFmtId="178" fontId="4" fillId="2" borderId="0" xfId="0" applyNumberFormat="1" applyFont="1" applyFill="1" applyAlignment="1">
      <alignment horizontal="right"/>
    </xf>
    <xf numFmtId="177" fontId="4" fillId="2" borderId="5" xfId="0" applyNumberFormat="1" applyFont="1" applyFill="1" applyBorder="1"/>
    <xf numFmtId="0" fontId="6" fillId="2" borderId="0" xfId="0" applyFont="1" applyFill="1"/>
    <xf numFmtId="179" fontId="6" fillId="2" borderId="0" xfId="0" applyNumberFormat="1" applyFont="1" applyFill="1"/>
    <xf numFmtId="177" fontId="4" fillId="2" borderId="8" xfId="0" applyNumberFormat="1" applyFont="1" applyFill="1" applyBorder="1" applyAlignment="1">
      <alignment horizontal="right"/>
    </xf>
    <xf numFmtId="0" fontId="4" fillId="2" borderId="9" xfId="0" applyFont="1" applyFill="1" applyBorder="1"/>
    <xf numFmtId="178" fontId="4" fillId="2" borderId="1" xfId="0" applyNumberFormat="1" applyFont="1" applyFill="1" applyBorder="1"/>
    <xf numFmtId="0" fontId="4" fillId="2" borderId="6" xfId="0" applyFont="1" applyFill="1" applyBorder="1"/>
    <xf numFmtId="0" fontId="5" fillId="2" borderId="1" xfId="0" applyFont="1" applyFill="1" applyBorder="1"/>
    <xf numFmtId="177" fontId="4" fillId="2" borderId="7" xfId="0" applyNumberFormat="1" applyFont="1" applyFill="1" applyBorder="1"/>
    <xf numFmtId="177" fontId="5" fillId="2" borderId="7" xfId="0" applyNumberFormat="1" applyFont="1" applyFill="1" applyBorder="1"/>
    <xf numFmtId="179" fontId="4" fillId="2" borderId="5" xfId="0" applyNumberFormat="1" applyFont="1" applyFill="1" applyBorder="1"/>
    <xf numFmtId="0" fontId="1" fillId="7" borderId="1" xfId="0" applyFont="1" applyFill="1" applyBorder="1"/>
    <xf numFmtId="0" fontId="4" fillId="7" borderId="7" xfId="0" applyFont="1" applyFill="1" applyBorder="1"/>
    <xf numFmtId="0" fontId="5" fillId="7" borderId="7" xfId="0" applyFont="1" applyFill="1" applyBorder="1" applyAlignment="1">
      <alignment horizontal="right"/>
    </xf>
    <xf numFmtId="0" fontId="1" fillId="3" borderId="5" xfId="0" applyFont="1" applyFill="1" applyBorder="1"/>
    <xf numFmtId="176" fontId="5" fillId="2" borderId="6" xfId="0" applyNumberFormat="1" applyFont="1" applyFill="1" applyBorder="1"/>
    <xf numFmtId="176" fontId="5" fillId="2" borderId="1" xfId="0" applyNumberFormat="1" applyFont="1" applyFill="1" applyBorder="1"/>
    <xf numFmtId="0" fontId="1" fillId="3" borderId="8" xfId="0" applyFont="1" applyFill="1" applyBorder="1"/>
    <xf numFmtId="176" fontId="5" fillId="2" borderId="9" xfId="0" applyNumberFormat="1" applyFont="1" applyFill="1" applyBorder="1"/>
    <xf numFmtId="0" fontId="1" fillId="2" borderId="7" xfId="0" applyFont="1" applyFill="1" applyBorder="1"/>
    <xf numFmtId="0" fontId="4" fillId="2" borderId="7" xfId="0" applyFont="1" applyFill="1" applyBorder="1"/>
    <xf numFmtId="178" fontId="4" fillId="2" borderId="7" xfId="0" applyNumberFormat="1" applyFont="1" applyFill="1" applyBorder="1" applyAlignment="1">
      <alignment horizontal="right"/>
    </xf>
    <xf numFmtId="0" fontId="1" fillId="6" borderId="1" xfId="0" applyFont="1" applyFill="1" applyBorder="1"/>
    <xf numFmtId="0" fontId="4" fillId="6" borderId="7" xfId="0" applyFont="1" applyFill="1" applyBorder="1"/>
    <xf numFmtId="0" fontId="5" fillId="6" borderId="7" xfId="0" applyFont="1" applyFill="1" applyBorder="1" applyAlignment="1">
      <alignment horizontal="right"/>
    </xf>
    <xf numFmtId="0" fontId="1" fillId="5" borderId="1" xfId="0" applyFont="1" applyFill="1" applyBorder="1"/>
    <xf numFmtId="0" fontId="4" fillId="5" borderId="7" xfId="0" applyFont="1" applyFill="1" applyBorder="1"/>
    <xf numFmtId="0" fontId="5" fillId="5" borderId="7" xfId="0" applyFont="1" applyFill="1" applyBorder="1" applyAlignment="1">
      <alignment horizontal="right"/>
    </xf>
    <xf numFmtId="0" fontId="1" fillId="8" borderId="1" xfId="0" applyFont="1" applyFill="1" applyBorder="1"/>
    <xf numFmtId="0" fontId="4" fillId="8" borderId="7" xfId="0" applyFont="1" applyFill="1" applyBorder="1"/>
    <xf numFmtId="0" fontId="5" fillId="8" borderId="3" xfId="0" applyFont="1" applyFill="1" applyBorder="1" applyAlignment="1">
      <alignment horizontal="right"/>
    </xf>
    <xf numFmtId="180" fontId="5" fillId="2" borderId="9" xfId="0" applyNumberFormat="1" applyFont="1" applyFill="1" applyBorder="1"/>
    <xf numFmtId="0" fontId="4" fillId="4" borderId="7" xfId="0" applyFont="1" applyFill="1" applyBorder="1"/>
    <xf numFmtId="178" fontId="5" fillId="2" borderId="6" xfId="0" applyNumberFormat="1" applyFont="1" applyFill="1" applyBorder="1"/>
    <xf numFmtId="177" fontId="4" fillId="2" borderId="10" xfId="0" applyNumberFormat="1" applyFont="1" applyFill="1" applyBorder="1"/>
    <xf numFmtId="0" fontId="1" fillId="9" borderId="1" xfId="0" applyFont="1" applyFill="1" applyBorder="1"/>
    <xf numFmtId="0" fontId="1" fillId="9" borderId="7" xfId="0" applyFont="1" applyFill="1" applyBorder="1"/>
    <xf numFmtId="0" fontId="5" fillId="9" borderId="3" xfId="0" applyFont="1" applyFill="1" applyBorder="1" applyAlignment="1">
      <alignment horizontal="right"/>
    </xf>
    <xf numFmtId="0" fontId="5" fillId="9" borderId="1" xfId="0" applyFont="1" applyFill="1" applyBorder="1" applyAlignment="1">
      <alignment horizontal="right"/>
    </xf>
    <xf numFmtId="0" fontId="5" fillId="9" borderId="7" xfId="0" applyFont="1" applyFill="1" applyBorder="1" applyAlignment="1">
      <alignment horizontal="right"/>
    </xf>
    <xf numFmtId="0" fontId="0" fillId="3" borderId="5" xfId="0" applyFill="1" applyBorder="1"/>
    <xf numFmtId="0" fontId="1" fillId="7" borderId="7" xfId="0" applyFont="1" applyFill="1" applyBorder="1"/>
    <xf numFmtId="0" fontId="5" fillId="7" borderId="3" xfId="0" applyFont="1" applyFill="1" applyBorder="1" applyAlignment="1">
      <alignment horizontal="right"/>
    </xf>
    <xf numFmtId="0" fontId="1" fillId="6" borderId="7" xfId="0" applyFont="1" applyFill="1" applyBorder="1"/>
    <xf numFmtId="0" fontId="1" fillId="5" borderId="7" xfId="0" applyFont="1" applyFill="1" applyBorder="1"/>
    <xf numFmtId="0" fontId="1" fillId="8" borderId="7" xfId="0" applyFont="1" applyFill="1" applyBorder="1"/>
    <xf numFmtId="180" fontId="7" fillId="2" borderId="6" xfId="0" applyNumberFormat="1" applyFont="1" applyFill="1" applyBorder="1"/>
    <xf numFmtId="178" fontId="5" fillId="2" borderId="1" xfId="0" applyNumberFormat="1" applyFont="1" applyFill="1" applyBorder="1"/>
    <xf numFmtId="0" fontId="1" fillId="2" borderId="10" xfId="0" applyFont="1" applyFill="1" applyBorder="1"/>
    <xf numFmtId="0" fontId="4" fillId="2" borderId="10" xfId="0" applyFont="1" applyFill="1" applyBorder="1"/>
    <xf numFmtId="178" fontId="4" fillId="2" borderId="10" xfId="0" applyNumberFormat="1" applyFont="1" applyFill="1" applyBorder="1" applyAlignment="1">
      <alignment horizontal="right"/>
    </xf>
    <xf numFmtId="0" fontId="1" fillId="2" borderId="4" xfId="0" applyFont="1" applyFill="1" applyBorder="1"/>
    <xf numFmtId="0" fontId="4" fillId="2" borderId="4" xfId="0" applyFont="1" applyFill="1" applyBorder="1"/>
    <xf numFmtId="178" fontId="4" fillId="2" borderId="4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5" fillId="7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5" fillId="8" borderId="1" xfId="0" applyFont="1" applyFill="1" applyBorder="1" applyAlignment="1">
      <alignment horizontal="right"/>
    </xf>
    <xf numFmtId="0" fontId="5" fillId="8" borderId="7" xfId="0" applyFont="1" applyFill="1" applyBorder="1" applyAlignment="1">
      <alignment horizontal="right"/>
    </xf>
    <xf numFmtId="0" fontId="7" fillId="2" borderId="2" xfId="0" applyFont="1" applyFill="1" applyBorder="1"/>
    <xf numFmtId="0" fontId="7" fillId="2" borderId="1" xfId="0" applyFont="1" applyFill="1" applyBorder="1"/>
    <xf numFmtId="177" fontId="4" fillId="2" borderId="3" xfId="0" applyNumberFormat="1" applyFont="1" applyFill="1" applyBorder="1" applyAlignment="1">
      <alignment horizontal="right"/>
    </xf>
    <xf numFmtId="177" fontId="5" fillId="2" borderId="1" xfId="0" applyNumberFormat="1" applyFont="1" applyFill="1" applyBorder="1" applyAlignment="1">
      <alignment horizontal="right"/>
    </xf>
    <xf numFmtId="177" fontId="4" fillId="2" borderId="8" xfId="0" applyNumberFormat="1" applyFont="1" applyFill="1" applyBorder="1"/>
    <xf numFmtId="0" fontId="4" fillId="2" borderId="5" xfId="0" applyFont="1" applyFill="1" applyBorder="1"/>
    <xf numFmtId="0" fontId="3" fillId="2" borderId="0" xfId="0" applyFont="1" applyFill="1" applyAlignment="1">
      <alignment horizontal="left"/>
    </xf>
    <xf numFmtId="177" fontId="4" fillId="10" borderId="11" xfId="0" applyNumberFormat="1" applyFont="1" applyFill="1" applyBorder="1" applyProtection="1">
      <protection locked="0"/>
    </xf>
    <xf numFmtId="177" fontId="4" fillId="10" borderId="12" xfId="0" applyNumberFormat="1" applyFont="1" applyFill="1" applyBorder="1" applyProtection="1">
      <protection locked="0"/>
    </xf>
    <xf numFmtId="177" fontId="4" fillId="10" borderId="3" xfId="0" applyNumberFormat="1" applyFont="1" applyFill="1" applyBorder="1" applyProtection="1">
      <protection locked="0"/>
    </xf>
    <xf numFmtId="177" fontId="4" fillId="10" borderId="13" xfId="0" applyNumberFormat="1" applyFont="1" applyFill="1" applyBorder="1" applyProtection="1">
      <protection locked="0"/>
    </xf>
    <xf numFmtId="177" fontId="4" fillId="2" borderId="0" xfId="0" applyNumberFormat="1" applyFont="1" applyFill="1" applyProtection="1">
      <protection locked="0"/>
    </xf>
    <xf numFmtId="177" fontId="4" fillId="10" borderId="7" xfId="0" applyNumberFormat="1" applyFont="1" applyFill="1" applyBorder="1" applyProtection="1">
      <protection locked="0"/>
    </xf>
    <xf numFmtId="177" fontId="4" fillId="10" borderId="4" xfId="0" applyNumberFormat="1" applyFont="1" applyFill="1" applyBorder="1" applyProtection="1">
      <protection locked="0"/>
    </xf>
    <xf numFmtId="0" fontId="4" fillId="10" borderId="5" xfId="0" applyFont="1" applyFill="1" applyBorder="1" applyProtection="1">
      <protection locked="0"/>
    </xf>
    <xf numFmtId="177" fontId="4" fillId="10" borderId="8" xfId="0" applyNumberFormat="1" applyFont="1" applyFill="1" applyBorder="1" applyAlignment="1" applyProtection="1">
      <alignment horizontal="right"/>
      <protection locked="0"/>
    </xf>
    <xf numFmtId="177" fontId="4" fillId="10" borderId="5" xfId="0" applyNumberFormat="1" applyFont="1" applyFill="1" applyBorder="1" applyAlignment="1" applyProtection="1">
      <alignment horizontal="right"/>
      <protection locked="0"/>
    </xf>
    <xf numFmtId="177" fontId="4" fillId="10" borderId="5" xfId="0" applyNumberFormat="1" applyFont="1" applyFill="1" applyBorder="1" applyProtection="1">
      <protection locked="0"/>
    </xf>
    <xf numFmtId="177" fontId="4" fillId="10" borderId="3" xfId="0" applyNumberFormat="1" applyFont="1" applyFill="1" applyBorder="1" applyAlignment="1" applyProtection="1">
      <alignment horizontal="right"/>
      <protection locked="0"/>
    </xf>
    <xf numFmtId="176" fontId="5" fillId="10" borderId="6" xfId="0" applyNumberFormat="1" applyFont="1" applyFill="1" applyBorder="1" applyProtection="1">
      <protection locked="0"/>
    </xf>
    <xf numFmtId="176" fontId="5" fillId="10" borderId="1" xfId="0" applyNumberFormat="1" applyFont="1" applyFill="1" applyBorder="1" applyProtection="1">
      <protection locked="0"/>
    </xf>
    <xf numFmtId="176" fontId="5" fillId="10" borderId="9" xfId="0" applyNumberFormat="1" applyFont="1" applyFill="1" applyBorder="1" applyProtection="1">
      <protection locked="0"/>
    </xf>
    <xf numFmtId="177" fontId="5" fillId="2" borderId="0" xfId="0" applyNumberFormat="1" applyFont="1" applyFill="1"/>
    <xf numFmtId="177" fontId="4" fillId="2" borderId="4" xfId="0" applyNumberFormat="1" applyFont="1" applyFill="1" applyBorder="1" applyProtection="1">
      <protection locked="0"/>
    </xf>
    <xf numFmtId="178" fontId="6" fillId="2" borderId="0" xfId="0" applyNumberFormat="1" applyFont="1" applyFill="1"/>
    <xf numFmtId="181" fontId="4" fillId="2" borderId="5" xfId="0" applyNumberFormat="1" applyFont="1" applyFill="1" applyBorder="1"/>
    <xf numFmtId="178" fontId="4" fillId="2" borderId="5" xfId="0" applyNumberFormat="1" applyFont="1" applyFill="1" applyBorder="1"/>
    <xf numFmtId="0" fontId="0" fillId="2" borderId="1" xfId="0" applyFill="1" applyBorder="1"/>
    <xf numFmtId="179" fontId="4" fillId="2" borderId="3" xfId="0" applyNumberFormat="1" applyFont="1" applyFill="1" applyBorder="1"/>
    <xf numFmtId="179" fontId="8" fillId="2" borderId="0" xfId="0" applyNumberFormat="1" applyFont="1" applyFill="1"/>
    <xf numFmtId="0" fontId="4" fillId="10" borderId="5" xfId="0" applyFont="1" applyFill="1" applyBorder="1" applyAlignment="1" applyProtection="1">
      <alignment horizontal="right"/>
      <protection locked="0"/>
    </xf>
    <xf numFmtId="0" fontId="4" fillId="2" borderId="5" xfId="0" applyFont="1" applyFill="1" applyBorder="1" applyAlignment="1">
      <alignment horizontal="right"/>
    </xf>
    <xf numFmtId="0" fontId="0" fillId="3" borderId="1" xfId="0" applyFill="1" applyBorder="1"/>
    <xf numFmtId="0" fontId="0" fillId="0" borderId="3" xfId="0" applyBorder="1"/>
    <xf numFmtId="14" fontId="4" fillId="10" borderId="1" xfId="0" applyNumberFormat="1" applyFont="1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/>
    <xf numFmtId="0" fontId="4" fillId="10" borderId="1" xfId="0" applyFont="1" applyFill="1" applyBorder="1" applyProtection="1">
      <protection locked="0"/>
    </xf>
    <xf numFmtId="14" fontId="4" fillId="2" borderId="1" xfId="0" applyNumberFormat="1" applyFont="1" applyFill="1" applyBorder="1"/>
    <xf numFmtId="14" fontId="0" fillId="2" borderId="3" xfId="0" applyNumberFormat="1" applyFill="1" applyBorder="1"/>
    <xf numFmtId="0" fontId="4" fillId="2" borderId="1" xfId="0" applyFont="1" applyFill="1" applyBorder="1"/>
    <xf numFmtId="0" fontId="0" fillId="2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1132306786313"/>
          <c:y val="0.10577292427003952"/>
          <c:w val="0.83362536392583531"/>
          <c:h val="0.625021825232051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決算分析!$M$53</c:f>
              <c:strCache>
                <c:ptCount val="1"/>
                <c:pt idx="0">
                  <c:v>４期前</c:v>
                </c:pt>
              </c:strCache>
            </c:strRef>
          </c:tx>
          <c:spPr>
            <a:solidFill>
              <a:srgbClr val="FFFF99"/>
            </a:solidFill>
            <a:ln w="25400">
              <a:noFill/>
            </a:ln>
          </c:spPr>
          <c:invertIfNegative val="0"/>
          <c:cat>
            <c:strRef>
              <c:f>(決算分析!$B$53,決算分析!$B$57,決算分析!$B$61,決算分析!$B$65,決算分析!$B$69,決算分析!$B$73,決算分析!$B$77)</c:f>
              <c:strCache>
                <c:ptCount val="7"/>
                <c:pt idx="0">
                  <c:v>売上</c:v>
                </c:pt>
                <c:pt idx="1">
                  <c:v>経常利益</c:v>
                </c:pt>
                <c:pt idx="2">
                  <c:v>株価</c:v>
                </c:pt>
                <c:pt idx="3">
                  <c:v>発行株数</c:v>
                </c:pt>
                <c:pt idx="4">
                  <c:v>時価総額</c:v>
                </c:pt>
                <c:pt idx="5">
                  <c:v>ＥＰＳ</c:v>
                </c:pt>
                <c:pt idx="6">
                  <c:v>現金残</c:v>
                </c:pt>
              </c:strCache>
            </c:strRef>
          </c:cat>
          <c:val>
            <c:numRef>
              <c:f>(決算分析!$M$54,決算分析!$M$58,決算分析!$M$62,決算分析!$M$66,決算分析!$M$70,決算分析!$M$74,決算分析!$M$78)</c:f>
              <c:numCache>
                <c:formatCode>0.0%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B-4AA6-A745-CA30D3BB3927}"/>
            </c:ext>
          </c:extLst>
        </c:ser>
        <c:ser>
          <c:idx val="1"/>
          <c:order val="1"/>
          <c:tx>
            <c:strRef>
              <c:f>決算分析!$N$53</c:f>
              <c:strCache>
                <c:ptCount val="1"/>
                <c:pt idx="0">
                  <c:v>３期前</c:v>
                </c:pt>
              </c:strCache>
            </c:strRef>
          </c:tx>
          <c:spPr>
            <a:solidFill>
              <a:srgbClr val="FF99CC"/>
            </a:solidFill>
            <a:ln w="25400">
              <a:noFill/>
            </a:ln>
          </c:spPr>
          <c:invertIfNegative val="0"/>
          <c:cat>
            <c:strRef>
              <c:f>(決算分析!$B$53,決算分析!$B$57,決算分析!$B$61,決算分析!$B$65,決算分析!$B$69,決算分析!$B$73,決算分析!$B$77)</c:f>
              <c:strCache>
                <c:ptCount val="7"/>
                <c:pt idx="0">
                  <c:v>売上</c:v>
                </c:pt>
                <c:pt idx="1">
                  <c:v>経常利益</c:v>
                </c:pt>
                <c:pt idx="2">
                  <c:v>株価</c:v>
                </c:pt>
                <c:pt idx="3">
                  <c:v>発行株数</c:v>
                </c:pt>
                <c:pt idx="4">
                  <c:v>時価総額</c:v>
                </c:pt>
                <c:pt idx="5">
                  <c:v>ＥＰＳ</c:v>
                </c:pt>
                <c:pt idx="6">
                  <c:v>現金残</c:v>
                </c:pt>
              </c:strCache>
            </c:strRef>
          </c:cat>
          <c:val>
            <c:numRef>
              <c:f>(決算分析!$N$54,決算分析!$N$58,決算分析!$N$62,決算分析!$N$66,決算分析!$N$70,決算分析!$N$74,決算分析!$N$78)</c:f>
              <c:numCache>
                <c:formatCode>0.0%</c:formatCode>
                <c:ptCount val="7"/>
                <c:pt idx="0">
                  <c:v>0.9955772956546789</c:v>
                </c:pt>
                <c:pt idx="1">
                  <c:v>1.0587291399229781</c:v>
                </c:pt>
                <c:pt idx="2">
                  <c:v>1.1509433962264151</c:v>
                </c:pt>
                <c:pt idx="3">
                  <c:v>1</c:v>
                </c:pt>
                <c:pt idx="4">
                  <c:v>1.1509433962264153</c:v>
                </c:pt>
                <c:pt idx="5">
                  <c:v>1.0587291399229779</c:v>
                </c:pt>
                <c:pt idx="6">
                  <c:v>1.0403687665875123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B-4AA6-A745-CA30D3BB3927}"/>
            </c:ext>
          </c:extLst>
        </c:ser>
        <c:ser>
          <c:idx val="2"/>
          <c:order val="2"/>
          <c:tx>
            <c:strRef>
              <c:f>決算分析!$O$53</c:f>
              <c:strCache>
                <c:ptCount val="1"/>
                <c:pt idx="0">
                  <c:v>２期前</c:v>
                </c:pt>
              </c:strCache>
            </c:strRef>
          </c:tx>
          <c:spPr>
            <a:solidFill>
              <a:srgbClr val="CCFFCC"/>
            </a:solidFill>
            <a:ln w="25400">
              <a:noFill/>
            </a:ln>
          </c:spPr>
          <c:invertIfNegative val="0"/>
          <c:cat>
            <c:strRef>
              <c:f>(決算分析!$B$53,決算分析!$B$57,決算分析!$B$61,決算分析!$B$65,決算分析!$B$69,決算分析!$B$73,決算分析!$B$77)</c:f>
              <c:strCache>
                <c:ptCount val="7"/>
                <c:pt idx="0">
                  <c:v>売上</c:v>
                </c:pt>
                <c:pt idx="1">
                  <c:v>経常利益</c:v>
                </c:pt>
                <c:pt idx="2">
                  <c:v>株価</c:v>
                </c:pt>
                <c:pt idx="3">
                  <c:v>発行株数</c:v>
                </c:pt>
                <c:pt idx="4">
                  <c:v>時価総額</c:v>
                </c:pt>
                <c:pt idx="5">
                  <c:v>ＥＰＳ</c:v>
                </c:pt>
                <c:pt idx="6">
                  <c:v>現金残</c:v>
                </c:pt>
              </c:strCache>
            </c:strRef>
          </c:cat>
          <c:val>
            <c:numRef>
              <c:f>(決算分析!$O$54,決算分析!$O$58,決算分析!$O$62,決算分析!$O$66,決算分析!$O$70,決算分析!$O$74,決算分析!$O$78)</c:f>
              <c:numCache>
                <c:formatCode>0.0%</c:formatCode>
                <c:ptCount val="7"/>
                <c:pt idx="0">
                  <c:v>0.96938562253941174</c:v>
                </c:pt>
                <c:pt idx="1">
                  <c:v>1.1906290115532734</c:v>
                </c:pt>
                <c:pt idx="2">
                  <c:v>1.1635220125786163</c:v>
                </c:pt>
                <c:pt idx="3">
                  <c:v>1</c:v>
                </c:pt>
                <c:pt idx="4">
                  <c:v>1.1635220125786165</c:v>
                </c:pt>
                <c:pt idx="5">
                  <c:v>1.1906290115532734</c:v>
                </c:pt>
                <c:pt idx="6">
                  <c:v>1.0554081110024678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B-4AA6-A745-CA30D3BB3927}"/>
            </c:ext>
          </c:extLst>
        </c:ser>
        <c:ser>
          <c:idx val="3"/>
          <c:order val="3"/>
          <c:tx>
            <c:strRef>
              <c:f>決算分析!$P$53</c:f>
              <c:strCache>
                <c:ptCount val="1"/>
                <c:pt idx="0">
                  <c:v>前期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(決算分析!$B$53,決算分析!$B$57,決算分析!$B$61,決算分析!$B$65,決算分析!$B$69,決算分析!$B$73,決算分析!$B$77)</c:f>
              <c:strCache>
                <c:ptCount val="7"/>
                <c:pt idx="0">
                  <c:v>売上</c:v>
                </c:pt>
                <c:pt idx="1">
                  <c:v>経常利益</c:v>
                </c:pt>
                <c:pt idx="2">
                  <c:v>株価</c:v>
                </c:pt>
                <c:pt idx="3">
                  <c:v>発行株数</c:v>
                </c:pt>
                <c:pt idx="4">
                  <c:v>時価総額</c:v>
                </c:pt>
                <c:pt idx="5">
                  <c:v>ＥＰＳ</c:v>
                </c:pt>
                <c:pt idx="6">
                  <c:v>現金残</c:v>
                </c:pt>
              </c:strCache>
            </c:strRef>
          </c:cat>
          <c:val>
            <c:numRef>
              <c:f>(決算分析!$P$54,決算分析!$P$58,決算分析!$P$62,決算分析!$P$66,決算分析!$P$70,決算分析!$P$74,決算分析!$P$78)</c:f>
              <c:numCache>
                <c:formatCode>0.0%</c:formatCode>
                <c:ptCount val="7"/>
                <c:pt idx="0">
                  <c:v>0.98482837308871951</c:v>
                </c:pt>
                <c:pt idx="1">
                  <c:v>1.2365211810012837</c:v>
                </c:pt>
                <c:pt idx="2">
                  <c:v>1.128930817610063</c:v>
                </c:pt>
                <c:pt idx="3">
                  <c:v>1</c:v>
                </c:pt>
                <c:pt idx="4">
                  <c:v>1.128930817610063</c:v>
                </c:pt>
                <c:pt idx="5">
                  <c:v>1.2365211810012837</c:v>
                </c:pt>
                <c:pt idx="6">
                  <c:v>1.079247567164874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B-4AA6-A745-CA30D3BB3927}"/>
            </c:ext>
          </c:extLst>
        </c:ser>
        <c:ser>
          <c:idx val="4"/>
          <c:order val="4"/>
          <c:tx>
            <c:strRef>
              <c:f>決算分析!$Q$53</c:f>
              <c:strCache>
                <c:ptCount val="1"/>
                <c:pt idx="0">
                  <c:v>(今期)</c:v>
                </c:pt>
              </c:strCache>
            </c:strRef>
          </c:tx>
          <c:spPr>
            <a:solidFill>
              <a:srgbClr val="CCFFFF"/>
            </a:solidFill>
            <a:ln w="25400">
              <a:noFill/>
            </a:ln>
          </c:spPr>
          <c:invertIfNegative val="0"/>
          <c:cat>
            <c:strRef>
              <c:f>(決算分析!$B$53,決算分析!$B$57,決算分析!$B$61,決算分析!$B$65,決算分析!$B$69,決算分析!$B$73,決算分析!$B$77)</c:f>
              <c:strCache>
                <c:ptCount val="7"/>
                <c:pt idx="0">
                  <c:v>売上</c:v>
                </c:pt>
                <c:pt idx="1">
                  <c:v>経常利益</c:v>
                </c:pt>
                <c:pt idx="2">
                  <c:v>株価</c:v>
                </c:pt>
                <c:pt idx="3">
                  <c:v>発行株数</c:v>
                </c:pt>
                <c:pt idx="4">
                  <c:v>時価総額</c:v>
                </c:pt>
                <c:pt idx="5">
                  <c:v>ＥＰＳ</c:v>
                </c:pt>
                <c:pt idx="6">
                  <c:v>現金残</c:v>
                </c:pt>
              </c:strCache>
            </c:strRef>
          </c:cat>
          <c:val>
            <c:numRef>
              <c:f>(決算分析!$Q$54,決算分析!$Q$58,決算分析!$Q$62,決算分析!$Q$66,決算分析!$Q$70,決算分析!$Q$74,決算分析!$Q$78)</c:f>
              <c:numCache>
                <c:formatCode>0.0%</c:formatCode>
                <c:ptCount val="7"/>
                <c:pt idx="0">
                  <c:v>0.91955535723363513</c:v>
                </c:pt>
                <c:pt idx="1">
                  <c:v>0.98234916559691909</c:v>
                </c:pt>
                <c:pt idx="2">
                  <c:v>1.128930817610063</c:v>
                </c:pt>
                <c:pt idx="3">
                  <c:v>1</c:v>
                </c:pt>
                <c:pt idx="4">
                  <c:v>1.128930817610063</c:v>
                </c:pt>
                <c:pt idx="5">
                  <c:v>0.98234916559691909</c:v>
                </c:pt>
                <c:pt idx="6">
                  <c:v>1.079247567164874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B-4AA6-A745-CA30D3BB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887872"/>
        <c:axId val="1"/>
      </c:barChart>
      <c:catAx>
        <c:axId val="933887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3388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794974984421491"/>
          <c:y val="0.88785151584245303"/>
          <c:w val="0.50556367127821566"/>
          <c:h val="8.01310032348784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7181292755919"/>
          <c:y val="0.10256768414064439"/>
          <c:w val="0.69913708827062437"/>
          <c:h val="0.62822706536144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決算分析!$C$92</c:f>
              <c:strCache>
                <c:ptCount val="1"/>
                <c:pt idx="0">
                  <c:v>ＲＯＡ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strRef>
              <c:f>決算分析!$C$93:$G$93</c:f>
              <c:strCache>
                <c:ptCount val="5"/>
                <c:pt idx="0">
                  <c:v>４期前</c:v>
                </c:pt>
                <c:pt idx="1">
                  <c:v>３期前</c:v>
                </c:pt>
                <c:pt idx="2">
                  <c:v>２期前</c:v>
                </c:pt>
                <c:pt idx="3">
                  <c:v>前期</c:v>
                </c:pt>
                <c:pt idx="4">
                  <c:v>(今期)</c:v>
                </c:pt>
              </c:strCache>
            </c:strRef>
          </c:cat>
          <c:val>
            <c:numRef>
              <c:f>決算分析!$C$94:$G$94</c:f>
              <c:numCache>
                <c:formatCode>0.0%</c:formatCode>
                <c:ptCount val="5"/>
                <c:pt idx="0">
                  <c:v>1.6478551893990903E-2</c:v>
                </c:pt>
                <c:pt idx="1">
                  <c:v>1.7450014357176316E-2</c:v>
                </c:pt>
                <c:pt idx="2">
                  <c:v>1.9322916666666665E-2</c:v>
                </c:pt>
                <c:pt idx="3">
                  <c:v>2.1012488605997338E-2</c:v>
                </c:pt>
                <c:pt idx="4">
                  <c:v>1.6639745282286247E-2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5B7-B391-40613BF2D8AC}"/>
            </c:ext>
          </c:extLst>
        </c:ser>
        <c:ser>
          <c:idx val="0"/>
          <c:order val="1"/>
          <c:tx>
            <c:strRef>
              <c:f>決算分析!$H$92</c:f>
              <c:strCache>
                <c:ptCount val="1"/>
                <c:pt idx="0">
                  <c:v>ＲＯＥ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val>
            <c:numRef>
              <c:f>決算分析!$H$94:$L$94</c:f>
              <c:numCache>
                <c:formatCode>0.0%</c:formatCode>
                <c:ptCount val="5"/>
                <c:pt idx="0">
                  <c:v>5.8103356419818869E-2</c:v>
                </c:pt>
                <c:pt idx="1">
                  <c:v>5.8060542062653979E-2</c:v>
                </c:pt>
                <c:pt idx="2">
                  <c:v>6.2480452303620836E-2</c:v>
                </c:pt>
                <c:pt idx="3">
                  <c:v>6.1959568113944409E-2</c:v>
                </c:pt>
                <c:pt idx="4">
                  <c:v>4.6884162618703776E-2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D-45B7-B391-40613BF2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899232"/>
        <c:axId val="1"/>
      </c:barChart>
      <c:lineChart>
        <c:grouping val="standard"/>
        <c:varyColors val="0"/>
        <c:ser>
          <c:idx val="2"/>
          <c:order val="2"/>
          <c:tx>
            <c:strRef>
              <c:f>決算分析!$C$104</c:f>
              <c:strCache>
                <c:ptCount val="1"/>
                <c:pt idx="0">
                  <c:v>ＰＥＲ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決算分析!$C$103:$G$103</c:f>
              <c:numCache>
                <c:formatCode>#,##0.0_ </c:formatCode>
                <c:ptCount val="5"/>
                <c:pt idx="0">
                  <c:v>13.493568677792041</c:v>
                </c:pt>
                <c:pt idx="1">
                  <c:v>14.668845104577148</c:v>
                </c:pt>
                <c:pt idx="2">
                  <c:v>13.186361185983829</c:v>
                </c:pt>
                <c:pt idx="3">
                  <c:v>12.319486114715806</c:v>
                </c:pt>
                <c:pt idx="4">
                  <c:v>15.507017314603072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D-45B7-B391-40613BF2D8AC}"/>
            </c:ext>
          </c:extLst>
        </c:ser>
        <c:ser>
          <c:idx val="3"/>
          <c:order val="3"/>
          <c:tx>
            <c:strRef>
              <c:f>決算分析!$H$104</c:f>
              <c:strCache>
                <c:ptCount val="1"/>
                <c:pt idx="0">
                  <c:v>理論ＰＥＲ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決算分析!$H$106:$L$106</c:f>
              <c:numCache>
                <c:formatCode>#,##0.0_ </c:formatCode>
                <c:ptCount val="5"/>
                <c:pt idx="0">
                  <c:v>17.476241937013533</c:v>
                </c:pt>
                <c:pt idx="1">
                  <c:v>17.70497405485694</c:v>
                </c:pt>
                <c:pt idx="2">
                  <c:v>17.15166087071621</c:v>
                </c:pt>
                <c:pt idx="3">
                  <c:v>17.622034894712005</c:v>
                </c:pt>
                <c:pt idx="4">
                  <c:v>20.7075400684929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D-45B7-B391-40613BF2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33899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338992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#,##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3011151623198114E-2"/>
          <c:y val="0.88785151584245303"/>
          <c:w val="0.8540092280774082"/>
          <c:h val="8.01310032348784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2295700484563"/>
          <c:y val="0.13462008543459575"/>
          <c:w val="0.84515939151702058"/>
          <c:h val="0.618611344973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決算分析!$C$109</c:f>
              <c:strCache>
                <c:ptCount val="1"/>
                <c:pt idx="0">
                  <c:v>４期前</c:v>
                </c:pt>
              </c:strCache>
            </c:strRef>
          </c:tx>
          <c:spPr>
            <a:solidFill>
              <a:srgbClr val="FFFF99"/>
            </a:solidFill>
            <a:ln w="25400">
              <a:noFill/>
            </a:ln>
          </c:spPr>
          <c:invertIfNegative val="0"/>
          <c:cat>
            <c:strRef>
              <c:f>(決算分析!$C$108,決算分析!$H$108,決算分析!$M$108,決算分析!$C$112)</c:f>
              <c:strCache>
                <c:ptCount val="4"/>
                <c:pt idx="0">
                  <c:v>営業ＣＦ</c:v>
                </c:pt>
                <c:pt idx="1">
                  <c:v>投資ＣＦ</c:v>
                </c:pt>
                <c:pt idx="2">
                  <c:v>財務ＣＦ</c:v>
                </c:pt>
                <c:pt idx="3">
                  <c:v>ＦＣＦ</c:v>
                </c:pt>
              </c:strCache>
            </c:strRef>
          </c:cat>
          <c:val>
            <c:numRef>
              <c:f>(決算分析!$C$110,決算分析!$H$110,決算分析!$M$110,決算分析!$C$114)</c:f>
              <c:numCache>
                <c:formatCode>#,##0_ </c:formatCode>
                <c:ptCount val="4"/>
                <c:pt idx="0">
                  <c:v>53.147351816237013</c:v>
                </c:pt>
                <c:pt idx="1">
                  <c:v>-25.628281867882531</c:v>
                </c:pt>
                <c:pt idx="2">
                  <c:v>-37.913002139291656</c:v>
                </c:pt>
                <c:pt idx="3">
                  <c:v>27.519069948354474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6-4A6B-AA18-211F944FBFFC}"/>
            </c:ext>
          </c:extLst>
        </c:ser>
        <c:ser>
          <c:idx val="1"/>
          <c:order val="1"/>
          <c:tx>
            <c:strRef>
              <c:f>決算分析!$D$109</c:f>
              <c:strCache>
                <c:ptCount val="1"/>
                <c:pt idx="0">
                  <c:v>３期前</c:v>
                </c:pt>
              </c:strCache>
            </c:strRef>
          </c:tx>
          <c:spPr>
            <a:solidFill>
              <a:srgbClr val="FF99CC"/>
            </a:solidFill>
            <a:ln w="25400">
              <a:noFill/>
            </a:ln>
          </c:spPr>
          <c:invertIfNegative val="0"/>
          <c:cat>
            <c:strRef>
              <c:f>(決算分析!$C$108,決算分析!$H$108,決算分析!$M$108,決算分析!$C$112)</c:f>
              <c:strCache>
                <c:ptCount val="4"/>
                <c:pt idx="0">
                  <c:v>営業ＣＦ</c:v>
                </c:pt>
                <c:pt idx="1">
                  <c:v>投資ＣＦ</c:v>
                </c:pt>
                <c:pt idx="2">
                  <c:v>財務ＣＦ</c:v>
                </c:pt>
                <c:pt idx="3">
                  <c:v>ＦＣＦ</c:v>
                </c:pt>
              </c:strCache>
            </c:strRef>
          </c:cat>
          <c:val>
            <c:numRef>
              <c:f>(決算分析!$D$110,決算分析!$I$110,決算分析!$N$110,決算分析!$D$114)</c:f>
              <c:numCache>
                <c:formatCode>#,##0_ </c:formatCode>
                <c:ptCount val="4"/>
                <c:pt idx="0">
                  <c:v>54.659982280614564</c:v>
                </c:pt>
                <c:pt idx="1">
                  <c:v>-11.506796032586381</c:v>
                </c:pt>
                <c:pt idx="2">
                  <c:v>-33.753268362253387</c:v>
                </c:pt>
                <c:pt idx="3">
                  <c:v>43.153186248028177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6-4A6B-AA18-211F944FBFFC}"/>
            </c:ext>
          </c:extLst>
        </c:ser>
        <c:ser>
          <c:idx val="2"/>
          <c:order val="2"/>
          <c:tx>
            <c:strRef>
              <c:f>決算分析!$E$109</c:f>
              <c:strCache>
                <c:ptCount val="1"/>
                <c:pt idx="0">
                  <c:v>２期前</c:v>
                </c:pt>
              </c:strCache>
            </c:strRef>
          </c:tx>
          <c:spPr>
            <a:solidFill>
              <a:srgbClr val="CCFFCC"/>
            </a:solidFill>
            <a:ln w="25400">
              <a:noFill/>
            </a:ln>
          </c:spPr>
          <c:invertIfNegative val="0"/>
          <c:cat>
            <c:strRef>
              <c:f>(決算分析!$C$108,決算分析!$H$108,決算分析!$M$108,決算分析!$C$112)</c:f>
              <c:strCache>
                <c:ptCount val="4"/>
                <c:pt idx="0">
                  <c:v>営業ＣＦ</c:v>
                </c:pt>
                <c:pt idx="1">
                  <c:v>投資ＣＦ</c:v>
                </c:pt>
                <c:pt idx="2">
                  <c:v>財務ＣＦ</c:v>
                </c:pt>
                <c:pt idx="3">
                  <c:v>ＦＣＦ</c:v>
                </c:pt>
              </c:strCache>
            </c:strRef>
          </c:cat>
          <c:val>
            <c:numRef>
              <c:f>(決算分析!$E$110,決算分析!$J$110,決算分析!$O$110,決算分析!$E$114)</c:f>
              <c:numCache>
                <c:formatCode>#,##0_ </c:formatCode>
                <c:ptCount val="4"/>
                <c:pt idx="0">
                  <c:v>71.720293018129965</c:v>
                </c:pt>
                <c:pt idx="1">
                  <c:v>-42.007908896428034</c:v>
                </c:pt>
                <c:pt idx="2">
                  <c:v>-27.735160014694127</c:v>
                </c:pt>
                <c:pt idx="3">
                  <c:v>29.712384121701923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6-4A6B-AA18-211F944FBFFC}"/>
            </c:ext>
          </c:extLst>
        </c:ser>
        <c:ser>
          <c:idx val="3"/>
          <c:order val="3"/>
          <c:tx>
            <c:strRef>
              <c:f>決算分析!$F$109</c:f>
              <c:strCache>
                <c:ptCount val="1"/>
                <c:pt idx="0">
                  <c:v>前期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(決算分析!$C$108,決算分析!$H$108,決算分析!$M$108,決算分析!$C$112)</c:f>
              <c:strCache>
                <c:ptCount val="4"/>
                <c:pt idx="0">
                  <c:v>営業ＣＦ</c:v>
                </c:pt>
                <c:pt idx="1">
                  <c:v>投資ＣＦ</c:v>
                </c:pt>
                <c:pt idx="2">
                  <c:v>財務ＣＦ</c:v>
                </c:pt>
                <c:pt idx="3">
                  <c:v>ＦＣＦ</c:v>
                </c:pt>
              </c:strCache>
            </c:strRef>
          </c:cat>
          <c:val>
            <c:numRef>
              <c:f>(決算分析!$F$110,決算分析!$K$110,決算分析!$P$110,決算分析!$F$114)</c:f>
              <c:numCache>
                <c:formatCode>#,##0_ </c:formatCode>
                <c:ptCount val="4"/>
                <c:pt idx="0">
                  <c:v>80.266655141863126</c:v>
                </c:pt>
                <c:pt idx="1">
                  <c:v>-15.82859735937939</c:v>
                </c:pt>
                <c:pt idx="2">
                  <c:v>-58.819716057652826</c:v>
                </c:pt>
                <c:pt idx="3">
                  <c:v>64.438057782483739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6-4A6B-AA18-211F944FBFFC}"/>
            </c:ext>
          </c:extLst>
        </c:ser>
        <c:ser>
          <c:idx val="4"/>
          <c:order val="4"/>
          <c:tx>
            <c:strRef>
              <c:f>決算分析!$G$109</c:f>
              <c:strCache>
                <c:ptCount val="1"/>
                <c:pt idx="0">
                  <c:v>(今期)</c:v>
                </c:pt>
              </c:strCache>
            </c:strRef>
          </c:tx>
          <c:spPr>
            <a:solidFill>
              <a:srgbClr val="CCFFFF"/>
            </a:solidFill>
            <a:ln w="25400">
              <a:noFill/>
            </a:ln>
          </c:spPr>
          <c:invertIfNegative val="0"/>
          <c:cat>
            <c:strRef>
              <c:f>(決算分析!$C$108,決算分析!$H$108,決算分析!$M$108,決算分析!$C$112)</c:f>
              <c:strCache>
                <c:ptCount val="4"/>
                <c:pt idx="0">
                  <c:v>営業ＣＦ</c:v>
                </c:pt>
                <c:pt idx="1">
                  <c:v>投資ＣＦ</c:v>
                </c:pt>
                <c:pt idx="2">
                  <c:v>財務ＣＦ</c:v>
                </c:pt>
                <c:pt idx="3">
                  <c:v>ＦＣＦ</c:v>
                </c:pt>
              </c:strCache>
            </c:strRef>
          </c:cat>
          <c:val>
            <c:numRef>
              <c:f>(決算分析!$G$110,決算分析!$L$110,決算分析!$Q$110,決算分析!$G$114)</c:f>
              <c:numCache>
                <c:formatCode>#,##0_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D6-4A6B-AA18-211F944F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671664"/>
        <c:axId val="1"/>
      </c:barChart>
      <c:catAx>
        <c:axId val="92467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2467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23476238649314"/>
          <c:y val="0.88144103558366271"/>
          <c:w val="0.76772332161362866"/>
          <c:h val="8.3336243364273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19803872465181"/>
          <c:y val="0.10256768414064439"/>
          <c:w val="0.76551086247353173"/>
          <c:h val="0.62822706536144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決算分析!$C$88</c:f>
              <c:strCache>
                <c:ptCount val="1"/>
                <c:pt idx="0">
                  <c:v>１株資産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strRef>
              <c:f>決算分析!$C$93:$G$93</c:f>
              <c:strCache>
                <c:ptCount val="5"/>
                <c:pt idx="0">
                  <c:v>４期前</c:v>
                </c:pt>
                <c:pt idx="1">
                  <c:v>３期前</c:v>
                </c:pt>
                <c:pt idx="2">
                  <c:v>２期前</c:v>
                </c:pt>
                <c:pt idx="3">
                  <c:v>前期</c:v>
                </c:pt>
                <c:pt idx="4">
                  <c:v>(今期)</c:v>
                </c:pt>
              </c:strCache>
            </c:strRef>
          </c:cat>
          <c:val>
            <c:numRef>
              <c:f>決算分析!$C$90:$G$90</c:f>
              <c:numCache>
                <c:formatCode>#,##0_ </c:formatCode>
                <c:ptCount val="5"/>
                <c:pt idx="0">
                  <c:v>1430.1488860557081</c:v>
                </c:pt>
                <c:pt idx="1">
                  <c:v>1429.8463599628326</c:v>
                </c:pt>
                <c:pt idx="2">
                  <c:v>1452.1252458024505</c:v>
                </c:pt>
                <c:pt idx="3">
                  <c:v>1386.833632257925</c:v>
                </c:pt>
                <c:pt idx="4">
                  <c:v>1391.2958921278389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C-4F34-AFAD-B60F7E950BD9}"/>
            </c:ext>
          </c:extLst>
        </c:ser>
        <c:ser>
          <c:idx val="0"/>
          <c:order val="1"/>
          <c:tx>
            <c:strRef>
              <c:f>決算分析!$H$88</c:f>
              <c:strCache>
                <c:ptCount val="1"/>
                <c:pt idx="0">
                  <c:v>１株資本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val>
            <c:numRef>
              <c:f>決算分析!$H$90:$L$90</c:f>
              <c:numCache>
                <c:formatCode>#,##0_ </c:formatCode>
                <c:ptCount val="5"/>
                <c:pt idx="0">
                  <c:v>405.6010545195237</c:v>
                </c:pt>
                <c:pt idx="1">
                  <c:v>429.73831492966269</c:v>
                </c:pt>
                <c:pt idx="2">
                  <c:v>449.08918037037836</c:v>
                </c:pt>
                <c:pt idx="3">
                  <c:v>470.320029388249</c:v>
                </c:pt>
                <c:pt idx="4">
                  <c:v>493.78741059273506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C-4F34-AFAD-B60F7E95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56736"/>
        <c:axId val="1"/>
      </c:barChart>
      <c:lineChart>
        <c:grouping val="standard"/>
        <c:varyColors val="0"/>
        <c:ser>
          <c:idx val="2"/>
          <c:order val="2"/>
          <c:tx>
            <c:strRef>
              <c:f>決算分析!$C$100</c:f>
              <c:strCache>
                <c:ptCount val="1"/>
                <c:pt idx="0">
                  <c:v>ＰＢＲ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決算分析!$H$103:$L$103</c:f>
              <c:numCache>
                <c:formatCode>#,##0.0_ </c:formatCode>
                <c:ptCount val="5"/>
                <c:pt idx="0">
                  <c:v>0.78402163026105498</c:v>
                </c:pt>
                <c:pt idx="1">
                  <c:v>0.85168109820485738</c:v>
                </c:pt>
                <c:pt idx="2">
                  <c:v>0.82388981113917958</c:v>
                </c:pt>
                <c:pt idx="3">
                  <c:v>0.76331003905352635</c:v>
                </c:pt>
                <c:pt idx="4">
                  <c:v>0.72703352150890554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C-4F34-AFAD-B60F7E950BD9}"/>
            </c:ext>
          </c:extLst>
        </c:ser>
        <c:ser>
          <c:idx val="3"/>
          <c:order val="3"/>
          <c:tx>
            <c:strRef>
              <c:f>決算分析!$H$100</c:f>
              <c:strCache>
                <c:ptCount val="1"/>
                <c:pt idx="0">
                  <c:v>理論ＰＢＲ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決算分析!$H$102:$L$102</c:f>
              <c:numCache>
                <c:formatCode>#,##0.0_ </c:formatCode>
                <c:ptCount val="5"/>
                <c:pt idx="0">
                  <c:v>1.0154283141452829</c:v>
                </c:pt>
                <c:pt idx="1">
                  <c:v>1.0279603908302191</c:v>
                </c:pt>
                <c:pt idx="2">
                  <c:v>1.0716435289606641</c:v>
                </c:pt>
                <c:pt idx="3">
                  <c:v>1.0918536713652138</c:v>
                </c:pt>
                <c:pt idx="4">
                  <c:v>0.97085567600454548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C-4F34-AFAD-B60F7E95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82956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29567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#,##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912132260872212E-2"/>
          <c:y val="0.88785151584245303"/>
          <c:w val="0.96020726680206003"/>
          <c:h val="8.01310032348784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19803872465181"/>
          <c:y val="0.10256768414064439"/>
          <c:w val="0.84958430979721444"/>
          <c:h val="0.62822706536144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決算分析!$C$96</c:f>
              <c:strCache>
                <c:ptCount val="1"/>
                <c:pt idx="0">
                  <c:v>資産価値</c:v>
                </c:pt>
              </c:strCache>
            </c:strRef>
          </c:tx>
          <c:spPr>
            <a:solidFill>
              <a:srgbClr val="CCFFCC"/>
            </a:solidFill>
            <a:ln w="25400">
              <a:noFill/>
            </a:ln>
          </c:spPr>
          <c:invertIfNegative val="0"/>
          <c:cat>
            <c:strRef>
              <c:f>決算分析!$C$97:$G$97</c:f>
              <c:strCache>
                <c:ptCount val="5"/>
                <c:pt idx="0">
                  <c:v>４期前</c:v>
                </c:pt>
                <c:pt idx="1">
                  <c:v>３期前</c:v>
                </c:pt>
                <c:pt idx="2">
                  <c:v>２期前</c:v>
                </c:pt>
                <c:pt idx="3">
                  <c:v>前期</c:v>
                </c:pt>
                <c:pt idx="4">
                  <c:v>(今期)</c:v>
                </c:pt>
              </c:strCache>
            </c:strRef>
          </c:cat>
          <c:val>
            <c:numRef>
              <c:f>決算分析!$C$98:$G$98</c:f>
              <c:numCache>
                <c:formatCode>#,##0_ </c:formatCode>
                <c:ptCount val="5"/>
                <c:pt idx="0">
                  <c:v>324.48084361561899</c:v>
                </c:pt>
                <c:pt idx="1">
                  <c:v>343.79065194373015</c:v>
                </c:pt>
                <c:pt idx="2">
                  <c:v>359.27134429630269</c:v>
                </c:pt>
                <c:pt idx="3">
                  <c:v>376.25602351059922</c:v>
                </c:pt>
                <c:pt idx="4">
                  <c:v>395.02992847418807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F-4A08-8277-B815CEB304E2}"/>
            </c:ext>
          </c:extLst>
        </c:ser>
        <c:ser>
          <c:idx val="0"/>
          <c:order val="1"/>
          <c:tx>
            <c:strRef>
              <c:f>決算分析!$H$96</c:f>
              <c:strCache>
                <c:ptCount val="1"/>
                <c:pt idx="0">
                  <c:v>事業価値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決算分析!$C$97:$G$97</c:f>
              <c:strCache>
                <c:ptCount val="5"/>
                <c:pt idx="0">
                  <c:v>４期前</c:v>
                </c:pt>
                <c:pt idx="1">
                  <c:v>３期前</c:v>
                </c:pt>
                <c:pt idx="2">
                  <c:v>２期前</c:v>
                </c:pt>
                <c:pt idx="3">
                  <c:v>前期</c:v>
                </c:pt>
                <c:pt idx="4">
                  <c:v>(今期)</c:v>
                </c:pt>
              </c:strCache>
            </c:strRef>
          </c:cat>
          <c:val>
            <c:numRef>
              <c:f>決算分析!$H$98:$L$98</c:f>
              <c:numCache>
                <c:formatCode>#,##0_ </c:formatCode>
                <c:ptCount val="5"/>
                <c:pt idx="0">
                  <c:v>87.37795139068993</c:v>
                </c:pt>
                <c:pt idx="1">
                  <c:v>97.963314226085714</c:v>
                </c:pt>
                <c:pt idx="2">
                  <c:v>121.99216977386175</c:v>
                </c:pt>
                <c:pt idx="3">
                  <c:v>137.26462729355569</c:v>
                </c:pt>
                <c:pt idx="4">
                  <c:v>84.366381839355739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F-4A08-8277-B815CEB3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54336"/>
        <c:axId val="1"/>
      </c:barChart>
      <c:lineChart>
        <c:grouping val="standard"/>
        <c:varyColors val="0"/>
        <c:ser>
          <c:idx val="2"/>
          <c:order val="2"/>
          <c:tx>
            <c:strRef>
              <c:f>決算分析!$C$60</c:f>
              <c:strCache>
                <c:ptCount val="1"/>
                <c:pt idx="0">
                  <c:v>株価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決算分析!$C$62:$G$62</c:f>
              <c:numCache>
                <c:formatCode>#,##0_ </c:formatCode>
                <c:ptCount val="5"/>
                <c:pt idx="0">
                  <c:v>318</c:v>
                </c:pt>
                <c:pt idx="1">
                  <c:v>366</c:v>
                </c:pt>
                <c:pt idx="2">
                  <c:v>370</c:v>
                </c:pt>
                <c:pt idx="3">
                  <c:v>359</c:v>
                </c:pt>
                <c:pt idx="4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F-4A08-8277-B815CEB304E2}"/>
            </c:ext>
          </c:extLst>
        </c:ser>
        <c:ser>
          <c:idx val="3"/>
          <c:order val="3"/>
          <c:tx>
            <c:strRef>
              <c:f>決算分析!$M$96</c:f>
              <c:strCache>
                <c:ptCount val="1"/>
                <c:pt idx="0">
                  <c:v>理論株価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決算分析!$M$98:$Q$98</c:f>
              <c:numCache>
                <c:formatCode>#,##0_ </c:formatCode>
                <c:ptCount val="5"/>
                <c:pt idx="0">
                  <c:v>411.85879500630892</c:v>
                </c:pt>
                <c:pt idx="1">
                  <c:v>441.75396616981584</c:v>
                </c:pt>
                <c:pt idx="2">
                  <c:v>481.26351407016443</c:v>
                </c:pt>
                <c:pt idx="3">
                  <c:v>513.52065080415491</c:v>
                </c:pt>
                <c:pt idx="4">
                  <c:v>479.39631031354384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5F-4A08-8277-B815CEB3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82954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29543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#,##0_ " sourceLinked="1"/>
        <c:majorTickMark val="out"/>
        <c:minorTickMark val="none"/>
        <c:tickLblPos val="nextTo"/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7699673120775302E-2"/>
          <c:y val="0.88785151584245303"/>
          <c:w val="0.96684464422235084"/>
          <c:h val="8.01310032348784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193000721401324E-2"/>
          <c:y val="0.10256768414064439"/>
          <c:w val="0.8016138617564097"/>
          <c:h val="0.55771178251475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決算分析!$C$52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rgbClr val="CCFFCC"/>
            </a:solidFill>
            <a:ln w="25400">
              <a:noFill/>
            </a:ln>
          </c:spPr>
          <c:invertIfNegative val="0"/>
          <c:cat>
            <c:strRef>
              <c:f>決算分析!$C$81:$G$81</c:f>
              <c:strCache>
                <c:ptCount val="5"/>
                <c:pt idx="0">
                  <c:v>４期前</c:v>
                </c:pt>
                <c:pt idx="1">
                  <c:v>３期前</c:v>
                </c:pt>
                <c:pt idx="2">
                  <c:v>２期前</c:v>
                </c:pt>
                <c:pt idx="3">
                  <c:v>前期</c:v>
                </c:pt>
                <c:pt idx="4">
                  <c:v>(今期)</c:v>
                </c:pt>
              </c:strCache>
            </c:strRef>
          </c:cat>
          <c:val>
            <c:numRef>
              <c:f>決算分析!$C$54:$G$54</c:f>
              <c:numCache>
                <c:formatCode>#,##0_ </c:formatCode>
                <c:ptCount val="5"/>
                <c:pt idx="0">
                  <c:v>177041</c:v>
                </c:pt>
                <c:pt idx="1">
                  <c:v>176258</c:v>
                </c:pt>
                <c:pt idx="2">
                  <c:v>171621</c:v>
                </c:pt>
                <c:pt idx="3">
                  <c:v>174355</c:v>
                </c:pt>
                <c:pt idx="4">
                  <c:v>162799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6-4E24-A6A5-BBC9A4B054D9}"/>
            </c:ext>
          </c:extLst>
        </c:ser>
        <c:ser>
          <c:idx val="4"/>
          <c:order val="1"/>
          <c:tx>
            <c:strRef>
              <c:f>決算分析!$H$80</c:f>
              <c:strCache>
                <c:ptCount val="1"/>
                <c:pt idx="0">
                  <c:v>粗利益</c:v>
                </c:pt>
              </c:strCache>
            </c:strRef>
          </c:tx>
          <c:spPr>
            <a:solidFill>
              <a:srgbClr val="99CCFF"/>
            </a:solidFill>
            <a:ln w="25400">
              <a:noFill/>
            </a:ln>
          </c:spPr>
          <c:invertIfNegative val="0"/>
          <c:cat>
            <c:strRef>
              <c:f>決算分析!$C$81:$G$81</c:f>
              <c:strCache>
                <c:ptCount val="5"/>
                <c:pt idx="0">
                  <c:v>４期前</c:v>
                </c:pt>
                <c:pt idx="1">
                  <c:v>３期前</c:v>
                </c:pt>
                <c:pt idx="2">
                  <c:v>２期前</c:v>
                </c:pt>
                <c:pt idx="3">
                  <c:v>前期</c:v>
                </c:pt>
                <c:pt idx="4">
                  <c:v>(今期)</c:v>
                </c:pt>
              </c:strCache>
            </c:strRef>
          </c:cat>
          <c:val>
            <c:numRef>
              <c:f>決算分析!$H$82:$L$82</c:f>
              <c:numCache>
                <c:formatCode>#,##0_ </c:formatCode>
                <c:ptCount val="5"/>
                <c:pt idx="0">
                  <c:v>40479</c:v>
                </c:pt>
                <c:pt idx="1">
                  <c:v>40680</c:v>
                </c:pt>
                <c:pt idx="2">
                  <c:v>39515</c:v>
                </c:pt>
                <c:pt idx="3">
                  <c:v>40566</c:v>
                </c:pt>
                <c:pt idx="4">
                  <c:v>39429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6-4E24-A6A5-BBC9A4B054D9}"/>
            </c:ext>
          </c:extLst>
        </c:ser>
        <c:ser>
          <c:idx val="2"/>
          <c:order val="2"/>
          <c:tx>
            <c:strRef>
              <c:f>決算分析!$M$80</c:f>
              <c:strCache>
                <c:ptCount val="1"/>
                <c:pt idx="0">
                  <c:v>販管費</c:v>
                </c:pt>
              </c:strCache>
            </c:strRef>
          </c:tx>
          <c:spPr>
            <a:solidFill>
              <a:srgbClr val="FF99CC"/>
            </a:solidFill>
            <a:ln w="25400">
              <a:noFill/>
            </a:ln>
          </c:spPr>
          <c:invertIfNegative val="0"/>
          <c:cat>
            <c:strRef>
              <c:f>決算分析!$C$81:$G$81</c:f>
              <c:strCache>
                <c:ptCount val="5"/>
                <c:pt idx="0">
                  <c:v>４期前</c:v>
                </c:pt>
                <c:pt idx="1">
                  <c:v>３期前</c:v>
                </c:pt>
                <c:pt idx="2">
                  <c:v>２期前</c:v>
                </c:pt>
                <c:pt idx="3">
                  <c:v>前期</c:v>
                </c:pt>
                <c:pt idx="4">
                  <c:v>(今期)</c:v>
                </c:pt>
              </c:strCache>
            </c:strRef>
          </c:cat>
          <c:val>
            <c:numRef>
              <c:f>決算分析!$M$82:$Q$82</c:f>
              <c:numCache>
                <c:formatCode>#,##0_ </c:formatCode>
                <c:ptCount val="5"/>
                <c:pt idx="0">
                  <c:v>37288</c:v>
                </c:pt>
                <c:pt idx="1">
                  <c:v>37225</c:v>
                </c:pt>
                <c:pt idx="2">
                  <c:v>35632</c:v>
                </c:pt>
                <c:pt idx="3">
                  <c:v>36481</c:v>
                </c:pt>
                <c:pt idx="4">
                  <c:v>36299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6-4E24-A6A5-BBC9A4B054D9}"/>
            </c:ext>
          </c:extLst>
        </c:ser>
        <c:ser>
          <c:idx val="3"/>
          <c:order val="3"/>
          <c:tx>
            <c:strRef>
              <c:f>決算分析!$C$56</c:f>
              <c:strCache>
                <c:ptCount val="1"/>
                <c:pt idx="0">
                  <c:v>経常利益</c:v>
                </c:pt>
              </c:strCache>
            </c:strRef>
          </c:tx>
          <c:spPr>
            <a:solidFill>
              <a:srgbClr val="FFFF99"/>
            </a:solidFill>
            <a:ln w="25400">
              <a:noFill/>
            </a:ln>
          </c:spPr>
          <c:invertIfNegative val="0"/>
          <c:val>
            <c:numRef>
              <c:f>決算分析!$C$58:$G$58</c:f>
              <c:numCache>
                <c:formatCode>#,##0_ </c:formatCode>
                <c:ptCount val="5"/>
                <c:pt idx="0">
                  <c:v>3116</c:v>
                </c:pt>
                <c:pt idx="1">
                  <c:v>3299</c:v>
                </c:pt>
                <c:pt idx="2">
                  <c:v>3710</c:v>
                </c:pt>
                <c:pt idx="3">
                  <c:v>3853</c:v>
                </c:pt>
                <c:pt idx="4">
                  <c:v>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6-4E24-A6A5-BBC9A4B0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233856"/>
        <c:axId val="1"/>
      </c:barChart>
      <c:lineChart>
        <c:grouping val="standard"/>
        <c:varyColors val="0"/>
        <c:ser>
          <c:idx val="5"/>
          <c:order val="4"/>
          <c:tx>
            <c:strRef>
              <c:f>決算分析!$C$84</c:f>
              <c:strCache>
                <c:ptCount val="1"/>
                <c:pt idx="0">
                  <c:v>粗利益率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決算分析!$C$87:$G$87</c:f>
              <c:numCache>
                <c:formatCode>0.0%</c:formatCode>
                <c:ptCount val="5"/>
                <c:pt idx="0">
                  <c:v>0.22864195299393925</c:v>
                </c:pt>
                <c:pt idx="1">
                  <c:v>0.23079803469913424</c:v>
                </c:pt>
                <c:pt idx="2">
                  <c:v>0.23024571585062434</c:v>
                </c:pt>
                <c:pt idx="3">
                  <c:v>0.23266324452983855</c:v>
                </c:pt>
                <c:pt idx="4">
                  <c:v>0.24219436237323325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6-4E24-A6A5-BBC9A4B054D9}"/>
            </c:ext>
          </c:extLst>
        </c:ser>
        <c:ser>
          <c:idx val="6"/>
          <c:order val="5"/>
          <c:tx>
            <c:strRef>
              <c:f>決算分析!$H$84</c:f>
              <c:strCache>
                <c:ptCount val="1"/>
                <c:pt idx="0">
                  <c:v>販管費比率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決算分析!$H$87:$L$87</c:f>
              <c:numCache>
                <c:formatCode>0.0%</c:formatCode>
                <c:ptCount val="5"/>
                <c:pt idx="0">
                  <c:v>0.21061787947424607</c:v>
                </c:pt>
                <c:pt idx="1">
                  <c:v>0.21119608755347274</c:v>
                </c:pt>
                <c:pt idx="2">
                  <c:v>0.20762027956951656</c:v>
                </c:pt>
                <c:pt idx="3">
                  <c:v>0.20923403401106938</c:v>
                </c:pt>
                <c:pt idx="4">
                  <c:v>0.22296820005036885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6-4E24-A6A5-BBC9A4B054D9}"/>
            </c:ext>
          </c:extLst>
        </c:ser>
        <c:ser>
          <c:idx val="1"/>
          <c:order val="6"/>
          <c:tx>
            <c:strRef>
              <c:f>決算分析!$M$84</c:f>
              <c:strCache>
                <c:ptCount val="1"/>
                <c:pt idx="0">
                  <c:v>経常利益率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決算分析!$M$87:$Q$87</c:f>
              <c:numCache>
                <c:formatCode>0.0%</c:formatCode>
                <c:ptCount val="5"/>
                <c:pt idx="0">
                  <c:v>1.7600442835275443E-2</c:v>
                </c:pt>
                <c:pt idx="1">
                  <c:v>1.8716880935900782E-2</c:v>
                </c:pt>
                <c:pt idx="2">
                  <c:v>2.161740113389387E-2</c:v>
                </c:pt>
                <c:pt idx="3">
                  <c:v>2.2098591953198934E-2</c:v>
                </c:pt>
                <c:pt idx="4">
                  <c:v>1.8802326795619138E-2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E6-4E24-A6A5-BBC9A4B0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79233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792338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9367709084793042E-2"/>
          <c:y val="0.81733623299575997"/>
          <c:w val="0.84129771629880623"/>
          <c:h val="0.15064628608157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23</xdr:row>
      <xdr:rowOff>0</xdr:rowOff>
    </xdr:from>
    <xdr:to>
      <xdr:col>7</xdr:col>
      <xdr:colOff>0</xdr:colOff>
      <xdr:row>35</xdr:row>
      <xdr:rowOff>0</xdr:rowOff>
    </xdr:to>
    <xdr:graphicFrame macro="">
      <xdr:nvGraphicFramePr>
        <xdr:cNvPr id="4103" name="グラフ 7">
          <a:extLst>
            <a:ext uri="{FF2B5EF4-FFF2-40B4-BE49-F238E27FC236}">
              <a16:creationId xmlns:a16="http://schemas.microsoft.com/office/drawing/2014/main" id="{B6817A84-1C5B-FFFF-857E-B38088794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36</xdr:row>
      <xdr:rowOff>0</xdr:rowOff>
    </xdr:from>
    <xdr:to>
      <xdr:col>12</xdr:col>
      <xdr:colOff>0</xdr:colOff>
      <xdr:row>48</xdr:row>
      <xdr:rowOff>0</xdr:rowOff>
    </xdr:to>
    <xdr:graphicFrame macro="">
      <xdr:nvGraphicFramePr>
        <xdr:cNvPr id="4105" name="グラフ 9">
          <a:extLst>
            <a:ext uri="{FF2B5EF4-FFF2-40B4-BE49-F238E27FC236}">
              <a16:creationId xmlns:a16="http://schemas.microsoft.com/office/drawing/2014/main" id="{41548269-524F-EBD0-BD86-FB9507F84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</xdr:colOff>
      <xdr:row>36</xdr:row>
      <xdr:rowOff>0</xdr:rowOff>
    </xdr:from>
    <xdr:to>
      <xdr:col>17</xdr:col>
      <xdr:colOff>0</xdr:colOff>
      <xdr:row>48</xdr:row>
      <xdr:rowOff>0</xdr:rowOff>
    </xdr:to>
    <xdr:graphicFrame macro="">
      <xdr:nvGraphicFramePr>
        <xdr:cNvPr id="4106" name="グラフ 10">
          <a:extLst>
            <a:ext uri="{FF2B5EF4-FFF2-40B4-BE49-F238E27FC236}">
              <a16:creationId xmlns:a16="http://schemas.microsoft.com/office/drawing/2014/main" id="{6679B4F0-3A09-0B2E-6D52-54B461EF6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50800</xdr:colOff>
      <xdr:row>23</xdr:row>
      <xdr:rowOff>0</xdr:rowOff>
    </xdr:from>
    <xdr:to>
      <xdr:col>12</xdr:col>
      <xdr:colOff>0</xdr:colOff>
      <xdr:row>35</xdr:row>
      <xdr:rowOff>0</xdr:rowOff>
    </xdr:to>
    <xdr:graphicFrame macro="">
      <xdr:nvGraphicFramePr>
        <xdr:cNvPr id="4107" name="グラフ 11">
          <a:extLst>
            <a:ext uri="{FF2B5EF4-FFF2-40B4-BE49-F238E27FC236}">
              <a16:creationId xmlns:a16="http://schemas.microsoft.com/office/drawing/2014/main" id="{5AAFF614-CCEE-24A7-C1AD-91084F498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50800</xdr:colOff>
      <xdr:row>23</xdr:row>
      <xdr:rowOff>0</xdr:rowOff>
    </xdr:from>
    <xdr:to>
      <xdr:col>17</xdr:col>
      <xdr:colOff>0</xdr:colOff>
      <xdr:row>35</xdr:row>
      <xdr:rowOff>0</xdr:rowOff>
    </xdr:to>
    <xdr:graphicFrame macro="">
      <xdr:nvGraphicFramePr>
        <xdr:cNvPr id="4108" name="グラフ 12">
          <a:extLst>
            <a:ext uri="{FF2B5EF4-FFF2-40B4-BE49-F238E27FC236}">
              <a16:creationId xmlns:a16="http://schemas.microsoft.com/office/drawing/2014/main" id="{03F43AE9-B98A-9C68-A116-E3713DF6F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36</xdr:row>
      <xdr:rowOff>0</xdr:rowOff>
    </xdr:from>
    <xdr:to>
      <xdr:col>6</xdr:col>
      <xdr:colOff>577850</xdr:colOff>
      <xdr:row>48</xdr:row>
      <xdr:rowOff>0</xdr:rowOff>
    </xdr:to>
    <xdr:graphicFrame macro="">
      <xdr:nvGraphicFramePr>
        <xdr:cNvPr id="4109" name="グラフ 13">
          <a:extLst>
            <a:ext uri="{FF2B5EF4-FFF2-40B4-BE49-F238E27FC236}">
              <a16:creationId xmlns:a16="http://schemas.microsoft.com/office/drawing/2014/main" id="{F71B808D-70EE-C203-2066-C853CC4A2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zoomScale="104" zoomScaleNormal="70" workbookViewId="0">
      <selection activeCell="T29" sqref="T29"/>
    </sheetView>
  </sheetViews>
  <sheetFormatPr defaultRowHeight="13.2" x14ac:dyDescent="0.2"/>
  <cols>
    <col min="1" max="1" width="2.21875" customWidth="1"/>
    <col min="2" max="2" width="15.44140625" customWidth="1"/>
    <col min="3" max="17" width="8.33203125" customWidth="1"/>
    <col min="18" max="18" width="2.21875" customWidth="1"/>
  </cols>
  <sheetData>
    <row r="1" spans="1:18" x14ac:dyDescent="0.2">
      <c r="A1" s="111" t="s">
        <v>72</v>
      </c>
      <c r="B1" s="2"/>
      <c r="C1" s="2"/>
      <c r="D1" s="2"/>
      <c r="E1" s="2"/>
      <c r="F1" s="2"/>
      <c r="G1" s="141"/>
      <c r="H1" s="141"/>
      <c r="I1" s="2"/>
      <c r="J1" s="2"/>
      <c r="K1" s="84" t="s">
        <v>102</v>
      </c>
      <c r="L1" s="137" t="s">
        <v>74</v>
      </c>
      <c r="M1" s="138"/>
      <c r="N1" s="84" t="s">
        <v>70</v>
      </c>
      <c r="O1" s="84" t="s">
        <v>71</v>
      </c>
      <c r="P1" s="137" t="s">
        <v>75</v>
      </c>
      <c r="Q1" s="138"/>
      <c r="R1" s="2"/>
    </row>
    <row r="2" spans="1:1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135">
        <v>3159</v>
      </c>
      <c r="L2" s="142" t="s">
        <v>104</v>
      </c>
      <c r="M2" s="140"/>
      <c r="N2" s="119">
        <v>2023</v>
      </c>
      <c r="O2" s="119">
        <v>1</v>
      </c>
      <c r="P2" s="139">
        <f ca="1">NOW()</f>
        <v>45230.997801504629</v>
      </c>
      <c r="Q2" s="140"/>
      <c r="R2" s="2"/>
    </row>
    <row r="3" spans="1:18" x14ac:dyDescent="0.2">
      <c r="A3" s="2" t="s">
        <v>68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5"/>
      <c r="O3" s="2"/>
      <c r="P3" s="2"/>
      <c r="Q3" s="2"/>
      <c r="R3" s="2"/>
    </row>
    <row r="4" spans="1:18" x14ac:dyDescent="0.2">
      <c r="A4" s="2"/>
      <c r="B4" s="4"/>
      <c r="C4" s="79" t="str">
        <f>LEFT(F4,4)-1&amp;"年"</f>
        <v>2019年</v>
      </c>
      <c r="D4" s="80" t="str">
        <f>G4</f>
        <v>1月期</v>
      </c>
      <c r="E4" s="81" t="s">
        <v>11</v>
      </c>
      <c r="F4" s="79" t="str">
        <f>LEFT(I4,4)-1&amp;"年"</f>
        <v>2020年</v>
      </c>
      <c r="G4" s="80" t="str">
        <f>J4</f>
        <v>1月期</v>
      </c>
      <c r="H4" s="81" t="s">
        <v>11</v>
      </c>
      <c r="I4" s="79" t="str">
        <f>LEFT(L4,4)-1&amp;"年"</f>
        <v>2021年</v>
      </c>
      <c r="J4" s="80" t="str">
        <f>M4</f>
        <v>1月期</v>
      </c>
      <c r="K4" s="81" t="s">
        <v>11</v>
      </c>
      <c r="L4" s="79" t="str">
        <f>LEFT(O4,4)-1&amp;"年"</f>
        <v>2022年</v>
      </c>
      <c r="M4" s="80" t="str">
        <f>P4</f>
        <v>1月期</v>
      </c>
      <c r="N4" s="81" t="s">
        <v>11</v>
      </c>
      <c r="O4" s="79" t="str">
        <f>N2 &amp;"年"</f>
        <v>2023年</v>
      </c>
      <c r="P4" s="80" t="str">
        <f>O2&amp;"月期"</f>
        <v>1月期</v>
      </c>
      <c r="Q4" s="81" t="s">
        <v>11</v>
      </c>
      <c r="R4" s="2"/>
    </row>
    <row r="5" spans="1:18" x14ac:dyDescent="0.2">
      <c r="A5" s="2"/>
      <c r="B5" s="4" t="s">
        <v>0</v>
      </c>
      <c r="C5" s="9"/>
      <c r="D5" s="112">
        <v>177041</v>
      </c>
      <c r="E5" s="29" t="s">
        <v>22</v>
      </c>
      <c r="F5" s="6"/>
      <c r="G5" s="112">
        <v>176258</v>
      </c>
      <c r="H5" s="34" t="str">
        <f>E5</f>
        <v>百万</v>
      </c>
      <c r="I5" s="6"/>
      <c r="J5" s="112">
        <v>171621</v>
      </c>
      <c r="K5" s="34" t="str">
        <f>E5</f>
        <v>百万</v>
      </c>
      <c r="L5" s="6"/>
      <c r="M5" s="113">
        <v>174355</v>
      </c>
      <c r="N5" s="29" t="str">
        <f>E5</f>
        <v>百万</v>
      </c>
      <c r="O5" s="6"/>
      <c r="P5" s="8">
        <f>IF(P30,P30,IF(M30,M30,IF(J30,J30,IF(G30,G30,IF(D30,D30,0)))))</f>
        <v>162799</v>
      </c>
      <c r="Q5" s="29" t="str">
        <f>H5</f>
        <v>百万</v>
      </c>
      <c r="R5" s="2"/>
    </row>
    <row r="6" spans="1:18" x14ac:dyDescent="0.2">
      <c r="A6" s="2"/>
      <c r="B6" s="4" t="s">
        <v>1</v>
      </c>
      <c r="C6" s="48"/>
      <c r="D6" s="113">
        <v>136561</v>
      </c>
      <c r="E6" s="18">
        <f t="shared" ref="E6:E11" si="0">IF(D$5,D6/D$5,"-")</f>
        <v>0.77135239859693516</v>
      </c>
      <c r="F6" s="49"/>
      <c r="G6" s="114">
        <v>135578</v>
      </c>
      <c r="H6" s="18">
        <f t="shared" ref="H6:H11" si="1">IF(G$5,G6/G$5,"-")</f>
        <v>0.76920196530086582</v>
      </c>
      <c r="I6" s="49"/>
      <c r="J6" s="114">
        <v>132105</v>
      </c>
      <c r="K6" s="18">
        <f t="shared" ref="K6:K11" si="2">IF(J$5,J6/J$5,"-")</f>
        <v>0.76974845735661723</v>
      </c>
      <c r="L6" s="49"/>
      <c r="M6" s="114">
        <v>133789</v>
      </c>
      <c r="N6" s="18">
        <f t="shared" ref="N6:N11" si="3">IF(M$5,M6/M$5,"-")</f>
        <v>0.76733675547016145</v>
      </c>
      <c r="O6" s="49"/>
      <c r="P6" s="114">
        <v>123370</v>
      </c>
      <c r="Q6" s="18">
        <f t="shared" ref="Q6:Q11" si="4">IF(P$5,P6/P$5,"-")</f>
        <v>0.75780563762676678</v>
      </c>
      <c r="R6" s="2"/>
    </row>
    <row r="7" spans="1:18" x14ac:dyDescent="0.2">
      <c r="A7" s="2"/>
      <c r="B7" s="4" t="s">
        <v>2</v>
      </c>
      <c r="C7" s="7"/>
      <c r="D7" s="114">
        <v>40479</v>
      </c>
      <c r="E7" s="18">
        <f t="shared" si="0"/>
        <v>0.22864195299393925</v>
      </c>
      <c r="F7" s="6"/>
      <c r="G7" s="112">
        <v>40680</v>
      </c>
      <c r="H7" s="18">
        <f t="shared" si="1"/>
        <v>0.23079803469913424</v>
      </c>
      <c r="I7" s="6"/>
      <c r="J7" s="112">
        <v>39515</v>
      </c>
      <c r="K7" s="18">
        <f t="shared" si="2"/>
        <v>0.23024571585062434</v>
      </c>
      <c r="L7" s="6"/>
      <c r="M7" s="112">
        <v>40566</v>
      </c>
      <c r="N7" s="18">
        <f t="shared" si="3"/>
        <v>0.23266324452983855</v>
      </c>
      <c r="O7" s="6"/>
      <c r="P7" s="114">
        <v>39429</v>
      </c>
      <c r="Q7" s="18">
        <f t="shared" si="4"/>
        <v>0.24219436237323325</v>
      </c>
      <c r="R7" s="2"/>
    </row>
    <row r="8" spans="1:18" x14ac:dyDescent="0.2">
      <c r="A8" s="2"/>
      <c r="B8" s="4" t="s">
        <v>3</v>
      </c>
      <c r="C8" s="9"/>
      <c r="D8" s="112">
        <v>37288</v>
      </c>
      <c r="E8" s="18">
        <f t="shared" si="0"/>
        <v>0.21061787947424607</v>
      </c>
      <c r="F8" s="49"/>
      <c r="G8" s="114">
        <v>37225</v>
      </c>
      <c r="H8" s="18">
        <f t="shared" si="1"/>
        <v>0.21119608755347274</v>
      </c>
      <c r="I8" s="49"/>
      <c r="J8" s="114">
        <v>35632</v>
      </c>
      <c r="K8" s="18">
        <f t="shared" si="2"/>
        <v>0.20762027956951656</v>
      </c>
      <c r="L8" s="49"/>
      <c r="M8" s="114">
        <v>36481</v>
      </c>
      <c r="N8" s="18">
        <f t="shared" si="3"/>
        <v>0.20923403401106938</v>
      </c>
      <c r="O8" s="49"/>
      <c r="P8" s="114">
        <v>36299</v>
      </c>
      <c r="Q8" s="18">
        <f t="shared" si="4"/>
        <v>0.22296820005036885</v>
      </c>
      <c r="R8" s="2"/>
    </row>
    <row r="9" spans="1:18" x14ac:dyDescent="0.2">
      <c r="A9" s="2"/>
      <c r="B9" s="4" t="s">
        <v>4</v>
      </c>
      <c r="C9" s="7"/>
      <c r="D9" s="114">
        <v>3191</v>
      </c>
      <c r="E9" s="18">
        <f t="shared" si="0"/>
        <v>1.8024073519693179E-2</v>
      </c>
      <c r="F9" s="6"/>
      <c r="G9" s="112">
        <v>3454</v>
      </c>
      <c r="H9" s="18">
        <f t="shared" si="1"/>
        <v>1.9596273644316854E-2</v>
      </c>
      <c r="I9" s="6"/>
      <c r="J9" s="112">
        <v>3882</v>
      </c>
      <c r="K9" s="18">
        <f t="shared" si="2"/>
        <v>2.2619609488349329E-2</v>
      </c>
      <c r="L9" s="6"/>
      <c r="M9" s="112">
        <v>4084</v>
      </c>
      <c r="N9" s="18">
        <f t="shared" si="3"/>
        <v>2.3423475093917581E-2</v>
      </c>
      <c r="O9" s="6"/>
      <c r="P9" s="112">
        <v>3129</v>
      </c>
      <c r="Q9" s="18">
        <f t="shared" si="4"/>
        <v>1.9220019778991272E-2</v>
      </c>
      <c r="R9" s="2"/>
    </row>
    <row r="10" spans="1:18" x14ac:dyDescent="0.2">
      <c r="A10" s="2"/>
      <c r="B10" s="4" t="s">
        <v>5</v>
      </c>
      <c r="C10" s="50"/>
      <c r="D10" s="115">
        <v>3116</v>
      </c>
      <c r="E10" s="18">
        <f t="shared" si="0"/>
        <v>1.7600442835275443E-2</v>
      </c>
      <c r="F10" s="49"/>
      <c r="G10" s="114">
        <v>3299</v>
      </c>
      <c r="H10" s="18">
        <f t="shared" si="1"/>
        <v>1.8716880935900782E-2</v>
      </c>
      <c r="I10" s="49"/>
      <c r="J10" s="114">
        <v>3710</v>
      </c>
      <c r="K10" s="18">
        <f t="shared" si="2"/>
        <v>2.161740113389387E-2</v>
      </c>
      <c r="L10" s="49"/>
      <c r="M10" s="114">
        <v>3853</v>
      </c>
      <c r="N10" s="18">
        <f t="shared" si="3"/>
        <v>2.2098591953198934E-2</v>
      </c>
      <c r="O10" s="49"/>
      <c r="P10" s="8">
        <f>IF(P31,P31,IF(M31,M31,IF(J31,J31,IF(G31,G31,IF(D31,D31,0)))))</f>
        <v>3061</v>
      </c>
      <c r="Q10" s="18">
        <f t="shared" si="4"/>
        <v>1.8802326795619138E-2</v>
      </c>
      <c r="R10" s="2"/>
    </row>
    <row r="11" spans="1:18" x14ac:dyDescent="0.2">
      <c r="A11" s="2"/>
      <c r="B11" s="4" t="s">
        <v>6</v>
      </c>
      <c r="C11" s="19"/>
      <c r="D11" s="115">
        <v>2529</v>
      </c>
      <c r="E11" s="18">
        <f t="shared" si="0"/>
        <v>1.4284826678565982E-2</v>
      </c>
      <c r="F11" s="19"/>
      <c r="G11" s="115">
        <v>2148</v>
      </c>
      <c r="H11" s="18">
        <f t="shared" si="1"/>
        <v>1.2186680888243371E-2</v>
      </c>
      <c r="I11" s="19"/>
      <c r="J11" s="115">
        <v>2171</v>
      </c>
      <c r="K11" s="18">
        <f t="shared" si="2"/>
        <v>1.2649967078620915E-2</v>
      </c>
      <c r="L11" s="19"/>
      <c r="M11" s="115">
        <v>2238</v>
      </c>
      <c r="N11" s="18">
        <f t="shared" si="3"/>
        <v>1.2835880817871584E-2</v>
      </c>
      <c r="O11" s="19"/>
      <c r="P11" s="8">
        <f>IF(P32,P32,IF(M32,M32,IF(J32,J32,IF(G32,G32,IF(D32,D32,0)))))</f>
        <v>1773</v>
      </c>
      <c r="Q11" s="18">
        <f t="shared" si="4"/>
        <v>1.0890730287041074E-2</v>
      </c>
      <c r="R11" s="2"/>
    </row>
    <row r="12" spans="1:18" ht="4.5" customHeight="1" x14ac:dyDescent="0.2">
      <c r="A12" s="2"/>
      <c r="B12" s="10"/>
      <c r="C12" s="11"/>
      <c r="D12" s="116"/>
      <c r="E12" s="13"/>
      <c r="F12" s="13"/>
      <c r="G12" s="116"/>
      <c r="H12" s="13"/>
      <c r="I12" s="13"/>
      <c r="J12" s="116"/>
      <c r="K12" s="13"/>
      <c r="L12" s="13"/>
      <c r="M12" s="116"/>
      <c r="N12" s="13"/>
      <c r="O12" s="13"/>
      <c r="P12" s="12"/>
      <c r="Q12" s="13"/>
      <c r="R12" s="2"/>
    </row>
    <row r="13" spans="1:18" x14ac:dyDescent="0.2">
      <c r="A13" s="2"/>
      <c r="B13" s="4" t="s">
        <v>7</v>
      </c>
      <c r="C13" s="51"/>
      <c r="D13" s="117">
        <v>92554</v>
      </c>
      <c r="E13" s="33" t="s">
        <v>97</v>
      </c>
      <c r="F13" s="53"/>
      <c r="G13" s="117">
        <v>92554</v>
      </c>
      <c r="H13" s="33" t="str">
        <f>E13</f>
        <v>千株</v>
      </c>
      <c r="I13" s="53"/>
      <c r="J13" s="117">
        <v>92554</v>
      </c>
      <c r="K13" s="33" t="str">
        <f>H13</f>
        <v>千株</v>
      </c>
      <c r="L13" s="53"/>
      <c r="M13" s="114">
        <v>92554</v>
      </c>
      <c r="N13" s="33" t="str">
        <f>K13</f>
        <v>千株</v>
      </c>
      <c r="O13" s="53"/>
      <c r="P13" s="8">
        <f>IF(P40,P40,IF(M40,M40,IF(J40,J40,IF(G40,G40,IF(D40,D40,0)))))</f>
        <v>92554</v>
      </c>
      <c r="Q13" s="33" t="str">
        <f>N13</f>
        <v>千株</v>
      </c>
      <c r="R13" s="2"/>
    </row>
    <row r="14" spans="1:18" x14ac:dyDescent="0.2">
      <c r="B14" s="4" t="s">
        <v>96</v>
      </c>
      <c r="C14" s="132"/>
      <c r="D14" s="133">
        <f>IF(D13,D10*1000*0.7/D13,0)</f>
        <v>23.566782635002269</v>
      </c>
      <c r="E14" s="54">
        <f>IF(D14,D26/D14,0)</f>
        <v>13.493568677792041</v>
      </c>
      <c r="F14" s="132"/>
      <c r="G14" s="133">
        <f>IF(G13,G10*1000*0.7/G13,0)</f>
        <v>24.95083950990773</v>
      </c>
      <c r="H14" s="54">
        <f>IF(G14,G26/G14,0)</f>
        <v>14.668845104577144</v>
      </c>
      <c r="I14" s="132"/>
      <c r="J14" s="133">
        <f>IF(J13,J10*1000*0.7/J13,0)</f>
        <v>28.0592951142036</v>
      </c>
      <c r="K14" s="54">
        <f>IF(J14,J26/J14,0)</f>
        <v>13.186361185983827</v>
      </c>
      <c r="L14" s="132"/>
      <c r="M14" s="133">
        <f>IF(M13,M10*1000*0.7/M13,0)</f>
        <v>29.140825896233551</v>
      </c>
      <c r="N14" s="54">
        <f>IF(M14,M26/M14,0)</f>
        <v>12.319486114715806</v>
      </c>
      <c r="O14" s="132"/>
      <c r="P14" s="133">
        <f>IF(P13,P10*1000*0.7/P13,0)</f>
        <v>23.150809257298441</v>
      </c>
      <c r="Q14" s="54">
        <f>IF(P14,P26/P14,0)</f>
        <v>15.507017314603072</v>
      </c>
      <c r="R14" s="2"/>
    </row>
    <row r="15" spans="1:18" ht="4.5" customHeight="1" x14ac:dyDescent="0.2">
      <c r="A15" s="2"/>
      <c r="B15" s="10"/>
      <c r="C15" s="10"/>
      <c r="D15" s="15"/>
      <c r="E15" s="16"/>
      <c r="F15" s="16"/>
      <c r="G15" s="15"/>
      <c r="H15" s="16"/>
      <c r="I15" s="16"/>
      <c r="J15" s="15"/>
      <c r="K15" s="16"/>
      <c r="L15" s="16"/>
      <c r="M15" s="15"/>
      <c r="N15" s="16"/>
      <c r="O15" s="16"/>
      <c r="P15" s="15"/>
      <c r="Q15" s="16"/>
      <c r="R15" s="2"/>
    </row>
    <row r="16" spans="1:18" ht="13.2" customHeight="1" x14ac:dyDescent="0.2">
      <c r="A16" s="2"/>
      <c r="B16" s="4"/>
      <c r="C16" s="82" t="s">
        <v>33</v>
      </c>
      <c r="D16" s="83" t="s">
        <v>34</v>
      </c>
      <c r="E16" s="81" t="s">
        <v>35</v>
      </c>
      <c r="F16" s="82" t="s">
        <v>33</v>
      </c>
      <c r="G16" s="83" t="s">
        <v>34</v>
      </c>
      <c r="H16" s="81" t="s">
        <v>35</v>
      </c>
      <c r="I16" s="82" t="s">
        <v>33</v>
      </c>
      <c r="J16" s="83" t="s">
        <v>34</v>
      </c>
      <c r="K16" s="81" t="s">
        <v>35</v>
      </c>
      <c r="L16" s="82" t="s">
        <v>33</v>
      </c>
      <c r="M16" s="83" t="s">
        <v>34</v>
      </c>
      <c r="N16" s="81" t="s">
        <v>35</v>
      </c>
      <c r="O16" s="82" t="s">
        <v>33</v>
      </c>
      <c r="P16" s="83" t="s">
        <v>34</v>
      </c>
      <c r="Q16" s="81" t="s">
        <v>35</v>
      </c>
      <c r="R16" s="2"/>
    </row>
    <row r="17" spans="1:18" ht="13.5" customHeight="1" x14ac:dyDescent="0.2">
      <c r="A17" s="2"/>
      <c r="B17" s="4" t="s">
        <v>54</v>
      </c>
      <c r="C17" s="120">
        <v>132366</v>
      </c>
      <c r="D17" s="121">
        <v>37540</v>
      </c>
      <c r="E17" s="44">
        <f>C17-D17</f>
        <v>94826</v>
      </c>
      <c r="F17" s="121">
        <v>132338</v>
      </c>
      <c r="G17" s="121">
        <v>39774</v>
      </c>
      <c r="H17" s="44">
        <f>F17-G17</f>
        <v>92564</v>
      </c>
      <c r="I17" s="121">
        <v>134400</v>
      </c>
      <c r="J17" s="121">
        <v>41565</v>
      </c>
      <c r="K17" s="44">
        <f>I17-J17</f>
        <v>92835</v>
      </c>
      <c r="L17" s="121">
        <v>128357</v>
      </c>
      <c r="M17" s="121">
        <v>43530</v>
      </c>
      <c r="N17" s="44">
        <f>L17-M17</f>
        <v>84827</v>
      </c>
      <c r="O17" s="17">
        <f>IF(O44,O44,IF(L44,L44,IF(I44,I44,IF(F44,F44,IF(C44,C44,0)))))</f>
        <v>128770</v>
      </c>
      <c r="P17" s="17">
        <f>IF(P44,P44,IF(M44,M44,IF(J44,J44,IF(G44,G44,IF(D44,D44,0)))))</f>
        <v>45702</v>
      </c>
      <c r="Q17" s="44">
        <f>O17-P17</f>
        <v>83068</v>
      </c>
      <c r="R17" s="2"/>
    </row>
    <row r="18" spans="1:18" ht="13.5" customHeight="1" x14ac:dyDescent="0.2">
      <c r="A18" s="2"/>
      <c r="B18" s="4" t="s">
        <v>55</v>
      </c>
      <c r="C18" s="49">
        <f>IF(C17,D17/C17,0)</f>
        <v>0.28360757294169198</v>
      </c>
      <c r="D18" s="8">
        <f>IF(D13,D17/D13*1000,0)</f>
        <v>405.6010545195237</v>
      </c>
      <c r="E18" s="54">
        <f>IF(D18,D26/D18,0)</f>
        <v>0.78402163026105498</v>
      </c>
      <c r="F18" s="49">
        <f>IF(F17,G17/F17,0)</f>
        <v>0.30054859526364308</v>
      </c>
      <c r="G18" s="8">
        <f>IF(G13,G17/G13*1000,0)</f>
        <v>429.73831492966269</v>
      </c>
      <c r="H18" s="54">
        <f>IF(G18,G26/G18,0)</f>
        <v>0.85168109820485738</v>
      </c>
      <c r="I18" s="49">
        <f>IF(I17,J17/I17,0)</f>
        <v>0.30926339285714288</v>
      </c>
      <c r="J18" s="8">
        <f>IF(J13,J17/J13*1000,0)</f>
        <v>449.08918037037836</v>
      </c>
      <c r="K18" s="54">
        <f>IF(J18,J26/J18,0)</f>
        <v>0.82388981113917958</v>
      </c>
      <c r="L18" s="49">
        <f>IF(L17,M17/L17,0)</f>
        <v>0.33913226392016016</v>
      </c>
      <c r="M18" s="8">
        <f>IF(M13,M17/M13*1000,0)</f>
        <v>470.320029388249</v>
      </c>
      <c r="N18" s="54">
        <f>IF(M18,M26/M18,0)</f>
        <v>0.76331003905352635</v>
      </c>
      <c r="O18" s="49">
        <f>IF(O17,P17/O17,0)</f>
        <v>0.35491185835210065</v>
      </c>
      <c r="P18" s="8">
        <f>IF(P13,P17/P13*1000,0)</f>
        <v>493.78741059273506</v>
      </c>
      <c r="Q18" s="54">
        <f>IF(P18,P26/P18,0)</f>
        <v>0.72703352150890554</v>
      </c>
      <c r="R18" s="2"/>
    </row>
    <row r="19" spans="1:18" ht="4.2" customHeight="1" x14ac:dyDescent="0.2">
      <c r="A19" s="2"/>
      <c r="B19" s="10"/>
      <c r="C19" s="134">
        <f>IF(D17*C17&gt;0,IF((1/(D17/C17+0.33))&lt;1,1,IF((1/(D17/C17+0.33))&gt;1.5,1.5,1/(D17/C17+0.33))),0)</f>
        <v>1.5</v>
      </c>
      <c r="D19" s="42"/>
      <c r="E19" s="43"/>
      <c r="F19" s="134">
        <f>IF(G17*F17&gt;0,IF((1/(G17/F17+0.33))&lt;1,1,IF((1/(G17/F17+0.33))&gt;1.5,1.5,1/(G17/F17+0.33))),0)</f>
        <v>1.5</v>
      </c>
      <c r="G19" s="42"/>
      <c r="H19" s="43"/>
      <c r="I19" s="134">
        <f>IF(J17*I17&gt;0,IF((1/(J17/I17+0.33))&lt;1,1,IF((1/(J17/I17+0.33))&gt;1.5,1.5,1/(J17/I17+0.33))),0)</f>
        <v>1.5</v>
      </c>
      <c r="J19" s="42"/>
      <c r="K19" s="43"/>
      <c r="L19" s="134">
        <f>IF(M17*L17&gt;0,IF((1/(M17/L17+0.33))&lt;1,1,IF((1/(M17/L17+0.33))&gt;1.5,1.5,1/(M17/L17+0.33))),0)</f>
        <v>1.4944728477766518</v>
      </c>
      <c r="M19" s="42"/>
      <c r="N19" s="43"/>
      <c r="O19" s="134">
        <f>IF(P17*O17&gt;0,IF((1/(P17/O17+0.33))&lt;1,1,IF((1/(P17/O17+0.33))&gt;1.5,1.5,1/(P17/O17+0.33))),0)</f>
        <v>1.4600418839381786</v>
      </c>
      <c r="P19" s="42"/>
      <c r="Q19" s="43"/>
      <c r="R19" s="2"/>
    </row>
    <row r="20" spans="1:18" ht="13.5" customHeight="1" x14ac:dyDescent="0.2">
      <c r="A20" s="2"/>
      <c r="B20" s="4"/>
      <c r="C20" s="82" t="s">
        <v>36</v>
      </c>
      <c r="D20" s="83" t="s">
        <v>37</v>
      </c>
      <c r="E20" s="81" t="s">
        <v>38</v>
      </c>
      <c r="F20" s="82" t="s">
        <v>36</v>
      </c>
      <c r="G20" s="83" t="s">
        <v>37</v>
      </c>
      <c r="H20" s="81" t="s">
        <v>38</v>
      </c>
      <c r="I20" s="82" t="s">
        <v>36</v>
      </c>
      <c r="J20" s="83" t="s">
        <v>37</v>
      </c>
      <c r="K20" s="81" t="s">
        <v>38</v>
      </c>
      <c r="L20" s="82" t="s">
        <v>36</v>
      </c>
      <c r="M20" s="83" t="s">
        <v>37</v>
      </c>
      <c r="N20" s="81" t="s">
        <v>38</v>
      </c>
      <c r="O20" s="82" t="s">
        <v>36</v>
      </c>
      <c r="P20" s="83" t="s">
        <v>37</v>
      </c>
      <c r="Q20" s="81" t="s">
        <v>38</v>
      </c>
      <c r="R20" s="2"/>
    </row>
    <row r="21" spans="1:18" ht="13.5" customHeight="1" x14ac:dyDescent="0.2">
      <c r="A21" s="2"/>
      <c r="B21" s="4" t="s">
        <v>56</v>
      </c>
      <c r="C21" s="121">
        <v>4919</v>
      </c>
      <c r="D21" s="121">
        <v>-2372</v>
      </c>
      <c r="E21" s="122">
        <v>-3509</v>
      </c>
      <c r="F21" s="121">
        <v>5059</v>
      </c>
      <c r="G21" s="121">
        <v>-1065</v>
      </c>
      <c r="H21" s="122">
        <v>-3124</v>
      </c>
      <c r="I21" s="121">
        <v>6638</v>
      </c>
      <c r="J21" s="121">
        <v>-3888</v>
      </c>
      <c r="K21" s="122">
        <v>-2567</v>
      </c>
      <c r="L21" s="121">
        <v>7429</v>
      </c>
      <c r="M21" s="121">
        <v>-1465</v>
      </c>
      <c r="N21" s="122">
        <v>-5444</v>
      </c>
      <c r="O21" s="47">
        <f>IF(O48,O48,IF(L48,L48,IF(I48,I48,IF(F48,F48,IF(C48,C48,0)))))</f>
        <v>0</v>
      </c>
      <c r="P21" s="17">
        <f>IF(P48,P48,IF(M48,M48,IF(J48,J48,IF(G48,G48,IF(D48,D48,0)))))</f>
        <v>0</v>
      </c>
      <c r="Q21" s="17">
        <f>IF(Q48,Q48,IF(N48,N48,IF(K48,K48,IF(H48,H48,IF(E48,E48,0)))))</f>
        <v>0</v>
      </c>
      <c r="R21" s="2"/>
    </row>
    <row r="22" spans="1:18" ht="13.5" customHeight="1" x14ac:dyDescent="0.2">
      <c r="A22" s="2"/>
      <c r="B22" s="58" t="s">
        <v>63</v>
      </c>
      <c r="C22" s="108"/>
      <c r="D22" s="123">
        <v>21477</v>
      </c>
      <c r="E22" s="8">
        <f>C21+D21</f>
        <v>2547</v>
      </c>
      <c r="F22" s="108"/>
      <c r="G22" s="123">
        <v>22344</v>
      </c>
      <c r="H22" s="8">
        <f>F21+G21</f>
        <v>3994</v>
      </c>
      <c r="I22" s="108"/>
      <c r="J22" s="123">
        <v>22667</v>
      </c>
      <c r="K22" s="8">
        <f>I21+J21</f>
        <v>2750</v>
      </c>
      <c r="L22" s="108"/>
      <c r="M22" s="123">
        <v>23179</v>
      </c>
      <c r="N22" s="52">
        <f>L21+M21</f>
        <v>5964</v>
      </c>
      <c r="O22" s="108"/>
      <c r="P22" s="107">
        <f>IF(P49,P49,IF(M49,M49,IF(J49,J49,IF(G49,G49,IF(D49,D49,0)))))</f>
        <v>23179</v>
      </c>
      <c r="Q22" s="8">
        <f>O21+P21</f>
        <v>0</v>
      </c>
      <c r="R22" s="2"/>
    </row>
    <row r="23" spans="1:18" ht="4.2" customHeight="1" x14ac:dyDescent="0.2">
      <c r="A23" s="2"/>
      <c r="B23" s="10"/>
      <c r="C23" s="10"/>
      <c r="D23" s="15"/>
      <c r="E23" s="16"/>
      <c r="F23" s="16"/>
      <c r="G23" s="15"/>
      <c r="H23" s="16"/>
      <c r="I23" s="16"/>
      <c r="J23" s="15"/>
      <c r="K23" s="16"/>
      <c r="L23" s="16"/>
      <c r="M23" s="15"/>
      <c r="N23" s="16"/>
      <c r="O23" s="2"/>
      <c r="P23" s="2"/>
      <c r="Q23" s="2"/>
      <c r="R23" s="2"/>
    </row>
    <row r="24" spans="1:18" ht="13.95" customHeight="1" x14ac:dyDescent="0.2">
      <c r="A24" s="2"/>
      <c r="B24" s="4"/>
      <c r="C24" s="82" t="s">
        <v>76</v>
      </c>
      <c r="D24" s="83" t="s">
        <v>77</v>
      </c>
      <c r="E24" s="81" t="s">
        <v>78</v>
      </c>
      <c r="F24" s="82" t="s">
        <v>76</v>
      </c>
      <c r="G24" s="83" t="s">
        <v>77</v>
      </c>
      <c r="H24" s="81" t="s">
        <v>78</v>
      </c>
      <c r="I24" s="82" t="s">
        <v>76</v>
      </c>
      <c r="J24" s="83" t="s">
        <v>77</v>
      </c>
      <c r="K24" s="81" t="s">
        <v>78</v>
      </c>
      <c r="L24" s="82" t="s">
        <v>76</v>
      </c>
      <c r="M24" s="83" t="s">
        <v>77</v>
      </c>
      <c r="N24" s="81" t="s">
        <v>78</v>
      </c>
      <c r="O24" s="82" t="s">
        <v>76</v>
      </c>
      <c r="P24" s="83" t="s">
        <v>77</v>
      </c>
      <c r="Q24" s="81" t="s">
        <v>78</v>
      </c>
      <c r="R24" s="2"/>
    </row>
    <row r="25" spans="1:18" ht="13.95" customHeight="1" x14ac:dyDescent="0.2">
      <c r="A25" s="2"/>
      <c r="B25" s="4" t="s">
        <v>78</v>
      </c>
      <c r="C25" s="17">
        <f>D18*0.8</f>
        <v>324.48084361561899</v>
      </c>
      <c r="D25" s="17">
        <f>IF(C19&gt;0,IF(D10&gt;0,IF(D14*C17,D14*(D10*0.7/C17*150),0),0)*C19,0)</f>
        <v>87.37795139068993</v>
      </c>
      <c r="E25" s="44">
        <f>C25+D25</f>
        <v>411.85879500630892</v>
      </c>
      <c r="F25" s="17">
        <f>G18*0.8</f>
        <v>343.79065194373015</v>
      </c>
      <c r="G25" s="17">
        <f>IF(F19&gt;0,IF(G10&gt;0,IF(G14*F17,G14*(G10*0.7/F17*150),0),0)*F19,0)</f>
        <v>97.963314226085714</v>
      </c>
      <c r="H25" s="44">
        <f>F25+G25</f>
        <v>441.75396616981584</v>
      </c>
      <c r="I25" s="17">
        <f>J18*0.8</f>
        <v>359.27134429630269</v>
      </c>
      <c r="J25" s="17">
        <f>IF(I19&gt;0,IF(J10&gt;0,IF(J14*I17,J14*(J10*0.7/I17*150),0),0)*I19,0)</f>
        <v>121.99216977386175</v>
      </c>
      <c r="K25" s="44">
        <f>I25+J25</f>
        <v>481.26351407016443</v>
      </c>
      <c r="L25" s="17">
        <f>M18*0.8</f>
        <v>376.25602351059922</v>
      </c>
      <c r="M25" s="17">
        <f>IF(L19&gt;0,IF(M10&gt;0,IF(M14*L17,M14*(M10*0.7/L17*150),0),0)*L19,0)</f>
        <v>137.26462729355569</v>
      </c>
      <c r="N25" s="44">
        <f>L25+M25</f>
        <v>513.52065080415491</v>
      </c>
      <c r="O25" s="17">
        <f>P18*0.8</f>
        <v>395.02992847418807</v>
      </c>
      <c r="P25" s="17">
        <f>IF(O19&gt;0,IF(P10&gt;0,IF(P14*O17,P14*(P10*0.7/O17*150),0),0)*O19,0)</f>
        <v>84.366381839355739</v>
      </c>
      <c r="Q25" s="44">
        <f>O25+P25</f>
        <v>479.39631031354384</v>
      </c>
      <c r="R25" s="2"/>
    </row>
    <row r="26" spans="1:18" x14ac:dyDescent="0.2">
      <c r="A26" s="2"/>
      <c r="B26" s="4" t="s">
        <v>95</v>
      </c>
      <c r="C26" s="19">
        <f>DATE(LEFT(C4,4),LEFT(D4,LEN(D4)-2)+1,0)</f>
        <v>43496</v>
      </c>
      <c r="D26" s="118">
        <v>318</v>
      </c>
      <c r="E26" s="131">
        <f>IF(E25,D26/E25,0)</f>
        <v>0.77210928564759396</v>
      </c>
      <c r="F26" s="19">
        <f>DATE(LEFT(F4,4),LEFT(G4,LEN(G4)-2)+1,0)</f>
        <v>43861</v>
      </c>
      <c r="G26" s="118">
        <v>366</v>
      </c>
      <c r="H26" s="131">
        <f>IF(H25,G26/H25,0)</f>
        <v>0.82851548153232646</v>
      </c>
      <c r="I26" s="19">
        <f>DATE(LEFT(I4,4),LEFT(J4,LEN(J4)-2)+1,0)</f>
        <v>44227</v>
      </c>
      <c r="J26" s="118">
        <v>370</v>
      </c>
      <c r="K26" s="131">
        <f>IF(K25,J26/K25,0)</f>
        <v>0.76880957974731678</v>
      </c>
      <c r="L26" s="19">
        <f>DATE(LEFT(L4,4),LEFT(M4,LEN(M4)-2)+1,0)</f>
        <v>44592</v>
      </c>
      <c r="M26" s="118">
        <v>359</v>
      </c>
      <c r="N26" s="131">
        <f>IF(N25,M26/N25,0)</f>
        <v>0.69909554647475014</v>
      </c>
      <c r="O26" s="19">
        <f ca="1">IF(P53,O53,TODAY())</f>
        <v>45230</v>
      </c>
      <c r="P26" s="8">
        <f>IF(P53,P53,IF(M53,M53,IF(J53,J53,IF(G53,G53,IF(D53,D53,0)))))</f>
        <v>359</v>
      </c>
      <c r="Q26" s="131">
        <f>IF(Q25,P26/Q25,0)</f>
        <v>0.74885849614737343</v>
      </c>
      <c r="R26" s="2"/>
    </row>
    <row r="27" spans="1:18" ht="6.75" customHeight="1" x14ac:dyDescent="0.2">
      <c r="A27" s="2"/>
      <c r="B27" s="10"/>
      <c r="C27" s="10"/>
      <c r="D27" s="15"/>
      <c r="E27" s="16"/>
      <c r="F27" s="16"/>
      <c r="G27" s="15"/>
      <c r="H27" s="16"/>
      <c r="I27" s="16"/>
      <c r="J27" s="15"/>
      <c r="K27" s="16"/>
      <c r="L27" s="16"/>
      <c r="M27" s="15"/>
      <c r="N27" s="16"/>
      <c r="O27" s="2"/>
      <c r="P27" s="2"/>
      <c r="Q27" s="2"/>
      <c r="R27" s="2"/>
    </row>
    <row r="28" spans="1:18" x14ac:dyDescent="0.2">
      <c r="A28" s="2" t="s">
        <v>69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">
      <c r="A29" s="2"/>
      <c r="B29" s="4"/>
      <c r="C29" s="5" t="s">
        <v>57</v>
      </c>
      <c r="D29" s="76"/>
      <c r="E29" s="41" t="s">
        <v>10</v>
      </c>
      <c r="F29" s="55" t="s">
        <v>81</v>
      </c>
      <c r="G29" s="56" t="str">
        <f>IF(G30&gt;0,IF(G32&gt;D32,"上方修正",IF(G32&lt;D32,"下方修正","据え置き")),"")</f>
        <v/>
      </c>
      <c r="H29" s="57" t="s">
        <v>10</v>
      </c>
      <c r="I29" s="66" t="s">
        <v>82</v>
      </c>
      <c r="J29" s="67" t="str">
        <f>IF(J30&gt;0,IF(J32&gt;G32,"上方修正",IF(J32&lt;G32,"下方修正","据え置き")),"")</f>
        <v/>
      </c>
      <c r="K29" s="68" t="s">
        <v>10</v>
      </c>
      <c r="L29" s="69" t="s">
        <v>83</v>
      </c>
      <c r="M29" s="70" t="str">
        <f>IF(M30&gt;0,IF(M32&gt;J32,"上方修正",IF(M32&lt;J32,"下方修正","据え置き")),"")</f>
        <v/>
      </c>
      <c r="N29" s="71" t="s">
        <v>10</v>
      </c>
      <c r="O29" s="72" t="s">
        <v>58</v>
      </c>
      <c r="P29" s="73" t="str">
        <f>IF(P30&gt;0,IF(P32&gt;M32,"上方修正",IF(P32&lt;M32,"下方修正","据え置き")),"")</f>
        <v>上方修正</v>
      </c>
      <c r="Q29" s="74" t="s">
        <v>10</v>
      </c>
      <c r="R29" s="2"/>
    </row>
    <row r="30" spans="1:18" x14ac:dyDescent="0.2">
      <c r="A30" s="2"/>
      <c r="B30" s="58" t="s">
        <v>0</v>
      </c>
      <c r="C30" s="124"/>
      <c r="D30" s="115"/>
      <c r="E30" s="18">
        <f>IF($M5,D30/$M5,"-")</f>
        <v>0</v>
      </c>
      <c r="F30" s="124"/>
      <c r="G30" s="115"/>
      <c r="H30" s="18">
        <f>IF($M5,G30/$M5,"-")</f>
        <v>0</v>
      </c>
      <c r="I30" s="124"/>
      <c r="J30" s="115"/>
      <c r="K30" s="18">
        <f>IF($M5,J30/$M5,"-")</f>
        <v>0</v>
      </c>
      <c r="L30" s="59"/>
      <c r="M30" s="113"/>
      <c r="N30" s="18">
        <f>IF($M5,M30/$M5,"-")</f>
        <v>0</v>
      </c>
      <c r="O30" s="77"/>
      <c r="P30" s="115">
        <v>162799</v>
      </c>
      <c r="Q30" s="18">
        <f>IF($M5,P30/$M5,"-")</f>
        <v>0.93372143041495803</v>
      </c>
      <c r="R30" s="2"/>
    </row>
    <row r="31" spans="1:18" x14ac:dyDescent="0.2">
      <c r="A31" s="2"/>
      <c r="B31" s="58" t="s">
        <v>5</v>
      </c>
      <c r="C31" s="125"/>
      <c r="D31" s="114"/>
      <c r="E31" s="18">
        <f>IF($M10&gt;0,D31/$M10,"-")</f>
        <v>0</v>
      </c>
      <c r="F31" s="125"/>
      <c r="G31" s="114"/>
      <c r="H31" s="18">
        <f>IF($M10&gt;0,G31/$M10,"-")</f>
        <v>0</v>
      </c>
      <c r="I31" s="125"/>
      <c r="J31" s="114"/>
      <c r="K31" s="18">
        <f>IF($M10&gt;0,J31/$M10,"-")</f>
        <v>0</v>
      </c>
      <c r="L31" s="60"/>
      <c r="M31" s="114"/>
      <c r="N31" s="18">
        <f>IF($M10&gt;0,M31/$M10,"-")</f>
        <v>0</v>
      </c>
      <c r="O31" s="51"/>
      <c r="P31" s="114">
        <v>3061</v>
      </c>
      <c r="Q31" s="18">
        <f>IF($M10&gt;0,P31/$M10,"-")</f>
        <v>0.79444588632234625</v>
      </c>
      <c r="R31" s="2"/>
    </row>
    <row r="32" spans="1:18" x14ac:dyDescent="0.2">
      <c r="A32" s="2"/>
      <c r="B32" s="61" t="s">
        <v>6</v>
      </c>
      <c r="C32" s="126"/>
      <c r="D32" s="113"/>
      <c r="E32" s="18">
        <f>IF($M11&gt;0,D32/$M11,"-")</f>
        <v>0</v>
      </c>
      <c r="F32" s="126"/>
      <c r="G32" s="113"/>
      <c r="H32" s="18">
        <f>IF($M11&gt;0,G32/$M11,"-")</f>
        <v>0</v>
      </c>
      <c r="I32" s="126"/>
      <c r="J32" s="113"/>
      <c r="K32" s="18">
        <f>IF($M11&gt;0,J32/$M11,"-")</f>
        <v>0</v>
      </c>
      <c r="L32" s="62"/>
      <c r="M32" s="112"/>
      <c r="N32" s="18">
        <f>IF($M11&gt;0,M32/$M11,"-")</f>
        <v>0</v>
      </c>
      <c r="O32" s="75"/>
      <c r="P32" s="113">
        <v>1773</v>
      </c>
      <c r="Q32" s="18">
        <f>IF($M11&gt;0,P32/$M11,"-")</f>
        <v>0.79222520107238603</v>
      </c>
      <c r="R32" s="2"/>
    </row>
    <row r="33" spans="1:18" ht="6.6" customHeight="1" x14ac:dyDescent="0.2">
      <c r="A33" s="2"/>
      <c r="B33" s="92"/>
      <c r="C33" s="93"/>
      <c r="D33" s="78"/>
      <c r="E33" s="94"/>
      <c r="F33" s="93"/>
      <c r="G33" s="78"/>
      <c r="H33" s="94"/>
      <c r="I33" s="93"/>
      <c r="J33" s="78"/>
      <c r="K33" s="94"/>
      <c r="L33" s="93"/>
      <c r="M33" s="78"/>
      <c r="N33" s="94"/>
      <c r="O33" s="93"/>
      <c r="P33" s="78"/>
      <c r="Q33" s="94"/>
      <c r="R33" s="2"/>
    </row>
    <row r="34" spans="1:18" ht="13.2" customHeight="1" x14ac:dyDescent="0.2">
      <c r="A34" s="2" t="s">
        <v>67</v>
      </c>
      <c r="B34" s="10"/>
      <c r="C34" s="11"/>
      <c r="D34" s="12"/>
      <c r="E34" s="43"/>
      <c r="F34" s="11"/>
      <c r="G34" s="12"/>
      <c r="H34" s="43"/>
      <c r="I34" s="11"/>
      <c r="J34" s="12"/>
      <c r="K34" s="43"/>
      <c r="L34" s="11"/>
      <c r="M34" s="12"/>
      <c r="N34" s="43"/>
      <c r="O34" s="11"/>
      <c r="P34" s="12"/>
      <c r="Q34" s="43"/>
      <c r="R34" s="2"/>
    </row>
    <row r="35" spans="1:18" ht="13.2" customHeight="1" x14ac:dyDescent="0.2">
      <c r="A35" s="2"/>
      <c r="B35" s="4"/>
      <c r="C35" s="5" t="s">
        <v>57</v>
      </c>
      <c r="D35" s="76"/>
      <c r="E35" s="41" t="s">
        <v>10</v>
      </c>
      <c r="F35" s="55" t="s">
        <v>84</v>
      </c>
      <c r="G35" s="85"/>
      <c r="H35" s="86" t="s">
        <v>59</v>
      </c>
      <c r="I35" s="66" t="s">
        <v>64</v>
      </c>
      <c r="J35" s="87"/>
      <c r="K35" s="21" t="s">
        <v>59</v>
      </c>
      <c r="L35" s="69" t="s">
        <v>65</v>
      </c>
      <c r="M35" s="88"/>
      <c r="N35" s="20" t="s">
        <v>59</v>
      </c>
      <c r="O35" s="72" t="s">
        <v>66</v>
      </c>
      <c r="P35" s="89"/>
      <c r="Q35" s="74" t="s">
        <v>59</v>
      </c>
      <c r="R35" s="2"/>
    </row>
    <row r="36" spans="1:18" ht="13.2" customHeight="1" x14ac:dyDescent="0.2">
      <c r="A36" s="2"/>
      <c r="B36" s="58" t="s">
        <v>0</v>
      </c>
      <c r="C36" s="7"/>
      <c r="D36" s="8"/>
      <c r="E36" s="8"/>
      <c r="F36" s="91">
        <f>IF(F30,G36/F30,0)</f>
        <v>0</v>
      </c>
      <c r="G36" s="112">
        <v>46005</v>
      </c>
      <c r="H36" s="18">
        <f>IF(G30,G36/G30,0)</f>
        <v>0</v>
      </c>
      <c r="I36" s="91">
        <f>IF(I30,J36/I30,0)</f>
        <v>0</v>
      </c>
      <c r="J36" s="112">
        <v>83935</v>
      </c>
      <c r="K36" s="18">
        <f>IF(J30,J36/J30,0)</f>
        <v>0</v>
      </c>
      <c r="L36" s="91"/>
      <c r="M36" s="112">
        <v>122543</v>
      </c>
      <c r="N36" s="18">
        <f>IF(M30,M36/M30,0)</f>
        <v>0</v>
      </c>
      <c r="O36" s="105"/>
      <c r="P36" s="112">
        <v>162799</v>
      </c>
      <c r="Q36" s="18">
        <f>IF(P30,P36/P30,0)</f>
        <v>1</v>
      </c>
      <c r="R36" s="2"/>
    </row>
    <row r="37" spans="1:18" ht="13.2" customHeight="1" x14ac:dyDescent="0.2">
      <c r="A37" s="2"/>
      <c r="B37" s="58" t="s">
        <v>5</v>
      </c>
      <c r="C37" s="7"/>
      <c r="D37" s="8"/>
      <c r="E37" s="8"/>
      <c r="F37" s="91">
        <f>IF(F31,G37/F31,0)</f>
        <v>0</v>
      </c>
      <c r="G37" s="114">
        <v>2077</v>
      </c>
      <c r="H37" s="18">
        <f>IF(G31,G37/G31,0)</f>
        <v>0</v>
      </c>
      <c r="I37" s="91">
        <f>IF(I31,J37/I31,0)</f>
        <v>0</v>
      </c>
      <c r="J37" s="114">
        <v>1595</v>
      </c>
      <c r="K37" s="18">
        <f>IF(J31,J37/J31,0)</f>
        <v>0</v>
      </c>
      <c r="L37" s="91"/>
      <c r="M37" s="114">
        <v>1827</v>
      </c>
      <c r="N37" s="18">
        <f>IF(M31,M37/M31,0)</f>
        <v>0</v>
      </c>
      <c r="O37" s="106"/>
      <c r="P37" s="114">
        <v>3061</v>
      </c>
      <c r="Q37" s="18">
        <f>IF(P31,P37/P31,0)</f>
        <v>1</v>
      </c>
      <c r="R37" s="2"/>
    </row>
    <row r="38" spans="1:18" ht="13.2" customHeight="1" x14ac:dyDescent="0.2">
      <c r="A38" s="2"/>
      <c r="B38" s="58" t="s">
        <v>6</v>
      </c>
      <c r="C38" s="7"/>
      <c r="D38" s="8"/>
      <c r="E38" s="8"/>
      <c r="F38" s="91">
        <f>IF(F32,G38/F32,0)</f>
        <v>0</v>
      </c>
      <c r="G38" s="115">
        <v>1428</v>
      </c>
      <c r="H38" s="18">
        <f>IF(G32,G38/G32,0)</f>
        <v>0</v>
      </c>
      <c r="I38" s="91">
        <f>IF(I32,J38/I32,0)</f>
        <v>0</v>
      </c>
      <c r="J38" s="115">
        <v>925</v>
      </c>
      <c r="K38" s="18">
        <f>IF(J32,J38/J32,0)</f>
        <v>0</v>
      </c>
      <c r="L38" s="91"/>
      <c r="M38" s="115">
        <v>1037</v>
      </c>
      <c r="N38" s="18">
        <f>IF(M32,M38/M32,0)</f>
        <v>0</v>
      </c>
      <c r="O38" s="90"/>
      <c r="P38" s="115">
        <v>1773</v>
      </c>
      <c r="Q38" s="18">
        <f>IF(P32,P38/P32,0)</f>
        <v>1</v>
      </c>
      <c r="R38" s="2"/>
    </row>
    <row r="39" spans="1:18" ht="4.2" customHeight="1" x14ac:dyDescent="0.2">
      <c r="A39" s="2"/>
      <c r="B39" s="95"/>
      <c r="C39" s="96"/>
      <c r="D39" s="14"/>
      <c r="E39" s="97"/>
      <c r="F39" s="96"/>
      <c r="G39" s="128"/>
      <c r="H39" s="97"/>
      <c r="I39" s="96"/>
      <c r="J39" s="128"/>
      <c r="K39" s="97"/>
      <c r="L39" s="96"/>
      <c r="M39" s="128"/>
      <c r="N39" s="97"/>
      <c r="O39" s="96"/>
      <c r="P39" s="128"/>
      <c r="Q39" s="97"/>
      <c r="R39" s="2"/>
    </row>
    <row r="40" spans="1:18" x14ac:dyDescent="0.2">
      <c r="A40" s="2"/>
      <c r="B40" s="4" t="s">
        <v>7</v>
      </c>
      <c r="C40" s="51"/>
      <c r="D40" s="52">
        <f>M13</f>
        <v>92554</v>
      </c>
      <c r="E40" s="33" t="s">
        <v>97</v>
      </c>
      <c r="F40" s="53"/>
      <c r="G40" s="117">
        <v>92554</v>
      </c>
      <c r="H40" s="33" t="str">
        <f>E40</f>
        <v>千株</v>
      </c>
      <c r="I40" s="53"/>
      <c r="J40" s="117">
        <v>92554</v>
      </c>
      <c r="K40" s="33" t="str">
        <f>H40</f>
        <v>千株</v>
      </c>
      <c r="L40" s="53"/>
      <c r="M40" s="114">
        <v>92554</v>
      </c>
      <c r="N40" s="33" t="str">
        <f>K40</f>
        <v>千株</v>
      </c>
      <c r="O40" s="53"/>
      <c r="P40" s="114">
        <v>92554</v>
      </c>
      <c r="Q40" s="33" t="str">
        <f>N40</f>
        <v>千株</v>
      </c>
      <c r="R40" s="2"/>
    </row>
    <row r="41" spans="1:18" x14ac:dyDescent="0.2">
      <c r="B41" s="4" t="s">
        <v>96</v>
      </c>
      <c r="C41" s="132"/>
      <c r="D41" s="133">
        <f>IF(D40,D31*1000*0.7/D40,0)</f>
        <v>0</v>
      </c>
      <c r="E41" s="54">
        <f>IF(D41,D53/D41,0)</f>
        <v>0</v>
      </c>
      <c r="F41" s="132"/>
      <c r="G41" s="133">
        <f>IF(G40,G31*1000*0.7/G40,0)</f>
        <v>0</v>
      </c>
      <c r="H41" s="54">
        <f>IF(G41,G53/G41,0)</f>
        <v>0</v>
      </c>
      <c r="I41" s="132"/>
      <c r="J41" s="133">
        <f>IF(J40,J31*1000*0.7/J40,0)</f>
        <v>0</v>
      </c>
      <c r="K41" s="54">
        <f>IF(J41,J53/J41,0)</f>
        <v>0</v>
      </c>
      <c r="L41" s="132"/>
      <c r="M41" s="133">
        <f>IF(M40,M31*1000*0.7/M40,0)</f>
        <v>0</v>
      </c>
      <c r="N41" s="54">
        <f>IF(M41,M53/M41,0)</f>
        <v>0</v>
      </c>
      <c r="O41" s="132"/>
      <c r="P41" s="133">
        <f>IF(P40,P31*1000*0.7/P40,0)</f>
        <v>23.150809257298441</v>
      </c>
      <c r="Q41" s="54">
        <f>IF(P41,P53/P41,0)</f>
        <v>0</v>
      </c>
    </row>
    <row r="42" spans="1:18" ht="4.2" customHeight="1" x14ac:dyDescent="0.2">
      <c r="A42" s="2"/>
      <c r="B42" s="63"/>
      <c r="C42" s="64"/>
      <c r="D42" s="52"/>
      <c r="E42" s="65"/>
      <c r="F42" s="64"/>
      <c r="G42" s="52"/>
      <c r="H42" s="65"/>
      <c r="I42" s="64"/>
      <c r="J42" s="52"/>
      <c r="K42" s="65"/>
      <c r="L42" s="64"/>
      <c r="M42" s="52"/>
      <c r="N42" s="65"/>
      <c r="O42" s="64"/>
      <c r="P42" s="52"/>
      <c r="Q42" s="65"/>
      <c r="R42" s="2"/>
    </row>
    <row r="43" spans="1:18" x14ac:dyDescent="0.2">
      <c r="A43" s="2"/>
      <c r="B43" s="4"/>
      <c r="C43" s="98" t="s">
        <v>33</v>
      </c>
      <c r="D43" s="41" t="s">
        <v>34</v>
      </c>
      <c r="E43" s="99" t="s">
        <v>35</v>
      </c>
      <c r="F43" s="100" t="s">
        <v>33</v>
      </c>
      <c r="G43" s="57" t="s">
        <v>34</v>
      </c>
      <c r="H43" s="86" t="s">
        <v>35</v>
      </c>
      <c r="I43" s="101" t="s">
        <v>33</v>
      </c>
      <c r="J43" s="68" t="s">
        <v>34</v>
      </c>
      <c r="K43" s="21" t="s">
        <v>35</v>
      </c>
      <c r="L43" s="102" t="s">
        <v>33</v>
      </c>
      <c r="M43" s="71" t="s">
        <v>34</v>
      </c>
      <c r="N43" s="20" t="s">
        <v>35</v>
      </c>
      <c r="O43" s="103" t="s">
        <v>33</v>
      </c>
      <c r="P43" s="104" t="s">
        <v>34</v>
      </c>
      <c r="Q43" s="74" t="s">
        <v>35</v>
      </c>
      <c r="R43" s="2"/>
    </row>
    <row r="44" spans="1:18" x14ac:dyDescent="0.2">
      <c r="A44" s="2"/>
      <c r="B44" s="4" t="s">
        <v>54</v>
      </c>
      <c r="C44" s="47">
        <f>L17</f>
        <v>128357</v>
      </c>
      <c r="D44" s="47">
        <f>M17</f>
        <v>43530</v>
      </c>
      <c r="E44" s="44">
        <f>C44-D44</f>
        <v>84827</v>
      </c>
      <c r="F44" s="121">
        <v>134385</v>
      </c>
      <c r="G44" s="121">
        <v>44215</v>
      </c>
      <c r="H44" s="44">
        <f>F44-G44</f>
        <v>90170</v>
      </c>
      <c r="I44" s="121">
        <v>123934</v>
      </c>
      <c r="J44" s="121">
        <v>44267</v>
      </c>
      <c r="K44" s="44">
        <f>I44-J44</f>
        <v>79667</v>
      </c>
      <c r="L44" s="121">
        <v>122558</v>
      </c>
      <c r="M44" s="121">
        <v>44649</v>
      </c>
      <c r="N44" s="44">
        <f>L44-M44</f>
        <v>77909</v>
      </c>
      <c r="O44" s="121">
        <v>128770</v>
      </c>
      <c r="P44" s="121">
        <v>45702</v>
      </c>
      <c r="Q44" s="44">
        <f>O44-P44</f>
        <v>83068</v>
      </c>
      <c r="R44" s="2"/>
    </row>
    <row r="45" spans="1:18" x14ac:dyDescent="0.2">
      <c r="A45" s="2"/>
      <c r="B45" s="4" t="s">
        <v>55</v>
      </c>
      <c r="C45" s="49">
        <f>IF(C44,D44/C44,0)</f>
        <v>0.33913226392016016</v>
      </c>
      <c r="D45" s="8">
        <f>IF(D40,D44/D40*1000,0)</f>
        <v>470.320029388249</v>
      </c>
      <c r="E45" s="54">
        <f>IF(D45,D40/D45,0)</f>
        <v>196.78940767286929</v>
      </c>
      <c r="F45" s="49">
        <f>IF(F44,G44/F44,0)</f>
        <v>0.32901737545112925</v>
      </c>
      <c r="G45" s="8">
        <f>IF(G40,G44/G40*1000,0)</f>
        <v>477.72111416038206</v>
      </c>
      <c r="H45" s="54">
        <f>IF(G45,G40/G45,0)</f>
        <v>193.74065172452788</v>
      </c>
      <c r="I45" s="49">
        <f>IF(I44,J44/I44,0)</f>
        <v>0.35718204850969065</v>
      </c>
      <c r="J45" s="8">
        <f>IF(J40,J44/J40*1000,0)</f>
        <v>478.28294833286515</v>
      </c>
      <c r="K45" s="54">
        <f>IF(J45,J40/J45,0)</f>
        <v>193.51306652811348</v>
      </c>
      <c r="L45" s="49">
        <f>IF(L44,M44/L44,0)</f>
        <v>0.36430914342596976</v>
      </c>
      <c r="M45" s="8">
        <f>IF(M40,M44/M40*1000,0)</f>
        <v>482.41026859995247</v>
      </c>
      <c r="N45" s="54">
        <f>IF(M45,M40/M45,0)</f>
        <v>191.85744173441734</v>
      </c>
      <c r="O45" s="49">
        <f>IF(O44,P44/O44,0)</f>
        <v>0.35491185835210065</v>
      </c>
      <c r="P45" s="8">
        <f>IF(P40,P44/P40*1000,0)</f>
        <v>493.78741059273506</v>
      </c>
      <c r="Q45" s="54">
        <f>IF(P45,P40/P45,0)</f>
        <v>187.43693746444356</v>
      </c>
      <c r="R45" s="2"/>
    </row>
    <row r="46" spans="1:18" ht="4.2" customHeight="1" x14ac:dyDescent="0.2">
      <c r="A46" s="2"/>
      <c r="B46" s="63"/>
      <c r="C46" s="134">
        <f>IF(D44*C44&gt;0,IF((1/(D44/C44+0.33))&lt;1,1,IF((1/(D44/C44+0.33))&gt;1.5,1.5,1/(D44/C44+0.33))),0)</f>
        <v>1.4944728477766518</v>
      </c>
      <c r="D46" s="52"/>
      <c r="E46" s="65"/>
      <c r="F46" s="134">
        <f>IF(G44*F44&gt;0,IF((1/(G44/F44+0.33))&lt;1,1,IF((1/(G44/F44+0.33))&gt;1.5,1.5,1/(G44/F44+0.33))),0)</f>
        <v>1.5</v>
      </c>
      <c r="G46" s="52"/>
      <c r="H46" s="65"/>
      <c r="I46" s="134">
        <f>IF(J44*I44&gt;0,IF((1/(J44/I44+0.33))&lt;1,1,IF((1/(J44/I44+0.33))&gt;1.5,1.5,1/(J44/I44+0.33))),0)</f>
        <v>1.4552184565483421</v>
      </c>
      <c r="J46" s="52"/>
      <c r="K46" s="65"/>
      <c r="L46" s="134">
        <f>IF(M44*L44&gt;0,IF((1/(M44/L44+0.33))&lt;1,1,IF((1/(M44/L44+0.33))&gt;1.5,1.5,1/(M44/L44+0.33))),0)</f>
        <v>1.440280614865076</v>
      </c>
      <c r="M46" s="52"/>
      <c r="N46" s="65"/>
      <c r="O46" s="134">
        <f>IF(P44*O44&gt;0,IF((1/(P44/O44+0.33))&lt;1,1,IF((1/(P44/O44+0.33))&gt;1.5,1.5,1/(P44/O44+0.33))),0)</f>
        <v>1.4600418839381786</v>
      </c>
      <c r="P46" s="52"/>
      <c r="Q46" s="65"/>
      <c r="R46" s="2"/>
    </row>
    <row r="47" spans="1:18" x14ac:dyDescent="0.2">
      <c r="A47" s="2"/>
      <c r="B47" s="4"/>
      <c r="C47" s="98" t="s">
        <v>36</v>
      </c>
      <c r="D47" s="41" t="s">
        <v>37</v>
      </c>
      <c r="E47" s="99" t="s">
        <v>38</v>
      </c>
      <c r="F47" s="100" t="s">
        <v>36</v>
      </c>
      <c r="G47" s="57" t="s">
        <v>37</v>
      </c>
      <c r="H47" s="86" t="s">
        <v>38</v>
      </c>
      <c r="I47" s="101" t="s">
        <v>36</v>
      </c>
      <c r="J47" s="68" t="s">
        <v>37</v>
      </c>
      <c r="K47" s="21" t="s">
        <v>38</v>
      </c>
      <c r="L47" s="102" t="s">
        <v>36</v>
      </c>
      <c r="M47" s="71" t="s">
        <v>37</v>
      </c>
      <c r="N47" s="20" t="s">
        <v>38</v>
      </c>
      <c r="O47" s="103" t="s">
        <v>36</v>
      </c>
      <c r="P47" s="104" t="s">
        <v>37</v>
      </c>
      <c r="Q47" s="74" t="s">
        <v>38</v>
      </c>
      <c r="R47" s="2"/>
    </row>
    <row r="48" spans="1:18" x14ac:dyDescent="0.2">
      <c r="A48" s="2"/>
      <c r="B48" s="4" t="s">
        <v>56</v>
      </c>
      <c r="C48" s="17"/>
      <c r="D48" s="17"/>
      <c r="E48" s="17"/>
      <c r="F48" s="121"/>
      <c r="G48" s="121"/>
      <c r="H48" s="122"/>
      <c r="I48" s="121"/>
      <c r="J48" s="121"/>
      <c r="K48" s="122"/>
      <c r="L48" s="121"/>
      <c r="M48" s="121"/>
      <c r="N48" s="122"/>
      <c r="O48" s="121"/>
      <c r="P48" s="121"/>
      <c r="Q48" s="122"/>
      <c r="R48" s="2"/>
    </row>
    <row r="49" spans="1:18" x14ac:dyDescent="0.2">
      <c r="A49" s="2"/>
      <c r="B49" s="58" t="s">
        <v>63</v>
      </c>
      <c r="C49" s="108"/>
      <c r="D49" s="107">
        <f>M22</f>
        <v>23179</v>
      </c>
      <c r="E49" s="8">
        <f>C48+D48</f>
        <v>0</v>
      </c>
      <c r="F49" s="108"/>
      <c r="G49" s="123"/>
      <c r="H49" s="8">
        <f>F48+G48</f>
        <v>0</v>
      </c>
      <c r="I49" s="108"/>
      <c r="J49" s="123"/>
      <c r="K49" s="8">
        <f>I48+J48</f>
        <v>0</v>
      </c>
      <c r="L49" s="108"/>
      <c r="M49" s="123"/>
      <c r="N49" s="8">
        <f>L48+M48</f>
        <v>0</v>
      </c>
      <c r="O49" s="108"/>
      <c r="P49" s="123"/>
      <c r="Q49" s="8">
        <f>O48+P48</f>
        <v>0</v>
      </c>
      <c r="R49" s="2"/>
    </row>
    <row r="50" spans="1:18" ht="3.6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3.2" customHeight="1" x14ac:dyDescent="0.2">
      <c r="A51" s="2"/>
      <c r="B51" s="4"/>
      <c r="C51" s="98" t="s">
        <v>76</v>
      </c>
      <c r="D51" s="41" t="s">
        <v>77</v>
      </c>
      <c r="E51" s="99" t="s">
        <v>78</v>
      </c>
      <c r="F51" s="100" t="s">
        <v>76</v>
      </c>
      <c r="G51" s="57" t="s">
        <v>77</v>
      </c>
      <c r="H51" s="86" t="s">
        <v>78</v>
      </c>
      <c r="I51" s="101" t="s">
        <v>76</v>
      </c>
      <c r="J51" s="68" t="s">
        <v>77</v>
      </c>
      <c r="K51" s="21" t="s">
        <v>78</v>
      </c>
      <c r="L51" s="102" t="s">
        <v>76</v>
      </c>
      <c r="M51" s="71" t="s">
        <v>77</v>
      </c>
      <c r="N51" s="20" t="s">
        <v>78</v>
      </c>
      <c r="O51" s="103" t="s">
        <v>76</v>
      </c>
      <c r="P51" s="104" t="s">
        <v>77</v>
      </c>
      <c r="Q51" s="74" t="s">
        <v>78</v>
      </c>
      <c r="R51" s="2"/>
    </row>
    <row r="52" spans="1:18" x14ac:dyDescent="0.2">
      <c r="B52" s="4" t="s">
        <v>78</v>
      </c>
      <c r="C52" s="17">
        <f>D45*0.8</f>
        <v>376.25602351059922</v>
      </c>
      <c r="D52" s="17">
        <f>IF(C46&gt;0,IF(D31&gt;0,IF(D41*C44,D41*(D31*0.7/C44*150),0),0)*C46,0)</f>
        <v>0</v>
      </c>
      <c r="E52" s="44">
        <f>C52+D52</f>
        <v>376.25602351059922</v>
      </c>
      <c r="F52" s="17">
        <f>G45*0.8</f>
        <v>382.17689132830566</v>
      </c>
      <c r="G52" s="17">
        <f>IF(F46&gt;0,IF(G31&gt;0,IF(G41*F44,G41*(G31*0.7/F44*150),0),0)*F46,0)</f>
        <v>0</v>
      </c>
      <c r="H52" s="44">
        <f>F52+G52</f>
        <v>382.17689132830566</v>
      </c>
      <c r="I52" s="17">
        <f>J45*0.8</f>
        <v>382.62635866629216</v>
      </c>
      <c r="J52" s="17">
        <f>IF(I46&gt;0,IF(J31&gt;0,IF(J41*I44,J41*(J31*0.7/I44*150),0),0)*I46,0)</f>
        <v>0</v>
      </c>
      <c r="K52" s="44">
        <f>I52+J52</f>
        <v>382.62635866629216</v>
      </c>
      <c r="L52" s="17">
        <f>M45*0.8</f>
        <v>385.92821487996201</v>
      </c>
      <c r="M52" s="17">
        <f>IF(L46&gt;0,IF(M31&gt;0,IF(M41*L44,M41*(M31*0.7/L44*150),0),0)*L46,0)</f>
        <v>0</v>
      </c>
      <c r="N52" s="44">
        <f>L52+M52</f>
        <v>385.92821487996201</v>
      </c>
      <c r="O52" s="17">
        <f>P45*0.8</f>
        <v>395.02992847418807</v>
      </c>
      <c r="P52" s="17">
        <f>IF(O46&gt;0,IF(P31&gt;0,IF(P41*O44,P41*(P31*0.7/O44*150),0),0)*O46,0)</f>
        <v>84.366381839355739</v>
      </c>
      <c r="Q52" s="44">
        <f>O52+P52</f>
        <v>479.39631031354384</v>
      </c>
    </row>
    <row r="53" spans="1:18" x14ac:dyDescent="0.2">
      <c r="A53" s="2"/>
      <c r="B53" s="4" t="s">
        <v>95</v>
      </c>
      <c r="C53" s="19">
        <f>L26</f>
        <v>44592</v>
      </c>
      <c r="D53" s="14">
        <f>M26</f>
        <v>359</v>
      </c>
      <c r="E53" s="131">
        <f>IF(E52,D53/E52,0)</f>
        <v>0.95413754881690782</v>
      </c>
      <c r="F53" s="19">
        <f>DATE(LEFT(O4,4),LEFT(P4,LEN(P4)-2)-8,0)</f>
        <v>44681</v>
      </c>
      <c r="G53" s="118"/>
      <c r="H53" s="131">
        <f>IF(H52,G53/H52,0)</f>
        <v>0</v>
      </c>
      <c r="I53" s="19">
        <f>DATE(LEFT(O4,4),LEFT(P4,LEN(P4)-2)-5,0)</f>
        <v>44773</v>
      </c>
      <c r="J53" s="118"/>
      <c r="K53" s="131">
        <f>IF(K52,J53/K52,0)</f>
        <v>0</v>
      </c>
      <c r="L53" s="19">
        <f>DATE(LEFT(O4,4),LEFT(P4,LEN(P4)-2)-2,0)</f>
        <v>44865</v>
      </c>
      <c r="M53" s="118"/>
      <c r="N53" s="131">
        <f>IF(N52,M53/N52,0)</f>
        <v>0</v>
      </c>
      <c r="O53" s="19">
        <f>DATE(LEFT(O4,4),LEFT(P4,LEN(P4)-2)+1,0)</f>
        <v>44957</v>
      </c>
      <c r="P53" s="118"/>
      <c r="Q53" s="131">
        <f>IF(Q52,P53/Q52,0)</f>
        <v>0</v>
      </c>
      <c r="R53" s="2"/>
    </row>
    <row r="54" spans="1:18" ht="3.6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</sheetData>
  <sheetProtection password="DE24" sheet="1" objects="1" scenarios="1"/>
  <mergeCells count="5">
    <mergeCell ref="P1:Q1"/>
    <mergeCell ref="P2:Q2"/>
    <mergeCell ref="G1:H1"/>
    <mergeCell ref="L1:M1"/>
    <mergeCell ref="L2:M2"/>
  </mergeCells>
  <phoneticPr fontId="2"/>
  <pageMargins left="0.26" right="0.25" top="0.25" bottom="0.25" header="0.25" footer="0.25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5"/>
  <sheetViews>
    <sheetView tabSelected="1" topLeftCell="A19" zoomScale="75" workbookViewId="0">
      <selection activeCell="W30" sqref="W30"/>
    </sheetView>
  </sheetViews>
  <sheetFormatPr defaultRowHeight="13.2" x14ac:dyDescent="0.2"/>
  <cols>
    <col min="1" max="1" width="2.21875" customWidth="1"/>
    <col min="2" max="2" width="15.44140625" customWidth="1"/>
    <col min="3" max="17" width="8.33203125" customWidth="1"/>
    <col min="18" max="18" width="2.21875" customWidth="1"/>
  </cols>
  <sheetData>
    <row r="1" spans="1:18" x14ac:dyDescent="0.2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84" t="s">
        <v>103</v>
      </c>
      <c r="L1" s="137" t="s">
        <v>74</v>
      </c>
      <c r="M1" s="138"/>
      <c r="N1" s="84" t="s">
        <v>70</v>
      </c>
      <c r="O1" s="84" t="s">
        <v>71</v>
      </c>
      <c r="P1" s="137" t="s">
        <v>75</v>
      </c>
      <c r="Q1" s="138"/>
      <c r="R1" s="2"/>
    </row>
    <row r="2" spans="1:18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136">
        <f>決算入力!K2</f>
        <v>3159</v>
      </c>
      <c r="L2" s="145" t="str">
        <f>決算入力!L2</f>
        <v>丸善CHIホールディングス</v>
      </c>
      <c r="M2" s="146"/>
      <c r="N2" s="110">
        <f>決算入力!N2</f>
        <v>2023</v>
      </c>
      <c r="O2" s="110">
        <f>決算入力!O2</f>
        <v>1</v>
      </c>
      <c r="P2" s="143">
        <f ca="1">決算入力!P2</f>
        <v>45230.997801504629</v>
      </c>
      <c r="Q2" s="144"/>
      <c r="R2" s="2"/>
    </row>
    <row r="3" spans="1:18" x14ac:dyDescent="0.2">
      <c r="A3" s="2" t="s">
        <v>68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5"/>
      <c r="O3" s="2"/>
      <c r="P3" s="2"/>
      <c r="Q3" s="2"/>
      <c r="R3" s="2"/>
    </row>
    <row r="4" spans="1:18" x14ac:dyDescent="0.2">
      <c r="A4" s="2"/>
      <c r="B4" s="4"/>
      <c r="C4" s="79" t="str">
        <f>LEFT(F4,4)-1&amp;"年"</f>
        <v>2019年</v>
      </c>
      <c r="D4" s="80" t="str">
        <f>G4</f>
        <v>1月期</v>
      </c>
      <c r="E4" s="81" t="s">
        <v>11</v>
      </c>
      <c r="F4" s="79" t="str">
        <f>LEFT(I4,4)-1&amp;"年"</f>
        <v>2020年</v>
      </c>
      <c r="G4" s="80" t="str">
        <f>J4</f>
        <v>1月期</v>
      </c>
      <c r="H4" s="81" t="s">
        <v>11</v>
      </c>
      <c r="I4" s="79" t="str">
        <f>LEFT(L4,4)-1&amp;"年"</f>
        <v>2021年</v>
      </c>
      <c r="J4" s="80" t="str">
        <f>M4</f>
        <v>1月期</v>
      </c>
      <c r="K4" s="81" t="s">
        <v>11</v>
      </c>
      <c r="L4" s="79" t="str">
        <f>LEFT(O4,4)-1&amp;"年"</f>
        <v>2022年</v>
      </c>
      <c r="M4" s="80" t="str">
        <f>P4</f>
        <v>1月期</v>
      </c>
      <c r="N4" s="81" t="s">
        <v>11</v>
      </c>
      <c r="O4" s="79" t="str">
        <f>決算入力!O4</f>
        <v>2023年</v>
      </c>
      <c r="P4" s="80" t="str">
        <f>決算入力!P4</f>
        <v>1月期</v>
      </c>
      <c r="Q4" s="81" t="s">
        <v>11</v>
      </c>
      <c r="R4" s="2"/>
    </row>
    <row r="5" spans="1:18" x14ac:dyDescent="0.2">
      <c r="A5" s="2"/>
      <c r="B5" s="4" t="s">
        <v>0</v>
      </c>
      <c r="C5" s="9"/>
      <c r="D5" s="8">
        <f>決算入力!D5</f>
        <v>177041</v>
      </c>
      <c r="E5" s="29" t="s">
        <v>22</v>
      </c>
      <c r="F5" s="6"/>
      <c r="G5" s="8">
        <f>決算入力!G5</f>
        <v>176258</v>
      </c>
      <c r="H5" s="34" t="str">
        <f>E5</f>
        <v>百万</v>
      </c>
      <c r="I5" s="6"/>
      <c r="J5" s="8">
        <f>決算入力!J5</f>
        <v>171621</v>
      </c>
      <c r="K5" s="34" t="str">
        <f>E5</f>
        <v>百万</v>
      </c>
      <c r="L5" s="6"/>
      <c r="M5" s="8">
        <f>決算入力!M5</f>
        <v>174355</v>
      </c>
      <c r="N5" s="29" t="str">
        <f>E5</f>
        <v>百万</v>
      </c>
      <c r="O5" s="6"/>
      <c r="P5" s="8">
        <f>決算入力!P5</f>
        <v>162799</v>
      </c>
      <c r="Q5" s="29" t="str">
        <f>H5</f>
        <v>百万</v>
      </c>
      <c r="R5" s="2"/>
    </row>
    <row r="6" spans="1:18" x14ac:dyDescent="0.2">
      <c r="A6" s="2"/>
      <c r="B6" s="4" t="s">
        <v>1</v>
      </c>
      <c r="C6" s="48"/>
      <c r="D6" s="8">
        <f>決算入力!D6</f>
        <v>136561</v>
      </c>
      <c r="E6" s="18">
        <f t="shared" ref="E6:E11" si="0">IF(D$5,D6/D$5,"-")</f>
        <v>0.77135239859693516</v>
      </c>
      <c r="F6" s="49"/>
      <c r="G6" s="8">
        <f>決算入力!G6</f>
        <v>135578</v>
      </c>
      <c r="H6" s="18">
        <f t="shared" ref="H6:H11" si="1">IF(G$5,G6/G$5,"-")</f>
        <v>0.76920196530086582</v>
      </c>
      <c r="I6" s="49"/>
      <c r="J6" s="8">
        <f>決算入力!J6</f>
        <v>132105</v>
      </c>
      <c r="K6" s="18">
        <f t="shared" ref="K6:K11" si="2">IF(J$5,J6/J$5,"-")</f>
        <v>0.76974845735661723</v>
      </c>
      <c r="L6" s="49"/>
      <c r="M6" s="8">
        <f>決算入力!M6</f>
        <v>133789</v>
      </c>
      <c r="N6" s="18">
        <f t="shared" ref="N6:N11" si="3">IF(M$5,M6/M$5,"-")</f>
        <v>0.76733675547016145</v>
      </c>
      <c r="O6" s="49"/>
      <c r="P6" s="8">
        <f>決算入力!P6</f>
        <v>123370</v>
      </c>
      <c r="Q6" s="18">
        <f t="shared" ref="Q6:Q11" si="4">IF(P$5,P6/P$5,"-")</f>
        <v>0.75780563762676678</v>
      </c>
      <c r="R6" s="2"/>
    </row>
    <row r="7" spans="1:18" x14ac:dyDescent="0.2">
      <c r="A7" s="2"/>
      <c r="B7" s="4" t="s">
        <v>2</v>
      </c>
      <c r="C7" s="7"/>
      <c r="D7" s="8">
        <f>決算入力!D7</f>
        <v>40479</v>
      </c>
      <c r="E7" s="18">
        <f t="shared" si="0"/>
        <v>0.22864195299393925</v>
      </c>
      <c r="F7" s="6"/>
      <c r="G7" s="8">
        <f>決算入力!G7</f>
        <v>40680</v>
      </c>
      <c r="H7" s="18">
        <f t="shared" si="1"/>
        <v>0.23079803469913424</v>
      </c>
      <c r="I7" s="6"/>
      <c r="J7" s="8">
        <f>決算入力!J7</f>
        <v>39515</v>
      </c>
      <c r="K7" s="18">
        <f t="shared" si="2"/>
        <v>0.23024571585062434</v>
      </c>
      <c r="L7" s="6"/>
      <c r="M7" s="8">
        <f>決算入力!M7</f>
        <v>40566</v>
      </c>
      <c r="N7" s="18">
        <f t="shared" si="3"/>
        <v>0.23266324452983855</v>
      </c>
      <c r="O7" s="6"/>
      <c r="P7" s="8">
        <f>決算入力!P7</f>
        <v>39429</v>
      </c>
      <c r="Q7" s="18">
        <f t="shared" si="4"/>
        <v>0.24219436237323325</v>
      </c>
      <c r="R7" s="2"/>
    </row>
    <row r="8" spans="1:18" x14ac:dyDescent="0.2">
      <c r="A8" s="2"/>
      <c r="B8" s="4" t="s">
        <v>3</v>
      </c>
      <c r="C8" s="9"/>
      <c r="D8" s="8">
        <f>決算入力!D8</f>
        <v>37288</v>
      </c>
      <c r="E8" s="18">
        <f t="shared" si="0"/>
        <v>0.21061787947424607</v>
      </c>
      <c r="F8" s="49"/>
      <c r="G8" s="8">
        <f>決算入力!G8</f>
        <v>37225</v>
      </c>
      <c r="H8" s="18">
        <f t="shared" si="1"/>
        <v>0.21119608755347274</v>
      </c>
      <c r="I8" s="49"/>
      <c r="J8" s="8">
        <f>決算入力!J8</f>
        <v>35632</v>
      </c>
      <c r="K8" s="18">
        <f t="shared" si="2"/>
        <v>0.20762027956951656</v>
      </c>
      <c r="L8" s="49"/>
      <c r="M8" s="8">
        <f>決算入力!M8</f>
        <v>36481</v>
      </c>
      <c r="N8" s="18">
        <f t="shared" si="3"/>
        <v>0.20923403401106938</v>
      </c>
      <c r="O8" s="49"/>
      <c r="P8" s="8">
        <f>決算入力!P8</f>
        <v>36299</v>
      </c>
      <c r="Q8" s="18">
        <f t="shared" si="4"/>
        <v>0.22296820005036885</v>
      </c>
      <c r="R8" s="2"/>
    </row>
    <row r="9" spans="1:18" x14ac:dyDescent="0.2">
      <c r="A9" s="2"/>
      <c r="B9" s="4" t="s">
        <v>4</v>
      </c>
      <c r="C9" s="7"/>
      <c r="D9" s="8">
        <f>決算入力!D9</f>
        <v>3191</v>
      </c>
      <c r="E9" s="18">
        <f t="shared" si="0"/>
        <v>1.8024073519693179E-2</v>
      </c>
      <c r="F9" s="6"/>
      <c r="G9" s="8">
        <f>決算入力!G9</f>
        <v>3454</v>
      </c>
      <c r="H9" s="18">
        <f t="shared" si="1"/>
        <v>1.9596273644316854E-2</v>
      </c>
      <c r="I9" s="6"/>
      <c r="J9" s="8">
        <f>決算入力!J9</f>
        <v>3882</v>
      </c>
      <c r="K9" s="18">
        <f t="shared" si="2"/>
        <v>2.2619609488349329E-2</v>
      </c>
      <c r="L9" s="6"/>
      <c r="M9" s="8">
        <f>決算入力!M9</f>
        <v>4084</v>
      </c>
      <c r="N9" s="18">
        <f t="shared" si="3"/>
        <v>2.3423475093917581E-2</v>
      </c>
      <c r="O9" s="6"/>
      <c r="P9" s="8">
        <f>決算入力!P9</f>
        <v>3129</v>
      </c>
      <c r="Q9" s="18">
        <f t="shared" si="4"/>
        <v>1.9220019778991272E-2</v>
      </c>
      <c r="R9" s="2"/>
    </row>
    <row r="10" spans="1:18" x14ac:dyDescent="0.2">
      <c r="A10" s="2"/>
      <c r="B10" s="4" t="s">
        <v>5</v>
      </c>
      <c r="C10" s="50"/>
      <c r="D10" s="8">
        <f>決算入力!D10</f>
        <v>3116</v>
      </c>
      <c r="E10" s="18">
        <f t="shared" si="0"/>
        <v>1.7600442835275443E-2</v>
      </c>
      <c r="F10" s="49"/>
      <c r="G10" s="8">
        <f>決算入力!G10</f>
        <v>3299</v>
      </c>
      <c r="H10" s="18">
        <f t="shared" si="1"/>
        <v>1.8716880935900782E-2</v>
      </c>
      <c r="I10" s="49"/>
      <c r="J10" s="8">
        <f>決算入力!J10</f>
        <v>3710</v>
      </c>
      <c r="K10" s="18">
        <f t="shared" si="2"/>
        <v>2.161740113389387E-2</v>
      </c>
      <c r="L10" s="49"/>
      <c r="M10" s="8">
        <f>決算入力!M10</f>
        <v>3853</v>
      </c>
      <c r="N10" s="18">
        <f t="shared" si="3"/>
        <v>2.2098591953198934E-2</v>
      </c>
      <c r="O10" s="49"/>
      <c r="P10" s="8">
        <f>決算入力!P10</f>
        <v>3061</v>
      </c>
      <c r="Q10" s="18">
        <f t="shared" si="4"/>
        <v>1.8802326795619138E-2</v>
      </c>
      <c r="R10" s="2"/>
    </row>
    <row r="11" spans="1:18" x14ac:dyDescent="0.2">
      <c r="A11" s="2"/>
      <c r="B11" s="4" t="s">
        <v>6</v>
      </c>
      <c r="C11" s="19"/>
      <c r="D11" s="8">
        <f>決算入力!D11</f>
        <v>2529</v>
      </c>
      <c r="E11" s="18">
        <f t="shared" si="0"/>
        <v>1.4284826678565982E-2</v>
      </c>
      <c r="F11" s="19"/>
      <c r="G11" s="8">
        <f>決算入力!G11</f>
        <v>2148</v>
      </c>
      <c r="H11" s="18">
        <f t="shared" si="1"/>
        <v>1.2186680888243371E-2</v>
      </c>
      <c r="I11" s="19"/>
      <c r="J11" s="8">
        <f>決算入力!J11</f>
        <v>2171</v>
      </c>
      <c r="K11" s="18">
        <f t="shared" si="2"/>
        <v>1.2649967078620915E-2</v>
      </c>
      <c r="L11" s="19"/>
      <c r="M11" s="8">
        <f>決算入力!M11</f>
        <v>2238</v>
      </c>
      <c r="N11" s="18">
        <f t="shared" si="3"/>
        <v>1.2835880817871584E-2</v>
      </c>
      <c r="O11" s="19"/>
      <c r="P11" s="8">
        <f>決算入力!P11</f>
        <v>1773</v>
      </c>
      <c r="Q11" s="18">
        <f t="shared" si="4"/>
        <v>1.0890730287041074E-2</v>
      </c>
      <c r="R11" s="2"/>
    </row>
    <row r="12" spans="1:18" ht="4.5" customHeight="1" x14ac:dyDescent="0.2">
      <c r="A12" s="2"/>
      <c r="B12" s="10"/>
      <c r="C12" s="11"/>
      <c r="D12" s="12"/>
      <c r="E12" s="13"/>
      <c r="F12" s="13"/>
      <c r="G12" s="12"/>
      <c r="H12" s="13"/>
      <c r="I12" s="13"/>
      <c r="J12" s="12"/>
      <c r="K12" s="13"/>
      <c r="L12" s="13"/>
      <c r="M12" s="12"/>
      <c r="N12" s="13"/>
      <c r="O12" s="13"/>
      <c r="P12" s="12"/>
      <c r="Q12" s="13"/>
      <c r="R12" s="2"/>
    </row>
    <row r="13" spans="1:18" x14ac:dyDescent="0.2">
      <c r="A13" s="2"/>
      <c r="B13" s="4" t="s">
        <v>7</v>
      </c>
      <c r="C13" s="51"/>
      <c r="D13" s="8">
        <f>決算入力!D13</f>
        <v>92554</v>
      </c>
      <c r="E13" s="33" t="s">
        <v>30</v>
      </c>
      <c r="F13" s="53"/>
      <c r="G13" s="8">
        <f>決算入力!G13</f>
        <v>92554</v>
      </c>
      <c r="H13" s="33" t="str">
        <f>E13</f>
        <v>千株</v>
      </c>
      <c r="I13" s="53"/>
      <c r="J13" s="8">
        <f>決算入力!J13</f>
        <v>92554</v>
      </c>
      <c r="K13" s="33" t="str">
        <f>H13</f>
        <v>千株</v>
      </c>
      <c r="L13" s="53"/>
      <c r="M13" s="8">
        <f>決算入力!M13</f>
        <v>92554</v>
      </c>
      <c r="N13" s="33" t="str">
        <f>K13</f>
        <v>千株</v>
      </c>
      <c r="O13" s="53"/>
      <c r="P13" s="8">
        <f>決算入力!P13</f>
        <v>92554</v>
      </c>
      <c r="Q13" s="33" t="str">
        <f>N13</f>
        <v>千株</v>
      </c>
      <c r="R13" s="2"/>
    </row>
    <row r="14" spans="1:18" x14ac:dyDescent="0.2">
      <c r="A14" s="2"/>
      <c r="B14" s="4" t="s">
        <v>96</v>
      </c>
      <c r="C14" s="19"/>
      <c r="D14" s="133">
        <f>決算入力!D14</f>
        <v>23.566782635002269</v>
      </c>
      <c r="E14" s="130">
        <f>決算入力!E14</f>
        <v>13.493568677792041</v>
      </c>
      <c r="F14" s="19"/>
      <c r="G14" s="133">
        <f>決算入力!G14</f>
        <v>24.95083950990773</v>
      </c>
      <c r="H14" s="130">
        <f>決算入力!H14</f>
        <v>14.668845104577144</v>
      </c>
      <c r="I14" s="19"/>
      <c r="J14" s="133">
        <f>決算入力!J14</f>
        <v>28.0592951142036</v>
      </c>
      <c r="K14" s="130">
        <f>決算入力!K14</f>
        <v>13.186361185983827</v>
      </c>
      <c r="L14" s="19"/>
      <c r="M14" s="133">
        <f>決算入力!M14</f>
        <v>29.140825896233551</v>
      </c>
      <c r="N14" s="130">
        <f>決算入力!N14</f>
        <v>12.319486114715806</v>
      </c>
      <c r="O14" s="19"/>
      <c r="P14" s="133">
        <f>決算入力!P14</f>
        <v>23.150809257298441</v>
      </c>
      <c r="Q14" s="130">
        <f>決算入力!Q14</f>
        <v>15.507017314603072</v>
      </c>
      <c r="R14" s="2"/>
    </row>
    <row r="15" spans="1:18" ht="4.5" customHeight="1" x14ac:dyDescent="0.2">
      <c r="A15" s="2"/>
      <c r="B15" s="10"/>
      <c r="C15" s="10"/>
      <c r="D15" s="15"/>
      <c r="E15" s="16"/>
      <c r="F15" s="16"/>
      <c r="G15" s="15"/>
      <c r="H15" s="16"/>
      <c r="I15" s="16"/>
      <c r="J15" s="15"/>
      <c r="K15" s="16"/>
      <c r="L15" s="16"/>
      <c r="M15" s="15"/>
      <c r="N15" s="16"/>
      <c r="O15" s="16"/>
      <c r="P15" s="15"/>
      <c r="Q15" s="16"/>
      <c r="R15" s="2"/>
    </row>
    <row r="16" spans="1:18" ht="13.2" customHeight="1" x14ac:dyDescent="0.2">
      <c r="A16" s="2"/>
      <c r="B16" s="4"/>
      <c r="C16" s="82" t="s">
        <v>33</v>
      </c>
      <c r="D16" s="83" t="s">
        <v>34</v>
      </c>
      <c r="E16" s="81" t="s">
        <v>35</v>
      </c>
      <c r="F16" s="82" t="s">
        <v>33</v>
      </c>
      <c r="G16" s="83" t="s">
        <v>34</v>
      </c>
      <c r="H16" s="81" t="s">
        <v>35</v>
      </c>
      <c r="I16" s="82" t="s">
        <v>33</v>
      </c>
      <c r="J16" s="83" t="s">
        <v>34</v>
      </c>
      <c r="K16" s="81" t="s">
        <v>35</v>
      </c>
      <c r="L16" s="82" t="s">
        <v>33</v>
      </c>
      <c r="M16" s="83" t="s">
        <v>34</v>
      </c>
      <c r="N16" s="81" t="s">
        <v>35</v>
      </c>
      <c r="O16" s="82" t="s">
        <v>33</v>
      </c>
      <c r="P16" s="83" t="s">
        <v>34</v>
      </c>
      <c r="Q16" s="81" t="s">
        <v>35</v>
      </c>
      <c r="R16" s="2"/>
    </row>
    <row r="17" spans="1:18" ht="13.5" customHeight="1" x14ac:dyDescent="0.2">
      <c r="A17" s="2"/>
      <c r="B17" s="4" t="s">
        <v>40</v>
      </c>
      <c r="C17" s="44">
        <f>決算入力!C17</f>
        <v>132366</v>
      </c>
      <c r="D17" s="8">
        <f>決算入力!D17</f>
        <v>37540</v>
      </c>
      <c r="E17" s="44">
        <f>C17-D17</f>
        <v>94826</v>
      </c>
      <c r="F17" s="44">
        <f>決算入力!F17</f>
        <v>132338</v>
      </c>
      <c r="G17" s="8">
        <f>決算入力!G17</f>
        <v>39774</v>
      </c>
      <c r="H17" s="44">
        <f>F17-G17</f>
        <v>92564</v>
      </c>
      <c r="I17" s="44">
        <f>決算入力!I17</f>
        <v>134400</v>
      </c>
      <c r="J17" s="8">
        <f>決算入力!J17</f>
        <v>41565</v>
      </c>
      <c r="K17" s="44">
        <f>I17-J17</f>
        <v>92835</v>
      </c>
      <c r="L17" s="44">
        <f>決算入力!L17</f>
        <v>128357</v>
      </c>
      <c r="M17" s="8">
        <f>決算入力!M17</f>
        <v>43530</v>
      </c>
      <c r="N17" s="44">
        <f>L17-M17</f>
        <v>84827</v>
      </c>
      <c r="O17" s="44">
        <f>決算入力!O17</f>
        <v>128770</v>
      </c>
      <c r="P17" s="8">
        <f>決算入力!P17</f>
        <v>45702</v>
      </c>
      <c r="Q17" s="44">
        <f>O17-P17</f>
        <v>83068</v>
      </c>
      <c r="R17" s="2"/>
    </row>
    <row r="18" spans="1:18" ht="13.5" customHeight="1" x14ac:dyDescent="0.2">
      <c r="A18" s="2"/>
      <c r="B18" s="4" t="s">
        <v>52</v>
      </c>
      <c r="C18" s="49">
        <f>IF(C17,D17/C17,0)</f>
        <v>0.28360757294169198</v>
      </c>
      <c r="D18" s="8">
        <f>IF(D13,D17/D13*1000,0)</f>
        <v>405.6010545195237</v>
      </c>
      <c r="E18" s="130">
        <f>決算入力!E18</f>
        <v>0.78402163026105498</v>
      </c>
      <c r="F18" s="49">
        <f>IF(F17,G17/F17,0)</f>
        <v>0.30054859526364308</v>
      </c>
      <c r="G18" s="8">
        <f>IF(G13,G17/G13*1000,0)</f>
        <v>429.73831492966269</v>
      </c>
      <c r="H18" s="130">
        <f>決算入力!H18</f>
        <v>0.85168109820485738</v>
      </c>
      <c r="I18" s="49">
        <f>IF(I17,J17/I17,0)</f>
        <v>0.30926339285714288</v>
      </c>
      <c r="J18" s="8">
        <f>IF(J13,J17/J13*1000,0)</f>
        <v>449.08918037037836</v>
      </c>
      <c r="K18" s="130">
        <f>決算入力!K18</f>
        <v>0.82388981113917958</v>
      </c>
      <c r="L18" s="49">
        <f>IF(L17,M17/L17,0)</f>
        <v>0.33913226392016016</v>
      </c>
      <c r="M18" s="8">
        <f>IF(M13,M17/M13*1000,0)</f>
        <v>470.320029388249</v>
      </c>
      <c r="N18" s="130">
        <f>決算入力!N18</f>
        <v>0.76331003905352635</v>
      </c>
      <c r="O18" s="49">
        <f>IF(O17,P17/O17,0)</f>
        <v>0.35491185835210065</v>
      </c>
      <c r="P18" s="8">
        <f>IF(P13,P17/P13*1000,0)</f>
        <v>493.78741059273506</v>
      </c>
      <c r="Q18" s="130">
        <f>決算入力!Q18</f>
        <v>0.72703352150890554</v>
      </c>
      <c r="R18" s="2"/>
    </row>
    <row r="19" spans="1:18" ht="4.2" customHeight="1" x14ac:dyDescent="0.2">
      <c r="A19" s="2"/>
      <c r="B19" s="10"/>
      <c r="C19" s="42"/>
      <c r="D19" s="42"/>
      <c r="E19" s="43"/>
      <c r="F19" s="42"/>
      <c r="G19" s="42"/>
      <c r="H19" s="43"/>
      <c r="I19" s="42"/>
      <c r="J19" s="42"/>
      <c r="K19" s="43"/>
      <c r="L19" s="42"/>
      <c r="M19" s="42"/>
      <c r="N19" s="43"/>
      <c r="O19" s="42"/>
      <c r="P19" s="42"/>
      <c r="Q19" s="43"/>
      <c r="R19" s="2"/>
    </row>
    <row r="20" spans="1:18" ht="13.5" customHeight="1" x14ac:dyDescent="0.2">
      <c r="A20" s="2"/>
      <c r="B20" s="4"/>
      <c r="C20" s="82" t="s">
        <v>36</v>
      </c>
      <c r="D20" s="83" t="s">
        <v>37</v>
      </c>
      <c r="E20" s="81" t="s">
        <v>38</v>
      </c>
      <c r="F20" s="82" t="s">
        <v>36</v>
      </c>
      <c r="G20" s="83" t="s">
        <v>37</v>
      </c>
      <c r="H20" s="81" t="s">
        <v>38</v>
      </c>
      <c r="I20" s="82" t="s">
        <v>36</v>
      </c>
      <c r="J20" s="83" t="s">
        <v>37</v>
      </c>
      <c r="K20" s="81" t="s">
        <v>38</v>
      </c>
      <c r="L20" s="82" t="s">
        <v>36</v>
      </c>
      <c r="M20" s="83" t="s">
        <v>37</v>
      </c>
      <c r="N20" s="81" t="s">
        <v>38</v>
      </c>
      <c r="O20" s="82" t="s">
        <v>36</v>
      </c>
      <c r="P20" s="83" t="s">
        <v>37</v>
      </c>
      <c r="Q20" s="81" t="s">
        <v>38</v>
      </c>
      <c r="R20" s="2"/>
    </row>
    <row r="21" spans="1:18" ht="13.5" customHeight="1" x14ac:dyDescent="0.2">
      <c r="A21" s="2"/>
      <c r="B21" s="4" t="s">
        <v>39</v>
      </c>
      <c r="C21" s="109">
        <f>決算入力!C21</f>
        <v>4919</v>
      </c>
      <c r="D21" s="109">
        <f>決算入力!D21</f>
        <v>-2372</v>
      </c>
      <c r="E21" s="109">
        <f>決算入力!E21</f>
        <v>-3509</v>
      </c>
      <c r="F21" s="109">
        <f>決算入力!F21</f>
        <v>5059</v>
      </c>
      <c r="G21" s="109">
        <f>決算入力!G21</f>
        <v>-1065</v>
      </c>
      <c r="H21" s="109">
        <f>決算入力!H21</f>
        <v>-3124</v>
      </c>
      <c r="I21" s="109">
        <f>決算入力!I21</f>
        <v>6638</v>
      </c>
      <c r="J21" s="109">
        <f>決算入力!J21</f>
        <v>-3888</v>
      </c>
      <c r="K21" s="109">
        <f>決算入力!K21</f>
        <v>-2567</v>
      </c>
      <c r="L21" s="109">
        <f>決算入力!L21</f>
        <v>7429</v>
      </c>
      <c r="M21" s="109">
        <f>決算入力!M21</f>
        <v>-1465</v>
      </c>
      <c r="N21" s="109">
        <f>決算入力!N21</f>
        <v>-5444</v>
      </c>
      <c r="O21" s="109">
        <f>決算入力!O21</f>
        <v>0</v>
      </c>
      <c r="P21" s="109">
        <f>決算入力!P21</f>
        <v>0</v>
      </c>
      <c r="Q21" s="109">
        <f>決算入力!Q21</f>
        <v>0</v>
      </c>
      <c r="R21" s="2"/>
    </row>
    <row r="22" spans="1:18" ht="13.95" customHeight="1" x14ac:dyDescent="0.2">
      <c r="A22" s="2"/>
      <c r="B22" s="58" t="s">
        <v>63</v>
      </c>
      <c r="C22" s="53"/>
      <c r="D22" s="8">
        <f>決算入力!D22</f>
        <v>21477</v>
      </c>
      <c r="E22" s="44">
        <f>決算入力!E22</f>
        <v>2547</v>
      </c>
      <c r="F22" s="53"/>
      <c r="G22" s="8">
        <f>決算入力!G22</f>
        <v>22344</v>
      </c>
      <c r="H22" s="44">
        <f>決算入力!H22</f>
        <v>3994</v>
      </c>
      <c r="I22" s="53"/>
      <c r="J22" s="8">
        <f>決算入力!J22</f>
        <v>22667</v>
      </c>
      <c r="K22" s="44">
        <f>決算入力!K22</f>
        <v>2750</v>
      </c>
      <c r="L22" s="53"/>
      <c r="M22" s="8">
        <f>決算入力!M22</f>
        <v>23179</v>
      </c>
      <c r="N22" s="44">
        <f>決算入力!N22</f>
        <v>5964</v>
      </c>
      <c r="O22" s="53"/>
      <c r="P22" s="8">
        <f>決算入力!P22</f>
        <v>23179</v>
      </c>
      <c r="Q22" s="44">
        <f>決算入力!Q22</f>
        <v>0</v>
      </c>
      <c r="R22" s="2"/>
    </row>
    <row r="23" spans="1:18" ht="4.2" customHeight="1" x14ac:dyDescent="0.2">
      <c r="A23" s="2"/>
      <c r="B23" s="10"/>
      <c r="C23" s="127"/>
      <c r="D23" s="12"/>
      <c r="E23" s="12"/>
      <c r="F23" s="127"/>
      <c r="G23" s="12"/>
      <c r="H23" s="12"/>
      <c r="I23" s="127"/>
      <c r="J23" s="12"/>
      <c r="K23" s="12"/>
      <c r="L23" s="127"/>
      <c r="M23" s="12"/>
      <c r="N23" s="12"/>
      <c r="O23" s="127"/>
      <c r="P23" s="12"/>
      <c r="Q23" s="12"/>
      <c r="R23" s="2"/>
    </row>
    <row r="24" spans="1:18" ht="13.2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3.2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3.6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3.2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">
      <c r="A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6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3.2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2" t="s">
        <v>42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">
      <c r="A52" s="2"/>
      <c r="C52" s="22" t="s">
        <v>8</v>
      </c>
      <c r="D52" s="24"/>
      <c r="E52" s="24"/>
      <c r="F52" s="24"/>
      <c r="G52" s="23"/>
      <c r="H52" s="22" t="s">
        <v>15</v>
      </c>
      <c r="I52" s="24"/>
      <c r="J52" s="24"/>
      <c r="K52" s="24"/>
      <c r="L52" s="25" t="s">
        <v>10</v>
      </c>
      <c r="M52" s="22" t="s">
        <v>15</v>
      </c>
      <c r="N52" s="24"/>
      <c r="O52" s="24"/>
      <c r="P52" s="24"/>
      <c r="Q52" s="25" t="s">
        <v>24</v>
      </c>
      <c r="R52" s="2"/>
    </row>
    <row r="53" spans="1:18" x14ac:dyDescent="0.2">
      <c r="A53" s="2"/>
      <c r="B53" s="22" t="s">
        <v>8</v>
      </c>
      <c r="C53" s="30" t="s">
        <v>41</v>
      </c>
      <c r="D53" s="36" t="s">
        <v>13</v>
      </c>
      <c r="E53" s="21" t="s">
        <v>14</v>
      </c>
      <c r="F53" s="20" t="s">
        <v>12</v>
      </c>
      <c r="G53" s="39" t="s">
        <v>17</v>
      </c>
      <c r="H53" s="30" t="str">
        <f t="shared" ref="H53:Q53" si="5">C53</f>
        <v>４期前</v>
      </c>
      <c r="I53" s="36" t="str">
        <f t="shared" si="5"/>
        <v>３期前</v>
      </c>
      <c r="J53" s="37" t="str">
        <f t="shared" si="5"/>
        <v>２期前</v>
      </c>
      <c r="K53" s="38" t="str">
        <f t="shared" si="5"/>
        <v>前期</v>
      </c>
      <c r="L53" s="39" t="str">
        <f t="shared" si="5"/>
        <v>(今期)</v>
      </c>
      <c r="M53" s="30" t="str">
        <f t="shared" si="5"/>
        <v>４期前</v>
      </c>
      <c r="N53" s="36" t="str">
        <f t="shared" si="5"/>
        <v>３期前</v>
      </c>
      <c r="O53" s="37" t="str">
        <f t="shared" si="5"/>
        <v>２期前</v>
      </c>
      <c r="P53" s="38" t="str">
        <f t="shared" si="5"/>
        <v>前期</v>
      </c>
      <c r="Q53" s="39" t="str">
        <f t="shared" si="5"/>
        <v>(今期)</v>
      </c>
      <c r="R53" s="2"/>
    </row>
    <row r="54" spans="1:18" x14ac:dyDescent="0.2">
      <c r="A54" s="2"/>
      <c r="B54" s="110">
        <f>N2</f>
        <v>2023</v>
      </c>
      <c r="C54" s="28">
        <f>D5</f>
        <v>177041</v>
      </c>
      <c r="D54" s="28">
        <f>G5</f>
        <v>176258</v>
      </c>
      <c r="E54" s="28">
        <f>J5</f>
        <v>171621</v>
      </c>
      <c r="F54" s="28">
        <f>M5</f>
        <v>174355</v>
      </c>
      <c r="G54" s="28">
        <f>P5</f>
        <v>162799</v>
      </c>
      <c r="H54" s="27" t="s">
        <v>23</v>
      </c>
      <c r="I54" s="29">
        <f>IF(C54,D54/C54,"-")</f>
        <v>0.9955772956546789</v>
      </c>
      <c r="J54" s="29">
        <f>IF(D54,E54/D54,"-")</f>
        <v>0.97369197426499787</v>
      </c>
      <c r="K54" s="29">
        <f>IF(E54,F54/E54,"-")</f>
        <v>1.015930451401635</v>
      </c>
      <c r="L54" s="29">
        <f>IF(F54,G54/F54,"-")</f>
        <v>0.93372143041495803</v>
      </c>
      <c r="M54" s="29">
        <f>IF($C54,C54/$C54,"-")</f>
        <v>1</v>
      </c>
      <c r="N54" s="29">
        <f>IF($C54,D54/$C54,"-")</f>
        <v>0.9955772956546789</v>
      </c>
      <c r="O54" s="29">
        <f>IF($C54,E54/$C54,"-")</f>
        <v>0.96938562253941174</v>
      </c>
      <c r="P54" s="29">
        <f>IF($C54,F54/$C54,"-")</f>
        <v>0.98482837308871951</v>
      </c>
      <c r="Q54" s="29">
        <f>IF($C54,G54/$C54,"-")</f>
        <v>0.91955535723363513</v>
      </c>
      <c r="R54" s="2"/>
    </row>
    <row r="55" spans="1:18" ht="4.2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">
      <c r="A56" s="2"/>
      <c r="C56" s="22" t="s">
        <v>5</v>
      </c>
      <c r="D56" s="24"/>
      <c r="E56" s="24"/>
      <c r="F56" s="24"/>
      <c r="G56" s="23"/>
      <c r="H56" s="22" t="s">
        <v>16</v>
      </c>
      <c r="I56" s="24"/>
      <c r="J56" s="24"/>
      <c r="K56" s="24"/>
      <c r="L56" s="25" t="s">
        <v>10</v>
      </c>
      <c r="M56" s="22" t="s">
        <v>16</v>
      </c>
      <c r="N56" s="24"/>
      <c r="O56" s="24"/>
      <c r="P56" s="24"/>
      <c r="Q56" s="25" t="s">
        <v>24</v>
      </c>
      <c r="R56" s="2"/>
    </row>
    <row r="57" spans="1:18" x14ac:dyDescent="0.2">
      <c r="A57" s="2"/>
      <c r="B57" s="22" t="s">
        <v>5</v>
      </c>
      <c r="C57" s="30" t="str">
        <f>C53</f>
        <v>４期前</v>
      </c>
      <c r="D57" s="36" t="str">
        <f>D53</f>
        <v>３期前</v>
      </c>
      <c r="E57" s="37" t="str">
        <f>E53</f>
        <v>２期前</v>
      </c>
      <c r="F57" s="38" t="str">
        <f>F53</f>
        <v>前期</v>
      </c>
      <c r="G57" s="39" t="str">
        <f>G53</f>
        <v>(今期)</v>
      </c>
      <c r="H57" s="30" t="str">
        <f t="shared" ref="H57:Q57" si="6">C53</f>
        <v>４期前</v>
      </c>
      <c r="I57" s="36" t="str">
        <f t="shared" si="6"/>
        <v>３期前</v>
      </c>
      <c r="J57" s="37" t="str">
        <f t="shared" si="6"/>
        <v>２期前</v>
      </c>
      <c r="K57" s="38" t="str">
        <f t="shared" si="6"/>
        <v>前期</v>
      </c>
      <c r="L57" s="39" t="str">
        <f t="shared" si="6"/>
        <v>(今期)</v>
      </c>
      <c r="M57" s="30" t="str">
        <f t="shared" si="6"/>
        <v>４期前</v>
      </c>
      <c r="N57" s="36" t="str">
        <f t="shared" si="6"/>
        <v>３期前</v>
      </c>
      <c r="O57" s="37" t="str">
        <f t="shared" si="6"/>
        <v>２期前</v>
      </c>
      <c r="P57" s="38" t="str">
        <f t="shared" si="6"/>
        <v>前期</v>
      </c>
      <c r="Q57" s="39" t="str">
        <f t="shared" si="6"/>
        <v>(今期)</v>
      </c>
      <c r="R57" s="2"/>
    </row>
    <row r="58" spans="1:18" x14ac:dyDescent="0.2">
      <c r="A58" s="2"/>
      <c r="B58" s="110">
        <f>B$54</f>
        <v>2023</v>
      </c>
      <c r="C58" s="28">
        <f>D10</f>
        <v>3116</v>
      </c>
      <c r="D58" s="28">
        <f>G10</f>
        <v>3299</v>
      </c>
      <c r="E58" s="28">
        <f>J10</f>
        <v>3710</v>
      </c>
      <c r="F58" s="28">
        <f>M10</f>
        <v>3853</v>
      </c>
      <c r="G58" s="28">
        <f>P10</f>
        <v>3061</v>
      </c>
      <c r="H58" s="27" t="s">
        <v>23</v>
      </c>
      <c r="I58" s="29">
        <f>IF(C58,D58/C58,"-")</f>
        <v>1.0587291399229781</v>
      </c>
      <c r="J58" s="29">
        <f>IF(D58,E58/D58,"-")</f>
        <v>1.124583207032434</v>
      </c>
      <c r="K58" s="29">
        <f>IF(E58,F58/E58,"-")</f>
        <v>1.038544474393531</v>
      </c>
      <c r="L58" s="29">
        <f>IF(F58,G58/F58,"-")</f>
        <v>0.79444588632234625</v>
      </c>
      <c r="M58" s="29">
        <f>IF($C58,C58/$C58,"-")</f>
        <v>1</v>
      </c>
      <c r="N58" s="29">
        <f>IF($C58,D58/$C58,"-")</f>
        <v>1.0587291399229781</v>
      </c>
      <c r="O58" s="29">
        <f>IF($C58,E58/$C58,"-")</f>
        <v>1.1906290115532734</v>
      </c>
      <c r="P58" s="29">
        <f>IF($C58,F58/$C58,"-")</f>
        <v>1.2365211810012837</v>
      </c>
      <c r="Q58" s="29">
        <f>IF($C58,G58/$C58,"-")</f>
        <v>0.98234916559691909</v>
      </c>
      <c r="R58" s="2"/>
    </row>
    <row r="59" spans="1:18" ht="4.2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"/>
      <c r="R59" s="2"/>
    </row>
    <row r="60" spans="1:18" x14ac:dyDescent="0.2">
      <c r="A60" s="2"/>
      <c r="C60" s="22" t="s">
        <v>18</v>
      </c>
      <c r="D60" s="24"/>
      <c r="E60" s="40" t="s">
        <v>26</v>
      </c>
      <c r="F60" s="24"/>
      <c r="G60" s="25"/>
      <c r="H60" s="22" t="s">
        <v>20</v>
      </c>
      <c r="I60" s="24"/>
      <c r="J60" s="24"/>
      <c r="K60" s="24"/>
      <c r="L60" s="25" t="s">
        <v>10</v>
      </c>
      <c r="M60" s="22" t="s">
        <v>20</v>
      </c>
      <c r="N60" s="24"/>
      <c r="O60" s="24"/>
      <c r="P60" s="24"/>
      <c r="Q60" s="25" t="s">
        <v>24</v>
      </c>
      <c r="R60" s="2"/>
    </row>
    <row r="61" spans="1:18" x14ac:dyDescent="0.2">
      <c r="A61" s="2"/>
      <c r="B61" s="22" t="s">
        <v>18</v>
      </c>
      <c r="C61" s="30" t="str">
        <f>C53</f>
        <v>４期前</v>
      </c>
      <c r="D61" s="36" t="str">
        <f>D53</f>
        <v>３期前</v>
      </c>
      <c r="E61" s="37" t="str">
        <f>E53</f>
        <v>２期前</v>
      </c>
      <c r="F61" s="38" t="str">
        <f>F53</f>
        <v>前期</v>
      </c>
      <c r="G61" s="39" t="str">
        <f>G53</f>
        <v>(今期)</v>
      </c>
      <c r="H61" s="30" t="str">
        <f>C53</f>
        <v>４期前</v>
      </c>
      <c r="I61" s="36" t="str">
        <f>D53</f>
        <v>３期前</v>
      </c>
      <c r="J61" s="37" t="str">
        <f>E53</f>
        <v>２期前</v>
      </c>
      <c r="K61" s="38" t="str">
        <f>F53</f>
        <v>前期</v>
      </c>
      <c r="L61" s="39" t="str">
        <f>G53</f>
        <v>(今期)</v>
      </c>
      <c r="M61" s="30" t="str">
        <f>C53</f>
        <v>４期前</v>
      </c>
      <c r="N61" s="36" t="str">
        <f>D53</f>
        <v>３期前</v>
      </c>
      <c r="O61" s="37" t="str">
        <f>E53</f>
        <v>２期前</v>
      </c>
      <c r="P61" s="38" t="str">
        <f>F53</f>
        <v>前期</v>
      </c>
      <c r="Q61" s="39" t="str">
        <f>G53</f>
        <v>(今期)</v>
      </c>
      <c r="R61" s="2"/>
    </row>
    <row r="62" spans="1:18" x14ac:dyDescent="0.2">
      <c r="A62" s="2"/>
      <c r="B62" s="110">
        <f>B$54</f>
        <v>2023</v>
      </c>
      <c r="C62" s="28">
        <f>決算入力!D26</f>
        <v>318</v>
      </c>
      <c r="D62" s="28">
        <f>決算入力!G26</f>
        <v>366</v>
      </c>
      <c r="E62" s="28">
        <f>決算入力!J26</f>
        <v>370</v>
      </c>
      <c r="F62" s="28">
        <f>決算入力!M26</f>
        <v>359</v>
      </c>
      <c r="G62" s="28">
        <f>決算入力!P26</f>
        <v>359</v>
      </c>
      <c r="H62" s="27" t="s">
        <v>23</v>
      </c>
      <c r="I62" s="29">
        <f>IF(C62,D62/C62,"-")</f>
        <v>1.1509433962264151</v>
      </c>
      <c r="J62" s="29">
        <f>IF(D62,E62/D62,"-")</f>
        <v>1.0109289617486339</v>
      </c>
      <c r="K62" s="29">
        <f>IF(E62,F62/E62,"-")</f>
        <v>0.97027027027027024</v>
      </c>
      <c r="L62" s="29">
        <f>IF(F62,G62/F62,"-")</f>
        <v>1</v>
      </c>
      <c r="M62" s="29">
        <f>IF($C62,C62/$C62,"-")</f>
        <v>1</v>
      </c>
      <c r="N62" s="29">
        <f>IF($C62,D62/$C62,"-")</f>
        <v>1.1509433962264151</v>
      </c>
      <c r="O62" s="29">
        <f>IF($C62,E62/$C62,"-")</f>
        <v>1.1635220125786163</v>
      </c>
      <c r="P62" s="29">
        <f>IF($C62,F62/$C62,"-")</f>
        <v>1.128930817610063</v>
      </c>
      <c r="Q62" s="29">
        <f>IF($C62,G62/$C62,"-")</f>
        <v>1.128930817610063</v>
      </c>
      <c r="R62" s="2"/>
    </row>
    <row r="63" spans="1:18" ht="4.2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2"/>
    </row>
    <row r="64" spans="1:18" x14ac:dyDescent="0.2">
      <c r="A64" s="2"/>
      <c r="C64" s="22" t="s">
        <v>7</v>
      </c>
      <c r="D64" s="24"/>
      <c r="E64" s="24"/>
      <c r="F64" s="24"/>
      <c r="G64" s="25"/>
      <c r="H64" s="22" t="s">
        <v>28</v>
      </c>
      <c r="I64" s="24"/>
      <c r="J64" s="24"/>
      <c r="K64" s="24"/>
      <c r="L64" s="25" t="s">
        <v>10</v>
      </c>
      <c r="M64" s="22" t="s">
        <v>29</v>
      </c>
      <c r="N64" s="24"/>
      <c r="O64" s="24"/>
      <c r="P64" s="24"/>
      <c r="Q64" s="25" t="s">
        <v>24</v>
      </c>
      <c r="R64" s="2"/>
    </row>
    <row r="65" spans="1:18" x14ac:dyDescent="0.2">
      <c r="A65" s="2"/>
      <c r="B65" s="22" t="s">
        <v>7</v>
      </c>
      <c r="C65" s="30" t="str">
        <f>C57</f>
        <v>４期前</v>
      </c>
      <c r="D65" s="36" t="str">
        <f>D57</f>
        <v>３期前</v>
      </c>
      <c r="E65" s="37" t="str">
        <f>E57</f>
        <v>２期前</v>
      </c>
      <c r="F65" s="38" t="str">
        <f>F57</f>
        <v>前期</v>
      </c>
      <c r="G65" s="39" t="str">
        <f>G57</f>
        <v>(今期)</v>
      </c>
      <c r="H65" s="30" t="str">
        <f>C57</f>
        <v>４期前</v>
      </c>
      <c r="I65" s="36" t="str">
        <f>D57</f>
        <v>３期前</v>
      </c>
      <c r="J65" s="37" t="str">
        <f>E57</f>
        <v>２期前</v>
      </c>
      <c r="K65" s="38" t="str">
        <f>F57</f>
        <v>前期</v>
      </c>
      <c r="L65" s="39" t="str">
        <f>G57</f>
        <v>(今期)</v>
      </c>
      <c r="M65" s="30" t="str">
        <f>C57</f>
        <v>４期前</v>
      </c>
      <c r="N65" s="36" t="str">
        <f>D57</f>
        <v>３期前</v>
      </c>
      <c r="O65" s="37" t="str">
        <f>E57</f>
        <v>２期前</v>
      </c>
      <c r="P65" s="38" t="str">
        <f>F57</f>
        <v>前期</v>
      </c>
      <c r="Q65" s="39" t="str">
        <f>G57</f>
        <v>(今期)</v>
      </c>
      <c r="R65" s="2"/>
    </row>
    <row r="66" spans="1:18" x14ac:dyDescent="0.2">
      <c r="A66" s="2"/>
      <c r="B66" s="110">
        <f>B$54</f>
        <v>2023</v>
      </c>
      <c r="C66" s="28">
        <f>D13</f>
        <v>92554</v>
      </c>
      <c r="D66" s="28">
        <f>G13</f>
        <v>92554</v>
      </c>
      <c r="E66" s="28">
        <f>J13</f>
        <v>92554</v>
      </c>
      <c r="F66" s="28">
        <f>M13</f>
        <v>92554</v>
      </c>
      <c r="G66" s="28">
        <f>P13</f>
        <v>92554</v>
      </c>
      <c r="H66" s="27" t="s">
        <v>23</v>
      </c>
      <c r="I66" s="29">
        <f>IF(C66,D66/C66,"-")</f>
        <v>1</v>
      </c>
      <c r="J66" s="29">
        <f>IF(D66,E66/D66,"-")</f>
        <v>1</v>
      </c>
      <c r="K66" s="29">
        <f>IF(E66,F66/E66,"-")</f>
        <v>1</v>
      </c>
      <c r="L66" s="29">
        <f>IF(F66,G66/F66,"-")</f>
        <v>1</v>
      </c>
      <c r="M66" s="29">
        <f>IF($C66,C66/$C66,"-")</f>
        <v>1</v>
      </c>
      <c r="N66" s="29">
        <f>IF($C66,D66/$C66,"-")</f>
        <v>1</v>
      </c>
      <c r="O66" s="29">
        <f>IF($C66,E66/$C66,"-")</f>
        <v>1</v>
      </c>
      <c r="P66" s="29">
        <f>IF($C66,F66/$C66,"-")</f>
        <v>1</v>
      </c>
      <c r="Q66" s="29">
        <f>IF($C66,G66/$C66,"-")</f>
        <v>1</v>
      </c>
      <c r="R66" s="2"/>
    </row>
    <row r="67" spans="1:18" ht="4.2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2"/>
    </row>
    <row r="68" spans="1:18" x14ac:dyDescent="0.2">
      <c r="A68" s="2"/>
      <c r="C68" s="22" t="s">
        <v>19</v>
      </c>
      <c r="D68" s="24"/>
      <c r="E68" s="24"/>
      <c r="F68" s="24"/>
      <c r="G68" s="23"/>
      <c r="H68" s="22" t="s">
        <v>27</v>
      </c>
      <c r="I68" s="24"/>
      <c r="J68" s="24"/>
      <c r="K68" s="24"/>
      <c r="L68" s="25" t="s">
        <v>10</v>
      </c>
      <c r="M68" s="22" t="s">
        <v>27</v>
      </c>
      <c r="N68" s="24"/>
      <c r="O68" s="24"/>
      <c r="P68" s="24"/>
      <c r="Q68" s="25" t="s">
        <v>24</v>
      </c>
      <c r="R68" s="2"/>
    </row>
    <row r="69" spans="1:18" x14ac:dyDescent="0.2">
      <c r="A69" s="2"/>
      <c r="B69" s="22" t="s">
        <v>19</v>
      </c>
      <c r="C69" s="30" t="str">
        <f>C57</f>
        <v>４期前</v>
      </c>
      <c r="D69" s="36" t="str">
        <f>D57</f>
        <v>３期前</v>
      </c>
      <c r="E69" s="37" t="str">
        <f>E57</f>
        <v>２期前</v>
      </c>
      <c r="F69" s="38" t="str">
        <f>F57</f>
        <v>前期</v>
      </c>
      <c r="G69" s="39" t="str">
        <f>G57</f>
        <v>(今期)</v>
      </c>
      <c r="H69" s="30" t="str">
        <f>C57</f>
        <v>４期前</v>
      </c>
      <c r="I69" s="36" t="str">
        <f>D57</f>
        <v>３期前</v>
      </c>
      <c r="J69" s="37" t="str">
        <f>E57</f>
        <v>２期前</v>
      </c>
      <c r="K69" s="38" t="str">
        <f>F57</f>
        <v>前期</v>
      </c>
      <c r="L69" s="39" t="str">
        <f>G57</f>
        <v>(今期)</v>
      </c>
      <c r="M69" s="30" t="str">
        <f>C57</f>
        <v>４期前</v>
      </c>
      <c r="N69" s="36" t="str">
        <f>D57</f>
        <v>３期前</v>
      </c>
      <c r="O69" s="37" t="str">
        <f>E57</f>
        <v>２期前</v>
      </c>
      <c r="P69" s="38" t="str">
        <f>F57</f>
        <v>前期</v>
      </c>
      <c r="Q69" s="39" t="str">
        <f>G57</f>
        <v>(今期)</v>
      </c>
      <c r="R69" s="2"/>
    </row>
    <row r="70" spans="1:18" x14ac:dyDescent="0.2">
      <c r="A70" s="2"/>
      <c r="B70" s="110">
        <f>B$54</f>
        <v>2023</v>
      </c>
      <c r="C70" s="28">
        <f>C62*C66/1000</f>
        <v>29432.171999999999</v>
      </c>
      <c r="D70" s="28">
        <f>D62*D66/1000</f>
        <v>33874.764000000003</v>
      </c>
      <c r="E70" s="28">
        <f>E62*E66/1000</f>
        <v>34244.980000000003</v>
      </c>
      <c r="F70" s="28">
        <f>F62*F66/1000</f>
        <v>33226.885999999999</v>
      </c>
      <c r="G70" s="28">
        <f>G62*G66/1000</f>
        <v>33226.885999999999</v>
      </c>
      <c r="H70" s="27" t="s">
        <v>23</v>
      </c>
      <c r="I70" s="29">
        <f>IF(C70,D70/C70,"-")</f>
        <v>1.1509433962264153</v>
      </c>
      <c r="J70" s="29">
        <f>IF(D70,E70/D70,"-")</f>
        <v>1.0109289617486339</v>
      </c>
      <c r="K70" s="29">
        <f>IF(E70,F70/E70,"-")</f>
        <v>0.97027027027027013</v>
      </c>
      <c r="L70" s="29">
        <f>IF(F70,G70/F70,"-")</f>
        <v>1</v>
      </c>
      <c r="M70" s="29">
        <f>IF($C70,C70/$C70,"-")</f>
        <v>1</v>
      </c>
      <c r="N70" s="29">
        <f>IF($C70,D70/$C70,"-")</f>
        <v>1.1509433962264153</v>
      </c>
      <c r="O70" s="29">
        <f>IF($C70,E70/$C70,"-")</f>
        <v>1.1635220125786165</v>
      </c>
      <c r="P70" s="29">
        <f>IF($C70,F70/$C70,"-")</f>
        <v>1.128930817610063</v>
      </c>
      <c r="Q70" s="29">
        <f>IF($C70,G70/$C70,"-")</f>
        <v>1.128930817610063</v>
      </c>
      <c r="R70" s="2"/>
    </row>
    <row r="71" spans="1:18" ht="4.2" customHeight="1" x14ac:dyDescent="0.2">
      <c r="A71" s="2"/>
      <c r="B71" s="31"/>
      <c r="C71" s="32"/>
      <c r="D71" s="32"/>
      <c r="E71" s="32"/>
      <c r="F71" s="32"/>
      <c r="G71" s="32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"/>
    </row>
    <row r="72" spans="1:18" x14ac:dyDescent="0.2">
      <c r="A72" s="2"/>
      <c r="C72" s="22" t="s">
        <v>9</v>
      </c>
      <c r="D72" s="24"/>
      <c r="E72" s="40" t="s">
        <v>99</v>
      </c>
      <c r="F72" s="24"/>
      <c r="G72" s="23"/>
      <c r="H72" s="22" t="s">
        <v>21</v>
      </c>
      <c r="I72" s="24"/>
      <c r="J72" s="24"/>
      <c r="K72" s="24"/>
      <c r="L72" s="25" t="s">
        <v>10</v>
      </c>
      <c r="M72" s="22" t="s">
        <v>21</v>
      </c>
      <c r="N72" s="24"/>
      <c r="O72" s="24"/>
      <c r="P72" s="24"/>
      <c r="Q72" s="25" t="s">
        <v>24</v>
      </c>
      <c r="R72" s="2"/>
    </row>
    <row r="73" spans="1:18" x14ac:dyDescent="0.2">
      <c r="A73" s="2"/>
      <c r="B73" s="22" t="s">
        <v>9</v>
      </c>
      <c r="C73" s="30" t="str">
        <f>C61</f>
        <v>４期前</v>
      </c>
      <c r="D73" s="36" t="str">
        <f>D61</f>
        <v>３期前</v>
      </c>
      <c r="E73" s="37" t="str">
        <f>E61</f>
        <v>２期前</v>
      </c>
      <c r="F73" s="38" t="str">
        <f>F61</f>
        <v>前期</v>
      </c>
      <c r="G73" s="39" t="str">
        <f>G61</f>
        <v>(今期)</v>
      </c>
      <c r="H73" s="30" t="str">
        <f>C61</f>
        <v>４期前</v>
      </c>
      <c r="I73" s="36" t="str">
        <f>D61</f>
        <v>３期前</v>
      </c>
      <c r="J73" s="37" t="str">
        <f>E61</f>
        <v>２期前</v>
      </c>
      <c r="K73" s="38" t="str">
        <f>F61</f>
        <v>前期</v>
      </c>
      <c r="L73" s="39" t="str">
        <f>G61</f>
        <v>(今期)</v>
      </c>
      <c r="M73" s="30" t="str">
        <f>C61</f>
        <v>４期前</v>
      </c>
      <c r="N73" s="36" t="str">
        <f>D61</f>
        <v>３期前</v>
      </c>
      <c r="O73" s="37" t="str">
        <f>E61</f>
        <v>２期前</v>
      </c>
      <c r="P73" s="38" t="str">
        <f>F61</f>
        <v>前期</v>
      </c>
      <c r="Q73" s="39" t="str">
        <f>G61</f>
        <v>(今期)</v>
      </c>
      <c r="R73" s="2"/>
    </row>
    <row r="74" spans="1:18" x14ac:dyDescent="0.2">
      <c r="A74" s="2"/>
      <c r="B74" s="110">
        <f>B$54</f>
        <v>2023</v>
      </c>
      <c r="C74" s="33">
        <f>IF(C66,(C58*0.7)*1000/C66,0)</f>
        <v>23.566782635002269</v>
      </c>
      <c r="D74" s="33">
        <f>IF(D66,(D58*0.7)*1000/D66,0)</f>
        <v>24.950839509907723</v>
      </c>
      <c r="E74" s="33">
        <f>IF(E66,(E58*0.7)*1000/E66,0)</f>
        <v>28.0592951142036</v>
      </c>
      <c r="F74" s="33">
        <f>IF(F66,(F58*0.7)*1000/F66,0)</f>
        <v>29.140825896233551</v>
      </c>
      <c r="G74" s="33">
        <f>IF(G66,(G58*0.7)*1000/G66,0)</f>
        <v>23.150809257298441</v>
      </c>
      <c r="H74" s="27" t="s">
        <v>23</v>
      </c>
      <c r="I74" s="29">
        <f>IF(C74,D74/C74,"-")</f>
        <v>1.0587291399229779</v>
      </c>
      <c r="J74" s="29">
        <f>IF(D74,E74/D74,"-")</f>
        <v>1.1245832070324344</v>
      </c>
      <c r="K74" s="29">
        <f>IF(E74,F74/E74,"-")</f>
        <v>1.038544474393531</v>
      </c>
      <c r="L74" s="29">
        <f>IF(F74,G74/F74,"-")</f>
        <v>0.79444588632234614</v>
      </c>
      <c r="M74" s="29">
        <f>IF($C74,C74/$C74,"-")</f>
        <v>1</v>
      </c>
      <c r="N74" s="29">
        <f>IF($C74,D74/$C74,"-")</f>
        <v>1.0587291399229779</v>
      </c>
      <c r="O74" s="29">
        <f>IF($C74,E74/$C74,"-")</f>
        <v>1.1906290115532734</v>
      </c>
      <c r="P74" s="29">
        <f>IF($C74,F74/$C74,"-")</f>
        <v>1.2365211810012837</v>
      </c>
      <c r="Q74" s="29">
        <f>IF($C74,G74/$C74,"-")</f>
        <v>0.98234916559691909</v>
      </c>
      <c r="R74" s="2"/>
    </row>
    <row r="75" spans="1:18" ht="4.2" customHeight="1" x14ac:dyDescent="0.2">
      <c r="A75" s="2"/>
      <c r="B75" s="31"/>
      <c r="C75" s="32"/>
      <c r="D75" s="32"/>
      <c r="E75" s="32"/>
      <c r="F75" s="32"/>
      <c r="G75" s="32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"/>
    </row>
    <row r="76" spans="1:18" x14ac:dyDescent="0.2">
      <c r="A76" s="2"/>
      <c r="C76" s="22" t="s">
        <v>60</v>
      </c>
      <c r="D76" s="24"/>
      <c r="E76" s="40"/>
      <c r="F76" s="24"/>
      <c r="G76" s="23"/>
      <c r="H76" s="22" t="s">
        <v>61</v>
      </c>
      <c r="I76" s="24"/>
      <c r="J76" s="24"/>
      <c r="K76" s="24"/>
      <c r="L76" s="25" t="s">
        <v>10</v>
      </c>
      <c r="M76" s="22" t="s">
        <v>61</v>
      </c>
      <c r="N76" s="24"/>
      <c r="O76" s="24"/>
      <c r="P76" s="24"/>
      <c r="Q76" s="25" t="s">
        <v>24</v>
      </c>
      <c r="R76" s="2"/>
    </row>
    <row r="77" spans="1:18" x14ac:dyDescent="0.2">
      <c r="A77" s="2"/>
      <c r="B77" s="22" t="s">
        <v>60</v>
      </c>
      <c r="C77" s="30" t="str">
        <f>C73</f>
        <v>４期前</v>
      </c>
      <c r="D77" s="36" t="str">
        <f>D73</f>
        <v>３期前</v>
      </c>
      <c r="E77" s="37" t="str">
        <f>E73</f>
        <v>２期前</v>
      </c>
      <c r="F77" s="38" t="str">
        <f>F73</f>
        <v>前期</v>
      </c>
      <c r="G77" s="39" t="str">
        <f>G73</f>
        <v>(今期)</v>
      </c>
      <c r="H77" s="30" t="str">
        <f>C97</f>
        <v>４期前</v>
      </c>
      <c r="I77" s="36" t="str">
        <f>D97</f>
        <v>３期前</v>
      </c>
      <c r="J77" s="37" t="str">
        <f>E97</f>
        <v>２期前</v>
      </c>
      <c r="K77" s="38" t="str">
        <f>F97</f>
        <v>前期</v>
      </c>
      <c r="L77" s="39" t="str">
        <f>G97</f>
        <v>(今期)</v>
      </c>
      <c r="M77" s="30" t="str">
        <f>C97</f>
        <v>４期前</v>
      </c>
      <c r="N77" s="36" t="str">
        <f>D97</f>
        <v>３期前</v>
      </c>
      <c r="O77" s="37" t="str">
        <f>E97</f>
        <v>２期前</v>
      </c>
      <c r="P77" s="38" t="str">
        <f>F97</f>
        <v>前期</v>
      </c>
      <c r="Q77" s="39" t="str">
        <f>G97</f>
        <v>(今期)</v>
      </c>
      <c r="R77" s="2"/>
    </row>
    <row r="78" spans="1:18" x14ac:dyDescent="0.2">
      <c r="A78" s="2"/>
      <c r="B78" s="110">
        <f>B$54</f>
        <v>2023</v>
      </c>
      <c r="C78" s="28">
        <f>D22</f>
        <v>21477</v>
      </c>
      <c r="D78" s="28">
        <f>G22</f>
        <v>22344</v>
      </c>
      <c r="E78" s="28">
        <f>J22</f>
        <v>22667</v>
      </c>
      <c r="F78" s="28">
        <f>M22</f>
        <v>23179</v>
      </c>
      <c r="G78" s="28">
        <f>P22</f>
        <v>23179</v>
      </c>
      <c r="H78" s="27" t="s">
        <v>23</v>
      </c>
      <c r="I78" s="29">
        <f>IF(C78,D78/C78,"-")</f>
        <v>1.0403687665875123</v>
      </c>
      <c r="J78" s="29">
        <f>IF(D78,E78/D78,"-")</f>
        <v>1.0144557823129252</v>
      </c>
      <c r="K78" s="29">
        <f>IF(E78,F78/E78,"-")</f>
        <v>1.0225879031190719</v>
      </c>
      <c r="L78" s="29">
        <f>IF(F78,G78/F78,"-")</f>
        <v>1</v>
      </c>
      <c r="M78" s="29">
        <f>IF($C78,C78/$C78,"-")</f>
        <v>1</v>
      </c>
      <c r="N78" s="29">
        <f>IF($C78,D78/$C78,"-")</f>
        <v>1.0403687665875123</v>
      </c>
      <c r="O78" s="29">
        <f>IF($C78,E78/$C78,"-")</f>
        <v>1.0554081110024678</v>
      </c>
      <c r="P78" s="29">
        <f>IF($C78,F78/$C78,"-")</f>
        <v>1.079247567164874</v>
      </c>
      <c r="Q78" s="29">
        <f>IF($C78,G78/$C78,"-")</f>
        <v>1.079247567164874</v>
      </c>
      <c r="R78" s="2"/>
    </row>
    <row r="79" spans="1:18" ht="3.6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3.95" customHeight="1" x14ac:dyDescent="0.2">
      <c r="A80" s="2"/>
      <c r="C80" s="22" t="s">
        <v>1</v>
      </c>
      <c r="D80" s="24"/>
      <c r="E80" s="24"/>
      <c r="F80" s="24"/>
      <c r="G80" s="23"/>
      <c r="H80" s="22" t="s">
        <v>89</v>
      </c>
      <c r="I80" s="24"/>
      <c r="J80" s="24"/>
      <c r="K80" s="24"/>
      <c r="L80" s="25" t="s">
        <v>10</v>
      </c>
      <c r="M80" s="22" t="s">
        <v>85</v>
      </c>
      <c r="N80" s="24"/>
      <c r="O80" s="24"/>
      <c r="P80" s="24"/>
      <c r="Q80" s="25" t="s">
        <v>24</v>
      </c>
      <c r="R80" s="2"/>
    </row>
    <row r="81" spans="1:18" ht="13.95" customHeight="1" x14ac:dyDescent="0.2">
      <c r="A81" s="2"/>
      <c r="B81" s="22" t="s">
        <v>86</v>
      </c>
      <c r="C81" s="30" t="s">
        <v>41</v>
      </c>
      <c r="D81" s="36" t="s">
        <v>13</v>
      </c>
      <c r="E81" s="21" t="s">
        <v>14</v>
      </c>
      <c r="F81" s="20" t="s">
        <v>12</v>
      </c>
      <c r="G81" s="39" t="s">
        <v>17</v>
      </c>
      <c r="H81" s="30" t="str">
        <f t="shared" ref="H81:Q81" si="7">C81</f>
        <v>４期前</v>
      </c>
      <c r="I81" s="36" t="str">
        <f t="shared" si="7"/>
        <v>３期前</v>
      </c>
      <c r="J81" s="37" t="str">
        <f t="shared" si="7"/>
        <v>２期前</v>
      </c>
      <c r="K81" s="38" t="str">
        <f t="shared" si="7"/>
        <v>前期</v>
      </c>
      <c r="L81" s="39" t="str">
        <f t="shared" si="7"/>
        <v>(今期)</v>
      </c>
      <c r="M81" s="30" t="str">
        <f t="shared" si="7"/>
        <v>４期前</v>
      </c>
      <c r="N81" s="36" t="str">
        <f t="shared" si="7"/>
        <v>３期前</v>
      </c>
      <c r="O81" s="37" t="str">
        <f t="shared" si="7"/>
        <v>２期前</v>
      </c>
      <c r="P81" s="38" t="str">
        <f t="shared" si="7"/>
        <v>前期</v>
      </c>
      <c r="Q81" s="39" t="str">
        <f t="shared" si="7"/>
        <v>(今期)</v>
      </c>
      <c r="R81" s="2"/>
    </row>
    <row r="82" spans="1:18" ht="13.95" customHeight="1" x14ac:dyDescent="0.2">
      <c r="A82" s="2"/>
      <c r="B82" s="110">
        <f>B$54</f>
        <v>2023</v>
      </c>
      <c r="C82" s="28">
        <f>D6</f>
        <v>136561</v>
      </c>
      <c r="D82" s="28">
        <f>G6</f>
        <v>135578</v>
      </c>
      <c r="E82" s="28">
        <f>J6</f>
        <v>132105</v>
      </c>
      <c r="F82" s="28">
        <f>M6</f>
        <v>133789</v>
      </c>
      <c r="G82" s="28">
        <f>P6</f>
        <v>123370</v>
      </c>
      <c r="H82" s="28">
        <f>D7</f>
        <v>40479</v>
      </c>
      <c r="I82" s="28">
        <f>G7</f>
        <v>40680</v>
      </c>
      <c r="J82" s="28">
        <f>J7</f>
        <v>39515</v>
      </c>
      <c r="K82" s="28">
        <f>M7</f>
        <v>40566</v>
      </c>
      <c r="L82" s="28">
        <f>P7</f>
        <v>39429</v>
      </c>
      <c r="M82" s="28">
        <f>D8</f>
        <v>37288</v>
      </c>
      <c r="N82" s="28">
        <f>G8</f>
        <v>37225</v>
      </c>
      <c r="O82" s="28">
        <f>J8</f>
        <v>35632</v>
      </c>
      <c r="P82" s="28">
        <f>M8</f>
        <v>36481</v>
      </c>
      <c r="Q82" s="28">
        <f>P8</f>
        <v>36299</v>
      </c>
      <c r="R82" s="2"/>
    </row>
    <row r="83" spans="1:18" ht="4.2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3.95" customHeight="1" x14ac:dyDescent="0.2">
      <c r="A84" s="2"/>
      <c r="C84" s="22" t="s">
        <v>90</v>
      </c>
      <c r="D84" s="24"/>
      <c r="E84" s="24"/>
      <c r="F84" s="24"/>
      <c r="G84" s="23"/>
      <c r="H84" s="22" t="s">
        <v>88</v>
      </c>
      <c r="I84" s="24"/>
      <c r="J84" s="24"/>
      <c r="K84" s="24"/>
      <c r="L84" s="25" t="s">
        <v>10</v>
      </c>
      <c r="M84" s="22" t="s">
        <v>91</v>
      </c>
      <c r="N84" s="24"/>
      <c r="O84" s="24"/>
      <c r="P84" s="24"/>
      <c r="Q84" s="25" t="s">
        <v>24</v>
      </c>
      <c r="R84" s="2"/>
    </row>
    <row r="85" spans="1:18" ht="13.95" customHeight="1" x14ac:dyDescent="0.2">
      <c r="A85" s="2"/>
      <c r="B85" s="22" t="s">
        <v>87</v>
      </c>
      <c r="C85" s="30" t="s">
        <v>41</v>
      </c>
      <c r="D85" s="36" t="s">
        <v>13</v>
      </c>
      <c r="E85" s="21" t="s">
        <v>14</v>
      </c>
      <c r="F85" s="20" t="s">
        <v>12</v>
      </c>
      <c r="G85" s="39" t="s">
        <v>17</v>
      </c>
      <c r="H85" s="30" t="str">
        <f t="shared" ref="H85:Q85" si="8">C85</f>
        <v>４期前</v>
      </c>
      <c r="I85" s="36" t="str">
        <f t="shared" si="8"/>
        <v>３期前</v>
      </c>
      <c r="J85" s="37" t="str">
        <f t="shared" si="8"/>
        <v>２期前</v>
      </c>
      <c r="K85" s="38" t="str">
        <f t="shared" si="8"/>
        <v>前期</v>
      </c>
      <c r="L85" s="39" t="str">
        <f t="shared" si="8"/>
        <v>(今期)</v>
      </c>
      <c r="M85" s="30" t="str">
        <f t="shared" si="8"/>
        <v>４期前</v>
      </c>
      <c r="N85" s="36" t="str">
        <f t="shared" si="8"/>
        <v>３期前</v>
      </c>
      <c r="O85" s="37" t="str">
        <f t="shared" si="8"/>
        <v>２期前</v>
      </c>
      <c r="P85" s="38" t="str">
        <f t="shared" si="8"/>
        <v>前期</v>
      </c>
      <c r="Q85" s="39" t="str">
        <f t="shared" si="8"/>
        <v>(今期)</v>
      </c>
      <c r="R85" s="2"/>
    </row>
    <row r="86" spans="1:18" ht="13.95" customHeight="1" x14ac:dyDescent="0.2">
      <c r="A86" s="2"/>
      <c r="B86" s="110">
        <f>B$54</f>
        <v>2023</v>
      </c>
      <c r="C86" s="29">
        <f>H82/C54</f>
        <v>0.22864195299393925</v>
      </c>
      <c r="D86" s="29">
        <f>I82/D54</f>
        <v>0.23079803469913424</v>
      </c>
      <c r="E86" s="29">
        <f>J82/E54</f>
        <v>0.23024571585062434</v>
      </c>
      <c r="F86" s="29">
        <f>K82/F54</f>
        <v>0.23266324452983855</v>
      </c>
      <c r="G86" s="29">
        <f>L82/G54</f>
        <v>0.24219436237323325</v>
      </c>
      <c r="H86" s="29">
        <f>M82/C54</f>
        <v>0.21061787947424607</v>
      </c>
      <c r="I86" s="29">
        <f>N82/D54</f>
        <v>0.21119608755347274</v>
      </c>
      <c r="J86" s="29">
        <f>O82/E54</f>
        <v>0.20762027956951656</v>
      </c>
      <c r="K86" s="29">
        <f>P82/F54</f>
        <v>0.20923403401106938</v>
      </c>
      <c r="L86" s="29">
        <f>Q82/G54</f>
        <v>0.22296820005036885</v>
      </c>
      <c r="M86" s="29">
        <f>C58/C54</f>
        <v>1.7600442835275443E-2</v>
      </c>
      <c r="N86" s="29">
        <f>D58/D54</f>
        <v>1.8716880935900782E-2</v>
      </c>
      <c r="O86" s="29">
        <f>E58/E54</f>
        <v>2.161740113389387E-2</v>
      </c>
      <c r="P86" s="29">
        <f>F58/F54</f>
        <v>2.2098591953198934E-2</v>
      </c>
      <c r="Q86" s="29">
        <f>G58/G54</f>
        <v>1.8802326795619138E-2</v>
      </c>
      <c r="R86" s="2"/>
    </row>
    <row r="87" spans="1:18" ht="4.2" customHeight="1" x14ac:dyDescent="0.2">
      <c r="A87" s="2"/>
      <c r="B87" s="2"/>
      <c r="C87" s="129">
        <f>IF(C86=0,#N/A,C86)</f>
        <v>0.22864195299393925</v>
      </c>
      <c r="D87" s="129">
        <f t="shared" ref="D87:L87" si="9">IF(D86=0,#N/A,D86)</f>
        <v>0.23079803469913424</v>
      </c>
      <c r="E87" s="129">
        <f t="shared" si="9"/>
        <v>0.23024571585062434</v>
      </c>
      <c r="F87" s="129">
        <f t="shared" si="9"/>
        <v>0.23266324452983855</v>
      </c>
      <c r="G87" s="129">
        <f t="shared" si="9"/>
        <v>0.24219436237323325</v>
      </c>
      <c r="H87" s="129">
        <f t="shared" si="9"/>
        <v>0.21061787947424607</v>
      </c>
      <c r="I87" s="129">
        <f t="shared" si="9"/>
        <v>0.21119608755347274</v>
      </c>
      <c r="J87" s="129">
        <f t="shared" si="9"/>
        <v>0.20762027956951656</v>
      </c>
      <c r="K87" s="129">
        <f t="shared" si="9"/>
        <v>0.20923403401106938</v>
      </c>
      <c r="L87" s="129">
        <f t="shared" si="9"/>
        <v>0.22296820005036885</v>
      </c>
      <c r="M87" s="129">
        <f>IF(M86=0,#N/A,M86)</f>
        <v>1.7600442835275443E-2</v>
      </c>
      <c r="N87" s="129">
        <f>IF(N86=0,#N/A,N86)</f>
        <v>1.8716880935900782E-2</v>
      </c>
      <c r="O87" s="129">
        <f>IF(O86=0,#N/A,O86)</f>
        <v>2.161740113389387E-2</v>
      </c>
      <c r="P87" s="129">
        <f>IF(P86=0,#N/A,P86)</f>
        <v>2.2098591953198934E-2</v>
      </c>
      <c r="Q87" s="129">
        <f>IF(Q86=0,#N/A,Q86)</f>
        <v>1.8802326795619138E-2</v>
      </c>
      <c r="R87" s="2"/>
    </row>
    <row r="88" spans="1:18" ht="13.2" customHeight="1" x14ac:dyDescent="0.2">
      <c r="A88" s="2"/>
      <c r="C88" s="22" t="s">
        <v>49</v>
      </c>
      <c r="D88" s="24"/>
      <c r="E88" s="24"/>
      <c r="F88" s="24"/>
      <c r="G88" s="23"/>
      <c r="H88" s="22" t="s">
        <v>50</v>
      </c>
      <c r="I88" s="24"/>
      <c r="J88" s="24"/>
      <c r="K88" s="24"/>
      <c r="L88" s="23"/>
      <c r="M88" s="22" t="s">
        <v>51</v>
      </c>
      <c r="N88" s="24"/>
      <c r="O88" s="24"/>
      <c r="P88" s="24"/>
      <c r="Q88" s="23"/>
      <c r="R88" s="2"/>
    </row>
    <row r="89" spans="1:18" ht="13.2" customHeight="1" x14ac:dyDescent="0.2">
      <c r="A89" s="2"/>
      <c r="B89" s="22" t="s">
        <v>48</v>
      </c>
      <c r="C89" s="30" t="str">
        <f>C57</f>
        <v>４期前</v>
      </c>
      <c r="D89" s="36" t="str">
        <f>D57</f>
        <v>３期前</v>
      </c>
      <c r="E89" s="37" t="str">
        <f>E57</f>
        <v>２期前</v>
      </c>
      <c r="F89" s="38" t="str">
        <f>F57</f>
        <v>前期</v>
      </c>
      <c r="G89" s="39" t="str">
        <f>G57</f>
        <v>(今期)</v>
      </c>
      <c r="H89" s="30" t="str">
        <f>C57</f>
        <v>４期前</v>
      </c>
      <c r="I89" s="36" t="str">
        <f>D57</f>
        <v>３期前</v>
      </c>
      <c r="J89" s="37" t="str">
        <f>E57</f>
        <v>２期前</v>
      </c>
      <c r="K89" s="38" t="str">
        <f>F57</f>
        <v>前期</v>
      </c>
      <c r="L89" s="39" t="str">
        <f>G57</f>
        <v>(今期)</v>
      </c>
      <c r="M89" s="30" t="str">
        <f>C57</f>
        <v>４期前</v>
      </c>
      <c r="N89" s="36" t="str">
        <f>D57</f>
        <v>３期前</v>
      </c>
      <c r="O89" s="37" t="str">
        <f>E57</f>
        <v>２期前</v>
      </c>
      <c r="P89" s="38" t="str">
        <f>F57</f>
        <v>前期</v>
      </c>
      <c r="Q89" s="39" t="str">
        <f>G57</f>
        <v>(今期)</v>
      </c>
      <c r="R89" s="2"/>
    </row>
    <row r="90" spans="1:18" ht="13.2" customHeight="1" x14ac:dyDescent="0.2">
      <c r="A90" s="2"/>
      <c r="B90" s="110">
        <f>B$54</f>
        <v>2023</v>
      </c>
      <c r="C90" s="28">
        <f>IF(D13,C17/D13*1000,0)</f>
        <v>1430.1488860557081</v>
      </c>
      <c r="D90" s="28">
        <f>IF(G13,F17/G13*1000,0)</f>
        <v>1429.8463599628326</v>
      </c>
      <c r="E90" s="28">
        <f>IF(J13,I17/J13*1000,0)</f>
        <v>1452.1252458024505</v>
      </c>
      <c r="F90" s="28">
        <f>IF(M13,L17/M13*1000,0)</f>
        <v>1386.833632257925</v>
      </c>
      <c r="G90" s="28">
        <f>IF(P13,O17/P13*1000,0)</f>
        <v>1391.2958921278389</v>
      </c>
      <c r="H90" s="28">
        <f>D18</f>
        <v>405.6010545195237</v>
      </c>
      <c r="I90" s="28">
        <f>G18</f>
        <v>429.73831492966269</v>
      </c>
      <c r="J90" s="28">
        <f>J18</f>
        <v>449.08918037037836</v>
      </c>
      <c r="K90" s="28">
        <f>M18</f>
        <v>470.320029388249</v>
      </c>
      <c r="L90" s="28">
        <f>P18</f>
        <v>493.78741059273506</v>
      </c>
      <c r="M90" s="28">
        <f>C90-H90</f>
        <v>1024.5478315361843</v>
      </c>
      <c r="N90" s="28">
        <f>D90-I90</f>
        <v>1000.1080450331699</v>
      </c>
      <c r="O90" s="28">
        <f>E90-J90</f>
        <v>1003.0360654320722</v>
      </c>
      <c r="P90" s="28">
        <f>F90-K90</f>
        <v>916.51360286967611</v>
      </c>
      <c r="Q90" s="28">
        <f>G90-L90</f>
        <v>897.50848153510378</v>
      </c>
      <c r="R90" s="2"/>
    </row>
    <row r="91" spans="1:18" ht="4.2" customHeight="1" x14ac:dyDescent="0.2">
      <c r="A91" s="2"/>
      <c r="B91" s="2"/>
      <c r="C91" s="45">
        <v>0</v>
      </c>
      <c r="D91" s="45">
        <v>0</v>
      </c>
      <c r="E91" s="45">
        <v>0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2"/>
    </row>
    <row r="92" spans="1:18" x14ac:dyDescent="0.2">
      <c r="A92" s="2"/>
      <c r="C92" s="22" t="s">
        <v>32</v>
      </c>
      <c r="D92" s="24"/>
      <c r="E92" s="40" t="s">
        <v>100</v>
      </c>
      <c r="F92" s="24"/>
      <c r="G92" s="23"/>
      <c r="H92" s="22" t="s">
        <v>43</v>
      </c>
      <c r="I92" s="24"/>
      <c r="J92" s="40" t="s">
        <v>101</v>
      </c>
      <c r="K92" s="24"/>
      <c r="L92" s="23"/>
      <c r="M92" s="22" t="s">
        <v>31</v>
      </c>
      <c r="N92" s="24"/>
      <c r="O92" s="40"/>
      <c r="P92" s="24"/>
      <c r="Q92" s="23"/>
      <c r="R92" s="2"/>
    </row>
    <row r="93" spans="1:18" x14ac:dyDescent="0.2">
      <c r="A93" s="2"/>
      <c r="B93" s="22" t="s">
        <v>53</v>
      </c>
      <c r="C93" s="30" t="str">
        <f t="shared" ref="C93:L93" si="10">C65</f>
        <v>４期前</v>
      </c>
      <c r="D93" s="36" t="str">
        <f t="shared" si="10"/>
        <v>３期前</v>
      </c>
      <c r="E93" s="37" t="str">
        <f t="shared" si="10"/>
        <v>２期前</v>
      </c>
      <c r="F93" s="38" t="str">
        <f t="shared" si="10"/>
        <v>前期</v>
      </c>
      <c r="G93" s="39" t="str">
        <f t="shared" si="10"/>
        <v>(今期)</v>
      </c>
      <c r="H93" s="30" t="str">
        <f t="shared" si="10"/>
        <v>４期前</v>
      </c>
      <c r="I93" s="36" t="str">
        <f t="shared" si="10"/>
        <v>３期前</v>
      </c>
      <c r="J93" s="37" t="str">
        <f t="shared" si="10"/>
        <v>２期前</v>
      </c>
      <c r="K93" s="38" t="str">
        <f t="shared" si="10"/>
        <v>前期</v>
      </c>
      <c r="L93" s="39" t="str">
        <f t="shared" si="10"/>
        <v>(今期)</v>
      </c>
      <c r="M93" s="30" t="str">
        <f>M61</f>
        <v>４期前</v>
      </c>
      <c r="N93" s="36" t="str">
        <f>N61</f>
        <v>３期前</v>
      </c>
      <c r="O93" s="37" t="str">
        <f>O61</f>
        <v>２期前</v>
      </c>
      <c r="P93" s="38" t="str">
        <f>P61</f>
        <v>前期</v>
      </c>
      <c r="Q93" s="39" t="str">
        <f>Q61</f>
        <v>(今期)</v>
      </c>
      <c r="R93" s="2"/>
    </row>
    <row r="94" spans="1:18" x14ac:dyDescent="0.2">
      <c r="A94" s="2"/>
      <c r="B94" s="110">
        <f>B$54</f>
        <v>2023</v>
      </c>
      <c r="C94" s="29">
        <f>IF(C90,C74/C90,0)</f>
        <v>1.6478551893990903E-2</v>
      </c>
      <c r="D94" s="29">
        <f>IF(D90,D74/D90,0)</f>
        <v>1.7450014357176316E-2</v>
      </c>
      <c r="E94" s="29">
        <f>IF(E90,E74/E90,0)</f>
        <v>1.9322916666666665E-2</v>
      </c>
      <c r="F94" s="29">
        <f>IF(F90,F74/F90,0)</f>
        <v>2.1012488605997338E-2</v>
      </c>
      <c r="G94" s="29">
        <f>IF(G90,G74/G90,0)</f>
        <v>1.6639745282286247E-2</v>
      </c>
      <c r="H94" s="29">
        <f>IF(H90,C74/H90,0)</f>
        <v>5.8103356419818869E-2</v>
      </c>
      <c r="I94" s="29">
        <f>IF(I90,D74/I90,0)</f>
        <v>5.8060542062653979E-2</v>
      </c>
      <c r="J94" s="29">
        <f>IF(J90,E74/J90,0)</f>
        <v>6.2480452303620836E-2</v>
      </c>
      <c r="K94" s="29">
        <f>IF(K90,F74/K90,0)</f>
        <v>6.1959568113944409E-2</v>
      </c>
      <c r="L94" s="29">
        <f>IF(L90,G74/L90,0)</f>
        <v>4.6884162618703776E-2</v>
      </c>
      <c r="M94" s="29">
        <f>IF(C90,H90/C90,0)</f>
        <v>0.28360757294169192</v>
      </c>
      <c r="N94" s="29">
        <f>IF(D90,I90/D90,0)</f>
        <v>0.30054859526364308</v>
      </c>
      <c r="O94" s="29">
        <f>IF(E90,J90/E90,0)</f>
        <v>0.30926339285714283</v>
      </c>
      <c r="P94" s="29">
        <f>IF(F90,K90/F90,0)</f>
        <v>0.33913226392016016</v>
      </c>
      <c r="Q94" s="29">
        <f>IF(G90,L90/G90,0)</f>
        <v>0.35491185835210065</v>
      </c>
      <c r="R94" s="2"/>
    </row>
    <row r="95" spans="1:18" ht="4.2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">
      <c r="A96" s="2"/>
      <c r="B96" s="2"/>
      <c r="C96" s="22" t="s">
        <v>76</v>
      </c>
      <c r="D96" s="24"/>
      <c r="E96" s="40"/>
      <c r="F96" s="24"/>
      <c r="G96" s="23"/>
      <c r="H96" s="22" t="s">
        <v>77</v>
      </c>
      <c r="I96" s="24"/>
      <c r="J96" s="40"/>
      <c r="K96" s="24"/>
      <c r="L96" s="23"/>
      <c r="M96" s="22" t="s">
        <v>78</v>
      </c>
      <c r="N96" s="24"/>
      <c r="O96" s="40"/>
      <c r="P96" s="24"/>
      <c r="Q96" s="23"/>
      <c r="R96" s="2"/>
    </row>
    <row r="97" spans="1:18" x14ac:dyDescent="0.2">
      <c r="A97" s="2"/>
      <c r="B97" s="22" t="s">
        <v>78</v>
      </c>
      <c r="C97" s="30" t="str">
        <f t="shared" ref="C97:Q97" si="11">C89</f>
        <v>４期前</v>
      </c>
      <c r="D97" s="36" t="str">
        <f t="shared" si="11"/>
        <v>３期前</v>
      </c>
      <c r="E97" s="37" t="str">
        <f t="shared" si="11"/>
        <v>２期前</v>
      </c>
      <c r="F97" s="38" t="str">
        <f t="shared" si="11"/>
        <v>前期</v>
      </c>
      <c r="G97" s="39" t="str">
        <f t="shared" si="11"/>
        <v>(今期)</v>
      </c>
      <c r="H97" s="30" t="str">
        <f t="shared" si="11"/>
        <v>４期前</v>
      </c>
      <c r="I97" s="36" t="str">
        <f t="shared" si="11"/>
        <v>３期前</v>
      </c>
      <c r="J97" s="37" t="str">
        <f t="shared" si="11"/>
        <v>２期前</v>
      </c>
      <c r="K97" s="38" t="str">
        <f t="shared" si="11"/>
        <v>前期</v>
      </c>
      <c r="L97" s="39" t="str">
        <f t="shared" si="11"/>
        <v>(今期)</v>
      </c>
      <c r="M97" s="30" t="str">
        <f t="shared" si="11"/>
        <v>４期前</v>
      </c>
      <c r="N97" s="36" t="str">
        <f t="shared" si="11"/>
        <v>３期前</v>
      </c>
      <c r="O97" s="37" t="str">
        <f t="shared" si="11"/>
        <v>２期前</v>
      </c>
      <c r="P97" s="38" t="str">
        <f t="shared" si="11"/>
        <v>前期</v>
      </c>
      <c r="Q97" s="39" t="str">
        <f t="shared" si="11"/>
        <v>(今期)</v>
      </c>
      <c r="R97" s="2"/>
    </row>
    <row r="98" spans="1:18" x14ac:dyDescent="0.2">
      <c r="A98" s="2"/>
      <c r="B98" s="110">
        <f>B90</f>
        <v>2023</v>
      </c>
      <c r="C98" s="28">
        <f>決算入力!C25</f>
        <v>324.48084361561899</v>
      </c>
      <c r="D98" s="28">
        <f>決算入力!F25</f>
        <v>343.79065194373015</v>
      </c>
      <c r="E98" s="28">
        <f>決算入力!I25</f>
        <v>359.27134429630269</v>
      </c>
      <c r="F98" s="28">
        <f>決算入力!L25</f>
        <v>376.25602351059922</v>
      </c>
      <c r="G98" s="28">
        <f>決算入力!O25</f>
        <v>395.02992847418807</v>
      </c>
      <c r="H98" s="28">
        <f>決算入力!D25</f>
        <v>87.37795139068993</v>
      </c>
      <c r="I98" s="28">
        <f>決算入力!G25</f>
        <v>97.963314226085714</v>
      </c>
      <c r="J98" s="28">
        <f>決算入力!J25</f>
        <v>121.99216977386175</v>
      </c>
      <c r="K98" s="28">
        <f>決算入力!M25</f>
        <v>137.26462729355569</v>
      </c>
      <c r="L98" s="28">
        <f>決算入力!P25</f>
        <v>84.366381839355739</v>
      </c>
      <c r="M98" s="28">
        <f>決算入力!E25</f>
        <v>411.85879500630892</v>
      </c>
      <c r="N98" s="28">
        <f>決算入力!H25</f>
        <v>441.75396616981584</v>
      </c>
      <c r="O98" s="28">
        <f>決算入力!K25</f>
        <v>481.26351407016443</v>
      </c>
      <c r="P98" s="28">
        <f>決算入力!N25</f>
        <v>513.52065080415491</v>
      </c>
      <c r="Q98" s="28">
        <f>決算入力!Q25</f>
        <v>479.39631031354384</v>
      </c>
      <c r="R98" s="2"/>
    </row>
    <row r="99" spans="1:18" ht="3.6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">
      <c r="A100" s="2"/>
      <c r="C100" s="22" t="s">
        <v>44</v>
      </c>
      <c r="D100" s="24"/>
      <c r="E100" s="40"/>
      <c r="F100" s="24"/>
      <c r="G100" s="23"/>
      <c r="H100" s="22" t="s">
        <v>80</v>
      </c>
      <c r="I100" s="24"/>
      <c r="J100" s="40"/>
      <c r="K100" s="24"/>
      <c r="L100" s="23"/>
      <c r="M100" s="2"/>
      <c r="N100" s="2"/>
      <c r="O100" s="2"/>
      <c r="P100" s="2"/>
      <c r="Q100" s="2"/>
      <c r="R100" s="2"/>
    </row>
    <row r="101" spans="1:18" x14ac:dyDescent="0.2">
      <c r="A101" s="2"/>
      <c r="B101" s="22" t="s">
        <v>44</v>
      </c>
      <c r="C101" s="30" t="str">
        <f>H61</f>
        <v>４期前</v>
      </c>
      <c r="D101" s="36" t="str">
        <f>I61</f>
        <v>３期前</v>
      </c>
      <c r="E101" s="37" t="str">
        <f>J61</f>
        <v>２期前</v>
      </c>
      <c r="F101" s="38" t="str">
        <f>K61</f>
        <v>前期</v>
      </c>
      <c r="G101" s="39" t="str">
        <f>L61</f>
        <v>(今期)</v>
      </c>
      <c r="H101" s="30" t="str">
        <f>C101</f>
        <v>４期前</v>
      </c>
      <c r="I101" s="36" t="str">
        <f>D101</f>
        <v>３期前</v>
      </c>
      <c r="J101" s="37" t="str">
        <f>E101</f>
        <v>２期前</v>
      </c>
      <c r="K101" s="38" t="str">
        <f>F101</f>
        <v>前期</v>
      </c>
      <c r="L101" s="39" t="str">
        <f>G101</f>
        <v>(今期)</v>
      </c>
      <c r="M101" s="2"/>
      <c r="N101" s="2"/>
      <c r="O101" s="2"/>
      <c r="P101" s="2"/>
      <c r="Q101" s="2"/>
      <c r="R101" s="2"/>
    </row>
    <row r="102" spans="1:18" x14ac:dyDescent="0.2">
      <c r="A102" s="2"/>
      <c r="B102" s="110">
        <f>B$54</f>
        <v>2023</v>
      </c>
      <c r="C102" s="33">
        <f>E18</f>
        <v>0.78402163026105498</v>
      </c>
      <c r="D102" s="33">
        <f>H18</f>
        <v>0.85168109820485738</v>
      </c>
      <c r="E102" s="33">
        <f>K18</f>
        <v>0.82388981113917958</v>
      </c>
      <c r="F102" s="33">
        <f>N18</f>
        <v>0.76331003905352635</v>
      </c>
      <c r="G102" s="33">
        <f>Q18</f>
        <v>0.72703352150890554</v>
      </c>
      <c r="H102" s="33">
        <f>IF(H90,M98/H90,0)</f>
        <v>1.0154283141452829</v>
      </c>
      <c r="I102" s="33">
        <f>IF(I90,N98/I90,0)</f>
        <v>1.0279603908302191</v>
      </c>
      <c r="J102" s="33">
        <f>IF(J90,O98/J90,0)</f>
        <v>1.0716435289606641</v>
      </c>
      <c r="K102" s="33">
        <f>IF(K90,P98/K90,0)</f>
        <v>1.0918536713652138</v>
      </c>
      <c r="L102" s="33">
        <f>IF(L90,Q98/L90,0)</f>
        <v>0.97085567600454548</v>
      </c>
      <c r="M102" s="2"/>
      <c r="N102" s="2"/>
      <c r="O102" s="2"/>
      <c r="P102" s="2"/>
      <c r="Q102" s="2"/>
      <c r="R102" s="2"/>
    </row>
    <row r="103" spans="1:18" ht="4.2" customHeight="1" x14ac:dyDescent="0.2">
      <c r="A103" s="2"/>
      <c r="B103" s="2"/>
      <c r="C103" s="46">
        <f>IF(C106=0,#N/A,C106)</f>
        <v>13.493568677792041</v>
      </c>
      <c r="D103" s="46">
        <f>IF(D106=0,#N/A,D106)</f>
        <v>14.668845104577148</v>
      </c>
      <c r="E103" s="46">
        <f>IF(E106=0,#N/A,E106)</f>
        <v>13.186361185983829</v>
      </c>
      <c r="F103" s="46">
        <f>IF(F106=0,#N/A,F106)</f>
        <v>12.319486114715806</v>
      </c>
      <c r="G103" s="46">
        <f>IF(G106=0,#N/A,G106)</f>
        <v>15.507017314603072</v>
      </c>
      <c r="H103" s="46">
        <f>IF(C102=0,#N/A,C102)</f>
        <v>0.78402163026105498</v>
      </c>
      <c r="I103" s="46">
        <f>IF(D102=0,#N/A,D102)</f>
        <v>0.85168109820485738</v>
      </c>
      <c r="J103" s="46">
        <f>IF(E102=0,#N/A,E102)</f>
        <v>0.82388981113917958</v>
      </c>
      <c r="K103" s="46">
        <f>IF(F102=0,#N/A,F102)</f>
        <v>0.76331003905352635</v>
      </c>
      <c r="L103" s="46">
        <f>IF(G102=0,#N/A,G102)</f>
        <v>0.72703352150890554</v>
      </c>
      <c r="M103" s="2"/>
      <c r="N103" s="2"/>
      <c r="O103" s="2"/>
      <c r="P103" s="2"/>
      <c r="Q103" s="2"/>
      <c r="R103" s="2"/>
    </row>
    <row r="104" spans="1:18" x14ac:dyDescent="0.2">
      <c r="A104" s="2"/>
      <c r="C104" s="22" t="s">
        <v>25</v>
      </c>
      <c r="D104" s="24"/>
      <c r="E104" s="40" t="s">
        <v>99</v>
      </c>
      <c r="F104" s="24"/>
      <c r="G104" s="23"/>
      <c r="H104" s="22" t="s">
        <v>79</v>
      </c>
      <c r="I104" s="24"/>
      <c r="J104" s="40"/>
      <c r="K104" s="24"/>
      <c r="L104" s="23"/>
      <c r="M104" s="2"/>
      <c r="N104" s="2"/>
      <c r="O104" s="2"/>
      <c r="P104" s="2"/>
      <c r="Q104" s="2"/>
      <c r="R104" s="2"/>
    </row>
    <row r="105" spans="1:18" x14ac:dyDescent="0.2">
      <c r="A105" s="2"/>
      <c r="B105" s="22" t="s">
        <v>92</v>
      </c>
      <c r="C105" s="30" t="str">
        <f>C61</f>
        <v>４期前</v>
      </c>
      <c r="D105" s="36" t="str">
        <f>D61</f>
        <v>３期前</v>
      </c>
      <c r="E105" s="37" t="str">
        <f>E61</f>
        <v>２期前</v>
      </c>
      <c r="F105" s="38" t="str">
        <f>F61</f>
        <v>前期</v>
      </c>
      <c r="G105" s="39" t="str">
        <f>G61</f>
        <v>(今期)</v>
      </c>
      <c r="H105" s="30" t="str">
        <f>C105</f>
        <v>４期前</v>
      </c>
      <c r="I105" s="36" t="str">
        <f>D105</f>
        <v>３期前</v>
      </c>
      <c r="J105" s="37" t="str">
        <f>E105</f>
        <v>２期前</v>
      </c>
      <c r="K105" s="38" t="str">
        <f>F105</f>
        <v>前期</v>
      </c>
      <c r="L105" s="39" t="str">
        <f>G105</f>
        <v>(今期)</v>
      </c>
      <c r="M105" s="2"/>
      <c r="N105" s="2"/>
      <c r="O105" s="2"/>
      <c r="P105" s="2"/>
      <c r="Q105" s="2"/>
      <c r="R105" s="2"/>
    </row>
    <row r="106" spans="1:18" x14ac:dyDescent="0.2">
      <c r="A106" s="2"/>
      <c r="B106" s="110">
        <f>B$54</f>
        <v>2023</v>
      </c>
      <c r="C106" s="33">
        <f>IF(C58,C70/(C58*0.7),0)</f>
        <v>13.493568677792041</v>
      </c>
      <c r="D106" s="33">
        <f>IF(D58,D70/(D58*0.7),0)</f>
        <v>14.668845104577148</v>
      </c>
      <c r="E106" s="33">
        <f>IF(E58,E70/(E58*0.7),0)</f>
        <v>13.186361185983829</v>
      </c>
      <c r="F106" s="33">
        <f>IF(F58,F70/(F58*0.7),0)</f>
        <v>12.319486114715806</v>
      </c>
      <c r="G106" s="33">
        <f>IF(G58,G70/(G58*0.7),0)</f>
        <v>15.507017314603072</v>
      </c>
      <c r="H106" s="33">
        <f>IF(D14&gt;0,M98/D14,0)</f>
        <v>17.476241937013533</v>
      </c>
      <c r="I106" s="33">
        <f>IF(G14&gt;0,N98/G14,0)</f>
        <v>17.70497405485694</v>
      </c>
      <c r="J106" s="33">
        <f>IF(J14&gt;0,O98/J14,0)</f>
        <v>17.15166087071621</v>
      </c>
      <c r="K106" s="33">
        <f>IF(M14&gt;0,P98/M14,0)</f>
        <v>17.622034894712005</v>
      </c>
      <c r="L106" s="33">
        <f>IF(P14&gt;0,Q98/P14,0)</f>
        <v>20.7075400684929</v>
      </c>
      <c r="M106" s="2"/>
      <c r="N106" s="2"/>
      <c r="O106" s="2"/>
      <c r="P106" s="2"/>
      <c r="Q106" s="2"/>
      <c r="R106" s="2"/>
    </row>
    <row r="107" spans="1:18" ht="3.6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">
      <c r="A108" s="2"/>
      <c r="C108" s="22" t="s">
        <v>45</v>
      </c>
      <c r="D108" s="24"/>
      <c r="E108" s="40"/>
      <c r="F108" s="24"/>
      <c r="G108" s="23"/>
      <c r="H108" s="22" t="s">
        <v>46</v>
      </c>
      <c r="I108" s="24"/>
      <c r="J108" s="40"/>
      <c r="K108" s="24"/>
      <c r="L108" s="23"/>
      <c r="M108" s="22" t="s">
        <v>47</v>
      </c>
      <c r="N108" s="24"/>
      <c r="O108" s="40"/>
      <c r="P108" s="24"/>
      <c r="Q108" s="23"/>
      <c r="R108" s="2"/>
    </row>
    <row r="109" spans="1:18" x14ac:dyDescent="0.2">
      <c r="A109" s="2"/>
      <c r="B109" s="22" t="s">
        <v>93</v>
      </c>
      <c r="C109" s="30" t="str">
        <f t="shared" ref="C109:Q109" si="12">C69</f>
        <v>４期前</v>
      </c>
      <c r="D109" s="36" t="str">
        <f t="shared" si="12"/>
        <v>３期前</v>
      </c>
      <c r="E109" s="37" t="str">
        <f t="shared" si="12"/>
        <v>２期前</v>
      </c>
      <c r="F109" s="38" t="str">
        <f t="shared" si="12"/>
        <v>前期</v>
      </c>
      <c r="G109" s="39" t="str">
        <f t="shared" si="12"/>
        <v>(今期)</v>
      </c>
      <c r="H109" s="30" t="str">
        <f t="shared" si="12"/>
        <v>４期前</v>
      </c>
      <c r="I109" s="36" t="str">
        <f t="shared" si="12"/>
        <v>３期前</v>
      </c>
      <c r="J109" s="37" t="str">
        <f t="shared" si="12"/>
        <v>２期前</v>
      </c>
      <c r="K109" s="38" t="str">
        <f t="shared" si="12"/>
        <v>前期</v>
      </c>
      <c r="L109" s="39" t="str">
        <f t="shared" si="12"/>
        <v>(今期)</v>
      </c>
      <c r="M109" s="30" t="str">
        <f t="shared" si="12"/>
        <v>４期前</v>
      </c>
      <c r="N109" s="36" t="str">
        <f t="shared" si="12"/>
        <v>３期前</v>
      </c>
      <c r="O109" s="37" t="str">
        <f t="shared" si="12"/>
        <v>２期前</v>
      </c>
      <c r="P109" s="38" t="str">
        <f t="shared" si="12"/>
        <v>前期</v>
      </c>
      <c r="Q109" s="39" t="str">
        <f t="shared" si="12"/>
        <v>(今期)</v>
      </c>
      <c r="R109" s="2"/>
    </row>
    <row r="110" spans="1:18" x14ac:dyDescent="0.2">
      <c r="A110" s="2"/>
      <c r="B110" s="110">
        <f>B70</f>
        <v>2023</v>
      </c>
      <c r="C110" s="28">
        <f>IF(D13,C21/D13*1000,0)</f>
        <v>53.147351816237013</v>
      </c>
      <c r="D110" s="28">
        <f>IF(G13,F21/G13*1000,0)</f>
        <v>54.659982280614564</v>
      </c>
      <c r="E110" s="28">
        <f>IF(J13,I21/J13*1000,0)</f>
        <v>71.720293018129965</v>
      </c>
      <c r="F110" s="28">
        <f>IF(M13,L21/M13*1000,0)</f>
        <v>80.266655141863126</v>
      </c>
      <c r="G110" s="28">
        <f>IF(P13,O21/P13*1000,0)</f>
        <v>0</v>
      </c>
      <c r="H110" s="28">
        <f>IF(D13,D21/D13*1000,0)</f>
        <v>-25.628281867882531</v>
      </c>
      <c r="I110" s="28">
        <f>IF(G13,G21/G13*1000,0)</f>
        <v>-11.506796032586381</v>
      </c>
      <c r="J110" s="28">
        <f>IF(J13,J21/J13*1000,0)</f>
        <v>-42.007908896428034</v>
      </c>
      <c r="K110" s="28">
        <f>IF(M13,M21/M13*1000,0)</f>
        <v>-15.82859735937939</v>
      </c>
      <c r="L110" s="28">
        <f>IF(P13,P21/P13*1000,0)</f>
        <v>0</v>
      </c>
      <c r="M110" s="28">
        <f>IF(D13,E21/D13*1000,0)</f>
        <v>-37.913002139291656</v>
      </c>
      <c r="N110" s="28">
        <f>IF(G13,H21/G13*1000,0)</f>
        <v>-33.753268362253387</v>
      </c>
      <c r="O110" s="28">
        <f>IF(J13,K21/J13*1000,0)</f>
        <v>-27.735160014694127</v>
      </c>
      <c r="P110" s="28">
        <f>IF(M13,N21/M13*1000,0)</f>
        <v>-58.819716057652826</v>
      </c>
      <c r="Q110" s="28">
        <f>IF(P13,Q21/P13*1000,0)</f>
        <v>0</v>
      </c>
      <c r="R110" s="2"/>
    </row>
    <row r="111" spans="1:18" ht="3.6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3.2" customHeight="1" x14ac:dyDescent="0.2">
      <c r="A112" s="2"/>
      <c r="C112" s="22" t="s">
        <v>62</v>
      </c>
      <c r="D112" s="24"/>
      <c r="E112" s="40"/>
      <c r="F112" s="24"/>
      <c r="G112" s="23"/>
      <c r="H112" s="22" t="s">
        <v>94</v>
      </c>
      <c r="I112" s="24"/>
      <c r="J112" s="40"/>
      <c r="K112" s="24"/>
      <c r="L112" s="23"/>
      <c r="M112" s="22" t="s">
        <v>98</v>
      </c>
      <c r="N112" s="24"/>
      <c r="O112" s="40"/>
      <c r="P112" s="24"/>
      <c r="Q112" s="23"/>
      <c r="R112" s="2"/>
    </row>
    <row r="113" spans="1:18" ht="13.2" customHeight="1" x14ac:dyDescent="0.2">
      <c r="A113" s="2"/>
      <c r="B113" s="22" t="s">
        <v>93</v>
      </c>
      <c r="C113" s="30" t="str">
        <f t="shared" ref="C113:L113" si="13">C73</f>
        <v>４期前</v>
      </c>
      <c r="D113" s="36" t="str">
        <f t="shared" si="13"/>
        <v>３期前</v>
      </c>
      <c r="E113" s="37" t="str">
        <f t="shared" si="13"/>
        <v>２期前</v>
      </c>
      <c r="F113" s="38" t="str">
        <f t="shared" si="13"/>
        <v>前期</v>
      </c>
      <c r="G113" s="39" t="str">
        <f t="shared" si="13"/>
        <v>(今期)</v>
      </c>
      <c r="H113" s="30" t="str">
        <f t="shared" si="13"/>
        <v>４期前</v>
      </c>
      <c r="I113" s="36" t="str">
        <f t="shared" si="13"/>
        <v>３期前</v>
      </c>
      <c r="J113" s="37" t="str">
        <f t="shared" si="13"/>
        <v>２期前</v>
      </c>
      <c r="K113" s="38" t="str">
        <f t="shared" si="13"/>
        <v>前期</v>
      </c>
      <c r="L113" s="39" t="str">
        <f t="shared" si="13"/>
        <v>(今期)</v>
      </c>
      <c r="M113" s="30" t="str">
        <f>M73</f>
        <v>４期前</v>
      </c>
      <c r="N113" s="36" t="str">
        <f>N73</f>
        <v>３期前</v>
      </c>
      <c r="O113" s="37" t="str">
        <f>O73</f>
        <v>２期前</v>
      </c>
      <c r="P113" s="38" t="str">
        <f>P73</f>
        <v>前期</v>
      </c>
      <c r="Q113" s="39" t="str">
        <f>Q73</f>
        <v>(今期)</v>
      </c>
      <c r="R113" s="2"/>
    </row>
    <row r="114" spans="1:18" ht="13.2" customHeight="1" x14ac:dyDescent="0.2">
      <c r="A114" s="2"/>
      <c r="B114" s="110">
        <f>B74</f>
        <v>2023</v>
      </c>
      <c r="C114" s="28">
        <f>IF(D13,E22/D13*1000,0)</f>
        <v>27.519069948354474</v>
      </c>
      <c r="D114" s="28">
        <f>IF(G13,H22/G13*1000,0)</f>
        <v>43.153186248028177</v>
      </c>
      <c r="E114" s="28">
        <f>IF(J13,K22/J13*1000,0)</f>
        <v>29.712384121701923</v>
      </c>
      <c r="F114" s="28">
        <f>IF(M13,N22/M13*1000,0)</f>
        <v>64.438057782483739</v>
      </c>
      <c r="G114" s="28">
        <f>IF(P13,Q22/P13*1000,0)</f>
        <v>0</v>
      </c>
      <c r="H114" s="33">
        <f>IF(C110,C62/C110,0)</f>
        <v>5.9833649115673913</v>
      </c>
      <c r="I114" s="33">
        <f>IF(D110,D62/D110,0)</f>
        <v>6.6959406997430317</v>
      </c>
      <c r="J114" s="33">
        <f>IF(E110,E62/E110,0)</f>
        <v>5.1589304007231087</v>
      </c>
      <c r="K114" s="33">
        <f>IF(F110,F62/F110,0)</f>
        <v>4.4725920043074439</v>
      </c>
      <c r="L114" s="33">
        <f>IF(G110,G62/G110,0)</f>
        <v>0</v>
      </c>
      <c r="M114" s="33">
        <f>IF(C110,M98/C110,0)</f>
        <v>7.7493756684313704</v>
      </c>
      <c r="N114" s="33">
        <f>IF(D110,N98/D110,0)</f>
        <v>8.081853446309772</v>
      </c>
      <c r="O114" s="33">
        <f>IF(E110,O98/E110,0)</f>
        <v>6.7102837121497432</v>
      </c>
      <c r="P114" s="33">
        <f>IF(F110,P98/F110,0)</f>
        <v>6.3976834452184352</v>
      </c>
      <c r="Q114" s="33">
        <f>IF(G110,Q98/G110,0)</f>
        <v>0</v>
      </c>
      <c r="R114" s="2"/>
    </row>
    <row r="115" spans="1:18" ht="4.2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</sheetData>
  <sheetProtection password="DE24" sheet="1" objects="1" scenarios="1"/>
  <mergeCells count="4">
    <mergeCell ref="P1:Q1"/>
    <mergeCell ref="P2:Q2"/>
    <mergeCell ref="L1:M1"/>
    <mergeCell ref="L2:M2"/>
  </mergeCells>
  <phoneticPr fontId="2"/>
  <pageMargins left="0.26" right="0.25" top="0.25" bottom="0.25" header="0.25" footer="0.2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決算入力</vt:lpstr>
      <vt:lpstr>決算分析</vt:lpstr>
    </vt:vector>
  </TitlesOfParts>
  <Company>hashang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平野　真琴</dc:creator>
  <cp:lastModifiedBy>平野　真琴</cp:lastModifiedBy>
  <cp:lastPrinted>2007-06-12T23:11:05Z</cp:lastPrinted>
  <dcterms:created xsi:type="dcterms:W3CDTF">2006-06-12T22:37:16Z</dcterms:created>
  <dcterms:modified xsi:type="dcterms:W3CDTF">2023-10-31T14:56:50Z</dcterms:modified>
</cp:coreProperties>
</file>