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01059327_wf_uct_ac_za/Documents/Online STA1000/2024/STA1000S/Week12/"/>
    </mc:Choice>
  </mc:AlternateContent>
  <xr:revisionPtr revIDLastSave="176" documentId="8_{8EC23BAE-8637-442D-9E2F-CBCCF17C1ADE}" xr6:coauthVersionLast="47" xr6:coauthVersionMax="47" xr10:uidLastSave="{39C96E2D-E171-43FC-AEF0-4B27EDB24BDE}"/>
  <bookViews>
    <workbookView xWindow="2688" yWindow="660" windowWidth="11316" windowHeight="12300" xr2:uid="{D2F17FFA-EB61-B940-8FE2-A180E38BE1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" i="1" l="1"/>
  <c r="Z47" i="1"/>
  <c r="AC53" i="1"/>
  <c r="Z43" i="1"/>
  <c r="X45" i="1"/>
  <c r="V46" i="1"/>
  <c r="X17" i="1"/>
  <c r="X13" i="1"/>
  <c r="U19" i="1"/>
  <c r="V18" i="1"/>
  <c r="V17" i="1"/>
  <c r="Z28" i="1"/>
  <c r="AG19" i="1"/>
  <c r="AF15" i="1"/>
  <c r="X25" i="1"/>
  <c r="AE28" i="1"/>
  <c r="AE27" i="1"/>
  <c r="AE26" i="1"/>
  <c r="AC26" i="1"/>
  <c r="AC25" i="1"/>
  <c r="AC29" i="1"/>
  <c r="AE21" i="1"/>
  <c r="AA19" i="1"/>
  <c r="AC17" i="1"/>
  <c r="AA16" i="1"/>
  <c r="Q14" i="1"/>
  <c r="M18" i="1"/>
  <c r="N14" i="1"/>
  <c r="Q15" i="1"/>
  <c r="O24" i="1"/>
  <c r="O39" i="1"/>
  <c r="R42" i="1"/>
  <c r="U38" i="1"/>
  <c r="T38" i="1"/>
  <c r="S38" i="1"/>
  <c r="R38" i="1"/>
  <c r="U37" i="1"/>
  <c r="T37" i="1"/>
  <c r="S37" i="1"/>
  <c r="R37" i="1"/>
  <c r="U36" i="1"/>
  <c r="T36" i="1"/>
  <c r="S36" i="1"/>
  <c r="R36" i="1"/>
  <c r="U35" i="1"/>
  <c r="T35" i="1"/>
  <c r="S33" i="1"/>
  <c r="T33" i="1"/>
  <c r="U33" i="1"/>
  <c r="R33" i="1"/>
  <c r="V30" i="1"/>
  <c r="V31" i="1"/>
  <c r="V32" i="1"/>
  <c r="V29" i="1"/>
  <c r="V33" i="1" s="1"/>
  <c r="K37" i="1"/>
  <c r="D17" i="1"/>
  <c r="D10" i="1"/>
  <c r="H17" i="1"/>
  <c r="J4" i="1"/>
  <c r="J15" i="1"/>
  <c r="H12" i="1"/>
  <c r="K6" i="1"/>
  <c r="J12" i="1"/>
  <c r="H7" i="1"/>
  <c r="B13" i="1"/>
  <c r="B16" i="1" s="1"/>
  <c r="B11" i="1"/>
</calcChain>
</file>

<file path=xl/sharedStrings.xml><?xml version="1.0" encoding="utf-8"?>
<sst xmlns="http://schemas.openxmlformats.org/spreadsheetml/2006/main" count="8" uniqueCount="8">
  <si>
    <t>treatment</t>
  </si>
  <si>
    <t>poached</t>
  </si>
  <si>
    <t>not_poached</t>
  </si>
  <si>
    <t>total</t>
  </si>
  <si>
    <t>Dehorned</t>
  </si>
  <si>
    <t>Horned</t>
  </si>
  <si>
    <t>Total</t>
  </si>
  <si>
    <t>71911220-2581711426-305171015&gt;303112015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</si>
</sst>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5"/>
      <color rgb="FF000000"/>
      <name val="Times New Roman"/>
      <charset val="1"/>
    </font>
    <font>
      <sz val="13.5"/>
      <color rgb="FF000000"/>
      <name val="-Webkit-Standard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C2DB-C527-0346-8525-56189DA0E508}">
  <dimension ref="A1:AG57"/>
  <sheetViews>
    <sheetView tabSelected="1" topLeftCell="R37" workbookViewId="0">
      <selection activeCell="Z45" sqref="Z45"/>
    </sheetView>
  </sheetViews>
  <sheetFormatPr defaultColWidth="11.25" defaultRowHeight="15.6"/>
  <sheetData>
    <row r="1" spans="1:32" ht="25.9">
      <c r="A1" s="1" t="s">
        <v>0</v>
      </c>
      <c r="B1" s="1" t="s">
        <v>1</v>
      </c>
      <c r="C1" s="1" t="s">
        <v>2</v>
      </c>
      <c r="D1" s="1" t="s">
        <v>3</v>
      </c>
    </row>
    <row r="2" spans="1:32" ht="25.9">
      <c r="A2" s="2" t="s">
        <v>4</v>
      </c>
      <c r="B2" s="2">
        <v>3</v>
      </c>
      <c r="C2" s="2">
        <v>73</v>
      </c>
      <c r="D2" s="2">
        <v>76</v>
      </c>
    </row>
    <row r="3" spans="1:32" ht="25.9">
      <c r="A3" s="2" t="s">
        <v>5</v>
      </c>
      <c r="B3" s="2">
        <v>28</v>
      </c>
      <c r="C3" s="2">
        <v>161</v>
      </c>
      <c r="D3" s="2">
        <v>189</v>
      </c>
    </row>
    <row r="4" spans="1:32" ht="25.9">
      <c r="A4" s="2" t="s">
        <v>6</v>
      </c>
      <c r="B4" s="2">
        <v>31</v>
      </c>
      <c r="C4" s="2">
        <v>234</v>
      </c>
      <c r="D4" s="2">
        <v>265</v>
      </c>
      <c r="J4">
        <f>_xlfn.BINOM.DIST(4,4,0.55,FALSE)</f>
        <v>9.1506250000000011E-2</v>
      </c>
    </row>
    <row r="6" spans="1:32">
      <c r="K6">
        <f>_xlfn.BINOM.DIST(3,5,0.58,TRUE)</f>
        <v>0.69671790720000004</v>
      </c>
    </row>
    <row r="7" spans="1:32">
      <c r="B7">
        <v>8.89</v>
      </c>
      <c r="C7">
        <v>67.099999999999994</v>
      </c>
      <c r="H7">
        <f>_xlfn.CHISQ.INV.RT(0.05,12)</f>
        <v>21.026069817483066</v>
      </c>
    </row>
    <row r="8" spans="1:32">
      <c r="B8">
        <v>22.1</v>
      </c>
      <c r="C8">
        <v>166.89</v>
      </c>
    </row>
    <row r="10" spans="1:32">
      <c r="D10">
        <f>_xlfn.CHISQ.TEST(B2:C3,B7:C8)</f>
        <v>1.2745196032399004E-2</v>
      </c>
    </row>
    <row r="11" spans="1:32">
      <c r="B11">
        <f>_xlfn.CHISQ.TEST(B2:C3,B7:C8)</f>
        <v>1.2745196032399004E-2</v>
      </c>
    </row>
    <row r="12" spans="1:32">
      <c r="H12">
        <f>1-_xlfn.BINOM.DIST(2,25,0.02,TRUE)</f>
        <v>1.3243428108309363E-2</v>
      </c>
      <c r="J12">
        <f>_xlfn.BINOM.DIST(2,10,0.25,FALSE)</f>
        <v>0.28156757354736339</v>
      </c>
    </row>
    <row r="13" spans="1:32">
      <c r="B13">
        <f>_xlfn.CHISQ.DIST.RT(6.2,1)</f>
        <v>1.2775031283087393E-2</v>
      </c>
      <c r="X13">
        <f>1-_xlfn.NORM.DIST(11,10,3,TRUE)</f>
        <v>0.36944134018176356</v>
      </c>
    </row>
    <row r="14" spans="1:32">
      <c r="N14">
        <f>_xlfn.NORM.S.INV(0.01)</f>
        <v>-2.3263478740408408</v>
      </c>
      <c r="Q14">
        <f>_xlfn.POISSON.DIST(2,29.88,TRUE)</f>
        <v>5.0357094960906072E-11</v>
      </c>
    </row>
    <row r="15" spans="1:32">
      <c r="J15">
        <f>_xlfn.BINOM.DIST(0,20,0.05,FALSE)</f>
        <v>0.35848592240854221</v>
      </c>
      <c r="Q15">
        <f>_xlfn.POISSON.DIST(0,1.4,TRUE)</f>
        <v>0.24659696394160649</v>
      </c>
      <c r="AF15">
        <f>_xlfn.NORM.DIST(7.5,30,2.236,TRUE)</f>
        <v>4.0412560247979435E-24</v>
      </c>
    </row>
    <row r="16" spans="1:32">
      <c r="B16">
        <f>_xlfn.CHISQ.INV.RT(B13,1)</f>
        <v>6.1999999999999984</v>
      </c>
      <c r="AA16">
        <f>1-_xlfn.NORM.INV(0.33,0,1)</f>
        <v>1.4399131656732338</v>
      </c>
    </row>
    <row r="17" spans="4:33">
      <c r="D17">
        <f>_xlfn.CHISQ.INV.RT(0.1,15)</f>
        <v>22.307129581578689</v>
      </c>
      <c r="H17">
        <f>1-_xlfn.BINOM.DIST(1,7,0.4,TRUE)</f>
        <v>0.84136960000000005</v>
      </c>
      <c r="V17">
        <f>_xlfn.NORM.DIST(98,100,2,TRUE)</f>
        <v>0.15865525393145699</v>
      </c>
      <c r="X17">
        <f>1-_xlfn.NORM.S.DIST(1/3,TRUE)</f>
        <v>0.36944134018176356</v>
      </c>
      <c r="AC17">
        <f>1-_xlfn.NORM.DIST(0.44,0,1,TRUE)</f>
        <v>0.32996855366059363</v>
      </c>
    </row>
    <row r="18" spans="4:33">
      <c r="M18">
        <f>_xlfn.NORM.S.INV(0.025)</f>
        <v>-1.9599639845400538</v>
      </c>
      <c r="V18">
        <f>_xlfn.NORM.DIST(102,100,2,TRUE)</f>
        <v>0.84134474606854304</v>
      </c>
    </row>
    <row r="19" spans="4:33">
      <c r="U19">
        <f>V18-V17</f>
        <v>0.68268949213708607</v>
      </c>
      <c r="AA19">
        <f>_xlfn.NORM.S.INV(0.33)</f>
        <v>-0.43991316567323374</v>
      </c>
      <c r="AG19">
        <f>_xlfn.NORM.INV(0.25,30,2.236)</f>
        <v>28.491840918561561</v>
      </c>
    </row>
    <row r="21" spans="4:33">
      <c r="AE21">
        <f>1-_xlfn.BINOM.DIST(0,4,0.25,TRUE)</f>
        <v>0.68359375</v>
      </c>
    </row>
    <row r="24" spans="4:33">
      <c r="O24">
        <f>1-_xlfn.NORM.S.DIST(1.33,TRUE)</f>
        <v>9.1759135650280821E-2</v>
      </c>
    </row>
    <row r="25" spans="4:33" ht="17.25">
      <c r="R25" s="4" t="s">
        <v>7</v>
      </c>
      <c r="X25">
        <f>_xlfn.POISSON.DIST(0,0.83,FALSE)</f>
        <v>0.43604928632153561</v>
      </c>
      <c r="AC25">
        <f>_xlfn.NORM.DIST(28,80,2.236,TRUE)</f>
        <v>6.2117062285879086E-120</v>
      </c>
    </row>
    <row r="26" spans="4:33">
      <c r="AC26">
        <f>_xlfn.NORM.DIST(25,30,2.236,TRUE)</f>
        <v>1.2671433369059681E-2</v>
      </c>
      <c r="AE26">
        <f>_xlfn.NORM.S.DIST(-0.89,TRUE)</f>
        <v>0.18673294303717258</v>
      </c>
    </row>
    <row r="27" spans="4:33">
      <c r="AE27">
        <f>_xlfn.NORM.S.DIST(-2.236,TRUE)</f>
        <v>1.2675885579111167E-2</v>
      </c>
    </row>
    <row r="28" spans="4:33">
      <c r="Z28">
        <f>1-_xlfn.BINOM.DIST(2,15,0.3,TRUE)</f>
        <v>0.87317228537723701</v>
      </c>
      <c r="AE28">
        <f>AE26-AE27</f>
        <v>0.17405705745806141</v>
      </c>
    </row>
    <row r="29" spans="4:33" ht="19.5">
      <c r="I29" s="3">
        <v>15</v>
      </c>
      <c r="K29">
        <v>63</v>
      </c>
      <c r="L29">
        <v>42</v>
      </c>
      <c r="M29">
        <v>15</v>
      </c>
      <c r="R29">
        <v>7</v>
      </c>
      <c r="S29">
        <v>19</v>
      </c>
      <c r="T29">
        <v>11</v>
      </c>
      <c r="U29">
        <v>2</v>
      </c>
      <c r="V29">
        <f>R29+S29+T29+U29</f>
        <v>39</v>
      </c>
      <c r="AC29">
        <f>AC25-AC26</f>
        <v>-1.2671433369059681E-2</v>
      </c>
    </row>
    <row r="30" spans="4:33" ht="19.5">
      <c r="I30" s="3"/>
      <c r="K30">
        <v>58</v>
      </c>
      <c r="L30">
        <v>61</v>
      </c>
      <c r="M30">
        <v>31</v>
      </c>
      <c r="R30">
        <v>8</v>
      </c>
      <c r="S30">
        <v>17</v>
      </c>
      <c r="T30">
        <v>11</v>
      </c>
      <c r="U30">
        <v>4</v>
      </c>
      <c r="V30">
        <f t="shared" ref="V30:V32" si="0">R30+S30+T30+U30</f>
        <v>40</v>
      </c>
    </row>
    <row r="31" spans="4:33" ht="19.5">
      <c r="I31" s="3">
        <v>58</v>
      </c>
      <c r="K31">
        <v>14</v>
      </c>
      <c r="L31">
        <v>47</v>
      </c>
      <c r="M31">
        <v>29</v>
      </c>
      <c r="R31">
        <v>5</v>
      </c>
      <c r="S31">
        <v>17</v>
      </c>
      <c r="T31">
        <v>10</v>
      </c>
      <c r="U31">
        <v>15</v>
      </c>
      <c r="V31">
        <f t="shared" si="0"/>
        <v>47</v>
      </c>
    </row>
    <row r="32" spans="4:33" ht="19.5">
      <c r="I32" s="3">
        <v>61</v>
      </c>
      <c r="R32">
        <v>3</v>
      </c>
      <c r="S32">
        <v>11</v>
      </c>
      <c r="T32">
        <v>20</v>
      </c>
      <c r="U32">
        <v>15</v>
      </c>
      <c r="V32">
        <f t="shared" si="0"/>
        <v>49</v>
      </c>
    </row>
    <row r="33" spans="9:26" ht="19.5">
      <c r="I33" s="3">
        <v>31</v>
      </c>
      <c r="K33">
        <v>45.74</v>
      </c>
      <c r="L33">
        <v>50.83</v>
      </c>
      <c r="M33">
        <v>25.41</v>
      </c>
      <c r="R33">
        <f>R29+R30+R31+R32</f>
        <v>23</v>
      </c>
      <c r="S33">
        <f t="shared" ref="S33:U33" si="1">S29+S30+S31+S32</f>
        <v>64</v>
      </c>
      <c r="T33">
        <f t="shared" si="1"/>
        <v>52</v>
      </c>
      <c r="U33">
        <f t="shared" si="1"/>
        <v>36</v>
      </c>
      <c r="V33">
        <f>V29+V30+V31+V32</f>
        <v>175</v>
      </c>
    </row>
    <row r="34" spans="9:26" ht="19.5">
      <c r="I34" s="3"/>
      <c r="K34">
        <v>55.79</v>
      </c>
      <c r="L34">
        <v>61.98</v>
      </c>
      <c r="M34">
        <v>30.99</v>
      </c>
    </row>
    <row r="35" spans="9:26" ht="19.5">
      <c r="I35" s="3"/>
      <c r="K35">
        <v>33.47</v>
      </c>
      <c r="L35">
        <v>37.19</v>
      </c>
      <c r="M35">
        <v>18.594999999999999</v>
      </c>
      <c r="R35">
        <v>5.125</v>
      </c>
      <c r="S35">
        <v>14.26</v>
      </c>
      <c r="T35">
        <f>V29*T33/V33</f>
        <v>11.588571428571429</v>
      </c>
      <c r="U35">
        <f>V29*U33/V33</f>
        <v>8.0228571428571431</v>
      </c>
    </row>
    <row r="36" spans="9:26" ht="19.5">
      <c r="I36" s="3"/>
      <c r="R36">
        <f>V30*R33/V33</f>
        <v>5.2571428571428571</v>
      </c>
      <c r="S36">
        <f>V30*S33/V33</f>
        <v>14.628571428571428</v>
      </c>
      <c r="T36">
        <f>V30*T33/V33</f>
        <v>11.885714285714286</v>
      </c>
      <c r="U36">
        <f>V30*U33/V33</f>
        <v>8.2285714285714278</v>
      </c>
    </row>
    <row r="37" spans="9:26" ht="19.5">
      <c r="I37" s="3"/>
      <c r="K37">
        <f>_xlfn.CHISQ.TEST(K29:M31,K33:M35)</f>
        <v>1.7821119734411438E-6</v>
      </c>
      <c r="R37">
        <f>V31*R33/V33</f>
        <v>6.177142857142857</v>
      </c>
      <c r="S37">
        <f>V31*S33/V33</f>
        <v>17.188571428571429</v>
      </c>
      <c r="T37">
        <f>V31*T33/V33</f>
        <v>13.965714285714286</v>
      </c>
      <c r="U37">
        <f>V31*U33/V33</f>
        <v>9.668571428571429</v>
      </c>
    </row>
    <row r="38" spans="9:26" ht="19.5">
      <c r="I38" s="3"/>
      <c r="R38">
        <f>V32*R33/V33</f>
        <v>6.44</v>
      </c>
      <c r="S38">
        <f>V32*S33/V33</f>
        <v>17.920000000000002</v>
      </c>
      <c r="T38">
        <f>V32*T33/V33</f>
        <v>14.56</v>
      </c>
      <c r="U38">
        <f>V32*U33/V33</f>
        <v>10.08</v>
      </c>
    </row>
    <row r="39" spans="9:26" ht="19.5">
      <c r="I39" s="3"/>
      <c r="O39">
        <f>_xlfn.CHISQ.INV.RT(R42,9)</f>
        <v>24.103423513690295</v>
      </c>
    </row>
    <row r="40" spans="9:26" ht="19.5">
      <c r="I40" s="3"/>
      <c r="O40">
        <v>3</v>
      </c>
    </row>
    <row r="41" spans="9:26" ht="19.5">
      <c r="I41" s="3"/>
    </row>
    <row r="42" spans="9:26" ht="19.5">
      <c r="I42" s="3"/>
      <c r="R42">
        <f>_xlfn.CHISQ.TEST(R29:U32,R35:U38)</f>
        <v>4.1407604686168149E-3</v>
      </c>
    </row>
    <row r="43" spans="9:26" ht="19.5">
      <c r="I43" s="3"/>
      <c r="Z43">
        <f>_xlfn.CHISQ.DIST.RT(303.01,3)</f>
        <v>2.2197767627115268E-65</v>
      </c>
    </row>
    <row r="44" spans="9:26" ht="19.5">
      <c r="I44" s="3"/>
    </row>
    <row r="45" spans="9:26" ht="19.5">
      <c r="I45" s="3"/>
      <c r="X45">
        <f>_xlfn.NORM.S.INV(0.9)</f>
        <v>1.2815515655446006</v>
      </c>
    </row>
    <row r="46" spans="9:26" ht="19.5">
      <c r="I46" s="3"/>
      <c r="V46">
        <f>_xlfn.T.DIST(-2.23,24,TRUE)</f>
        <v>1.7680144338890522E-2</v>
      </c>
    </row>
    <row r="47" spans="9:26" ht="19.5">
      <c r="I47" s="3"/>
      <c r="Z47">
        <f>_xlfn.CHISQ.INV.RT(0.1,5)</f>
        <v>9.2363568997811178</v>
      </c>
    </row>
    <row r="48" spans="9:26" ht="19.5">
      <c r="I48" s="3"/>
    </row>
    <row r="49" spans="9:29" ht="19.5">
      <c r="I49" s="3"/>
      <c r="X49">
        <f>_xlfn.T.INV(0.05,199)</f>
        <v>-1.6525467461665586</v>
      </c>
    </row>
    <row r="50" spans="9:29" ht="19.5">
      <c r="I50" s="3"/>
    </row>
    <row r="51" spans="9:29" ht="19.5">
      <c r="I51" s="3"/>
    </row>
    <row r="52" spans="9:29" ht="19.5">
      <c r="I52" s="3"/>
    </row>
    <row r="53" spans="9:29" ht="19.5">
      <c r="I53" s="3"/>
      <c r="AC53">
        <f>_xlfn.CHISQ.INV.RT(0.07,59)</f>
        <v>75.742647084888375</v>
      </c>
    </row>
    <row r="54" spans="9:29" ht="19.5">
      <c r="I54" s="3"/>
    </row>
    <row r="55" spans="9:29" ht="19.5">
      <c r="I55" s="3"/>
    </row>
    <row r="56" spans="9:29" ht="15.75"/>
    <row r="57" spans="9:29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Ané Cloete</dc:creator>
  <cp:keywords/>
  <dc:description/>
  <cp:lastModifiedBy>Makanaka Mangwanda</cp:lastModifiedBy>
  <cp:revision/>
  <dcterms:created xsi:type="dcterms:W3CDTF">2024-10-09T12:50:01Z</dcterms:created>
  <dcterms:modified xsi:type="dcterms:W3CDTF">2024-11-02T21:04:06Z</dcterms:modified>
  <cp:category/>
  <cp:contentStatus/>
</cp:coreProperties>
</file>