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B8EAD6C-CB05-44B2-8E4D-AB4815AA4B8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6" l="1"/>
  <c r="O21" i="6"/>
  <c r="P21" i="6"/>
  <c r="Q21" i="6"/>
  <c r="R21" i="6"/>
  <c r="M21" i="6"/>
  <c r="M22" i="4"/>
  <c r="R16" i="6" l="1"/>
  <c r="R4" i="6"/>
  <c r="N24" i="6" l="1"/>
  <c r="O24" i="6"/>
  <c r="P24" i="6"/>
  <c r="Q24" i="6"/>
  <c r="R24" i="6"/>
  <c r="M24" i="6"/>
  <c r="L24" i="6"/>
  <c r="N23" i="6"/>
  <c r="O23" i="6" s="1"/>
  <c r="P23" i="6" s="1"/>
  <c r="Q23" i="6" s="1"/>
  <c r="R23" i="6" s="1"/>
  <c r="M23" i="6"/>
  <c r="L22" i="6"/>
  <c r="L19" i="6"/>
  <c r="M18" i="6"/>
  <c r="N18" i="6"/>
  <c r="O18" i="6"/>
  <c r="P18" i="6"/>
  <c r="Q18" i="6"/>
  <c r="R18" i="6"/>
  <c r="L18" i="6"/>
  <c r="N17" i="6"/>
  <c r="O17" i="6"/>
  <c r="P17" i="6" s="1"/>
  <c r="Q17" i="6" s="1"/>
  <c r="R17" i="6" s="1"/>
  <c r="M17" i="6"/>
  <c r="N16" i="6"/>
  <c r="O16" i="6"/>
  <c r="P16" i="6"/>
  <c r="Q16" i="6"/>
  <c r="M16" i="6"/>
  <c r="R15" i="6"/>
  <c r="L16" i="6"/>
  <c r="R9" i="6"/>
  <c r="S9" i="4"/>
  <c r="R20" i="4"/>
  <c r="R22" i="4"/>
  <c r="N12" i="6"/>
  <c r="O12" i="6"/>
  <c r="P12" i="6"/>
  <c r="Q12" i="6"/>
  <c r="R12" i="6"/>
  <c r="M12" i="6"/>
  <c r="R4" i="4"/>
  <c r="S17" i="4"/>
  <c r="S20" i="4" s="1"/>
  <c r="S22" i="4" s="1"/>
  <c r="M16" i="5"/>
  <c r="N11" i="6"/>
  <c r="O11" i="6"/>
  <c r="M11" i="6"/>
  <c r="N10" i="6"/>
  <c r="N13" i="6" s="1"/>
  <c r="N14" i="6" s="1"/>
  <c r="O10" i="6"/>
  <c r="M10" i="6"/>
  <c r="N8" i="6"/>
  <c r="M8" i="6"/>
  <c r="M13" i="6" s="1"/>
  <c r="M14" i="6" s="1"/>
  <c r="P7" i="6"/>
  <c r="Q7" i="6" s="1"/>
  <c r="O7" i="6"/>
  <c r="O8" i="6" s="1"/>
  <c r="O13" i="6" s="1"/>
  <c r="O14" i="6" s="1"/>
  <c r="L20" i="4"/>
  <c r="L29" i="3"/>
  <c r="L24" i="2"/>
  <c r="M18" i="2"/>
  <c r="M12" i="2"/>
  <c r="L23" i="5"/>
  <c r="L22" i="5"/>
  <c r="L21" i="5"/>
  <c r="L20" i="5"/>
  <c r="M19" i="5"/>
  <c r="N19" i="5"/>
  <c r="O19" i="5"/>
  <c r="P19" i="5"/>
  <c r="Q19" i="5"/>
  <c r="L19" i="5"/>
  <c r="N18" i="5"/>
  <c r="O18" i="5" s="1"/>
  <c r="P18" i="5" s="1"/>
  <c r="Q18" i="5" s="1"/>
  <c r="M18" i="5"/>
  <c r="N17" i="5"/>
  <c r="O17" i="5"/>
  <c r="P17" i="5"/>
  <c r="Q17" i="5"/>
  <c r="M17" i="5"/>
  <c r="L17" i="5"/>
  <c r="N16" i="5"/>
  <c r="O16" i="5"/>
  <c r="P16" i="5"/>
  <c r="Q16" i="5"/>
  <c r="N15" i="5"/>
  <c r="O15" i="5"/>
  <c r="P15" i="5"/>
  <c r="Q15" i="5"/>
  <c r="M15" i="5"/>
  <c r="N14" i="5"/>
  <c r="O14" i="5"/>
  <c r="P14" i="5"/>
  <c r="Q14" i="5"/>
  <c r="M14" i="5"/>
  <c r="N12" i="5"/>
  <c r="O12" i="5"/>
  <c r="P12" i="5"/>
  <c r="Q12" i="5"/>
  <c r="M12" i="5"/>
  <c r="O11" i="5"/>
  <c r="P11" i="5"/>
  <c r="Q11" i="5"/>
  <c r="N11" i="5"/>
  <c r="M11" i="5"/>
  <c r="Q10" i="5"/>
  <c r="O10" i="5"/>
  <c r="P10" i="5" s="1"/>
  <c r="N10" i="5"/>
  <c r="M10" i="5"/>
  <c r="L8" i="5"/>
  <c r="M6" i="5"/>
  <c r="L7" i="5"/>
  <c r="L6" i="5"/>
  <c r="L3" i="5"/>
  <c r="L21" i="1"/>
  <c r="S21" i="4"/>
  <c r="N22" i="4"/>
  <c r="O22" i="4"/>
  <c r="P22" i="4"/>
  <c r="Q22" i="4"/>
  <c r="L22" i="4"/>
  <c r="N21" i="4"/>
  <c r="O21" i="4" s="1"/>
  <c r="P21" i="4" s="1"/>
  <c r="Q21" i="4" s="1"/>
  <c r="R21" i="4" s="1"/>
  <c r="M21" i="4"/>
  <c r="L25" i="6" l="1"/>
  <c r="R7" i="6"/>
  <c r="Q8" i="6"/>
  <c r="Q13" i="6" s="1"/>
  <c r="Q14" i="6" s="1"/>
  <c r="P8" i="6"/>
  <c r="P13" i="6"/>
  <c r="P14" i="6" s="1"/>
  <c r="L23" i="4"/>
  <c r="R8" i="6" l="1"/>
  <c r="R13" i="6" s="1"/>
  <c r="R14" i="6" s="1"/>
  <c r="N18" i="4" l="1"/>
  <c r="N19" i="4" s="1"/>
  <c r="N20" i="4" s="1"/>
  <c r="N16" i="4"/>
  <c r="O16" i="4"/>
  <c r="P16" i="4"/>
  <c r="Q16" i="4"/>
  <c r="R16" i="4"/>
  <c r="M16" i="4"/>
  <c r="O10" i="4"/>
  <c r="L14" i="4"/>
  <c r="L13" i="4"/>
  <c r="M10" i="4"/>
  <c r="N10" i="4"/>
  <c r="N8" i="4"/>
  <c r="O8" i="4"/>
  <c r="M8" i="4"/>
  <c r="O7" i="4"/>
  <c r="P7" i="4" s="1"/>
  <c r="L18" i="2"/>
  <c r="M18" i="4" l="1"/>
  <c r="M19" i="4" s="1"/>
  <c r="M20" i="4" s="1"/>
  <c r="O18" i="4"/>
  <c r="O19" i="4" s="1"/>
  <c r="O20" i="4" s="1"/>
  <c r="L15" i="4"/>
  <c r="Q7" i="4"/>
  <c r="P8" i="4"/>
  <c r="P18" i="4" s="1"/>
  <c r="P19" i="4" s="1"/>
  <c r="P20" i="4" s="1"/>
  <c r="L24" i="3"/>
  <c r="N23" i="3"/>
  <c r="O23" i="3" s="1"/>
  <c r="P23" i="3" s="1"/>
  <c r="Q23" i="3" s="1"/>
  <c r="M23" i="3"/>
  <c r="L22" i="3"/>
  <c r="Q20" i="3"/>
  <c r="Q21" i="3" s="1"/>
  <c r="Q22" i="3" s="1"/>
  <c r="Q19" i="3"/>
  <c r="N18" i="3"/>
  <c r="N19" i="3" s="1"/>
  <c r="N20" i="3" s="1"/>
  <c r="N21" i="3" s="1"/>
  <c r="N22" i="3" s="1"/>
  <c r="N24" i="3" s="1"/>
  <c r="O18" i="3"/>
  <c r="O19" i="3" s="1"/>
  <c r="O20" i="3" s="1"/>
  <c r="O21" i="3" s="1"/>
  <c r="O22" i="3" s="1"/>
  <c r="O24" i="3" s="1"/>
  <c r="P18" i="3"/>
  <c r="P19" i="3" s="1"/>
  <c r="P20" i="3" s="1"/>
  <c r="P21" i="3" s="1"/>
  <c r="P22" i="3" s="1"/>
  <c r="P24" i="3" s="1"/>
  <c r="Q18" i="3"/>
  <c r="M18" i="3"/>
  <c r="M19" i="3" s="1"/>
  <c r="M20" i="3" s="1"/>
  <c r="M21" i="3" s="1"/>
  <c r="M22" i="3" s="1"/>
  <c r="M24" i="3" s="1"/>
  <c r="O17" i="3"/>
  <c r="P17" i="3"/>
  <c r="Q17" i="3"/>
  <c r="N17" i="3"/>
  <c r="M17" i="3"/>
  <c r="O16" i="3"/>
  <c r="P16" i="3" s="1"/>
  <c r="Q16" i="3" s="1"/>
  <c r="N16" i="3"/>
  <c r="L26" i="3" l="1"/>
  <c r="L27" i="3" s="1"/>
  <c r="L28" i="3" s="1"/>
  <c r="Q24" i="3"/>
  <c r="R7" i="4"/>
  <c r="Q8" i="4"/>
  <c r="Q18" i="4" s="1"/>
  <c r="Q19" i="4" s="1"/>
  <c r="Q20" i="4" s="1"/>
  <c r="R8" i="4" l="1"/>
  <c r="R18" i="4"/>
  <c r="R19" i="4" s="1"/>
  <c r="L7" i="3" l="1"/>
  <c r="L6" i="3"/>
  <c r="L14" i="2"/>
  <c r="L8" i="3" l="1"/>
  <c r="L22" i="1" l="1"/>
  <c r="L23" i="1" s="1"/>
  <c r="O6" i="1"/>
  <c r="N19" i="2"/>
  <c r="O19" i="2" s="1"/>
  <c r="P19" i="2" s="1"/>
  <c r="Q19" i="2" s="1"/>
  <c r="M19" i="2"/>
  <c r="L20" i="2"/>
  <c r="N15" i="2"/>
  <c r="N16" i="2" s="1"/>
  <c r="N17" i="2" s="1"/>
  <c r="N18" i="2" s="1"/>
  <c r="N20" i="2" s="1"/>
  <c r="O15" i="2"/>
  <c r="O16" i="2" s="1"/>
  <c r="O17" i="2" s="1"/>
  <c r="O18" i="2" s="1"/>
  <c r="O20" i="2" s="1"/>
  <c r="N13" i="2"/>
  <c r="O13" i="2"/>
  <c r="P13" i="2"/>
  <c r="Q13" i="2"/>
  <c r="M13" i="2"/>
  <c r="O11" i="2"/>
  <c r="P11" i="2"/>
  <c r="Q11" i="2"/>
  <c r="N11" i="2"/>
  <c r="M11" i="2"/>
  <c r="N12" i="2"/>
  <c r="O12" i="2"/>
  <c r="P12" i="2"/>
  <c r="P15" i="2" s="1"/>
  <c r="P16" i="2" s="1"/>
  <c r="P17" i="2" s="1"/>
  <c r="P18" i="2" s="1"/>
  <c r="P20" i="2" s="1"/>
  <c r="Q12" i="2"/>
  <c r="Q15" i="2" s="1"/>
  <c r="Q16" i="2" s="1"/>
  <c r="Q17" i="2" s="1"/>
  <c r="Q18" i="2" s="1"/>
  <c r="M15" i="2"/>
  <c r="M16" i="2" s="1"/>
  <c r="M17" i="2" s="1"/>
  <c r="M20" i="2" s="1"/>
  <c r="O10" i="2"/>
  <c r="P10" i="2" s="1"/>
  <c r="Q10" i="2" s="1"/>
  <c r="N10" i="2"/>
  <c r="M10" i="2"/>
  <c r="L8" i="2"/>
  <c r="L7" i="2"/>
  <c r="L6" i="2"/>
  <c r="N5" i="1"/>
  <c r="O5" i="1" s="1"/>
  <c r="N7" i="1"/>
  <c r="O7" i="1"/>
  <c r="P7" i="1"/>
  <c r="Q7" i="1"/>
  <c r="M7" i="1"/>
  <c r="M16" i="1" s="1"/>
  <c r="M17" i="1" s="1"/>
  <c r="M18" i="1" s="1"/>
  <c r="M19" i="1" s="1"/>
  <c r="L19" i="1"/>
  <c r="L20" i="1" s="1"/>
  <c r="L12" i="1"/>
  <c r="L11" i="1"/>
  <c r="L14" i="1" s="1"/>
  <c r="M15" i="1" s="1"/>
  <c r="N15" i="1" s="1"/>
  <c r="O15" i="1" s="1"/>
  <c r="P15" i="1" s="1"/>
  <c r="Q15" i="1" s="1"/>
  <c r="N6" i="1"/>
  <c r="L21" i="2" l="1"/>
  <c r="L22" i="2" s="1"/>
  <c r="L23" i="2" s="1"/>
  <c r="Q20" i="2"/>
  <c r="M20" i="1"/>
  <c r="N16" i="1"/>
  <c r="N17" i="1" s="1"/>
  <c r="N18" i="1" s="1"/>
  <c r="N19" i="1" s="1"/>
  <c r="N20" i="1"/>
  <c r="O16" i="1"/>
  <c r="O17" i="1" s="1"/>
  <c r="O18" i="1" s="1"/>
  <c r="O19" i="1" s="1"/>
  <c r="O20" i="1" s="1"/>
  <c r="P5" i="1"/>
  <c r="P6" i="1" l="1"/>
  <c r="P16" i="1" s="1"/>
  <c r="P17" i="1" s="1"/>
  <c r="P18" i="1" s="1"/>
  <c r="P19" i="1" s="1"/>
  <c r="P20" i="1" s="1"/>
  <c r="Q5" i="1"/>
  <c r="Q6" i="1" l="1"/>
  <c r="Q16" i="1" s="1"/>
  <c r="Q17" i="1" s="1"/>
  <c r="Q18" i="1" s="1"/>
  <c r="Q19" i="1" s="1"/>
  <c r="L24" i="1" s="1"/>
  <c r="Q20" i="1" l="1"/>
  <c r="L25" i="1" s="1"/>
</calcChain>
</file>

<file path=xl/sharedStrings.xml><?xml version="1.0" encoding="utf-8"?>
<sst xmlns="http://schemas.openxmlformats.org/spreadsheetml/2006/main" count="131" uniqueCount="65">
  <si>
    <t>инвестиции</t>
  </si>
  <si>
    <t>выручка</t>
  </si>
  <si>
    <t>операционные расходы</t>
  </si>
  <si>
    <t>амортизация</t>
  </si>
  <si>
    <t>субсидия</t>
  </si>
  <si>
    <t>wacc</t>
  </si>
  <si>
    <t>доля</t>
  </si>
  <si>
    <t>%</t>
  </si>
  <si>
    <t>собств капитал</t>
  </si>
  <si>
    <t>заемный капитал</t>
  </si>
  <si>
    <t>ebit</t>
  </si>
  <si>
    <t>ebiat</t>
  </si>
  <si>
    <t>ocf</t>
  </si>
  <si>
    <t>CF</t>
  </si>
  <si>
    <t>DCF</t>
  </si>
  <si>
    <t>CF для TV</t>
  </si>
  <si>
    <t>TV</t>
  </si>
  <si>
    <t>DTV</t>
  </si>
  <si>
    <t>NPV</t>
  </si>
  <si>
    <t>собст капитал</t>
  </si>
  <si>
    <t>g</t>
  </si>
  <si>
    <t>опер расходы</t>
  </si>
  <si>
    <t>nwc</t>
  </si>
  <si>
    <t>как примерный темп роста дефлятора</t>
  </si>
  <si>
    <t>собств кап</t>
  </si>
  <si>
    <t>заем кап</t>
  </si>
  <si>
    <t>2 рост</t>
  </si>
  <si>
    <t>2 вроят</t>
  </si>
  <si>
    <t>1 вероят</t>
  </si>
  <si>
    <t>1 рост</t>
  </si>
  <si>
    <t>итого рост</t>
  </si>
  <si>
    <t>cf</t>
  </si>
  <si>
    <t>dcf</t>
  </si>
  <si>
    <t>cf для tv</t>
  </si>
  <si>
    <t>tv</t>
  </si>
  <si>
    <t>dtv</t>
  </si>
  <si>
    <t>npv</t>
  </si>
  <si>
    <t>Субсидия</t>
  </si>
  <si>
    <t>Погашение тела</t>
  </si>
  <si>
    <t>Выручка</t>
  </si>
  <si>
    <t>Опер расходы</t>
  </si>
  <si>
    <t>На закрытие</t>
  </si>
  <si>
    <t>доход собств кап</t>
  </si>
  <si>
    <t>прибыль</t>
  </si>
  <si>
    <t>акции</t>
  </si>
  <si>
    <t>треб доходность</t>
  </si>
  <si>
    <t>Купоны по облигациям</t>
  </si>
  <si>
    <t>NI</t>
  </si>
  <si>
    <t>Амортизация</t>
  </si>
  <si>
    <t>NRV</t>
  </si>
  <si>
    <t>NI+Depr</t>
  </si>
  <si>
    <t>CF собств</t>
  </si>
  <si>
    <t>Замный кап</t>
  </si>
  <si>
    <t>Заем капитал</t>
  </si>
  <si>
    <t>затраты на закрытие</t>
  </si>
  <si>
    <t>погашение %</t>
  </si>
  <si>
    <t>погашение тела</t>
  </si>
  <si>
    <t xml:space="preserve">амортизация </t>
  </si>
  <si>
    <t>ni</t>
  </si>
  <si>
    <t>ni+depr</t>
  </si>
  <si>
    <t>nrv</t>
  </si>
  <si>
    <t>npv для собственника</t>
  </si>
  <si>
    <t>налог на прибыль</t>
  </si>
  <si>
    <t>dcf gov</t>
  </si>
  <si>
    <t>bnpv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</si>
</sst>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389790</xdr:colOff>
      <xdr:row>33</xdr:row>
      <xdr:rowOff>103976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C4CCC87-62E6-49F7-BBB2-232F25409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76190" cy="6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208838</xdr:colOff>
      <xdr:row>35</xdr:row>
      <xdr:rowOff>84881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49C37D-146F-4574-B1F6-3E240C058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95238" cy="67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494552</xdr:colOff>
      <xdr:row>34</xdr:row>
      <xdr:rowOff>132524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A33E9AD-06A8-4E59-9FF0-8D916E92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80952" cy="6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456457</xdr:colOff>
      <xdr:row>32</xdr:row>
      <xdr:rowOff>180190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61F61EE-E711-4E42-8C52-38D48418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2857" cy="6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408838</xdr:colOff>
      <xdr:row>33</xdr:row>
      <xdr:rowOff>151595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48EE94E-349B-400A-A0F4-D191109D9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95238" cy="64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446933</xdr:colOff>
      <xdr:row>34</xdr:row>
      <xdr:rowOff>94429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E23BA1-D606-40BF-8FD5-41E4BF9F3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33333" cy="6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Q25"/>
  <sheetViews>
    <sheetView topLeftCell="K1" workbookViewId="0">
      <selection activeCell="O5" sqref="O5"/>
    </sheetView>
  </sheetViews>
  <sheetFormatPr defaultRowHeight="14.4" x14ac:dyDescent="0.3"/>
  <cols>
    <col min="11" max="11" width="16" customWidth="1"/>
    <col min="12" max="17" width="12.88671875" customWidth="1"/>
  </cols>
  <sheetData>
    <row r="3" spans="11:17" x14ac:dyDescent="0.3">
      <c r="L3">
        <v>0</v>
      </c>
      <c r="M3">
        <v>1</v>
      </c>
      <c r="N3">
        <v>2</v>
      </c>
      <c r="O3">
        <v>3</v>
      </c>
      <c r="P3">
        <v>4</v>
      </c>
      <c r="Q3">
        <v>5</v>
      </c>
    </row>
    <row r="4" spans="11:17" x14ac:dyDescent="0.3">
      <c r="K4" t="s">
        <v>0</v>
      </c>
      <c r="L4">
        <v>-1500000000</v>
      </c>
    </row>
    <row r="5" spans="11:17" x14ac:dyDescent="0.3">
      <c r="K5" t="s">
        <v>1</v>
      </c>
      <c r="M5">
        <v>480000000</v>
      </c>
      <c r="N5">
        <f>M5</f>
        <v>480000000</v>
      </c>
      <c r="O5">
        <f>N5</f>
        <v>480000000</v>
      </c>
      <c r="P5">
        <f t="shared" ref="P5:Q5" si="0">O5*1.02</f>
        <v>489600000</v>
      </c>
      <c r="Q5">
        <f t="shared" si="0"/>
        <v>499392000</v>
      </c>
    </row>
    <row r="6" spans="11:17" x14ac:dyDescent="0.3">
      <c r="K6" t="s">
        <v>2</v>
      </c>
      <c r="M6">
        <v>-240000000</v>
      </c>
      <c r="N6">
        <f>0.95*M6</f>
        <v>-228000000</v>
      </c>
      <c r="O6">
        <f>-0.46*O5</f>
        <v>-220800000</v>
      </c>
      <c r="P6">
        <f>-0.46*P5</f>
        <v>-225216000</v>
      </c>
      <c r="Q6">
        <f t="shared" ref="Q6" si="1">-0.46*Q5</f>
        <v>-229720320</v>
      </c>
    </row>
    <row r="7" spans="11:17" x14ac:dyDescent="0.3">
      <c r="K7" t="s">
        <v>3</v>
      </c>
      <c r="M7">
        <f>$L$4/12</f>
        <v>-125000000</v>
      </c>
      <c r="N7">
        <f t="shared" ref="N7:Q7" si="2">$L$4/12</f>
        <v>-125000000</v>
      </c>
      <c r="O7">
        <f t="shared" si="2"/>
        <v>-125000000</v>
      </c>
      <c r="P7">
        <f t="shared" si="2"/>
        <v>-125000000</v>
      </c>
      <c r="Q7">
        <f t="shared" si="2"/>
        <v>-125000000</v>
      </c>
    </row>
    <row r="8" spans="11:17" x14ac:dyDescent="0.3">
      <c r="K8" t="s">
        <v>4</v>
      </c>
      <c r="L8">
        <v>100000000</v>
      </c>
    </row>
    <row r="10" spans="11:17" x14ac:dyDescent="0.3">
      <c r="K10" t="s">
        <v>5</v>
      </c>
      <c r="L10" t="s">
        <v>6</v>
      </c>
      <c r="M10" t="s">
        <v>7</v>
      </c>
    </row>
    <row r="11" spans="11:17" x14ac:dyDescent="0.3">
      <c r="K11" t="s">
        <v>8</v>
      </c>
      <c r="L11">
        <f>500/1400</f>
        <v>0.35714285714285715</v>
      </c>
      <c r="M11">
        <v>0.15</v>
      </c>
    </row>
    <row r="12" spans="11:17" x14ac:dyDescent="0.3">
      <c r="K12" t="s">
        <v>9</v>
      </c>
      <c r="L12">
        <f>900/1400</f>
        <v>0.6428571428571429</v>
      </c>
      <c r="M12">
        <v>0.113</v>
      </c>
    </row>
    <row r="14" spans="11:17" x14ac:dyDescent="0.3">
      <c r="K14" t="s">
        <v>5</v>
      </c>
      <c r="L14">
        <f>L11*M11+0.84*M12*L12</f>
        <v>0.11459142857142857</v>
      </c>
    </row>
    <row r="15" spans="11:17" x14ac:dyDescent="0.3">
      <c r="L15">
        <v>1</v>
      </c>
      <c r="M15">
        <f>L15/(1+$L$14)</f>
        <v>0.89718974537755036</v>
      </c>
      <c r="N15">
        <f t="shared" ref="N15:Q15" si="3">M15/(1+$L$14)</f>
        <v>0.80494943921063367</v>
      </c>
      <c r="O15">
        <f t="shared" si="3"/>
        <v>0.72219238240719041</v>
      </c>
      <c r="P15">
        <f t="shared" si="3"/>
        <v>0.64794359968551363</v>
      </c>
      <c r="Q15">
        <f t="shared" si="3"/>
        <v>0.58132835322085941</v>
      </c>
    </row>
    <row r="16" spans="11:17" x14ac:dyDescent="0.3">
      <c r="K16" t="s">
        <v>10</v>
      </c>
      <c r="M16">
        <f>M5+M6+M7</f>
        <v>115000000</v>
      </c>
      <c r="N16">
        <f t="shared" ref="N16:Q16" si="4">N5+N6+N7</f>
        <v>127000000</v>
      </c>
      <c r="O16">
        <f t="shared" si="4"/>
        <v>134200000</v>
      </c>
      <c r="P16">
        <f t="shared" si="4"/>
        <v>139384000</v>
      </c>
      <c r="Q16">
        <f t="shared" si="4"/>
        <v>144671680</v>
      </c>
    </row>
    <row r="17" spans="11:17" x14ac:dyDescent="0.3">
      <c r="K17" t="s">
        <v>11</v>
      </c>
      <c r="M17">
        <f>M16*0.84</f>
        <v>96600000</v>
      </c>
      <c r="N17">
        <f t="shared" ref="N17:Q17" si="5">N16*0.84</f>
        <v>106680000</v>
      </c>
      <c r="O17">
        <f t="shared" si="5"/>
        <v>112728000</v>
      </c>
      <c r="P17">
        <f t="shared" si="5"/>
        <v>117082560</v>
      </c>
      <c r="Q17">
        <f t="shared" si="5"/>
        <v>121524211.19999999</v>
      </c>
    </row>
    <row r="18" spans="11:17" x14ac:dyDescent="0.3">
      <c r="K18" t="s">
        <v>12</v>
      </c>
      <c r="M18">
        <f>M17-M7</f>
        <v>221600000</v>
      </c>
      <c r="N18">
        <f t="shared" ref="N18:Q18" si="6">N17-N7</f>
        <v>231680000</v>
      </c>
      <c r="O18">
        <f t="shared" si="6"/>
        <v>237728000</v>
      </c>
      <c r="P18">
        <f t="shared" si="6"/>
        <v>242082560</v>
      </c>
      <c r="Q18">
        <f t="shared" si="6"/>
        <v>246524211.19999999</v>
      </c>
    </row>
    <row r="19" spans="11:17" x14ac:dyDescent="0.3">
      <c r="K19" t="s">
        <v>13</v>
      </c>
      <c r="L19">
        <f>L4+L8</f>
        <v>-1400000000</v>
      </c>
      <c r="M19">
        <f>M18</f>
        <v>221600000</v>
      </c>
      <c r="N19">
        <f t="shared" ref="N19:Q19" si="7">N18</f>
        <v>231680000</v>
      </c>
      <c r="O19">
        <f t="shared" si="7"/>
        <v>237728000</v>
      </c>
      <c r="P19">
        <f t="shared" si="7"/>
        <v>242082560</v>
      </c>
      <c r="Q19">
        <f t="shared" si="7"/>
        <v>246524211.19999999</v>
      </c>
    </row>
    <row r="20" spans="11:17" x14ac:dyDescent="0.3">
      <c r="K20" t="s">
        <v>14</v>
      </c>
      <c r="L20">
        <f>L19*L15</f>
        <v>-1400000000</v>
      </c>
      <c r="M20">
        <f t="shared" ref="M20:Q20" si="8">M19*M15</f>
        <v>198817247.57566515</v>
      </c>
      <c r="N20">
        <f t="shared" si="8"/>
        <v>186490686.07631961</v>
      </c>
      <c r="O20">
        <f t="shared" si="8"/>
        <v>171685350.68489656</v>
      </c>
      <c r="P20">
        <f t="shared" si="8"/>
        <v>156855845.34748432</v>
      </c>
      <c r="Q20">
        <f t="shared" si="8"/>
        <v>143311513.72596735</v>
      </c>
    </row>
    <row r="21" spans="11:17" x14ac:dyDescent="0.3">
      <c r="K21" t="s">
        <v>20</v>
      </c>
      <c r="L21">
        <f>0.02</f>
        <v>0.02</v>
      </c>
      <c r="M21" t="s">
        <v>23</v>
      </c>
    </row>
    <row r="22" spans="11:17" x14ac:dyDescent="0.3">
      <c r="K22" t="s">
        <v>15</v>
      </c>
      <c r="L22">
        <f>(Q19+Q7*1.03)*(1+L21)</f>
        <v>120129695.42399999</v>
      </c>
    </row>
    <row r="23" spans="11:17" x14ac:dyDescent="0.3">
      <c r="K23" t="s">
        <v>16</v>
      </c>
      <c r="L23">
        <f>L22/(L14-L21)</f>
        <v>1269985000.1026974</v>
      </c>
    </row>
    <row r="24" spans="11:17" x14ac:dyDescent="0.3">
      <c r="K24" t="s">
        <v>17</v>
      </c>
      <c r="L24">
        <f>L23/(1+L14)^5</f>
        <v>738278288.72489393</v>
      </c>
    </row>
    <row r="25" spans="11:17" x14ac:dyDescent="0.3">
      <c r="K25" t="s">
        <v>18</v>
      </c>
      <c r="L25">
        <f>SUM(L20:Q20)+L24</f>
        <v>195438932.13522708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9FB4-62C5-4D0E-91D7-9089119FC7EA}">
  <dimension ref="K2:Q24"/>
  <sheetViews>
    <sheetView topLeftCell="J1" workbookViewId="0">
      <selection activeCell="M23" sqref="M23"/>
    </sheetView>
  </sheetViews>
  <sheetFormatPr defaultRowHeight="14.4" x14ac:dyDescent="0.3"/>
  <cols>
    <col min="11" max="11" width="11.77734375" customWidth="1"/>
    <col min="12" max="20" width="11.88671875" customWidth="1"/>
  </cols>
  <sheetData>
    <row r="2" spans="11:17" x14ac:dyDescent="0.3">
      <c r="L2">
        <v>0</v>
      </c>
      <c r="M2">
        <v>1</v>
      </c>
      <c r="N2">
        <v>2</v>
      </c>
      <c r="O2">
        <v>3</v>
      </c>
      <c r="P2">
        <v>4</v>
      </c>
      <c r="Q2">
        <v>5</v>
      </c>
    </row>
    <row r="3" spans="11:17" x14ac:dyDescent="0.3">
      <c r="K3" t="s">
        <v>0</v>
      </c>
      <c r="L3">
        <v>-1420000000</v>
      </c>
    </row>
    <row r="4" spans="11:17" x14ac:dyDescent="0.3">
      <c r="K4" t="s">
        <v>22</v>
      </c>
      <c r="L4">
        <v>-80000000</v>
      </c>
    </row>
    <row r="5" spans="11:17" x14ac:dyDescent="0.3">
      <c r="K5" t="s">
        <v>5</v>
      </c>
      <c r="L5" t="s">
        <v>6</v>
      </c>
      <c r="M5" t="s">
        <v>7</v>
      </c>
    </row>
    <row r="6" spans="11:17" x14ac:dyDescent="0.3">
      <c r="K6" t="s">
        <v>19</v>
      </c>
      <c r="L6">
        <f>400/1500</f>
        <v>0.26666666666666666</v>
      </c>
      <c r="M6">
        <v>0.16</v>
      </c>
    </row>
    <row r="7" spans="11:17" x14ac:dyDescent="0.3">
      <c r="K7" t="s">
        <v>9</v>
      </c>
      <c r="L7">
        <f>1100/1500</f>
        <v>0.73333333333333328</v>
      </c>
      <c r="M7">
        <v>0.128</v>
      </c>
    </row>
    <row r="8" spans="11:17" x14ac:dyDescent="0.3">
      <c r="K8" t="s">
        <v>5</v>
      </c>
      <c r="L8">
        <f>L6*M6+L7*M7*0.8</f>
        <v>0.11776</v>
      </c>
    </row>
    <row r="10" spans="11:17" x14ac:dyDescent="0.3">
      <c r="K10" t="s">
        <v>1</v>
      </c>
      <c r="M10">
        <f>600000000*1.011</f>
        <v>606599999.99999988</v>
      </c>
      <c r="N10">
        <f>M10*1.011</f>
        <v>613272599.99999976</v>
      </c>
      <c r="O10">
        <f t="shared" ref="O10:Q10" si="0">N10*1.011</f>
        <v>620018598.59999967</v>
      </c>
      <c r="P10">
        <f t="shared" si="0"/>
        <v>626838803.18459964</v>
      </c>
      <c r="Q10">
        <f t="shared" si="0"/>
        <v>633734030.01963019</v>
      </c>
    </row>
    <row r="11" spans="11:17" x14ac:dyDescent="0.3">
      <c r="K11" t="s">
        <v>21</v>
      </c>
      <c r="M11">
        <f>-250000000*0.9</f>
        <v>-225000000</v>
      </c>
      <c r="N11">
        <f>-0.37*N10</f>
        <v>-226910861.99999991</v>
      </c>
      <c r="O11">
        <f t="shared" ref="O11:Q11" si="1">-0.37*O10</f>
        <v>-229406881.48199987</v>
      </c>
      <c r="P11">
        <f t="shared" si="1"/>
        <v>-231930357.17830187</v>
      </c>
      <c r="Q11">
        <f t="shared" si="1"/>
        <v>-234481591.10726318</v>
      </c>
    </row>
    <row r="12" spans="11:17" x14ac:dyDescent="0.3">
      <c r="K12" t="s">
        <v>3</v>
      </c>
      <c r="M12">
        <f>$L$3/10</f>
        <v>-142000000</v>
      </c>
      <c r="N12">
        <f t="shared" ref="N12:Q12" si="2">$L$3/10</f>
        <v>-142000000</v>
      </c>
      <c r="O12">
        <f t="shared" si="2"/>
        <v>-142000000</v>
      </c>
      <c r="P12">
        <f t="shared" si="2"/>
        <v>-142000000</v>
      </c>
      <c r="Q12">
        <f t="shared" si="2"/>
        <v>-142000000</v>
      </c>
    </row>
    <row r="13" spans="11:17" x14ac:dyDescent="0.3">
      <c r="K13" t="s">
        <v>22</v>
      </c>
      <c r="M13">
        <f>-0.002*M10</f>
        <v>-1213199.9999999998</v>
      </c>
      <c r="N13">
        <f t="shared" ref="N13:Q13" si="3">-0.002*N10</f>
        <v>-1226545.1999999995</v>
      </c>
      <c r="O13">
        <f t="shared" si="3"/>
        <v>-1240037.1971999994</v>
      </c>
      <c r="P13">
        <f t="shared" si="3"/>
        <v>-1253677.6063691992</v>
      </c>
      <c r="Q13">
        <f t="shared" si="3"/>
        <v>-1267468.0600392604</v>
      </c>
    </row>
    <row r="14" spans="11:17" x14ac:dyDescent="0.3">
      <c r="K14" t="s">
        <v>20</v>
      </c>
      <c r="L14">
        <f>0.011</f>
        <v>1.0999999999999999E-2</v>
      </c>
    </row>
    <row r="15" spans="11:17" x14ac:dyDescent="0.3">
      <c r="K15" t="s">
        <v>10</v>
      </c>
      <c r="M15">
        <f>M10+M11+M12</f>
        <v>239599999.99999988</v>
      </c>
      <c r="N15">
        <f t="shared" ref="N15:Q15" si="4">N10+N11+N12</f>
        <v>244361737.99999988</v>
      </c>
      <c r="O15">
        <f t="shared" si="4"/>
        <v>248611717.11799979</v>
      </c>
      <c r="P15">
        <f t="shared" si="4"/>
        <v>252908446.00629777</v>
      </c>
      <c r="Q15">
        <f t="shared" si="4"/>
        <v>257252438.91236699</v>
      </c>
    </row>
    <row r="16" spans="11:17" x14ac:dyDescent="0.3">
      <c r="K16" t="s">
        <v>11</v>
      </c>
      <c r="M16">
        <f>M15*0.8</f>
        <v>191679999.99999991</v>
      </c>
      <c r="N16">
        <f t="shared" ref="N16:Q16" si="5">N15*0.8</f>
        <v>195489390.39999992</v>
      </c>
      <c r="O16">
        <f t="shared" si="5"/>
        <v>198889373.69439983</v>
      </c>
      <c r="P16">
        <f t="shared" si="5"/>
        <v>202326756.80503821</v>
      </c>
      <c r="Q16">
        <f t="shared" si="5"/>
        <v>205801951.1298936</v>
      </c>
    </row>
    <row r="17" spans="11:17" x14ac:dyDescent="0.3">
      <c r="K17" t="s">
        <v>12</v>
      </c>
      <c r="M17">
        <f>M16-M12</f>
        <v>333679999.99999988</v>
      </c>
      <c r="N17">
        <f t="shared" ref="N17:Q17" si="6">N16-N12</f>
        <v>337489390.39999992</v>
      </c>
      <c r="O17">
        <f t="shared" si="6"/>
        <v>340889373.69439983</v>
      </c>
      <c r="P17">
        <f t="shared" si="6"/>
        <v>344326756.80503821</v>
      </c>
      <c r="Q17">
        <f t="shared" si="6"/>
        <v>347801951.1298936</v>
      </c>
    </row>
    <row r="18" spans="11:17" x14ac:dyDescent="0.3">
      <c r="K18" t="s">
        <v>13</v>
      </c>
      <c r="L18">
        <f>L3+L4</f>
        <v>-1500000000</v>
      </c>
      <c r="M18">
        <f>M17+M13</f>
        <v>332466799.99999988</v>
      </c>
      <c r="N18">
        <f t="shared" ref="N18:Q18" si="7">N17+N13</f>
        <v>336262845.19999993</v>
      </c>
      <c r="O18">
        <f t="shared" si="7"/>
        <v>339649336.49719983</v>
      </c>
      <c r="P18">
        <f t="shared" si="7"/>
        <v>343073079.19866902</v>
      </c>
      <c r="Q18">
        <f t="shared" si="7"/>
        <v>346534483.06985432</v>
      </c>
    </row>
    <row r="19" spans="11:17" x14ac:dyDescent="0.3">
      <c r="L19">
        <v>1</v>
      </c>
      <c r="M19">
        <f>L19/(1+$L$8)</f>
        <v>0.89464643572860003</v>
      </c>
      <c r="N19">
        <f t="shared" ref="N19:Q19" si="8">M19/(1+$L$8)</f>
        <v>0.80039224496188799</v>
      </c>
      <c r="O19">
        <f t="shared" si="8"/>
        <v>0.71606806913996557</v>
      </c>
      <c r="P19">
        <f t="shared" si="8"/>
        <v>0.64062774579513093</v>
      </c>
      <c r="Q19">
        <f t="shared" si="8"/>
        <v>0.57313532940446155</v>
      </c>
    </row>
    <row r="20" spans="11:17" x14ac:dyDescent="0.3">
      <c r="K20" t="s">
        <v>14</v>
      </c>
      <c r="L20">
        <f>L18*L19</f>
        <v>-1500000000</v>
      </c>
      <c r="M20">
        <f t="shared" ref="M20:Q20" si="9">M18*M19</f>
        <v>297440237.61809319</v>
      </c>
      <c r="N20">
        <f t="shared" si="9"/>
        <v>269142173.56689978</v>
      </c>
      <c r="O20">
        <f t="shared" si="9"/>
        <v>243212044.57022032</v>
      </c>
      <c r="P20">
        <f t="shared" si="9"/>
        <v>219782133.37003776</v>
      </c>
      <c r="Q20">
        <f t="shared" si="9"/>
        <v>198611155.10424575</v>
      </c>
    </row>
    <row r="21" spans="11:17" x14ac:dyDescent="0.3">
      <c r="K21" t="s">
        <v>15</v>
      </c>
      <c r="L21">
        <f>(Q18+Q12*1.02)*(1+L14)</f>
        <v>203913122.38362271</v>
      </c>
    </row>
    <row r="22" spans="11:17" x14ac:dyDescent="0.3">
      <c r="K22" t="s">
        <v>16</v>
      </c>
      <c r="L22">
        <f>L21/(L8-L14)</f>
        <v>1910014259.8690772</v>
      </c>
    </row>
    <row r="23" spans="11:17" x14ac:dyDescent="0.3">
      <c r="K23" t="s">
        <v>17</v>
      </c>
      <c r="L23">
        <f>L22/(1+L8)^5</f>
        <v>1094696651.9972823</v>
      </c>
    </row>
    <row r="24" spans="11:17" x14ac:dyDescent="0.3">
      <c r="K24" t="s">
        <v>18</v>
      </c>
      <c r="L24">
        <f>SUM(L20:Q20)+L23</f>
        <v>822884396.22677922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EBA7-08BF-4BB6-9D21-ECA6197D185A}">
  <dimension ref="K2:Q29"/>
  <sheetViews>
    <sheetView topLeftCell="J4" workbookViewId="0">
      <selection activeCell="L30" sqref="L30"/>
    </sheetView>
  </sheetViews>
  <sheetFormatPr defaultRowHeight="14.4" x14ac:dyDescent="0.3"/>
  <cols>
    <col min="11" max="11" width="13.77734375" customWidth="1"/>
    <col min="12" max="12" width="12.6640625" bestFit="1" customWidth="1"/>
    <col min="13" max="16" width="11" customWidth="1"/>
    <col min="17" max="17" width="12.6640625" bestFit="1" customWidth="1"/>
  </cols>
  <sheetData>
    <row r="2" spans="11:17" x14ac:dyDescent="0.3">
      <c r="L2">
        <v>0</v>
      </c>
      <c r="M2">
        <v>1</v>
      </c>
      <c r="N2">
        <v>2</v>
      </c>
      <c r="O2">
        <v>3</v>
      </c>
      <c r="P2">
        <v>4</v>
      </c>
      <c r="Q2">
        <v>5</v>
      </c>
    </row>
    <row r="3" spans="11:17" x14ac:dyDescent="0.3">
      <c r="K3" t="s">
        <v>0</v>
      </c>
      <c r="L3">
        <v>-2500000000</v>
      </c>
    </row>
    <row r="5" spans="11:17" x14ac:dyDescent="0.3">
      <c r="K5" t="s">
        <v>5</v>
      </c>
      <c r="L5" t="s">
        <v>6</v>
      </c>
      <c r="M5" t="s">
        <v>7</v>
      </c>
    </row>
    <row r="6" spans="11:17" x14ac:dyDescent="0.3">
      <c r="K6" t="s">
        <v>24</v>
      </c>
      <c r="L6">
        <f>800/2500</f>
        <v>0.32</v>
      </c>
      <c r="M6">
        <v>0.16</v>
      </c>
    </row>
    <row r="7" spans="11:17" x14ac:dyDescent="0.3">
      <c r="K7" t="s">
        <v>25</v>
      </c>
      <c r="L7">
        <f>1700/2500</f>
        <v>0.68</v>
      </c>
      <c r="M7">
        <v>0.114</v>
      </c>
    </row>
    <row r="8" spans="11:17" x14ac:dyDescent="0.3">
      <c r="K8" t="s">
        <v>5</v>
      </c>
      <c r="L8">
        <f>L6*M6+0.85*L7*M7</f>
        <v>0.117092</v>
      </c>
    </row>
    <row r="10" spans="11:17" x14ac:dyDescent="0.3">
      <c r="K10" t="s">
        <v>29</v>
      </c>
      <c r="N10">
        <v>1.03</v>
      </c>
      <c r="O10">
        <v>1.03</v>
      </c>
      <c r="P10">
        <v>1.0249999999999999</v>
      </c>
      <c r="Q10">
        <v>1.02</v>
      </c>
    </row>
    <row r="11" spans="11:17" x14ac:dyDescent="0.3">
      <c r="K11" t="s">
        <v>28</v>
      </c>
      <c r="N11">
        <v>0.8</v>
      </c>
      <c r="O11">
        <v>0.8</v>
      </c>
      <c r="P11">
        <v>0.8</v>
      </c>
      <c r="Q11">
        <v>0.8</v>
      </c>
    </row>
    <row r="12" spans="11:17" x14ac:dyDescent="0.3">
      <c r="K12" t="s">
        <v>26</v>
      </c>
    </row>
    <row r="13" spans="11:17" x14ac:dyDescent="0.3">
      <c r="K13" t="s">
        <v>27</v>
      </c>
    </row>
    <row r="14" spans="11:17" x14ac:dyDescent="0.3">
      <c r="K14" t="s">
        <v>30</v>
      </c>
    </row>
    <row r="16" spans="11:17" x14ac:dyDescent="0.3">
      <c r="K16" t="s">
        <v>1</v>
      </c>
      <c r="M16">
        <v>580000000</v>
      </c>
      <c r="N16">
        <f>M16*N10</f>
        <v>597400000</v>
      </c>
      <c r="O16">
        <f t="shared" ref="O16:Q16" si="0">N16*O10</f>
        <v>615322000</v>
      </c>
      <c r="P16">
        <f t="shared" si="0"/>
        <v>630705050</v>
      </c>
      <c r="Q16">
        <f t="shared" si="0"/>
        <v>643319151</v>
      </c>
    </row>
    <row r="17" spans="11:17" x14ac:dyDescent="0.3">
      <c r="K17" t="s">
        <v>21</v>
      </c>
      <c r="M17">
        <f>-280000000</f>
        <v>-280000000</v>
      </c>
      <c r="N17">
        <f>-0.48*N16</f>
        <v>-286752000</v>
      </c>
      <c r="O17">
        <f t="shared" ref="O17:Q17" si="1">-0.48*O16</f>
        <v>-295354560</v>
      </c>
      <c r="P17">
        <f t="shared" si="1"/>
        <v>-302738424</v>
      </c>
      <c r="Q17" s="1">
        <f t="shared" si="1"/>
        <v>-308793192.47999996</v>
      </c>
    </row>
    <row r="18" spans="11:17" x14ac:dyDescent="0.3">
      <c r="K18" t="s">
        <v>3</v>
      </c>
      <c r="M18">
        <f>$L$3/12</f>
        <v>-208333333.33333334</v>
      </c>
      <c r="N18">
        <f t="shared" ref="N18:Q18" si="2">$L$3/12</f>
        <v>-208333333.33333334</v>
      </c>
      <c r="O18">
        <f t="shared" si="2"/>
        <v>-208333333.33333334</v>
      </c>
      <c r="P18">
        <f t="shared" si="2"/>
        <v>-208333333.33333334</v>
      </c>
      <c r="Q18">
        <f t="shared" si="2"/>
        <v>-208333333.33333334</v>
      </c>
    </row>
    <row r="19" spans="11:17" x14ac:dyDescent="0.3">
      <c r="K19" t="s">
        <v>10</v>
      </c>
      <c r="M19">
        <f>M16+M17+M18</f>
        <v>91666666.666666657</v>
      </c>
      <c r="N19">
        <f t="shared" ref="N19:Q19" si="3">N16+N17+N18</f>
        <v>102314666.66666666</v>
      </c>
      <c r="O19">
        <f t="shared" si="3"/>
        <v>111634106.66666666</v>
      </c>
      <c r="P19">
        <f t="shared" si="3"/>
        <v>119633292.66666666</v>
      </c>
      <c r="Q19">
        <f t="shared" si="3"/>
        <v>126192625.1866667</v>
      </c>
    </row>
    <row r="20" spans="11:17" x14ac:dyDescent="0.3">
      <c r="K20" t="s">
        <v>11</v>
      </c>
      <c r="M20">
        <f>M19*0.85</f>
        <v>77916666.666666657</v>
      </c>
      <c r="N20">
        <f t="shared" ref="N20:Q20" si="4">N19*0.85</f>
        <v>86967466.666666657</v>
      </c>
      <c r="O20">
        <f t="shared" si="4"/>
        <v>94888990.666666657</v>
      </c>
      <c r="P20">
        <f t="shared" si="4"/>
        <v>101688298.76666665</v>
      </c>
      <c r="Q20">
        <f t="shared" si="4"/>
        <v>107263731.40866669</v>
      </c>
    </row>
    <row r="21" spans="11:17" x14ac:dyDescent="0.3">
      <c r="K21" t="s">
        <v>12</v>
      </c>
      <c r="M21">
        <f>M20-M18</f>
        <v>286250000</v>
      </c>
      <c r="N21">
        <f t="shared" ref="N21:Q21" si="5">N20-N18</f>
        <v>295300800</v>
      </c>
      <c r="O21">
        <f t="shared" si="5"/>
        <v>303222324</v>
      </c>
      <c r="P21">
        <f t="shared" si="5"/>
        <v>310021632.10000002</v>
      </c>
      <c r="Q21">
        <f t="shared" si="5"/>
        <v>315597064.74200004</v>
      </c>
    </row>
    <row r="22" spans="11:17" x14ac:dyDescent="0.3">
      <c r="K22" t="s">
        <v>31</v>
      </c>
      <c r="L22">
        <f>L3</f>
        <v>-2500000000</v>
      </c>
      <c r="M22">
        <f>M21</f>
        <v>286250000</v>
      </c>
      <c r="N22">
        <f t="shared" ref="N22:Q22" si="6">N21</f>
        <v>295300800</v>
      </c>
      <c r="O22">
        <f t="shared" si="6"/>
        <v>303222324</v>
      </c>
      <c r="P22">
        <f t="shared" si="6"/>
        <v>310021632.10000002</v>
      </c>
      <c r="Q22">
        <f t="shared" si="6"/>
        <v>315597064.74200004</v>
      </c>
    </row>
    <row r="23" spans="11:17" x14ac:dyDescent="0.3">
      <c r="L23">
        <v>1</v>
      </c>
      <c r="M23">
        <f>L23/(1+$L$8)</f>
        <v>0.89518141746606372</v>
      </c>
      <c r="N23">
        <f t="shared" ref="N23:Q23" si="7">M23/(1+$L$8)</f>
        <v>0.80134977017655107</v>
      </c>
      <c r="O23">
        <f t="shared" si="7"/>
        <v>0.71735342315274941</v>
      </c>
      <c r="P23">
        <f t="shared" si="7"/>
        <v>0.6421614541620112</v>
      </c>
      <c r="Q23">
        <f t="shared" si="7"/>
        <v>0.5748510007788179</v>
      </c>
    </row>
    <row r="24" spans="11:17" x14ac:dyDescent="0.3">
      <c r="K24" t="s">
        <v>32</v>
      </c>
      <c r="L24">
        <f>L23*L22</f>
        <v>-2500000000</v>
      </c>
      <c r="M24">
        <f t="shared" ref="M24:Q24" si="8">M23*M22</f>
        <v>256245680.74966073</v>
      </c>
      <c r="N24">
        <f t="shared" si="8"/>
        <v>236639228.21295166</v>
      </c>
      <c r="O24">
        <f t="shared" si="8"/>
        <v>217517572.0977321</v>
      </c>
      <c r="P24">
        <f t="shared" si="8"/>
        <v>199083942.09101605</v>
      </c>
      <c r="Q24">
        <f t="shared" si="8"/>
        <v>181421288.50979611</v>
      </c>
    </row>
    <row r="25" spans="11:17" x14ac:dyDescent="0.3">
      <c r="K25" t="s">
        <v>20</v>
      </c>
      <c r="L25">
        <v>1.4999999999999999E-2</v>
      </c>
    </row>
    <row r="26" spans="11:17" x14ac:dyDescent="0.3">
      <c r="K26" t="s">
        <v>33</v>
      </c>
      <c r="L26">
        <f>(Q22+Q18*1.014)*(1+L25)</f>
        <v>105912270.71313003</v>
      </c>
    </row>
    <row r="27" spans="11:17" x14ac:dyDescent="0.3">
      <c r="K27" t="s">
        <v>34</v>
      </c>
      <c r="L27">
        <f>L26/(L8-L25)</f>
        <v>1037419883.1752735</v>
      </c>
    </row>
    <row r="28" spans="11:17" x14ac:dyDescent="0.3">
      <c r="K28" t="s">
        <v>35</v>
      </c>
      <c r="L28">
        <f>L27/(1+L8)^5</f>
        <v>596361858.07115018</v>
      </c>
    </row>
    <row r="29" spans="11:17" x14ac:dyDescent="0.3">
      <c r="K29" t="s">
        <v>36</v>
      </c>
      <c r="L29">
        <f>SUM(L24:Q24)+L28</f>
        <v>-812730430.2676934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B126-5425-4F5E-ADD2-B3E255D2CAFF}">
  <dimension ref="K2:S23"/>
  <sheetViews>
    <sheetView workbookViewId="0">
      <selection activeCell="M23" sqref="M23"/>
    </sheetView>
  </sheetViews>
  <sheetFormatPr defaultRowHeight="14.4" x14ac:dyDescent="0.3"/>
  <cols>
    <col min="11" max="11" width="14.109375" customWidth="1"/>
    <col min="12" max="19" width="11.5546875" customWidth="1"/>
  </cols>
  <sheetData>
    <row r="2" spans="11:19" x14ac:dyDescent="0.3"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</row>
    <row r="3" spans="11:19" x14ac:dyDescent="0.3">
      <c r="K3" t="s">
        <v>0</v>
      </c>
      <c r="L3">
        <v>-2800000000</v>
      </c>
    </row>
    <row r="4" spans="11:19" x14ac:dyDescent="0.3">
      <c r="K4" t="s">
        <v>22</v>
      </c>
      <c r="L4">
        <v>-200000000</v>
      </c>
      <c r="R4">
        <f>-L4</f>
        <v>200000000</v>
      </c>
    </row>
    <row r="5" spans="11:19" x14ac:dyDescent="0.3">
      <c r="K5" t="s">
        <v>37</v>
      </c>
      <c r="L5">
        <v>200000000</v>
      </c>
    </row>
    <row r="6" spans="11:19" x14ac:dyDescent="0.3">
      <c r="K6" t="s">
        <v>52</v>
      </c>
      <c r="L6">
        <v>2100000000</v>
      </c>
    </row>
    <row r="7" spans="11:19" x14ac:dyDescent="0.3">
      <c r="K7" t="s">
        <v>39</v>
      </c>
      <c r="M7">
        <v>820000000</v>
      </c>
      <c r="N7">
        <v>960000000</v>
      </c>
      <c r="O7">
        <f>N7*1.09</f>
        <v>1046400000.0000001</v>
      </c>
      <c r="P7">
        <f t="shared" ref="P7:R7" si="0">O7*1.09</f>
        <v>1140576000.0000002</v>
      </c>
      <c r="Q7">
        <f t="shared" si="0"/>
        <v>1243227840.0000002</v>
      </c>
      <c r="R7">
        <f t="shared" si="0"/>
        <v>1355118345.6000004</v>
      </c>
    </row>
    <row r="8" spans="11:19" x14ac:dyDescent="0.3">
      <c r="K8" t="s">
        <v>40</v>
      </c>
      <c r="M8">
        <f>-0.3*M7</f>
        <v>-246000000</v>
      </c>
      <c r="N8">
        <f t="shared" ref="N8:R8" si="1">-0.3*N7</f>
        <v>-288000000</v>
      </c>
      <c r="O8">
        <f t="shared" si="1"/>
        <v>-313920000</v>
      </c>
      <c r="P8">
        <f t="shared" si="1"/>
        <v>-342172800.00000006</v>
      </c>
      <c r="Q8">
        <f t="shared" si="1"/>
        <v>-372968352.00000006</v>
      </c>
      <c r="R8">
        <f t="shared" si="1"/>
        <v>-406535503.68000013</v>
      </c>
    </row>
    <row r="9" spans="11:19" x14ac:dyDescent="0.3">
      <c r="K9" t="s">
        <v>41</v>
      </c>
      <c r="S9">
        <f>-80000000*0.8</f>
        <v>-64000000</v>
      </c>
    </row>
    <row r="10" spans="11:19" x14ac:dyDescent="0.3">
      <c r="K10" t="s">
        <v>46</v>
      </c>
      <c r="M10">
        <f>-0.1*2100000000</f>
        <v>-210000000</v>
      </c>
      <c r="N10">
        <f t="shared" ref="N10" si="2">-0.1*2100000000</f>
        <v>-210000000</v>
      </c>
      <c r="O10">
        <f>-0.1*2100000000</f>
        <v>-210000000</v>
      </c>
    </row>
    <row r="11" spans="11:19" x14ac:dyDescent="0.3">
      <c r="K11" t="s">
        <v>38</v>
      </c>
      <c r="O11">
        <v>-2100000000</v>
      </c>
    </row>
    <row r="12" spans="11:19" x14ac:dyDescent="0.3">
      <c r="K12" t="s">
        <v>42</v>
      </c>
      <c r="L12" t="s">
        <v>6</v>
      </c>
      <c r="M12" t="s">
        <v>7</v>
      </c>
    </row>
    <row r="13" spans="11:19" x14ac:dyDescent="0.3">
      <c r="K13" t="s">
        <v>43</v>
      </c>
      <c r="L13">
        <f>1/3</f>
        <v>0.33333333333333331</v>
      </c>
      <c r="M13">
        <v>0.15</v>
      </c>
    </row>
    <row r="14" spans="11:19" x14ac:dyDescent="0.3">
      <c r="K14" t="s">
        <v>44</v>
      </c>
      <c r="L14">
        <f>2/3</f>
        <v>0.66666666666666663</v>
      </c>
      <c r="M14">
        <v>0.16</v>
      </c>
    </row>
    <row r="15" spans="11:19" x14ac:dyDescent="0.3">
      <c r="K15" t="s">
        <v>45</v>
      </c>
      <c r="L15">
        <f>L13*M13+L14*M14</f>
        <v>0.15666666666666665</v>
      </c>
    </row>
    <row r="16" spans="11:19" x14ac:dyDescent="0.3">
      <c r="K16" t="s">
        <v>48</v>
      </c>
      <c r="M16">
        <f>$L$3/12</f>
        <v>-233333333.33333334</v>
      </c>
      <c r="N16">
        <f t="shared" ref="N16:R16" si="3">$L$3/12</f>
        <v>-233333333.33333334</v>
      </c>
      <c r="O16">
        <f t="shared" si="3"/>
        <v>-233333333.33333334</v>
      </c>
      <c r="P16">
        <f t="shared" si="3"/>
        <v>-233333333.33333334</v>
      </c>
      <c r="Q16">
        <f t="shared" si="3"/>
        <v>-233333333.33333334</v>
      </c>
      <c r="R16">
        <f t="shared" si="3"/>
        <v>-233333333.33333334</v>
      </c>
    </row>
    <row r="17" spans="11:19" x14ac:dyDescent="0.3">
      <c r="K17" t="s">
        <v>49</v>
      </c>
      <c r="S17">
        <f>-L3+SUM(M16:S16)</f>
        <v>1400000000</v>
      </c>
    </row>
    <row r="18" spans="11:19" x14ac:dyDescent="0.3">
      <c r="K18" t="s">
        <v>47</v>
      </c>
      <c r="M18">
        <f>(M7+M8+M10+M16)*0.8</f>
        <v>104533333.33333333</v>
      </c>
      <c r="N18">
        <f t="shared" ref="N18:R18" si="4">(N7+N8+N10+N16)*0.8</f>
        <v>182933333.33333334</v>
      </c>
      <c r="O18">
        <f t="shared" si="4"/>
        <v>231317333.3333334</v>
      </c>
      <c r="P18">
        <f t="shared" si="4"/>
        <v>452055893.33333349</v>
      </c>
      <c r="Q18">
        <f t="shared" si="4"/>
        <v>509540923.73333353</v>
      </c>
      <c r="R18">
        <f t="shared" si="4"/>
        <v>572199606.86933362</v>
      </c>
    </row>
    <row r="19" spans="11:19" x14ac:dyDescent="0.3">
      <c r="K19" t="s">
        <v>50</v>
      </c>
      <c r="M19">
        <f>M18-M16</f>
        <v>337866666.66666669</v>
      </c>
      <c r="N19">
        <f t="shared" ref="N19:R19" si="5">N18-N16</f>
        <v>416266666.66666669</v>
      </c>
      <c r="O19">
        <f t="shared" si="5"/>
        <v>464650666.66666675</v>
      </c>
      <c r="P19">
        <f t="shared" si="5"/>
        <v>685389226.66666687</v>
      </c>
      <c r="Q19">
        <f t="shared" si="5"/>
        <v>742874257.06666684</v>
      </c>
      <c r="R19">
        <f t="shared" si="5"/>
        <v>805532940.202667</v>
      </c>
    </row>
    <row r="20" spans="11:19" x14ac:dyDescent="0.3">
      <c r="K20" t="s">
        <v>51</v>
      </c>
      <c r="L20">
        <f>L3+L4+L5+L6</f>
        <v>-700000000</v>
      </c>
      <c r="M20">
        <f>M19+M17+M11</f>
        <v>337866666.66666669</v>
      </c>
      <c r="N20">
        <f t="shared" ref="N20:S20" si="6">N19+N17+N11</f>
        <v>416266666.66666669</v>
      </c>
      <c r="O20">
        <f t="shared" si="6"/>
        <v>-1635349333.3333333</v>
      </c>
      <c r="P20">
        <f t="shared" si="6"/>
        <v>685389226.66666687</v>
      </c>
      <c r="Q20">
        <f t="shared" si="6"/>
        <v>742874257.06666684</v>
      </c>
      <c r="R20">
        <f>R19+R17+R11+R4</f>
        <v>1005532940.202667</v>
      </c>
      <c r="S20">
        <f>S19+S17+S11+S9</f>
        <v>1336000000</v>
      </c>
    </row>
    <row r="21" spans="11:19" x14ac:dyDescent="0.3">
      <c r="L21">
        <v>1</v>
      </c>
      <c r="M21">
        <f>L21/(1+$L$15)</f>
        <v>0.86455331412103742</v>
      </c>
      <c r="N21">
        <f t="shared" ref="N21:S21" si="7">M21/(1+$L$15)</f>
        <v>0.74745243295766917</v>
      </c>
      <c r="O21">
        <f t="shared" si="7"/>
        <v>0.64621247806138538</v>
      </c>
      <c r="P21">
        <f t="shared" si="7"/>
        <v>0.55868513953433896</v>
      </c>
      <c r="Q21">
        <f t="shared" si="7"/>
        <v>0.48301308893458694</v>
      </c>
      <c r="R21">
        <f t="shared" si="7"/>
        <v>0.41759056680223655</v>
      </c>
      <c r="S21">
        <f t="shared" si="7"/>
        <v>0.36102930847455605</v>
      </c>
    </row>
    <row r="22" spans="11:19" x14ac:dyDescent="0.3">
      <c r="K22" t="s">
        <v>14</v>
      </c>
      <c r="L22">
        <f>L20*L21</f>
        <v>-700000000</v>
      </c>
      <c r="M22">
        <f>M20*M21</f>
        <v>292103746.39769453</v>
      </c>
      <c r="N22">
        <f t="shared" ref="M22:S22" si="8">N20*N21</f>
        <v>311139532.75917912</v>
      </c>
      <c r="O22">
        <f t="shared" si="8"/>
        <v>-1056783145.1893678</v>
      </c>
      <c r="P22">
        <f t="shared" si="8"/>
        <v>382916775.73559946</v>
      </c>
      <c r="Q22">
        <f t="shared" si="8"/>
        <v>358817989.59575713</v>
      </c>
      <c r="R22">
        <f>R20*R21</f>
        <v>419901070.43755114</v>
      </c>
      <c r="S22">
        <f t="shared" si="8"/>
        <v>482335156.12200689</v>
      </c>
    </row>
    <row r="23" spans="11:19" x14ac:dyDescent="0.3">
      <c r="K23" t="s">
        <v>18</v>
      </c>
      <c r="L23">
        <f>SUM(L22:S22)</f>
        <v>490431125.85842061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F46E-626B-4D0F-A615-EC80B5339C5F}">
  <dimension ref="K2:T23"/>
  <sheetViews>
    <sheetView tabSelected="1" topLeftCell="K1" workbookViewId="0">
      <selection activeCell="M17" sqref="M17"/>
    </sheetView>
  </sheetViews>
  <sheetFormatPr defaultRowHeight="14.4" x14ac:dyDescent="0.3"/>
  <cols>
    <col min="12" max="20" width="11.77734375" customWidth="1"/>
  </cols>
  <sheetData>
    <row r="2" spans="11:20" x14ac:dyDescent="0.3"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</row>
    <row r="3" spans="11:20" x14ac:dyDescent="0.3">
      <c r="K3" t="s">
        <v>0</v>
      </c>
      <c r="L3">
        <f>-1300000000</f>
        <v>-1300000000</v>
      </c>
    </row>
    <row r="5" spans="11:20" x14ac:dyDescent="0.3">
      <c r="K5" t="s">
        <v>5</v>
      </c>
      <c r="L5" t="s">
        <v>6</v>
      </c>
      <c r="M5" t="s">
        <v>7</v>
      </c>
    </row>
    <row r="6" spans="11:20" x14ac:dyDescent="0.3">
      <c r="K6" t="s">
        <v>24</v>
      </c>
      <c r="L6">
        <f>400/1300</f>
        <v>0.30769230769230771</v>
      </c>
      <c r="M6">
        <f>0.155</f>
        <v>0.155</v>
      </c>
    </row>
    <row r="7" spans="11:20" x14ac:dyDescent="0.3">
      <c r="K7" t="s">
        <v>25</v>
      </c>
      <c r="L7">
        <f>900/1300</f>
        <v>0.69230769230769229</v>
      </c>
      <c r="M7">
        <v>0.128</v>
      </c>
    </row>
    <row r="8" spans="11:20" x14ac:dyDescent="0.3">
      <c r="K8" t="s">
        <v>5</v>
      </c>
      <c r="L8">
        <f>L6*M6+0.8*L7*M7</f>
        <v>0.1185846153846154</v>
      </c>
    </row>
    <row r="10" spans="11:20" x14ac:dyDescent="0.3">
      <c r="K10" t="s">
        <v>1</v>
      </c>
      <c r="M10">
        <f>900000000*0.99</f>
        <v>891000000</v>
      </c>
      <c r="N10">
        <f>M10*0.99</f>
        <v>882090000</v>
      </c>
      <c r="O10">
        <f>N10*0.99</f>
        <v>873269100</v>
      </c>
      <c r="P10">
        <f>O10*1.021</f>
        <v>891607751.0999999</v>
      </c>
      <c r="Q10">
        <f>P10*1.021</f>
        <v>910331513.8730998</v>
      </c>
    </row>
    <row r="11" spans="11:20" x14ac:dyDescent="0.3">
      <c r="K11" t="s">
        <v>21</v>
      </c>
      <c r="M11">
        <f>-440000000*0.9</f>
        <v>-396000000</v>
      </c>
      <c r="N11">
        <f>-0.42*N10</f>
        <v>-370477800</v>
      </c>
      <c r="O11">
        <f t="shared" ref="O11:Q11" si="0">-0.42*O10</f>
        <v>-366773022</v>
      </c>
      <c r="P11">
        <f t="shared" si="0"/>
        <v>-374475255.46199995</v>
      </c>
      <c r="Q11">
        <f t="shared" si="0"/>
        <v>-382339235.82670188</v>
      </c>
    </row>
    <row r="12" spans="11:20" x14ac:dyDescent="0.3">
      <c r="K12" t="s">
        <v>3</v>
      </c>
      <c r="M12">
        <f>$L$3/10</f>
        <v>-130000000</v>
      </c>
      <c r="N12">
        <f t="shared" ref="N12:Q12" si="1">$L$3/10</f>
        <v>-130000000</v>
      </c>
      <c r="O12">
        <f t="shared" si="1"/>
        <v>-130000000</v>
      </c>
      <c r="P12">
        <f t="shared" si="1"/>
        <v>-130000000</v>
      </c>
      <c r="Q12">
        <f t="shared" si="1"/>
        <v>-130000000</v>
      </c>
    </row>
    <row r="13" spans="11:20" x14ac:dyDescent="0.3">
      <c r="K13" t="s">
        <v>20</v>
      </c>
      <c r="L13">
        <v>2.1000000000000001E-2</v>
      </c>
    </row>
    <row r="14" spans="11:20" x14ac:dyDescent="0.3">
      <c r="K14" t="s">
        <v>10</v>
      </c>
      <c r="M14">
        <f>M10+M11+M12</f>
        <v>365000000</v>
      </c>
      <c r="N14">
        <f t="shared" ref="N14:Q14" si="2">N10+N11+N12</f>
        <v>381612200</v>
      </c>
      <c r="O14">
        <f t="shared" si="2"/>
        <v>376496078</v>
      </c>
      <c r="P14">
        <f t="shared" si="2"/>
        <v>387132495.63799995</v>
      </c>
      <c r="Q14">
        <f t="shared" si="2"/>
        <v>397992278.04639792</v>
      </c>
    </row>
    <row r="15" spans="11:20" x14ac:dyDescent="0.3">
      <c r="K15" t="s">
        <v>11</v>
      </c>
      <c r="M15">
        <f>M14*0.8</f>
        <v>292000000</v>
      </c>
      <c r="N15">
        <f t="shared" ref="N15:Q15" si="3">N14*0.8</f>
        <v>305289760</v>
      </c>
      <c r="O15">
        <f t="shared" si="3"/>
        <v>301196862.40000004</v>
      </c>
      <c r="P15">
        <f t="shared" si="3"/>
        <v>309705996.5104</v>
      </c>
      <c r="Q15">
        <f t="shared" si="3"/>
        <v>318393822.43711835</v>
      </c>
    </row>
    <row r="16" spans="11:20" x14ac:dyDescent="0.3">
      <c r="K16" t="s">
        <v>12</v>
      </c>
      <c r="M16">
        <f>M15-M12</f>
        <v>422000000</v>
      </c>
      <c r="N16">
        <f t="shared" ref="N16:Q16" si="4">N15-N12</f>
        <v>435289760</v>
      </c>
      <c r="O16">
        <f t="shared" si="4"/>
        <v>431196862.40000004</v>
      </c>
      <c r="P16">
        <f t="shared" si="4"/>
        <v>439705996.5104</v>
      </c>
      <c r="Q16">
        <f t="shared" si="4"/>
        <v>448393822.43711835</v>
      </c>
    </row>
    <row r="17" spans="11:17" x14ac:dyDescent="0.3">
      <c r="K17" t="s">
        <v>31</v>
      </c>
      <c r="L17">
        <f>L3</f>
        <v>-1300000000</v>
      </c>
      <c r="M17">
        <f>M16</f>
        <v>422000000</v>
      </c>
      <c r="N17">
        <f t="shared" ref="N17:Q17" si="5">N16</f>
        <v>435289760</v>
      </c>
      <c r="O17">
        <f t="shared" si="5"/>
        <v>431196862.40000004</v>
      </c>
      <c r="P17">
        <f t="shared" si="5"/>
        <v>439705996.5104</v>
      </c>
      <c r="Q17">
        <f t="shared" si="5"/>
        <v>448393822.43711835</v>
      </c>
    </row>
    <row r="18" spans="11:17" x14ac:dyDescent="0.3">
      <c r="L18">
        <v>1</v>
      </c>
      <c r="M18">
        <f>L18/(1+$L$8)</f>
        <v>0.89398690653023039</v>
      </c>
      <c r="N18">
        <f t="shared" ref="N18:Q18" si="6">M18/(1+$L$8)</f>
        <v>0.79921258904749093</v>
      </c>
      <c r="O18">
        <f t="shared" si="6"/>
        <v>0.71448559014258273</v>
      </c>
      <c r="P18">
        <f t="shared" si="6"/>
        <v>0.63874076249199363</v>
      </c>
      <c r="Q18">
        <f t="shared" si="6"/>
        <v>0.57102587833497798</v>
      </c>
    </row>
    <row r="19" spans="11:17" x14ac:dyDescent="0.3">
      <c r="K19" t="s">
        <v>14</v>
      </c>
      <c r="L19">
        <f>L18*L17</f>
        <v>-1300000000</v>
      </c>
      <c r="M19">
        <f t="shared" ref="M19:Q19" si="7">M18*M17</f>
        <v>377262474.55575722</v>
      </c>
      <c r="N19">
        <f t="shared" si="7"/>
        <v>347889056.07546097</v>
      </c>
      <c r="O19">
        <f t="shared" si="7"/>
        <v>308083944.69949406</v>
      </c>
      <c r="P19">
        <f t="shared" si="7"/>
        <v>280858143.48335481</v>
      </c>
      <c r="Q19">
        <f t="shared" si="7"/>
        <v>256044476.29713365</v>
      </c>
    </row>
    <row r="20" spans="11:17" x14ac:dyDescent="0.3">
      <c r="K20" t="s">
        <v>33</v>
      </c>
      <c r="L20">
        <f>(Q17+Q12*1.025)*(1+L13)</f>
        <v>321761842.70829779</v>
      </c>
    </row>
    <row r="21" spans="11:17" x14ac:dyDescent="0.3">
      <c r="K21" t="s">
        <v>34</v>
      </c>
      <c r="L21">
        <f>L20/(L8-L13)</f>
        <v>3297259936.3139453</v>
      </c>
    </row>
    <row r="22" spans="11:17" x14ac:dyDescent="0.3">
      <c r="K22" t="s">
        <v>35</v>
      </c>
      <c r="L22">
        <f>L21/(1+L8)^5</f>
        <v>1882820751.2324038</v>
      </c>
    </row>
    <row r="23" spans="11:17" x14ac:dyDescent="0.3">
      <c r="K23" t="s">
        <v>18</v>
      </c>
      <c r="L23">
        <f>SUM(L19:Q19)+L22</f>
        <v>2152958846.3436046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BE2D-10C6-4D1F-BE11-5D5B06A5A9C3}">
  <dimension ref="K2:R25"/>
  <sheetViews>
    <sheetView topLeftCell="A4" workbookViewId="0">
      <selection activeCell="M25" sqref="M25"/>
    </sheetView>
  </sheetViews>
  <sheetFormatPr defaultRowHeight="14.4" x14ac:dyDescent="0.3"/>
  <cols>
    <col min="11" max="11" width="15.109375" customWidth="1"/>
    <col min="12" max="18" width="11.77734375" customWidth="1"/>
  </cols>
  <sheetData>
    <row r="2" spans="11:18" x14ac:dyDescent="0.3"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1:18" x14ac:dyDescent="0.3">
      <c r="K3" t="s">
        <v>0</v>
      </c>
      <c r="L3">
        <v>-3700000000</v>
      </c>
    </row>
    <row r="4" spans="11:18" x14ac:dyDescent="0.3">
      <c r="K4" t="s">
        <v>22</v>
      </c>
      <c r="L4">
        <v>-300000000</v>
      </c>
      <c r="R4">
        <f>-L4</f>
        <v>300000000</v>
      </c>
    </row>
    <row r="5" spans="11:18" x14ac:dyDescent="0.3">
      <c r="K5" t="s">
        <v>4</v>
      </c>
      <c r="L5">
        <v>400000000</v>
      </c>
    </row>
    <row r="6" spans="11:18" x14ac:dyDescent="0.3">
      <c r="K6" t="s">
        <v>53</v>
      </c>
      <c r="L6">
        <v>2000000000</v>
      </c>
    </row>
    <row r="7" spans="11:18" x14ac:dyDescent="0.3">
      <c r="K7" t="s">
        <v>1</v>
      </c>
      <c r="M7">
        <v>950000000</v>
      </c>
      <c r="N7">
        <v>1100000000</v>
      </c>
      <c r="O7">
        <f>N7*1.06</f>
        <v>1166000000</v>
      </c>
      <c r="P7">
        <f t="shared" ref="P7:R7" si="0">O7*1.06</f>
        <v>1235960000</v>
      </c>
      <c r="Q7">
        <f t="shared" si="0"/>
        <v>1310117600</v>
      </c>
      <c r="R7">
        <f t="shared" si="0"/>
        <v>1388724656</v>
      </c>
    </row>
    <row r="8" spans="11:18" x14ac:dyDescent="0.3">
      <c r="K8" t="s">
        <v>21</v>
      </c>
      <c r="M8">
        <f>-0.33*M7</f>
        <v>-313500000</v>
      </c>
      <c r="N8">
        <f t="shared" ref="N8:R8" si="1">-0.33*N7</f>
        <v>-363000000</v>
      </c>
      <c r="O8">
        <f t="shared" si="1"/>
        <v>-384780000</v>
      </c>
      <c r="P8">
        <f t="shared" si="1"/>
        <v>-407866800</v>
      </c>
      <c r="Q8">
        <f t="shared" si="1"/>
        <v>-432338808</v>
      </c>
      <c r="R8">
        <f t="shared" si="1"/>
        <v>-458279136.48000002</v>
      </c>
    </row>
    <row r="9" spans="11:18" x14ac:dyDescent="0.3">
      <c r="K9" t="s">
        <v>54</v>
      </c>
      <c r="R9">
        <f>-100000000*0.8</f>
        <v>-80000000</v>
      </c>
    </row>
    <row r="10" spans="11:18" x14ac:dyDescent="0.3">
      <c r="K10" t="s">
        <v>55</v>
      </c>
      <c r="M10" s="2">
        <f>IPMT(0.09,M2,3,$L$6)</f>
        <v>-180000000</v>
      </c>
      <c r="N10" s="2">
        <f t="shared" ref="N10:O10" si="2">IPMT(0.09,N2,3,$L$6)</f>
        <v>-125090143.68079071</v>
      </c>
      <c r="O10" s="2">
        <f t="shared" si="2"/>
        <v>-65238400.292852566</v>
      </c>
    </row>
    <row r="11" spans="11:18" x14ac:dyDescent="0.3">
      <c r="K11" t="s">
        <v>56</v>
      </c>
      <c r="M11" s="2">
        <f>PPMT(0.09,M2,3,$L$6)</f>
        <v>-610109514.6578809</v>
      </c>
      <c r="N11" s="2">
        <f t="shared" ref="N11:O11" si="3">PPMT(0.09,N2,3,$L$6)</f>
        <v>-665019370.97709036</v>
      </c>
      <c r="O11" s="2">
        <f t="shared" si="3"/>
        <v>-724871114.36502838</v>
      </c>
    </row>
    <row r="12" spans="11:18" x14ac:dyDescent="0.3">
      <c r="K12" t="s">
        <v>57</v>
      </c>
      <c r="M12">
        <f>$L$3/15</f>
        <v>-246666666.66666666</v>
      </c>
      <c r="N12">
        <f t="shared" ref="N12:R12" si="4">$L$3/15</f>
        <v>-246666666.66666666</v>
      </c>
      <c r="O12">
        <f t="shared" si="4"/>
        <v>-246666666.66666666</v>
      </c>
      <c r="P12">
        <f t="shared" si="4"/>
        <v>-246666666.66666666</v>
      </c>
      <c r="Q12">
        <f t="shared" si="4"/>
        <v>-246666666.66666666</v>
      </c>
      <c r="R12">
        <f t="shared" si="4"/>
        <v>-246666666.66666666</v>
      </c>
    </row>
    <row r="13" spans="11:18" x14ac:dyDescent="0.3">
      <c r="K13" t="s">
        <v>58</v>
      </c>
      <c r="M13">
        <f>(M7+M8+M12+M10)*0.8</f>
        <v>167866666.66666672</v>
      </c>
      <c r="N13">
        <f t="shared" ref="N13:R13" si="5">(N7+N8+N12+N10)*0.8</f>
        <v>292194551.72203416</v>
      </c>
      <c r="O13">
        <f t="shared" si="5"/>
        <v>375451946.43238467</v>
      </c>
      <c r="P13">
        <f t="shared" si="5"/>
        <v>465141226.66666675</v>
      </c>
      <c r="Q13">
        <f t="shared" si="5"/>
        <v>504889700.26666671</v>
      </c>
      <c r="R13">
        <f t="shared" si="5"/>
        <v>547023082.28266668</v>
      </c>
    </row>
    <row r="14" spans="11:18" x14ac:dyDescent="0.3">
      <c r="K14" t="s">
        <v>59</v>
      </c>
      <c r="M14">
        <f>M13-M12</f>
        <v>414533333.33333337</v>
      </c>
      <c r="N14">
        <f t="shared" ref="N14:R14" si="6">N13-N12</f>
        <v>538861218.38870084</v>
      </c>
      <c r="O14">
        <f t="shared" si="6"/>
        <v>622118613.09905136</v>
      </c>
      <c r="P14">
        <f t="shared" si="6"/>
        <v>711807893.33333337</v>
      </c>
      <c r="Q14">
        <f t="shared" si="6"/>
        <v>751556366.9333334</v>
      </c>
      <c r="R14">
        <f t="shared" si="6"/>
        <v>793689748.94933331</v>
      </c>
    </row>
    <row r="15" spans="11:18" x14ac:dyDescent="0.3">
      <c r="K15" t="s">
        <v>60</v>
      </c>
      <c r="R15">
        <f>-L3+SUM(M12:R12)</f>
        <v>2220000000</v>
      </c>
    </row>
    <row r="16" spans="11:18" x14ac:dyDescent="0.3">
      <c r="K16" t="s">
        <v>31</v>
      </c>
      <c r="L16">
        <f>L3+L4+L5+L6</f>
        <v>-1600000000</v>
      </c>
      <c r="M16">
        <f>M15+M14+M9+M11</f>
        <v>-195576181.32454753</v>
      </c>
      <c r="N16">
        <f t="shared" ref="N16:R16" si="7">N15+N14+N9+N11</f>
        <v>-126158152.58838952</v>
      </c>
      <c r="O16">
        <f t="shared" si="7"/>
        <v>-102752501.26597703</v>
      </c>
      <c r="P16">
        <f t="shared" si="7"/>
        <v>711807893.33333337</v>
      </c>
      <c r="Q16">
        <f t="shared" si="7"/>
        <v>751556366.9333334</v>
      </c>
      <c r="R16">
        <f>R15+R14+R9+R11+R4</f>
        <v>3233689748.9493332</v>
      </c>
    </row>
    <row r="17" spans="11:18" x14ac:dyDescent="0.3">
      <c r="L17">
        <v>1</v>
      </c>
      <c r="M17">
        <f>L17/1.15</f>
        <v>0.86956521739130443</v>
      </c>
      <c r="N17">
        <f t="shared" ref="N17:R17" si="8">M17/1.15</f>
        <v>0.7561436672967865</v>
      </c>
      <c r="O17">
        <f t="shared" si="8"/>
        <v>0.65751623243198831</v>
      </c>
      <c r="P17">
        <f t="shared" si="8"/>
        <v>0.57175324559303331</v>
      </c>
      <c r="Q17">
        <f t="shared" si="8"/>
        <v>0.49717673529828987</v>
      </c>
      <c r="R17">
        <f t="shared" si="8"/>
        <v>0.43232759591155645</v>
      </c>
    </row>
    <row r="18" spans="11:18" x14ac:dyDescent="0.3">
      <c r="K18" t="s">
        <v>32</v>
      </c>
      <c r="L18">
        <f>L17*L16</f>
        <v>-1600000000</v>
      </c>
      <c r="M18">
        <f t="shared" ref="M18:R18" si="9">M17*M16</f>
        <v>-170066244.63004136</v>
      </c>
      <c r="N18">
        <f t="shared" si="9"/>
        <v>-95393688.157572433</v>
      </c>
      <c r="O18">
        <f t="shared" si="9"/>
        <v>-67561437.505368322</v>
      </c>
      <c r="P18">
        <f t="shared" si="9"/>
        <v>406978473.25207299</v>
      </c>
      <c r="Q18">
        <f t="shared" si="9"/>
        <v>373656340.9045583</v>
      </c>
      <c r="R18">
        <f t="shared" si="9"/>
        <v>1398013315.0871098</v>
      </c>
    </row>
    <row r="19" spans="11:18" x14ac:dyDescent="0.3">
      <c r="K19" t="s">
        <v>61</v>
      </c>
      <c r="L19">
        <f>SUM(L18:R18)</f>
        <v>245626758.95075917</v>
      </c>
    </row>
    <row r="21" spans="11:18" x14ac:dyDescent="0.3">
      <c r="K21" t="s">
        <v>62</v>
      </c>
      <c r="M21">
        <f>(M7+M8+M12)*0.2</f>
        <v>77966666.666666672</v>
      </c>
      <c r="N21">
        <f t="shared" ref="N21:R21" si="10">(N7+N8+N12)*0.2</f>
        <v>98066666.666666687</v>
      </c>
      <c r="O21">
        <f t="shared" si="10"/>
        <v>106910666.66666669</v>
      </c>
      <c r="P21">
        <f t="shared" si="10"/>
        <v>116285306.66666669</v>
      </c>
      <c r="Q21">
        <f t="shared" si="10"/>
        <v>126222425.06666668</v>
      </c>
      <c r="R21">
        <f t="shared" si="10"/>
        <v>136755770.57066667</v>
      </c>
    </row>
    <row r="22" spans="11:18" x14ac:dyDescent="0.3">
      <c r="K22" t="s">
        <v>4</v>
      </c>
      <c r="L22">
        <f>-L5</f>
        <v>-400000000</v>
      </c>
    </row>
    <row r="23" spans="11:18" x14ac:dyDescent="0.3">
      <c r="L23">
        <v>1</v>
      </c>
      <c r="M23">
        <f>L23/1.067</f>
        <v>0.93720712277413309</v>
      </c>
      <c r="N23">
        <f t="shared" ref="N23:R23" si="11">M23/1.067</f>
        <v>0.87835719097856901</v>
      </c>
      <c r="O23">
        <f t="shared" si="11"/>
        <v>0.82320261572499442</v>
      </c>
      <c r="P23">
        <f t="shared" si="11"/>
        <v>0.77151135494376244</v>
      </c>
      <c r="Q23">
        <f t="shared" si="11"/>
        <v>0.72306593715441658</v>
      </c>
      <c r="R23">
        <f t="shared" si="11"/>
        <v>0.67766254653647295</v>
      </c>
    </row>
    <row r="24" spans="11:18" x14ac:dyDescent="0.3">
      <c r="K24" t="s">
        <v>63</v>
      </c>
      <c r="L24">
        <f>L22</f>
        <v>-400000000</v>
      </c>
      <c r="M24">
        <f>M23*M21</f>
        <v>73070915.33895658</v>
      </c>
      <c r="N24">
        <f t="shared" ref="N24:R24" si="12">N23*N21</f>
        <v>86137561.861965016</v>
      </c>
      <c r="O24">
        <f t="shared" si="12"/>
        <v>88009140.448902979</v>
      </c>
      <c r="P24">
        <f t="shared" si="12"/>
        <v>89715434.506450951</v>
      </c>
      <c r="Q24">
        <f t="shared" si="12"/>
        <v>91267136.070732459</v>
      </c>
      <c r="R24">
        <f t="shared" si="12"/>
        <v>92674263.738475621</v>
      </c>
    </row>
    <row r="25" spans="11:18" x14ac:dyDescent="0.3">
      <c r="K25" t="s">
        <v>64</v>
      </c>
      <c r="L25">
        <f>SUM(L24:R24)</f>
        <v>120874451.96548359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 Шульга</dc:creator>
  <cp:lastModifiedBy>user</cp:lastModifiedBy>
  <dcterms:created xsi:type="dcterms:W3CDTF">2015-06-05T18:19:34Z</dcterms:created>
  <dcterms:modified xsi:type="dcterms:W3CDTF">2022-04-10T17:44:04Z</dcterms:modified>
</cp:coreProperties>
</file>