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Эмперический метод" sheetId="2" r:id="rId5"/>
    <sheet state="visible" name="Дифференциальный метод" sheetId="3" r:id="rId6"/>
    <sheet state="visible" name="Графический метод" sheetId="4" r:id="rId7"/>
    <sheet state="visible" name="Аналитический способ" sheetId="5" r:id="rId8"/>
    <sheet state="visible" name="Трад XYZ" sheetId="6" r:id="rId9"/>
    <sheet state="visible" name="Mod XYZ" sheetId="7" r:id="rId10"/>
    <sheet state="visible" name="XYZ + ABC" sheetId="8" r:id="rId11"/>
  </sheets>
  <definedNames/>
  <calcPr/>
</workbook>
</file>

<file path=xl/sharedStrings.xml><?xml version="1.0" encoding="utf-8"?>
<sst xmlns="http://schemas.openxmlformats.org/spreadsheetml/2006/main" count="712" uniqueCount="115">
  <si>
    <t>Данные о продажах автомобилей в Японии с января по декабрь 2018 года</t>
  </si>
  <si>
    <t>Марка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</si>
  <si>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</si>
  <si>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</si>
  <si>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</si>
  <si>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</si>
  <si>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</si>
  <si>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</si>
  <si>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</si>
  <si>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</si>
  <si>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</si>
  <si>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</si>
  <si>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</si>
  <si>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</si>
  <si>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</si>
  <si>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Toyota</t>
  </si>
  <si>
    <t>Honda</t>
  </si>
  <si>
    <t>Suzuki</t>
  </si>
  <si>
    <t>Daihatsu</t>
  </si>
  <si>
    <t>Nissan</t>
  </si>
  <si>
    <t>Mazda</t>
  </si>
  <si>
    <t>Subaru</t>
  </si>
  <si>
    <t>Mitsubishi</t>
  </si>
  <si>
    <t>Isuzu</t>
  </si>
  <si>
    <t>Hino</t>
  </si>
  <si>
    <t>Mercedes-Benz</t>
  </si>
  <si>
    <t>Lexus</t>
  </si>
  <si>
    <t>Volkswagen</t>
  </si>
  <si>
    <t>BMW</t>
  </si>
  <si>
    <t>Audi</t>
  </si>
  <si>
    <t>Mini</t>
  </si>
  <si>
    <t>Volvo</t>
  </si>
  <si>
    <t>Jeep</t>
  </si>
  <si>
    <t>Peugeot</t>
  </si>
  <si>
    <t>Renault</t>
  </si>
  <si>
    <t>UD Trucks</t>
  </si>
  <si>
    <t>Porsche</t>
  </si>
  <si>
    <t>Fiat</t>
  </si>
  <si>
    <t>Land Rover</t>
  </si>
  <si>
    <t>Citroen</t>
  </si>
  <si>
    <t>Jaguar</t>
  </si>
  <si>
    <t>Abarth</t>
  </si>
  <si>
    <t>Alfa Romeo</t>
  </si>
  <si>
    <t>Smart</t>
  </si>
  <si>
    <t>Maserati</t>
  </si>
  <si>
    <t>Chevrolet</t>
  </si>
  <si>
    <t>Ferrari</t>
  </si>
  <si>
    <t>DS</t>
  </si>
  <si>
    <t>Cadillac</t>
  </si>
  <si>
    <t>Lamborghini</t>
  </si>
  <si>
    <t>Ford</t>
  </si>
  <si>
    <t>Bentley</t>
  </si>
  <si>
    <t>Dodge</t>
  </si>
  <si>
    <t>Aston Martin</t>
  </si>
  <si>
    <t>Scania</t>
  </si>
  <si>
    <t>Rolls-Royce</t>
  </si>
  <si>
    <t>Lotus</t>
  </si>
  <si>
    <t>McLaren</t>
  </si>
  <si>
    <t>Доля</t>
  </si>
  <si>
    <t>Накоп итог</t>
  </si>
  <si>
    <t>Группа</t>
  </si>
  <si>
    <t>Всего:</t>
  </si>
  <si>
    <t>Общий объём:</t>
  </si>
  <si>
    <t>Среднее (P)</t>
  </si>
  <si>
    <t>K1</t>
  </si>
  <si>
    <t>PK1</t>
  </si>
  <si>
    <t>K2</t>
  </si>
  <si>
    <t>PK2</t>
  </si>
  <si>
    <t>Группа (по эмп методу)</t>
  </si>
  <si>
    <t>Группа (по граф методу)</t>
  </si>
  <si>
    <t>касательная из начала координат</t>
  </si>
  <si>
    <t>A</t>
  </si>
  <si>
    <t>B</t>
  </si>
  <si>
    <t>C</t>
  </si>
  <si>
    <t>q_A сред</t>
  </si>
  <si>
    <t>N_A</t>
  </si>
  <si>
    <t>q_B сред</t>
  </si>
  <si>
    <t>N_B</t>
  </si>
  <si>
    <t>Всего</t>
  </si>
  <si>
    <t>№/N</t>
  </si>
  <si>
    <t>x_A</t>
  </si>
  <si>
    <t>y_A</t>
  </si>
  <si>
    <t>x_B</t>
  </si>
  <si>
    <t>y_B</t>
  </si>
  <si>
    <t>Средний</t>
  </si>
  <si>
    <t>Стандартное отклонение</t>
  </si>
  <si>
    <t>к Вариации, %</t>
  </si>
  <si>
    <t>Аникин group</t>
  </si>
  <si>
    <t>Сергеев group</t>
  </si>
  <si>
    <t>Стерлингова group</t>
  </si>
  <si>
    <t xml:space="preserve">ноябрь </t>
  </si>
  <si>
    <t>high x</t>
  </si>
  <si>
    <t>low x</t>
  </si>
  <si>
    <t>k</t>
  </si>
  <si>
    <t>b</t>
  </si>
  <si>
    <t>Группа (по Аникину и др.)</t>
  </si>
  <si>
    <t>Группа (по Сергееву)</t>
  </si>
  <si>
    <t>Группа (по Стерлиговой)</t>
  </si>
  <si>
    <t>Коэф.сезонности</t>
  </si>
  <si>
    <t>Сумма</t>
  </si>
  <si>
    <t>Индекс сезонности</t>
  </si>
  <si>
    <t>s (ошибка)</t>
  </si>
  <si>
    <t xml:space="preserve">Тренд </t>
  </si>
  <si>
    <t>v, %</t>
  </si>
  <si>
    <t>Тренд*сезонность</t>
  </si>
  <si>
    <t>кол-во X</t>
  </si>
  <si>
    <t>кол-во Y</t>
  </si>
  <si>
    <t>кол-во Z</t>
  </si>
  <si>
    <t>Доля X</t>
  </si>
  <si>
    <t>Доля Y</t>
  </si>
  <si>
    <t>Доля Z</t>
  </si>
  <si>
    <t>X</t>
  </si>
  <si>
    <t>Y</t>
  </si>
  <si>
    <t>Z</t>
  </si>
  <si>
    <t>Проверка: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</si>
</sst>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0.0%"/>
    <numFmt numFmtId="166" formatCode="0.000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000000"/>
      <name val="&quot;Open Sans&quot;"/>
    </font>
    <font>
      <color rgb="FF6D6D6D"/>
      <name val="&quot;Open Sans&quot;"/>
    </font>
    <font>
      <sz val="9.0"/>
      <color rgb="FF8F8F8F"/>
      <name val="&quot;Open Sans&quot;"/>
    </font>
    <font>
      <b/>
      <u/>
      <sz val="11.0"/>
      <color rgb="FF000000"/>
      <name val="&quot;Open Sans&quot;"/>
    </font>
    <font>
      <color rgb="FF000000"/>
      <name val="&quot;Open Sans&quot;"/>
    </font>
    <font>
      <color rgb="FF888888"/>
      <name val="&quot;Open Sans&quot;"/>
    </font>
    <font>
      <b/>
      <color rgb="FF000000"/>
      <name val="&quot;Open Sans&quot;"/>
    </font>
    <font>
      <b/>
      <u/>
      <sz val="11.0"/>
      <color rgb="FF000000"/>
      <name val="&quot;Open Sans&quot;"/>
    </font>
    <font>
      <b/>
      <u/>
      <sz val="11.0"/>
      <color rgb="FF000000"/>
      <name val="&quot;Open Sans&quot;"/>
    </font>
    <font>
      <sz val="9.0"/>
      <color rgb="FF000000"/>
      <name val="&quot;Open Sans&quot;"/>
    </font>
    <font>
      <color rgb="FF000000"/>
      <name val="Arial"/>
      <scheme val="minor"/>
    </font>
    <font>
      <sz val="11.0"/>
      <color rgb="FF000000"/>
      <name val="Inconsolata"/>
    </font>
    <font>
      <sz val="11.0"/>
      <color rgb="FF777777"/>
      <name val="Inconsolata"/>
    </font>
    <font>
      <color theme="1"/>
      <name val="Arial"/>
    </font>
    <font>
      <b/>
      <color rgb="FF000000"/>
      <name val="Montserrat"/>
    </font>
    <font>
      <b/>
      <color theme="1"/>
      <name val="Arial"/>
    </font>
    <font>
      <b/>
      <color theme="1"/>
      <name val="Arial"/>
      <scheme val="minor"/>
    </font>
    <font>
      <color rgb="FF000000"/>
      <name val="Montserrat"/>
    </font>
    <font>
      <color theme="1"/>
      <name val="Montserrat"/>
    </font>
    <font>
      <u/>
      <color rgb="FF000000"/>
      <name val="Montserrat"/>
    </font>
    <font>
      <sz val="12.0"/>
      <color rgb="FF000000"/>
      <name val="Montserrat"/>
    </font>
    <font>
      <sz val="12.0"/>
      <color theme="1"/>
      <name val="Montserrat"/>
    </font>
    <font/>
    <font>
      <b/>
      <sz val="12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2E9E9"/>
        <bgColor rgb="FFF2E9E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2" fontId="5" numFmtId="0" xfId="0" applyAlignment="1" applyFont="1">
      <alignment readingOrder="0"/>
    </xf>
    <xf borderId="0" fillId="2" fontId="6" numFmtId="0" xfId="0" applyFont="1"/>
    <xf borderId="0" fillId="2" fontId="7" numFmtId="1" xfId="0" applyAlignment="1" applyFont="1" applyNumberFormat="1">
      <alignment horizontal="center" readingOrder="0"/>
    </xf>
    <xf borderId="0" fillId="2" fontId="8" numFmtId="1" xfId="0" applyAlignment="1" applyFont="1" applyNumberFormat="1">
      <alignment horizontal="right" readingOrder="0"/>
    </xf>
    <xf borderId="0" fillId="3" fontId="4" numFmtId="0" xfId="0" applyAlignment="1" applyFill="1" applyFont="1">
      <alignment horizontal="right" readingOrder="0"/>
    </xf>
    <xf borderId="0" fillId="3" fontId="9" numFmtId="0" xfId="0" applyAlignment="1" applyFont="1">
      <alignment readingOrder="0"/>
    </xf>
    <xf borderId="0" fillId="3" fontId="6" numFmtId="0" xfId="0" applyFont="1"/>
    <xf borderId="0" fillId="3" fontId="7" numFmtId="1" xfId="0" applyAlignment="1" applyFont="1" applyNumberFormat="1">
      <alignment horizontal="center" readingOrder="0"/>
    </xf>
    <xf borderId="0" fillId="4" fontId="4" numFmtId="0" xfId="0" applyAlignment="1" applyFill="1" applyFont="1">
      <alignment horizontal="right" readingOrder="0"/>
    </xf>
    <xf borderId="0" fillId="4" fontId="10" numFmtId="0" xfId="0" applyAlignment="1" applyFont="1">
      <alignment readingOrder="0"/>
    </xf>
    <xf borderId="0" fillId="4" fontId="6" numFmtId="0" xfId="0" applyFont="1"/>
    <xf borderId="0" fillId="4" fontId="7" numFmtId="1" xfId="0" applyAlignment="1" applyFont="1" applyNumberFormat="1">
      <alignment horizontal="center" readingOrder="0"/>
    </xf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4" xfId="0" applyAlignment="1" applyFont="1" applyNumberFormat="1">
      <alignment readingOrder="0"/>
    </xf>
    <xf borderId="0" fillId="3" fontId="11" numFmtId="0" xfId="0" applyAlignment="1" applyFont="1">
      <alignment horizontal="right" readingOrder="0"/>
    </xf>
    <xf borderId="0" fillId="3" fontId="6" numFmtId="1" xfId="0" applyAlignment="1" applyFont="1" applyNumberFormat="1">
      <alignment horizontal="center" readingOrder="0"/>
    </xf>
    <xf borderId="0" fillId="0" fontId="12" numFmtId="1" xfId="0" applyFont="1" applyNumberFormat="1"/>
    <xf borderId="0" fillId="0" fontId="12" numFmtId="10" xfId="0" applyFont="1" applyNumberFormat="1"/>
    <xf borderId="0" fillId="2" fontId="13" numFmtId="0" xfId="0" applyFont="1"/>
    <xf borderId="0" fillId="0" fontId="12" numFmtId="0" xfId="0" applyFont="1"/>
    <xf borderId="0" fillId="2" fontId="11" numFmtId="0" xfId="0" applyAlignment="1" applyFont="1">
      <alignment horizontal="right" readingOrder="0"/>
    </xf>
    <xf borderId="0" fillId="2" fontId="6" numFmtId="1" xfId="0" applyAlignment="1" applyFont="1" applyNumberFormat="1">
      <alignment horizontal="center" readingOrder="0"/>
    </xf>
    <xf borderId="0" fillId="4" fontId="11" numFmtId="0" xfId="0" applyAlignment="1" applyFont="1">
      <alignment horizontal="right" readingOrder="0"/>
    </xf>
    <xf borderId="0" fillId="4" fontId="6" numFmtId="1" xfId="0" applyAlignment="1" applyFont="1" applyNumberFormat="1">
      <alignment horizontal="center" readingOrder="0"/>
    </xf>
    <xf borderId="0" fillId="2" fontId="14" numFmtId="0" xfId="0" applyFont="1"/>
    <xf borderId="0" fillId="2" fontId="15" numFmtId="0" xfId="0" applyAlignment="1" applyFont="1">
      <alignment vertical="bottom"/>
    </xf>
    <xf borderId="0" fillId="2" fontId="16" numFmtId="0" xfId="0" applyAlignment="1" applyFont="1">
      <alignment horizontal="center" vertical="bottom"/>
    </xf>
    <xf borderId="0" fillId="2" fontId="16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2" fontId="16" numFmtId="0" xfId="0" applyAlignment="1" applyFont="1">
      <alignment horizontal="center" readingOrder="0" vertical="bottom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2" fontId="19" numFmtId="1" xfId="0" applyAlignment="1" applyFont="1" applyNumberFormat="1">
      <alignment horizontal="right" vertical="bottom"/>
    </xf>
    <xf borderId="0" fillId="0" fontId="20" numFmtId="2" xfId="0" applyAlignment="1" applyFont="1" applyNumberFormat="1">
      <alignment horizontal="right" vertical="bottom"/>
    </xf>
    <xf borderId="0" fillId="0" fontId="20" numFmtId="1" xfId="0" applyAlignment="1" applyFont="1" applyNumberFormat="1">
      <alignment horizontal="right" vertical="bottom"/>
    </xf>
    <xf borderId="1" fillId="0" fontId="15" numFmtId="0" xfId="0" applyAlignment="1" applyBorder="1" applyFont="1">
      <alignment vertical="bottom"/>
    </xf>
    <xf borderId="1" fillId="0" fontId="15" numFmtId="0" xfId="0" applyAlignment="1" applyBorder="1" applyFont="1">
      <alignment vertical="bottom"/>
    </xf>
    <xf borderId="1" fillId="2" fontId="16" numFmtId="0" xfId="0" applyAlignment="1" applyBorder="1" applyFont="1">
      <alignment horizontal="center" vertical="bottom"/>
    </xf>
    <xf borderId="0" fillId="0" fontId="15" numFmtId="0" xfId="0" applyAlignment="1" applyFont="1">
      <alignment readingOrder="0" vertical="bottom"/>
    </xf>
    <xf borderId="1" fillId="2" fontId="16" numFmtId="1" xfId="0" applyAlignment="1" applyBorder="1" applyFont="1" applyNumberFormat="1">
      <alignment horizontal="center" vertical="bottom"/>
    </xf>
    <xf borderId="2" fillId="2" fontId="16" numFmtId="0" xfId="0" applyAlignment="1" applyBorder="1" applyFont="1">
      <alignment horizontal="center"/>
    </xf>
    <xf borderId="1" fillId="2" fontId="21" numFmtId="0" xfId="0" applyAlignment="1" applyBorder="1" applyFont="1">
      <alignment vertical="bottom"/>
    </xf>
    <xf borderId="1" fillId="0" fontId="15" numFmtId="1" xfId="0" applyAlignment="1" applyBorder="1" applyFont="1" applyNumberFormat="1">
      <alignment horizontal="right" vertical="bottom"/>
    </xf>
    <xf borderId="1" fillId="0" fontId="15" numFmtId="0" xfId="0" applyAlignment="1" applyBorder="1" applyFont="1">
      <alignment horizontal="right" vertical="bottom"/>
    </xf>
    <xf borderId="2" fillId="2" fontId="22" numFmtId="0" xfId="0" applyAlignment="1" applyBorder="1" applyFont="1">
      <alignment horizontal="center"/>
    </xf>
    <xf borderId="2" fillId="0" fontId="23" numFmtId="0" xfId="0" applyAlignment="1" applyBorder="1" applyFont="1">
      <alignment horizontal="center"/>
    </xf>
    <xf borderId="3" fillId="0" fontId="24" numFmtId="0" xfId="0" applyBorder="1" applyFont="1"/>
    <xf borderId="1" fillId="2" fontId="19" numFmtId="0" xfId="0" applyAlignment="1" applyBorder="1" applyFont="1">
      <alignment vertical="bottom"/>
    </xf>
    <xf borderId="1" fillId="0" fontId="15" numFmtId="2" xfId="0" applyAlignment="1" applyBorder="1" applyFont="1" applyNumberFormat="1">
      <alignment horizontal="right" vertical="bottom"/>
    </xf>
    <xf borderId="1" fillId="0" fontId="15" numFmtId="2" xfId="0" applyAlignment="1" applyBorder="1" applyFont="1" applyNumberFormat="1">
      <alignment vertical="bottom"/>
    </xf>
    <xf borderId="1" fillId="0" fontId="17" numFmtId="0" xfId="0" applyAlignment="1" applyBorder="1" applyFont="1">
      <alignment vertical="bottom"/>
    </xf>
    <xf borderId="4" fillId="0" fontId="24" numFmtId="0" xfId="0" applyBorder="1" applyFont="1"/>
    <xf borderId="2" fillId="2" fontId="16" numFmtId="0" xfId="0" applyAlignment="1" applyBorder="1" applyFont="1">
      <alignment horizontal="center"/>
    </xf>
    <xf borderId="2" fillId="2" fontId="16" numFmtId="0" xfId="0" applyAlignment="1" applyBorder="1" applyFont="1">
      <alignment horizontal="center" readingOrder="0"/>
    </xf>
    <xf borderId="1" fillId="2" fontId="13" numFmtId="0" xfId="0" applyBorder="1" applyFont="1"/>
    <xf borderId="1" fillId="0" fontId="15" numFmtId="1" xfId="0" applyAlignment="1" applyBorder="1" applyFont="1" applyNumberFormat="1">
      <alignment vertical="bottom"/>
    </xf>
    <xf borderId="0" fillId="0" fontId="15" numFmtId="0" xfId="0" applyAlignment="1" applyFont="1">
      <alignment horizontal="right" vertical="bottom"/>
    </xf>
    <xf borderId="0" fillId="0" fontId="15" numFmtId="4" xfId="0" applyAlignment="1" applyFont="1" applyNumberFormat="1">
      <alignment horizontal="right" vertical="bottom"/>
    </xf>
    <xf borderId="0" fillId="0" fontId="15" numFmtId="0" xfId="0" applyFont="1"/>
    <xf borderId="0" fillId="0" fontId="25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Накоп итог относительно параметра "Марка"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'Графический метод'!$E$1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'Графический метод'!$A$2:$A$45</c:f>
            </c:strRef>
          </c:cat>
          <c:val>
            <c:numRef>
              <c:f>'Графический метод'!$E$2:$E$45</c:f>
              <c:numCache/>
            </c:numRef>
          </c:val>
          <c:smooth val="1"/>
        </c:ser>
        <c:ser>
          <c:idx val="1"/>
          <c:order val="1"/>
          <c:tx>
            <c:v>нач. касат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'Графический метод'!$A$2:$A$45</c:f>
            </c:strRef>
          </c:cat>
          <c:val>
            <c:numRef>
              <c:f>'Графический метод'!$H$3:$H$45</c:f>
              <c:numCache/>
            </c:numRef>
          </c:val>
          <c:smooth val="1"/>
        </c:ser>
        <c:ser>
          <c:idx val="2"/>
          <c:order val="2"/>
          <c:tx>
            <c:v>A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'Графический метод'!$A$2:$A$45</c:f>
            </c:strRef>
          </c:cat>
          <c:val>
            <c:numRef>
              <c:f>'Графический метод'!$I$3:$I$15</c:f>
              <c:numCache/>
            </c:numRef>
          </c:val>
          <c:smooth val="1"/>
        </c:ser>
        <c:ser>
          <c:idx val="3"/>
          <c:order val="3"/>
          <c:tx>
            <c:v>B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cat>
            <c:strRef>
              <c:f>'Графический метод'!$A$2:$A$45</c:f>
            </c:strRef>
          </c:cat>
          <c:val>
            <c:numRef>
              <c:f>'Графический метод'!$J$3:$J$45</c:f>
              <c:numCache/>
            </c:numRef>
          </c:val>
          <c:smooth val="1"/>
        </c:ser>
        <c:ser>
          <c:idx val="4"/>
          <c:order val="4"/>
          <c:tx>
            <c:v>C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'Графический метод'!$A$2:$A$45</c:f>
            </c:strRef>
          </c:cat>
          <c:val>
            <c:numRef>
              <c:f>'Графический метод'!$K$3:$K$45</c:f>
              <c:numCache/>
            </c:numRef>
          </c:val>
          <c:smooth val="1"/>
        </c:ser>
        <c:axId val="1973990902"/>
        <c:axId val="2105513079"/>
      </c:lineChart>
      <c:catAx>
        <c:axId val="1973990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Марка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513079"/>
      </c:catAx>
      <c:valAx>
        <c:axId val="2105513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Накоп итог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990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'Графический метод'!$H$2:$H$45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'Графический метод'!$I$2:$I$45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'Графический метод'!$J$2:$J$45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'Графический метод'!$K$2:$K$45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'Графический метод'!$E$2:$E$45</c:f>
              <c:numCache/>
            </c:numRef>
          </c:val>
          <c:smooth val="0"/>
        </c:ser>
        <c:axId val="37619645"/>
        <c:axId val="253507556"/>
      </c:lineChart>
      <c:catAx>
        <c:axId val="37619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507556"/>
      </c:catAx>
      <c:valAx>
        <c:axId val="253507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19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9</xdr:row>
      <xdr:rowOff>219075</xdr:rowOff>
    </xdr:from>
    <xdr:ext cx="6734175" cy="42005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28</xdr:row>
      <xdr:rowOff>200025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scania/01-12/" TargetMode="External"/><Relationship Id="rId20" Type="http://schemas.openxmlformats.org/officeDocument/2006/relationships/hyperlink" Target="https://auto.vercity.ru/statistics/sales/asia/2018/japan/renault/01-12/" TargetMode="External"/><Relationship Id="rId42" Type="http://schemas.openxmlformats.org/officeDocument/2006/relationships/hyperlink" Target="https://auto.vercity.ru/statistics/sales/asia/2018/japan/lotus/01-12/" TargetMode="External"/><Relationship Id="rId41" Type="http://schemas.openxmlformats.org/officeDocument/2006/relationships/hyperlink" Target="https://auto.vercity.ru/statistics/sales/asia/2018/japan/rolls_royce/01-12/" TargetMode="External"/><Relationship Id="rId22" Type="http://schemas.openxmlformats.org/officeDocument/2006/relationships/hyperlink" Target="https://auto.vercity.ru/statistics/sales/asia/2018/japan/porsche/01-12/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auto.vercity.ru/statistics/sales/asia/2018/japan/ud_trucks/01-12/" TargetMode="External"/><Relationship Id="rId43" Type="http://schemas.openxmlformats.org/officeDocument/2006/relationships/hyperlink" Target="https://auto.vercity.ru/statistics/sales/asia/2018/japan/mclaren/01-12/" TargetMode="External"/><Relationship Id="rId24" Type="http://schemas.openxmlformats.org/officeDocument/2006/relationships/hyperlink" Target="https://auto.vercity.ru/statistics/sales/asia/2018/japan/land_rover/01-12/" TargetMode="External"/><Relationship Id="rId23" Type="http://schemas.openxmlformats.org/officeDocument/2006/relationships/hyperlink" Target="https://auto.vercity.ru/statistics/sales/asia/2018/japan/fiat/01-12/" TargetMode="External"/><Relationship Id="rId1" Type="http://schemas.openxmlformats.org/officeDocument/2006/relationships/hyperlink" Target="https://auto.vercity.ru/statistics/sales/asia/2018/japan/toyota/01-12/" TargetMode="External"/><Relationship Id="rId2" Type="http://schemas.openxmlformats.org/officeDocument/2006/relationships/hyperlink" Target="https://auto.vercity.ru/statistics/sales/asia/2018/japan/honda/01-12/" TargetMode="External"/><Relationship Id="rId3" Type="http://schemas.openxmlformats.org/officeDocument/2006/relationships/hyperlink" Target="https://auto.vercity.ru/statistics/sales/asia/2018/japan/suzuki/01-12/" TargetMode="External"/><Relationship Id="rId4" Type="http://schemas.openxmlformats.org/officeDocument/2006/relationships/hyperlink" Target="https://auto.vercity.ru/statistics/sales/asia/2018/japan/daihatsu/01-12/" TargetMode="External"/><Relationship Id="rId9" Type="http://schemas.openxmlformats.org/officeDocument/2006/relationships/hyperlink" Target="https://auto.vercity.ru/statistics/sales/asia/2018/japan/isuzu/01-12/" TargetMode="External"/><Relationship Id="rId26" Type="http://schemas.openxmlformats.org/officeDocument/2006/relationships/hyperlink" Target="https://auto.vercity.ru/statistics/sales/asia/2018/japan/jaguar/01-12/" TargetMode="External"/><Relationship Id="rId25" Type="http://schemas.openxmlformats.org/officeDocument/2006/relationships/hyperlink" Target="https://auto.vercity.ru/statistics/sales/asia/2018/japan/citroen/01-12/" TargetMode="External"/><Relationship Id="rId28" Type="http://schemas.openxmlformats.org/officeDocument/2006/relationships/hyperlink" Target="https://auto.vercity.ru/statistics/sales/asia/2018/japan/alfa_romeo/01-12/" TargetMode="External"/><Relationship Id="rId27" Type="http://schemas.openxmlformats.org/officeDocument/2006/relationships/hyperlink" Target="https://auto.vercity.ru/statistics/sales/asia/2018/japan/abarth/01-12/" TargetMode="External"/><Relationship Id="rId5" Type="http://schemas.openxmlformats.org/officeDocument/2006/relationships/hyperlink" Target="https://auto.vercity.ru/statistics/sales/asia/2018/japan/nissan/01-12/" TargetMode="External"/><Relationship Id="rId6" Type="http://schemas.openxmlformats.org/officeDocument/2006/relationships/hyperlink" Target="https://auto.vercity.ru/statistics/sales/asia/2018/japan/mazda/01-12/" TargetMode="External"/><Relationship Id="rId29" Type="http://schemas.openxmlformats.org/officeDocument/2006/relationships/hyperlink" Target="https://auto.vercity.ru/statistics/sales/asia/2018/japan/smart/01-12/" TargetMode="External"/><Relationship Id="rId7" Type="http://schemas.openxmlformats.org/officeDocument/2006/relationships/hyperlink" Target="https://auto.vercity.ru/statistics/sales/asia/2018/japan/subaru/01-12/" TargetMode="External"/><Relationship Id="rId8" Type="http://schemas.openxmlformats.org/officeDocument/2006/relationships/hyperlink" Target="https://auto.vercity.ru/statistics/sales/asia/2018/japan/mitsubishi/01-12/" TargetMode="External"/><Relationship Id="rId31" Type="http://schemas.openxmlformats.org/officeDocument/2006/relationships/hyperlink" Target="https://auto.vercity.ru/statistics/sales/asia/2018/japan/chevrolet/01-12/" TargetMode="External"/><Relationship Id="rId30" Type="http://schemas.openxmlformats.org/officeDocument/2006/relationships/hyperlink" Target="https://auto.vercity.ru/statistics/sales/asia/2018/japan/maserati/01-12/" TargetMode="External"/><Relationship Id="rId11" Type="http://schemas.openxmlformats.org/officeDocument/2006/relationships/hyperlink" Target="https://auto.vercity.ru/statistics/sales/asia/2018/japan/mercedes_benz/01-12/" TargetMode="External"/><Relationship Id="rId33" Type="http://schemas.openxmlformats.org/officeDocument/2006/relationships/hyperlink" Target="https://auto.vercity.ru/statistics/sales/asia/2018/japan/ds/01-12/" TargetMode="External"/><Relationship Id="rId10" Type="http://schemas.openxmlformats.org/officeDocument/2006/relationships/hyperlink" Target="https://auto.vercity.ru/statistics/sales/asia/2018/japan/hino/01-12/" TargetMode="External"/><Relationship Id="rId32" Type="http://schemas.openxmlformats.org/officeDocument/2006/relationships/hyperlink" Target="https://auto.vercity.ru/statistics/sales/asia/2018/japan/ferrari/01-12/" TargetMode="External"/><Relationship Id="rId13" Type="http://schemas.openxmlformats.org/officeDocument/2006/relationships/hyperlink" Target="https://auto.vercity.ru/statistics/sales/asia/2018/japan/volkswagen/01-12/" TargetMode="External"/><Relationship Id="rId35" Type="http://schemas.openxmlformats.org/officeDocument/2006/relationships/hyperlink" Target="https://auto.vercity.ru/statistics/sales/asia/2018/japan/lamborghini/01-12/" TargetMode="External"/><Relationship Id="rId12" Type="http://schemas.openxmlformats.org/officeDocument/2006/relationships/hyperlink" Target="https://auto.vercity.ru/statistics/sales/asia/2018/japan/lexus/01-12/" TargetMode="External"/><Relationship Id="rId34" Type="http://schemas.openxmlformats.org/officeDocument/2006/relationships/hyperlink" Target="https://auto.vercity.ru/statistics/sales/asia/2018/japan/cadillac/01-12/" TargetMode="External"/><Relationship Id="rId15" Type="http://schemas.openxmlformats.org/officeDocument/2006/relationships/hyperlink" Target="https://auto.vercity.ru/statistics/sales/asia/2018/japan/audi/01-12/" TargetMode="External"/><Relationship Id="rId37" Type="http://schemas.openxmlformats.org/officeDocument/2006/relationships/hyperlink" Target="https://auto.vercity.ru/statistics/sales/asia/2018/japan/bentley/01-12/" TargetMode="External"/><Relationship Id="rId14" Type="http://schemas.openxmlformats.org/officeDocument/2006/relationships/hyperlink" Target="https://auto.vercity.ru/statistics/sales/asia/2018/japan/bmw/01-12/" TargetMode="External"/><Relationship Id="rId36" Type="http://schemas.openxmlformats.org/officeDocument/2006/relationships/hyperlink" Target="https://auto.vercity.ru/statistics/sales/asia/2018/japan/ford/01-12/" TargetMode="External"/><Relationship Id="rId17" Type="http://schemas.openxmlformats.org/officeDocument/2006/relationships/hyperlink" Target="https://auto.vercity.ru/statistics/sales/asia/2018/japan/volvo/01-12/" TargetMode="External"/><Relationship Id="rId39" Type="http://schemas.openxmlformats.org/officeDocument/2006/relationships/hyperlink" Target="https://auto.vercity.ru/statistics/sales/asia/2018/japan/aston_martin/01-12/" TargetMode="External"/><Relationship Id="rId16" Type="http://schemas.openxmlformats.org/officeDocument/2006/relationships/hyperlink" Target="https://auto.vercity.ru/statistics/sales/asia/2018/japan/mini/01-12/" TargetMode="External"/><Relationship Id="rId38" Type="http://schemas.openxmlformats.org/officeDocument/2006/relationships/hyperlink" Target="https://auto.vercity.ru/statistics/sales/asia/2018/japan/dodge/01-12/" TargetMode="External"/><Relationship Id="rId19" Type="http://schemas.openxmlformats.org/officeDocument/2006/relationships/hyperlink" Target="https://auto.vercity.ru/statistics/sales/asia/2018/japan/peugeot/01-12/" TargetMode="External"/><Relationship Id="rId18" Type="http://schemas.openxmlformats.org/officeDocument/2006/relationships/hyperlink" Target="https://auto.vercity.ru/statistics/sales/asia/2018/japan/jeep/01-12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scania/01-12/" TargetMode="External"/><Relationship Id="rId20" Type="http://schemas.openxmlformats.org/officeDocument/2006/relationships/hyperlink" Target="https://auto.vercity.ru/statistics/sales/asia/2018/japan/renault/01-12/" TargetMode="External"/><Relationship Id="rId42" Type="http://schemas.openxmlformats.org/officeDocument/2006/relationships/hyperlink" Target="https://auto.vercity.ru/statistics/sales/asia/2018/japan/lotus/01-12/" TargetMode="External"/><Relationship Id="rId41" Type="http://schemas.openxmlformats.org/officeDocument/2006/relationships/hyperlink" Target="https://auto.vercity.ru/statistics/sales/asia/2018/japan/rolls_royce/01-12/" TargetMode="External"/><Relationship Id="rId22" Type="http://schemas.openxmlformats.org/officeDocument/2006/relationships/hyperlink" Target="https://auto.vercity.ru/statistics/sales/asia/2018/japan/porsche/01-12/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auto.vercity.ru/statistics/sales/asia/2018/japan/ud_trucks/01-12/" TargetMode="External"/><Relationship Id="rId43" Type="http://schemas.openxmlformats.org/officeDocument/2006/relationships/hyperlink" Target="https://auto.vercity.ru/statistics/sales/asia/2018/japan/mclaren/01-12/" TargetMode="External"/><Relationship Id="rId24" Type="http://schemas.openxmlformats.org/officeDocument/2006/relationships/hyperlink" Target="https://auto.vercity.ru/statistics/sales/asia/2018/japan/land_rover/01-12/" TargetMode="External"/><Relationship Id="rId23" Type="http://schemas.openxmlformats.org/officeDocument/2006/relationships/hyperlink" Target="https://auto.vercity.ru/statistics/sales/asia/2018/japan/fiat/01-12/" TargetMode="External"/><Relationship Id="rId1" Type="http://schemas.openxmlformats.org/officeDocument/2006/relationships/hyperlink" Target="https://auto.vercity.ru/statistics/sales/asia/2018/japan/toyota/01-12/" TargetMode="External"/><Relationship Id="rId2" Type="http://schemas.openxmlformats.org/officeDocument/2006/relationships/hyperlink" Target="https://auto.vercity.ru/statistics/sales/asia/2018/japan/honda/01-12/" TargetMode="External"/><Relationship Id="rId3" Type="http://schemas.openxmlformats.org/officeDocument/2006/relationships/hyperlink" Target="https://auto.vercity.ru/statistics/sales/asia/2018/japan/suzuki/01-12/" TargetMode="External"/><Relationship Id="rId4" Type="http://schemas.openxmlformats.org/officeDocument/2006/relationships/hyperlink" Target="https://auto.vercity.ru/statistics/sales/asia/2018/japan/daihatsu/01-12/" TargetMode="External"/><Relationship Id="rId9" Type="http://schemas.openxmlformats.org/officeDocument/2006/relationships/hyperlink" Target="https://auto.vercity.ru/statistics/sales/asia/2018/japan/isuzu/01-12/" TargetMode="External"/><Relationship Id="rId26" Type="http://schemas.openxmlformats.org/officeDocument/2006/relationships/hyperlink" Target="https://auto.vercity.ru/statistics/sales/asia/2018/japan/jaguar/01-12/" TargetMode="External"/><Relationship Id="rId25" Type="http://schemas.openxmlformats.org/officeDocument/2006/relationships/hyperlink" Target="https://auto.vercity.ru/statistics/sales/asia/2018/japan/citroen/01-12/" TargetMode="External"/><Relationship Id="rId28" Type="http://schemas.openxmlformats.org/officeDocument/2006/relationships/hyperlink" Target="https://auto.vercity.ru/statistics/sales/asia/2018/japan/alfa_romeo/01-12/" TargetMode="External"/><Relationship Id="rId27" Type="http://schemas.openxmlformats.org/officeDocument/2006/relationships/hyperlink" Target="https://auto.vercity.ru/statistics/sales/asia/2018/japan/abarth/01-12/" TargetMode="External"/><Relationship Id="rId5" Type="http://schemas.openxmlformats.org/officeDocument/2006/relationships/hyperlink" Target="https://auto.vercity.ru/statistics/sales/asia/2018/japan/nissan/01-12/" TargetMode="External"/><Relationship Id="rId6" Type="http://schemas.openxmlformats.org/officeDocument/2006/relationships/hyperlink" Target="https://auto.vercity.ru/statistics/sales/asia/2018/japan/mazda/01-12/" TargetMode="External"/><Relationship Id="rId29" Type="http://schemas.openxmlformats.org/officeDocument/2006/relationships/hyperlink" Target="https://auto.vercity.ru/statistics/sales/asia/2018/japan/smart/01-12/" TargetMode="External"/><Relationship Id="rId7" Type="http://schemas.openxmlformats.org/officeDocument/2006/relationships/hyperlink" Target="https://auto.vercity.ru/statistics/sales/asia/2018/japan/subaru/01-12/" TargetMode="External"/><Relationship Id="rId8" Type="http://schemas.openxmlformats.org/officeDocument/2006/relationships/hyperlink" Target="https://auto.vercity.ru/statistics/sales/asia/2018/japan/mitsubishi/01-12/" TargetMode="External"/><Relationship Id="rId31" Type="http://schemas.openxmlformats.org/officeDocument/2006/relationships/hyperlink" Target="https://auto.vercity.ru/statistics/sales/asia/2018/japan/chevrolet/01-12/" TargetMode="External"/><Relationship Id="rId30" Type="http://schemas.openxmlformats.org/officeDocument/2006/relationships/hyperlink" Target="https://auto.vercity.ru/statistics/sales/asia/2018/japan/maserati/01-12/" TargetMode="External"/><Relationship Id="rId11" Type="http://schemas.openxmlformats.org/officeDocument/2006/relationships/hyperlink" Target="https://auto.vercity.ru/statistics/sales/asia/2018/japan/mercedes_benz/01-12/" TargetMode="External"/><Relationship Id="rId33" Type="http://schemas.openxmlformats.org/officeDocument/2006/relationships/hyperlink" Target="https://auto.vercity.ru/statistics/sales/asia/2018/japan/ds/01-12/" TargetMode="External"/><Relationship Id="rId10" Type="http://schemas.openxmlformats.org/officeDocument/2006/relationships/hyperlink" Target="https://auto.vercity.ru/statistics/sales/asia/2018/japan/hino/01-12/" TargetMode="External"/><Relationship Id="rId32" Type="http://schemas.openxmlformats.org/officeDocument/2006/relationships/hyperlink" Target="https://auto.vercity.ru/statistics/sales/asia/2018/japan/ferrari/01-12/" TargetMode="External"/><Relationship Id="rId13" Type="http://schemas.openxmlformats.org/officeDocument/2006/relationships/hyperlink" Target="https://auto.vercity.ru/statistics/sales/asia/2018/japan/volkswagen/01-12/" TargetMode="External"/><Relationship Id="rId35" Type="http://schemas.openxmlformats.org/officeDocument/2006/relationships/hyperlink" Target="https://auto.vercity.ru/statistics/sales/asia/2018/japan/lamborghini/01-12/" TargetMode="External"/><Relationship Id="rId12" Type="http://schemas.openxmlformats.org/officeDocument/2006/relationships/hyperlink" Target="https://auto.vercity.ru/statistics/sales/asia/2018/japan/lexus/01-12/" TargetMode="External"/><Relationship Id="rId34" Type="http://schemas.openxmlformats.org/officeDocument/2006/relationships/hyperlink" Target="https://auto.vercity.ru/statistics/sales/asia/2018/japan/cadillac/01-12/" TargetMode="External"/><Relationship Id="rId15" Type="http://schemas.openxmlformats.org/officeDocument/2006/relationships/hyperlink" Target="https://auto.vercity.ru/statistics/sales/asia/2018/japan/audi/01-12/" TargetMode="External"/><Relationship Id="rId37" Type="http://schemas.openxmlformats.org/officeDocument/2006/relationships/hyperlink" Target="https://auto.vercity.ru/statistics/sales/asia/2018/japan/bentley/01-12/" TargetMode="External"/><Relationship Id="rId14" Type="http://schemas.openxmlformats.org/officeDocument/2006/relationships/hyperlink" Target="https://auto.vercity.ru/statistics/sales/asia/2018/japan/bmw/01-12/" TargetMode="External"/><Relationship Id="rId36" Type="http://schemas.openxmlformats.org/officeDocument/2006/relationships/hyperlink" Target="https://auto.vercity.ru/statistics/sales/asia/2018/japan/ford/01-12/" TargetMode="External"/><Relationship Id="rId17" Type="http://schemas.openxmlformats.org/officeDocument/2006/relationships/hyperlink" Target="https://auto.vercity.ru/statistics/sales/asia/2018/japan/volvo/01-12/" TargetMode="External"/><Relationship Id="rId39" Type="http://schemas.openxmlformats.org/officeDocument/2006/relationships/hyperlink" Target="https://auto.vercity.ru/statistics/sales/asia/2018/japan/aston_martin/01-12/" TargetMode="External"/><Relationship Id="rId16" Type="http://schemas.openxmlformats.org/officeDocument/2006/relationships/hyperlink" Target="https://auto.vercity.ru/statistics/sales/asia/2018/japan/mini/01-12/" TargetMode="External"/><Relationship Id="rId38" Type="http://schemas.openxmlformats.org/officeDocument/2006/relationships/hyperlink" Target="https://auto.vercity.ru/statistics/sales/asia/2018/japan/dodge/01-12/" TargetMode="External"/><Relationship Id="rId19" Type="http://schemas.openxmlformats.org/officeDocument/2006/relationships/hyperlink" Target="https://auto.vercity.ru/statistics/sales/asia/2018/japan/peugeot/01-12/" TargetMode="External"/><Relationship Id="rId18" Type="http://schemas.openxmlformats.org/officeDocument/2006/relationships/hyperlink" Target="https://auto.vercity.ru/statistics/sales/asia/2018/japan/jeep/01-12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scania/01-12/" TargetMode="External"/><Relationship Id="rId20" Type="http://schemas.openxmlformats.org/officeDocument/2006/relationships/hyperlink" Target="https://auto.vercity.ru/statistics/sales/asia/2018/japan/renault/01-12/" TargetMode="External"/><Relationship Id="rId42" Type="http://schemas.openxmlformats.org/officeDocument/2006/relationships/hyperlink" Target="https://auto.vercity.ru/statistics/sales/asia/2018/japan/lotus/01-12/" TargetMode="External"/><Relationship Id="rId41" Type="http://schemas.openxmlformats.org/officeDocument/2006/relationships/hyperlink" Target="https://auto.vercity.ru/statistics/sales/asia/2018/japan/rolls_royce/01-12/" TargetMode="External"/><Relationship Id="rId22" Type="http://schemas.openxmlformats.org/officeDocument/2006/relationships/hyperlink" Target="https://auto.vercity.ru/statistics/sales/asia/2018/japan/porsche/01-12/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auto.vercity.ru/statistics/sales/asia/2018/japan/ud_trucks/01-12/" TargetMode="External"/><Relationship Id="rId43" Type="http://schemas.openxmlformats.org/officeDocument/2006/relationships/hyperlink" Target="https://auto.vercity.ru/statistics/sales/asia/2018/japan/mclaren/01-12/" TargetMode="External"/><Relationship Id="rId24" Type="http://schemas.openxmlformats.org/officeDocument/2006/relationships/hyperlink" Target="https://auto.vercity.ru/statistics/sales/asia/2018/japan/land_rover/01-12/" TargetMode="External"/><Relationship Id="rId23" Type="http://schemas.openxmlformats.org/officeDocument/2006/relationships/hyperlink" Target="https://auto.vercity.ru/statistics/sales/asia/2018/japan/fiat/01-12/" TargetMode="External"/><Relationship Id="rId1" Type="http://schemas.openxmlformats.org/officeDocument/2006/relationships/hyperlink" Target="https://auto.vercity.ru/statistics/sales/asia/2018/japan/toyota/01-12/" TargetMode="External"/><Relationship Id="rId2" Type="http://schemas.openxmlformats.org/officeDocument/2006/relationships/hyperlink" Target="https://auto.vercity.ru/statistics/sales/asia/2018/japan/honda/01-12/" TargetMode="External"/><Relationship Id="rId3" Type="http://schemas.openxmlformats.org/officeDocument/2006/relationships/hyperlink" Target="https://auto.vercity.ru/statistics/sales/asia/2018/japan/suzuki/01-12/" TargetMode="External"/><Relationship Id="rId4" Type="http://schemas.openxmlformats.org/officeDocument/2006/relationships/hyperlink" Target="https://auto.vercity.ru/statistics/sales/asia/2018/japan/daihatsu/01-12/" TargetMode="External"/><Relationship Id="rId9" Type="http://schemas.openxmlformats.org/officeDocument/2006/relationships/hyperlink" Target="https://auto.vercity.ru/statistics/sales/asia/2018/japan/isuzu/01-12/" TargetMode="External"/><Relationship Id="rId26" Type="http://schemas.openxmlformats.org/officeDocument/2006/relationships/hyperlink" Target="https://auto.vercity.ru/statistics/sales/asia/2018/japan/jaguar/01-12/" TargetMode="External"/><Relationship Id="rId25" Type="http://schemas.openxmlformats.org/officeDocument/2006/relationships/hyperlink" Target="https://auto.vercity.ru/statistics/sales/asia/2018/japan/citroen/01-12/" TargetMode="External"/><Relationship Id="rId28" Type="http://schemas.openxmlformats.org/officeDocument/2006/relationships/hyperlink" Target="https://auto.vercity.ru/statistics/sales/asia/2018/japan/alfa_romeo/01-12/" TargetMode="External"/><Relationship Id="rId27" Type="http://schemas.openxmlformats.org/officeDocument/2006/relationships/hyperlink" Target="https://auto.vercity.ru/statistics/sales/asia/2018/japan/abarth/01-12/" TargetMode="External"/><Relationship Id="rId5" Type="http://schemas.openxmlformats.org/officeDocument/2006/relationships/hyperlink" Target="https://auto.vercity.ru/statistics/sales/asia/2018/japan/nissan/01-12/" TargetMode="External"/><Relationship Id="rId6" Type="http://schemas.openxmlformats.org/officeDocument/2006/relationships/hyperlink" Target="https://auto.vercity.ru/statistics/sales/asia/2018/japan/mazda/01-12/" TargetMode="External"/><Relationship Id="rId29" Type="http://schemas.openxmlformats.org/officeDocument/2006/relationships/hyperlink" Target="https://auto.vercity.ru/statistics/sales/asia/2018/japan/smart/01-12/" TargetMode="External"/><Relationship Id="rId7" Type="http://schemas.openxmlformats.org/officeDocument/2006/relationships/hyperlink" Target="https://auto.vercity.ru/statistics/sales/asia/2018/japan/subaru/01-12/" TargetMode="External"/><Relationship Id="rId8" Type="http://schemas.openxmlformats.org/officeDocument/2006/relationships/hyperlink" Target="https://auto.vercity.ru/statistics/sales/asia/2018/japan/mitsubishi/01-12/" TargetMode="External"/><Relationship Id="rId31" Type="http://schemas.openxmlformats.org/officeDocument/2006/relationships/hyperlink" Target="https://auto.vercity.ru/statistics/sales/asia/2018/japan/chevrolet/01-12/" TargetMode="External"/><Relationship Id="rId30" Type="http://schemas.openxmlformats.org/officeDocument/2006/relationships/hyperlink" Target="https://auto.vercity.ru/statistics/sales/asia/2018/japan/maserati/01-12/" TargetMode="External"/><Relationship Id="rId11" Type="http://schemas.openxmlformats.org/officeDocument/2006/relationships/hyperlink" Target="https://auto.vercity.ru/statistics/sales/asia/2018/japan/mercedes_benz/01-12/" TargetMode="External"/><Relationship Id="rId33" Type="http://schemas.openxmlformats.org/officeDocument/2006/relationships/hyperlink" Target="https://auto.vercity.ru/statistics/sales/asia/2018/japan/ds/01-12/" TargetMode="External"/><Relationship Id="rId10" Type="http://schemas.openxmlformats.org/officeDocument/2006/relationships/hyperlink" Target="https://auto.vercity.ru/statistics/sales/asia/2018/japan/hino/01-12/" TargetMode="External"/><Relationship Id="rId32" Type="http://schemas.openxmlformats.org/officeDocument/2006/relationships/hyperlink" Target="https://auto.vercity.ru/statistics/sales/asia/2018/japan/ferrari/01-12/" TargetMode="External"/><Relationship Id="rId13" Type="http://schemas.openxmlformats.org/officeDocument/2006/relationships/hyperlink" Target="https://auto.vercity.ru/statistics/sales/asia/2018/japan/volkswagen/01-12/" TargetMode="External"/><Relationship Id="rId35" Type="http://schemas.openxmlformats.org/officeDocument/2006/relationships/hyperlink" Target="https://auto.vercity.ru/statistics/sales/asia/2018/japan/lamborghini/01-12/" TargetMode="External"/><Relationship Id="rId12" Type="http://schemas.openxmlformats.org/officeDocument/2006/relationships/hyperlink" Target="https://auto.vercity.ru/statistics/sales/asia/2018/japan/lexus/01-12/" TargetMode="External"/><Relationship Id="rId34" Type="http://schemas.openxmlformats.org/officeDocument/2006/relationships/hyperlink" Target="https://auto.vercity.ru/statistics/sales/asia/2018/japan/cadillac/01-12/" TargetMode="External"/><Relationship Id="rId15" Type="http://schemas.openxmlformats.org/officeDocument/2006/relationships/hyperlink" Target="https://auto.vercity.ru/statistics/sales/asia/2018/japan/audi/01-12/" TargetMode="External"/><Relationship Id="rId37" Type="http://schemas.openxmlformats.org/officeDocument/2006/relationships/hyperlink" Target="https://auto.vercity.ru/statistics/sales/asia/2018/japan/bentley/01-12/" TargetMode="External"/><Relationship Id="rId14" Type="http://schemas.openxmlformats.org/officeDocument/2006/relationships/hyperlink" Target="https://auto.vercity.ru/statistics/sales/asia/2018/japan/bmw/01-12/" TargetMode="External"/><Relationship Id="rId36" Type="http://schemas.openxmlformats.org/officeDocument/2006/relationships/hyperlink" Target="https://auto.vercity.ru/statistics/sales/asia/2018/japan/ford/01-12/" TargetMode="External"/><Relationship Id="rId17" Type="http://schemas.openxmlformats.org/officeDocument/2006/relationships/hyperlink" Target="https://auto.vercity.ru/statistics/sales/asia/2018/japan/volvo/01-12/" TargetMode="External"/><Relationship Id="rId39" Type="http://schemas.openxmlformats.org/officeDocument/2006/relationships/hyperlink" Target="https://auto.vercity.ru/statistics/sales/asia/2018/japan/aston_martin/01-12/" TargetMode="External"/><Relationship Id="rId16" Type="http://schemas.openxmlformats.org/officeDocument/2006/relationships/hyperlink" Target="https://auto.vercity.ru/statistics/sales/asia/2018/japan/mini/01-12/" TargetMode="External"/><Relationship Id="rId38" Type="http://schemas.openxmlformats.org/officeDocument/2006/relationships/hyperlink" Target="https://auto.vercity.ru/statistics/sales/asia/2018/japan/dodge/01-12/" TargetMode="External"/><Relationship Id="rId19" Type="http://schemas.openxmlformats.org/officeDocument/2006/relationships/hyperlink" Target="https://auto.vercity.ru/statistics/sales/asia/2018/japan/peugeot/01-12/" TargetMode="External"/><Relationship Id="rId18" Type="http://schemas.openxmlformats.org/officeDocument/2006/relationships/hyperlink" Target="https://auto.vercity.ru/statistics/sales/asia/2018/japan/jeep/01-12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scania/01-12/" TargetMode="External"/><Relationship Id="rId20" Type="http://schemas.openxmlformats.org/officeDocument/2006/relationships/hyperlink" Target="https://auto.vercity.ru/statistics/sales/asia/2018/japan/renault/01-12/" TargetMode="External"/><Relationship Id="rId42" Type="http://schemas.openxmlformats.org/officeDocument/2006/relationships/hyperlink" Target="https://auto.vercity.ru/statistics/sales/asia/2018/japan/lotus/01-12/" TargetMode="External"/><Relationship Id="rId41" Type="http://schemas.openxmlformats.org/officeDocument/2006/relationships/hyperlink" Target="https://auto.vercity.ru/statistics/sales/asia/2018/japan/rolls_royce/01-12/" TargetMode="External"/><Relationship Id="rId22" Type="http://schemas.openxmlformats.org/officeDocument/2006/relationships/hyperlink" Target="https://auto.vercity.ru/statistics/sales/asia/2018/japan/porsche/01-12/" TargetMode="External"/><Relationship Id="rId44" Type="http://schemas.openxmlformats.org/officeDocument/2006/relationships/drawing" Target="../drawings/drawing4.xml"/><Relationship Id="rId21" Type="http://schemas.openxmlformats.org/officeDocument/2006/relationships/hyperlink" Target="https://auto.vercity.ru/statistics/sales/asia/2018/japan/ud_trucks/01-12/" TargetMode="External"/><Relationship Id="rId43" Type="http://schemas.openxmlformats.org/officeDocument/2006/relationships/hyperlink" Target="https://auto.vercity.ru/statistics/sales/asia/2018/japan/mclaren/01-12/" TargetMode="External"/><Relationship Id="rId24" Type="http://schemas.openxmlformats.org/officeDocument/2006/relationships/hyperlink" Target="https://auto.vercity.ru/statistics/sales/asia/2018/japan/land_rover/01-12/" TargetMode="External"/><Relationship Id="rId23" Type="http://schemas.openxmlformats.org/officeDocument/2006/relationships/hyperlink" Target="https://auto.vercity.ru/statistics/sales/asia/2018/japan/fiat/01-12/" TargetMode="External"/><Relationship Id="rId1" Type="http://schemas.openxmlformats.org/officeDocument/2006/relationships/hyperlink" Target="https://auto.vercity.ru/statistics/sales/asia/2018/japan/toyota/01-12/" TargetMode="External"/><Relationship Id="rId2" Type="http://schemas.openxmlformats.org/officeDocument/2006/relationships/hyperlink" Target="https://auto.vercity.ru/statistics/sales/asia/2018/japan/honda/01-12/" TargetMode="External"/><Relationship Id="rId3" Type="http://schemas.openxmlformats.org/officeDocument/2006/relationships/hyperlink" Target="https://auto.vercity.ru/statistics/sales/asia/2018/japan/suzuki/01-12/" TargetMode="External"/><Relationship Id="rId4" Type="http://schemas.openxmlformats.org/officeDocument/2006/relationships/hyperlink" Target="https://auto.vercity.ru/statistics/sales/asia/2018/japan/daihatsu/01-12/" TargetMode="External"/><Relationship Id="rId9" Type="http://schemas.openxmlformats.org/officeDocument/2006/relationships/hyperlink" Target="https://auto.vercity.ru/statistics/sales/asia/2018/japan/isuzu/01-12/" TargetMode="External"/><Relationship Id="rId26" Type="http://schemas.openxmlformats.org/officeDocument/2006/relationships/hyperlink" Target="https://auto.vercity.ru/statistics/sales/asia/2018/japan/jaguar/01-12/" TargetMode="External"/><Relationship Id="rId25" Type="http://schemas.openxmlformats.org/officeDocument/2006/relationships/hyperlink" Target="https://auto.vercity.ru/statistics/sales/asia/2018/japan/citroen/01-12/" TargetMode="External"/><Relationship Id="rId28" Type="http://schemas.openxmlformats.org/officeDocument/2006/relationships/hyperlink" Target="https://auto.vercity.ru/statistics/sales/asia/2018/japan/alfa_romeo/01-12/" TargetMode="External"/><Relationship Id="rId27" Type="http://schemas.openxmlformats.org/officeDocument/2006/relationships/hyperlink" Target="https://auto.vercity.ru/statistics/sales/asia/2018/japan/abarth/01-12/" TargetMode="External"/><Relationship Id="rId5" Type="http://schemas.openxmlformats.org/officeDocument/2006/relationships/hyperlink" Target="https://auto.vercity.ru/statistics/sales/asia/2018/japan/nissan/01-12/" TargetMode="External"/><Relationship Id="rId6" Type="http://schemas.openxmlformats.org/officeDocument/2006/relationships/hyperlink" Target="https://auto.vercity.ru/statistics/sales/asia/2018/japan/mazda/01-12/" TargetMode="External"/><Relationship Id="rId29" Type="http://schemas.openxmlformats.org/officeDocument/2006/relationships/hyperlink" Target="https://auto.vercity.ru/statistics/sales/asia/2018/japan/smart/01-12/" TargetMode="External"/><Relationship Id="rId7" Type="http://schemas.openxmlformats.org/officeDocument/2006/relationships/hyperlink" Target="https://auto.vercity.ru/statistics/sales/asia/2018/japan/subaru/01-12/" TargetMode="External"/><Relationship Id="rId8" Type="http://schemas.openxmlformats.org/officeDocument/2006/relationships/hyperlink" Target="https://auto.vercity.ru/statistics/sales/asia/2018/japan/mitsubishi/01-12/" TargetMode="External"/><Relationship Id="rId31" Type="http://schemas.openxmlformats.org/officeDocument/2006/relationships/hyperlink" Target="https://auto.vercity.ru/statistics/sales/asia/2018/japan/chevrolet/01-12/" TargetMode="External"/><Relationship Id="rId30" Type="http://schemas.openxmlformats.org/officeDocument/2006/relationships/hyperlink" Target="https://auto.vercity.ru/statistics/sales/asia/2018/japan/maserati/01-12/" TargetMode="External"/><Relationship Id="rId11" Type="http://schemas.openxmlformats.org/officeDocument/2006/relationships/hyperlink" Target="https://auto.vercity.ru/statistics/sales/asia/2018/japan/mercedes_benz/01-12/" TargetMode="External"/><Relationship Id="rId33" Type="http://schemas.openxmlformats.org/officeDocument/2006/relationships/hyperlink" Target="https://auto.vercity.ru/statistics/sales/asia/2018/japan/ds/01-12/" TargetMode="External"/><Relationship Id="rId10" Type="http://schemas.openxmlformats.org/officeDocument/2006/relationships/hyperlink" Target="https://auto.vercity.ru/statistics/sales/asia/2018/japan/hino/01-12/" TargetMode="External"/><Relationship Id="rId32" Type="http://schemas.openxmlformats.org/officeDocument/2006/relationships/hyperlink" Target="https://auto.vercity.ru/statistics/sales/asia/2018/japan/ferrari/01-12/" TargetMode="External"/><Relationship Id="rId13" Type="http://schemas.openxmlformats.org/officeDocument/2006/relationships/hyperlink" Target="https://auto.vercity.ru/statistics/sales/asia/2018/japan/volkswagen/01-12/" TargetMode="External"/><Relationship Id="rId35" Type="http://schemas.openxmlformats.org/officeDocument/2006/relationships/hyperlink" Target="https://auto.vercity.ru/statistics/sales/asia/2018/japan/lamborghini/01-12/" TargetMode="External"/><Relationship Id="rId12" Type="http://schemas.openxmlformats.org/officeDocument/2006/relationships/hyperlink" Target="https://auto.vercity.ru/statistics/sales/asia/2018/japan/lexus/01-12/" TargetMode="External"/><Relationship Id="rId34" Type="http://schemas.openxmlformats.org/officeDocument/2006/relationships/hyperlink" Target="https://auto.vercity.ru/statistics/sales/asia/2018/japan/cadillac/01-12/" TargetMode="External"/><Relationship Id="rId15" Type="http://schemas.openxmlformats.org/officeDocument/2006/relationships/hyperlink" Target="https://auto.vercity.ru/statistics/sales/asia/2018/japan/audi/01-12/" TargetMode="External"/><Relationship Id="rId37" Type="http://schemas.openxmlformats.org/officeDocument/2006/relationships/hyperlink" Target="https://auto.vercity.ru/statistics/sales/asia/2018/japan/bentley/01-12/" TargetMode="External"/><Relationship Id="rId14" Type="http://schemas.openxmlformats.org/officeDocument/2006/relationships/hyperlink" Target="https://auto.vercity.ru/statistics/sales/asia/2018/japan/bmw/01-12/" TargetMode="External"/><Relationship Id="rId36" Type="http://schemas.openxmlformats.org/officeDocument/2006/relationships/hyperlink" Target="https://auto.vercity.ru/statistics/sales/asia/2018/japan/ford/01-12/" TargetMode="External"/><Relationship Id="rId17" Type="http://schemas.openxmlformats.org/officeDocument/2006/relationships/hyperlink" Target="https://auto.vercity.ru/statistics/sales/asia/2018/japan/volvo/01-12/" TargetMode="External"/><Relationship Id="rId39" Type="http://schemas.openxmlformats.org/officeDocument/2006/relationships/hyperlink" Target="https://auto.vercity.ru/statistics/sales/asia/2018/japan/aston_martin/01-12/" TargetMode="External"/><Relationship Id="rId16" Type="http://schemas.openxmlformats.org/officeDocument/2006/relationships/hyperlink" Target="https://auto.vercity.ru/statistics/sales/asia/2018/japan/mini/01-12/" TargetMode="External"/><Relationship Id="rId38" Type="http://schemas.openxmlformats.org/officeDocument/2006/relationships/hyperlink" Target="https://auto.vercity.ru/statistics/sales/asia/2018/japan/dodge/01-12/" TargetMode="External"/><Relationship Id="rId19" Type="http://schemas.openxmlformats.org/officeDocument/2006/relationships/hyperlink" Target="https://auto.vercity.ru/statistics/sales/asia/2018/japan/peugeot/01-12/" TargetMode="External"/><Relationship Id="rId18" Type="http://schemas.openxmlformats.org/officeDocument/2006/relationships/hyperlink" Target="https://auto.vercity.ru/statistics/sales/asia/2018/japan/jeep/01-12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scania/01-12/" TargetMode="External"/><Relationship Id="rId20" Type="http://schemas.openxmlformats.org/officeDocument/2006/relationships/hyperlink" Target="https://auto.vercity.ru/statistics/sales/asia/2018/japan/renault/01-12/" TargetMode="External"/><Relationship Id="rId42" Type="http://schemas.openxmlformats.org/officeDocument/2006/relationships/hyperlink" Target="https://auto.vercity.ru/statistics/sales/asia/2018/japan/lotus/01-12/" TargetMode="External"/><Relationship Id="rId41" Type="http://schemas.openxmlformats.org/officeDocument/2006/relationships/hyperlink" Target="https://auto.vercity.ru/statistics/sales/asia/2018/japan/rolls_royce/01-12/" TargetMode="External"/><Relationship Id="rId22" Type="http://schemas.openxmlformats.org/officeDocument/2006/relationships/hyperlink" Target="https://auto.vercity.ru/statistics/sales/asia/2018/japan/porsche/01-12/" TargetMode="External"/><Relationship Id="rId44" Type="http://schemas.openxmlformats.org/officeDocument/2006/relationships/drawing" Target="../drawings/drawing5.xml"/><Relationship Id="rId21" Type="http://schemas.openxmlformats.org/officeDocument/2006/relationships/hyperlink" Target="https://auto.vercity.ru/statistics/sales/asia/2018/japan/ud_trucks/01-12/" TargetMode="External"/><Relationship Id="rId43" Type="http://schemas.openxmlformats.org/officeDocument/2006/relationships/hyperlink" Target="https://auto.vercity.ru/statistics/sales/asia/2018/japan/mclaren/01-12/" TargetMode="External"/><Relationship Id="rId24" Type="http://schemas.openxmlformats.org/officeDocument/2006/relationships/hyperlink" Target="https://auto.vercity.ru/statistics/sales/asia/2018/japan/land_rover/01-12/" TargetMode="External"/><Relationship Id="rId23" Type="http://schemas.openxmlformats.org/officeDocument/2006/relationships/hyperlink" Target="https://auto.vercity.ru/statistics/sales/asia/2018/japan/fiat/01-12/" TargetMode="External"/><Relationship Id="rId1" Type="http://schemas.openxmlformats.org/officeDocument/2006/relationships/hyperlink" Target="https://auto.vercity.ru/statistics/sales/asia/2018/japan/toyota/01-12/" TargetMode="External"/><Relationship Id="rId2" Type="http://schemas.openxmlformats.org/officeDocument/2006/relationships/hyperlink" Target="https://auto.vercity.ru/statistics/sales/asia/2018/japan/honda/01-12/" TargetMode="External"/><Relationship Id="rId3" Type="http://schemas.openxmlformats.org/officeDocument/2006/relationships/hyperlink" Target="https://auto.vercity.ru/statistics/sales/asia/2018/japan/suzuki/01-12/" TargetMode="External"/><Relationship Id="rId4" Type="http://schemas.openxmlformats.org/officeDocument/2006/relationships/hyperlink" Target="https://auto.vercity.ru/statistics/sales/asia/2018/japan/daihatsu/01-12/" TargetMode="External"/><Relationship Id="rId9" Type="http://schemas.openxmlformats.org/officeDocument/2006/relationships/hyperlink" Target="https://auto.vercity.ru/statistics/sales/asia/2018/japan/isuzu/01-12/" TargetMode="External"/><Relationship Id="rId26" Type="http://schemas.openxmlformats.org/officeDocument/2006/relationships/hyperlink" Target="https://auto.vercity.ru/statistics/sales/asia/2018/japan/jaguar/01-12/" TargetMode="External"/><Relationship Id="rId25" Type="http://schemas.openxmlformats.org/officeDocument/2006/relationships/hyperlink" Target="https://auto.vercity.ru/statistics/sales/asia/2018/japan/citroen/01-12/" TargetMode="External"/><Relationship Id="rId28" Type="http://schemas.openxmlformats.org/officeDocument/2006/relationships/hyperlink" Target="https://auto.vercity.ru/statistics/sales/asia/2018/japan/alfa_romeo/01-12/" TargetMode="External"/><Relationship Id="rId27" Type="http://schemas.openxmlformats.org/officeDocument/2006/relationships/hyperlink" Target="https://auto.vercity.ru/statistics/sales/asia/2018/japan/abarth/01-12/" TargetMode="External"/><Relationship Id="rId5" Type="http://schemas.openxmlformats.org/officeDocument/2006/relationships/hyperlink" Target="https://auto.vercity.ru/statistics/sales/asia/2018/japan/nissan/01-12/" TargetMode="External"/><Relationship Id="rId6" Type="http://schemas.openxmlformats.org/officeDocument/2006/relationships/hyperlink" Target="https://auto.vercity.ru/statistics/sales/asia/2018/japan/mazda/01-12/" TargetMode="External"/><Relationship Id="rId29" Type="http://schemas.openxmlformats.org/officeDocument/2006/relationships/hyperlink" Target="https://auto.vercity.ru/statistics/sales/asia/2018/japan/smart/01-12/" TargetMode="External"/><Relationship Id="rId7" Type="http://schemas.openxmlformats.org/officeDocument/2006/relationships/hyperlink" Target="https://auto.vercity.ru/statistics/sales/asia/2018/japan/subaru/01-12/" TargetMode="External"/><Relationship Id="rId8" Type="http://schemas.openxmlformats.org/officeDocument/2006/relationships/hyperlink" Target="https://auto.vercity.ru/statistics/sales/asia/2018/japan/mitsubishi/01-12/" TargetMode="External"/><Relationship Id="rId31" Type="http://schemas.openxmlformats.org/officeDocument/2006/relationships/hyperlink" Target="https://auto.vercity.ru/statistics/sales/asia/2018/japan/chevrolet/01-12/" TargetMode="External"/><Relationship Id="rId30" Type="http://schemas.openxmlformats.org/officeDocument/2006/relationships/hyperlink" Target="https://auto.vercity.ru/statistics/sales/asia/2018/japan/maserati/01-12/" TargetMode="External"/><Relationship Id="rId11" Type="http://schemas.openxmlformats.org/officeDocument/2006/relationships/hyperlink" Target="https://auto.vercity.ru/statistics/sales/asia/2018/japan/mercedes_benz/01-12/" TargetMode="External"/><Relationship Id="rId33" Type="http://schemas.openxmlformats.org/officeDocument/2006/relationships/hyperlink" Target="https://auto.vercity.ru/statistics/sales/asia/2018/japan/ds/01-12/" TargetMode="External"/><Relationship Id="rId10" Type="http://schemas.openxmlformats.org/officeDocument/2006/relationships/hyperlink" Target="https://auto.vercity.ru/statistics/sales/asia/2018/japan/hino/01-12/" TargetMode="External"/><Relationship Id="rId32" Type="http://schemas.openxmlformats.org/officeDocument/2006/relationships/hyperlink" Target="https://auto.vercity.ru/statistics/sales/asia/2018/japan/ferrari/01-12/" TargetMode="External"/><Relationship Id="rId13" Type="http://schemas.openxmlformats.org/officeDocument/2006/relationships/hyperlink" Target="https://auto.vercity.ru/statistics/sales/asia/2018/japan/volkswagen/01-12/" TargetMode="External"/><Relationship Id="rId35" Type="http://schemas.openxmlformats.org/officeDocument/2006/relationships/hyperlink" Target="https://auto.vercity.ru/statistics/sales/asia/2018/japan/lamborghini/01-12/" TargetMode="External"/><Relationship Id="rId12" Type="http://schemas.openxmlformats.org/officeDocument/2006/relationships/hyperlink" Target="https://auto.vercity.ru/statistics/sales/asia/2018/japan/lexus/01-12/" TargetMode="External"/><Relationship Id="rId34" Type="http://schemas.openxmlformats.org/officeDocument/2006/relationships/hyperlink" Target="https://auto.vercity.ru/statistics/sales/asia/2018/japan/cadillac/01-12/" TargetMode="External"/><Relationship Id="rId15" Type="http://schemas.openxmlformats.org/officeDocument/2006/relationships/hyperlink" Target="https://auto.vercity.ru/statistics/sales/asia/2018/japan/audi/01-12/" TargetMode="External"/><Relationship Id="rId37" Type="http://schemas.openxmlformats.org/officeDocument/2006/relationships/hyperlink" Target="https://auto.vercity.ru/statistics/sales/asia/2018/japan/bentley/01-12/" TargetMode="External"/><Relationship Id="rId14" Type="http://schemas.openxmlformats.org/officeDocument/2006/relationships/hyperlink" Target="https://auto.vercity.ru/statistics/sales/asia/2018/japan/bmw/01-12/" TargetMode="External"/><Relationship Id="rId36" Type="http://schemas.openxmlformats.org/officeDocument/2006/relationships/hyperlink" Target="https://auto.vercity.ru/statistics/sales/asia/2018/japan/ford/01-12/" TargetMode="External"/><Relationship Id="rId17" Type="http://schemas.openxmlformats.org/officeDocument/2006/relationships/hyperlink" Target="https://auto.vercity.ru/statistics/sales/asia/2018/japan/volvo/01-12/" TargetMode="External"/><Relationship Id="rId39" Type="http://schemas.openxmlformats.org/officeDocument/2006/relationships/hyperlink" Target="https://auto.vercity.ru/statistics/sales/asia/2018/japan/aston_martin/01-12/" TargetMode="External"/><Relationship Id="rId16" Type="http://schemas.openxmlformats.org/officeDocument/2006/relationships/hyperlink" Target="https://auto.vercity.ru/statistics/sales/asia/2018/japan/mini/01-12/" TargetMode="External"/><Relationship Id="rId38" Type="http://schemas.openxmlformats.org/officeDocument/2006/relationships/hyperlink" Target="https://auto.vercity.ru/statistics/sales/asia/2018/japan/dodge/01-12/" TargetMode="External"/><Relationship Id="rId19" Type="http://schemas.openxmlformats.org/officeDocument/2006/relationships/hyperlink" Target="https://auto.vercity.ru/statistics/sales/asia/2018/japan/peugeot/01-12/" TargetMode="External"/><Relationship Id="rId18" Type="http://schemas.openxmlformats.org/officeDocument/2006/relationships/hyperlink" Target="https://auto.vercity.ru/statistics/sales/asia/2018/japan/jeep/01-12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land_rover/01-12/" TargetMode="External"/><Relationship Id="rId20" Type="http://schemas.openxmlformats.org/officeDocument/2006/relationships/hyperlink" Target="https://auto.vercity.ru/statistics/sales/asia/2018/japan/mercedes_benz/01-12/" TargetMode="External"/><Relationship Id="rId42" Type="http://schemas.openxmlformats.org/officeDocument/2006/relationships/hyperlink" Target="https://auto.vercity.ru/statistics/sales/asia/2018/japan/aston_martin/01-12/" TargetMode="External"/><Relationship Id="rId41" Type="http://schemas.openxmlformats.org/officeDocument/2006/relationships/hyperlink" Target="https://auto.vercity.ru/statistics/sales/asia/2018/japan/jaguar/01-12/" TargetMode="External"/><Relationship Id="rId22" Type="http://schemas.openxmlformats.org/officeDocument/2006/relationships/hyperlink" Target="https://auto.vercity.ru/statistics/sales/asia/2018/japan/renault/01-12/" TargetMode="External"/><Relationship Id="rId44" Type="http://schemas.openxmlformats.org/officeDocument/2006/relationships/drawing" Target="../drawings/drawing6.xml"/><Relationship Id="rId21" Type="http://schemas.openxmlformats.org/officeDocument/2006/relationships/hyperlink" Target="https://auto.vercity.ru/statistics/sales/asia/2018/japan/peugeot/01-12/" TargetMode="External"/><Relationship Id="rId43" Type="http://schemas.openxmlformats.org/officeDocument/2006/relationships/hyperlink" Target="https://auto.vercity.ru/statistics/sales/asia/2018/japan/bentley/01-12/" TargetMode="External"/><Relationship Id="rId24" Type="http://schemas.openxmlformats.org/officeDocument/2006/relationships/hyperlink" Target="https://auto.vercity.ru/statistics/sales/asia/2018/japan/mini/01-12/" TargetMode="External"/><Relationship Id="rId23" Type="http://schemas.openxmlformats.org/officeDocument/2006/relationships/hyperlink" Target="https://auto.vercity.ru/statistics/sales/asia/2018/japan/isuzu/01-12/" TargetMode="External"/><Relationship Id="rId1" Type="http://schemas.openxmlformats.org/officeDocument/2006/relationships/hyperlink" Target="https://auto.vercity.ru/statistics/sales/asia/2018/japan/daihatsu/01-12/" TargetMode="External"/><Relationship Id="rId2" Type="http://schemas.openxmlformats.org/officeDocument/2006/relationships/hyperlink" Target="https://auto.vercity.ru/statistics/sales/asia/2018/japan/suzuki/01-12/" TargetMode="External"/><Relationship Id="rId3" Type="http://schemas.openxmlformats.org/officeDocument/2006/relationships/hyperlink" Target="https://auto.vercity.ru/statistics/sales/asia/2018/japan/toyota/01-12/" TargetMode="External"/><Relationship Id="rId4" Type="http://schemas.openxmlformats.org/officeDocument/2006/relationships/hyperlink" Target="https://auto.vercity.ru/statistics/sales/asia/2018/japan/chevrolet/01-12/" TargetMode="External"/><Relationship Id="rId9" Type="http://schemas.openxmlformats.org/officeDocument/2006/relationships/hyperlink" Target="https://auto.vercity.ru/statistics/sales/asia/2018/japan/ford/01-12/" TargetMode="External"/><Relationship Id="rId26" Type="http://schemas.openxmlformats.org/officeDocument/2006/relationships/hyperlink" Target="https://auto.vercity.ru/statistics/sales/asia/2018/japan/lexus/01-12/" TargetMode="External"/><Relationship Id="rId25" Type="http://schemas.openxmlformats.org/officeDocument/2006/relationships/hyperlink" Target="https://auto.vercity.ru/statistics/sales/asia/2018/japan/mazda/01-12/" TargetMode="External"/><Relationship Id="rId28" Type="http://schemas.openxmlformats.org/officeDocument/2006/relationships/hyperlink" Target="https://auto.vercity.ru/statistics/sales/asia/2018/japan/audi/01-12/" TargetMode="External"/><Relationship Id="rId27" Type="http://schemas.openxmlformats.org/officeDocument/2006/relationships/hyperlink" Target="https://auto.vercity.ru/statistics/sales/asia/2018/japan/lamborghini/01-12/" TargetMode="External"/><Relationship Id="rId5" Type="http://schemas.openxmlformats.org/officeDocument/2006/relationships/hyperlink" Target="https://auto.vercity.ru/statistics/sales/asia/2018/japan/honda/01-12/" TargetMode="External"/><Relationship Id="rId6" Type="http://schemas.openxmlformats.org/officeDocument/2006/relationships/hyperlink" Target="https://auto.vercity.ru/statistics/sales/asia/2018/japan/volvo/01-12/" TargetMode="External"/><Relationship Id="rId29" Type="http://schemas.openxmlformats.org/officeDocument/2006/relationships/hyperlink" Target="https://auto.vercity.ru/statistics/sales/asia/2018/japan/rolls_royce/01-12/" TargetMode="External"/><Relationship Id="rId7" Type="http://schemas.openxmlformats.org/officeDocument/2006/relationships/hyperlink" Target="https://auto.vercity.ru/statistics/sales/asia/2018/japan/jeep/01-12/" TargetMode="External"/><Relationship Id="rId8" Type="http://schemas.openxmlformats.org/officeDocument/2006/relationships/hyperlink" Target="https://auto.vercity.ru/statistics/sales/asia/2018/japan/ferrari/01-12/" TargetMode="External"/><Relationship Id="rId31" Type="http://schemas.openxmlformats.org/officeDocument/2006/relationships/hyperlink" Target="https://auto.vercity.ru/statistics/sales/asia/2018/japan/porsche/01-12/" TargetMode="External"/><Relationship Id="rId30" Type="http://schemas.openxmlformats.org/officeDocument/2006/relationships/hyperlink" Target="https://auto.vercity.ru/statistics/sales/asia/2018/japan/bmw/01-12/" TargetMode="External"/><Relationship Id="rId11" Type="http://schemas.openxmlformats.org/officeDocument/2006/relationships/hyperlink" Target="https://auto.vercity.ru/statistics/sales/asia/2018/japan/hino/01-12/" TargetMode="External"/><Relationship Id="rId33" Type="http://schemas.openxmlformats.org/officeDocument/2006/relationships/hyperlink" Target="https://auto.vercity.ru/statistics/sales/asia/2018/japan/citroen/01-12/" TargetMode="External"/><Relationship Id="rId10" Type="http://schemas.openxmlformats.org/officeDocument/2006/relationships/hyperlink" Target="https://auto.vercity.ru/statistics/sales/asia/2018/japan/volkswagen/01-12/" TargetMode="External"/><Relationship Id="rId32" Type="http://schemas.openxmlformats.org/officeDocument/2006/relationships/hyperlink" Target="https://auto.vercity.ru/statistics/sales/asia/2018/japan/mitsubishi/01-12/" TargetMode="External"/><Relationship Id="rId13" Type="http://schemas.openxmlformats.org/officeDocument/2006/relationships/hyperlink" Target="https://auto.vercity.ru/statistics/sales/asia/2018/japan/mclaren/01-12/" TargetMode="External"/><Relationship Id="rId35" Type="http://schemas.openxmlformats.org/officeDocument/2006/relationships/hyperlink" Target="https://auto.vercity.ru/statistics/sales/asia/2018/japan/maserati/01-12/" TargetMode="External"/><Relationship Id="rId12" Type="http://schemas.openxmlformats.org/officeDocument/2006/relationships/hyperlink" Target="https://auto.vercity.ru/statistics/sales/asia/2018/japan/alfa_romeo/01-12/" TargetMode="External"/><Relationship Id="rId34" Type="http://schemas.openxmlformats.org/officeDocument/2006/relationships/hyperlink" Target="https://auto.vercity.ru/statistics/sales/asia/2018/japan/lotus/01-12/" TargetMode="External"/><Relationship Id="rId15" Type="http://schemas.openxmlformats.org/officeDocument/2006/relationships/hyperlink" Target="https://auto.vercity.ru/statistics/sales/asia/2018/japan/fiat/01-12/" TargetMode="External"/><Relationship Id="rId37" Type="http://schemas.openxmlformats.org/officeDocument/2006/relationships/hyperlink" Target="https://auto.vercity.ru/statistics/sales/asia/2018/japan/ds/01-12/" TargetMode="External"/><Relationship Id="rId14" Type="http://schemas.openxmlformats.org/officeDocument/2006/relationships/hyperlink" Target="https://auto.vercity.ru/statistics/sales/asia/2018/japan/nissan/01-12/" TargetMode="External"/><Relationship Id="rId36" Type="http://schemas.openxmlformats.org/officeDocument/2006/relationships/hyperlink" Target="https://auto.vercity.ru/statistics/sales/asia/2018/japan/scania/01-12/" TargetMode="External"/><Relationship Id="rId17" Type="http://schemas.openxmlformats.org/officeDocument/2006/relationships/hyperlink" Target="https://auto.vercity.ru/statistics/sales/asia/2018/japan/dodge/01-12/" TargetMode="External"/><Relationship Id="rId39" Type="http://schemas.openxmlformats.org/officeDocument/2006/relationships/hyperlink" Target="https://auto.vercity.ru/statistics/sales/asia/2018/japan/cadillac/01-12/" TargetMode="External"/><Relationship Id="rId16" Type="http://schemas.openxmlformats.org/officeDocument/2006/relationships/hyperlink" Target="https://auto.vercity.ru/statistics/sales/asia/2018/japan/subaru/01-12/" TargetMode="External"/><Relationship Id="rId38" Type="http://schemas.openxmlformats.org/officeDocument/2006/relationships/hyperlink" Target="https://auto.vercity.ru/statistics/sales/asia/2018/japan/smart/01-12/" TargetMode="External"/><Relationship Id="rId19" Type="http://schemas.openxmlformats.org/officeDocument/2006/relationships/hyperlink" Target="https://auto.vercity.ru/statistics/sales/asia/2018/japan/ud_trucks/01-12/" TargetMode="External"/><Relationship Id="rId18" Type="http://schemas.openxmlformats.org/officeDocument/2006/relationships/hyperlink" Target="https://auto.vercity.ru/statistics/sales/asia/2018/japan/abarth/01-12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.vercity.ru/statistics/sales/asia/2018/japan/scania/01-12/" TargetMode="External"/><Relationship Id="rId20" Type="http://schemas.openxmlformats.org/officeDocument/2006/relationships/hyperlink" Target="https://auto.vercity.ru/statistics/sales/asia/2018/japan/renault/01-12/" TargetMode="External"/><Relationship Id="rId42" Type="http://schemas.openxmlformats.org/officeDocument/2006/relationships/hyperlink" Target="https://auto.vercity.ru/statistics/sales/asia/2018/japan/lotus/01-12/" TargetMode="External"/><Relationship Id="rId41" Type="http://schemas.openxmlformats.org/officeDocument/2006/relationships/hyperlink" Target="https://auto.vercity.ru/statistics/sales/asia/2018/japan/rolls_royce/01-12/" TargetMode="External"/><Relationship Id="rId22" Type="http://schemas.openxmlformats.org/officeDocument/2006/relationships/hyperlink" Target="https://auto.vercity.ru/statistics/sales/asia/2018/japan/porsche/01-12/" TargetMode="External"/><Relationship Id="rId44" Type="http://schemas.openxmlformats.org/officeDocument/2006/relationships/drawing" Target="../drawings/drawing7.xml"/><Relationship Id="rId21" Type="http://schemas.openxmlformats.org/officeDocument/2006/relationships/hyperlink" Target="https://auto.vercity.ru/statistics/sales/asia/2018/japan/ud_trucks/01-12/" TargetMode="External"/><Relationship Id="rId43" Type="http://schemas.openxmlformats.org/officeDocument/2006/relationships/hyperlink" Target="https://auto.vercity.ru/statistics/sales/asia/2018/japan/mclaren/01-12/" TargetMode="External"/><Relationship Id="rId24" Type="http://schemas.openxmlformats.org/officeDocument/2006/relationships/hyperlink" Target="https://auto.vercity.ru/statistics/sales/asia/2018/japan/land_rover/01-12/" TargetMode="External"/><Relationship Id="rId23" Type="http://schemas.openxmlformats.org/officeDocument/2006/relationships/hyperlink" Target="https://auto.vercity.ru/statistics/sales/asia/2018/japan/fiat/01-12/" TargetMode="External"/><Relationship Id="rId1" Type="http://schemas.openxmlformats.org/officeDocument/2006/relationships/hyperlink" Target="https://auto.vercity.ru/statistics/sales/asia/2018/japan/toyota/01-12/" TargetMode="External"/><Relationship Id="rId2" Type="http://schemas.openxmlformats.org/officeDocument/2006/relationships/hyperlink" Target="https://auto.vercity.ru/statistics/sales/asia/2018/japan/honda/01-12/" TargetMode="External"/><Relationship Id="rId3" Type="http://schemas.openxmlformats.org/officeDocument/2006/relationships/hyperlink" Target="https://auto.vercity.ru/statistics/sales/asia/2018/japan/suzuki/01-12/" TargetMode="External"/><Relationship Id="rId4" Type="http://schemas.openxmlformats.org/officeDocument/2006/relationships/hyperlink" Target="https://auto.vercity.ru/statistics/sales/asia/2018/japan/daihatsu/01-12/" TargetMode="External"/><Relationship Id="rId9" Type="http://schemas.openxmlformats.org/officeDocument/2006/relationships/hyperlink" Target="https://auto.vercity.ru/statistics/sales/asia/2018/japan/isuzu/01-12/" TargetMode="External"/><Relationship Id="rId26" Type="http://schemas.openxmlformats.org/officeDocument/2006/relationships/hyperlink" Target="https://auto.vercity.ru/statistics/sales/asia/2018/japan/jaguar/01-12/" TargetMode="External"/><Relationship Id="rId25" Type="http://schemas.openxmlformats.org/officeDocument/2006/relationships/hyperlink" Target="https://auto.vercity.ru/statistics/sales/asia/2018/japan/citroen/01-12/" TargetMode="External"/><Relationship Id="rId28" Type="http://schemas.openxmlformats.org/officeDocument/2006/relationships/hyperlink" Target="https://auto.vercity.ru/statistics/sales/asia/2018/japan/alfa_romeo/01-12/" TargetMode="External"/><Relationship Id="rId27" Type="http://schemas.openxmlformats.org/officeDocument/2006/relationships/hyperlink" Target="https://auto.vercity.ru/statistics/sales/asia/2018/japan/abarth/01-12/" TargetMode="External"/><Relationship Id="rId5" Type="http://schemas.openxmlformats.org/officeDocument/2006/relationships/hyperlink" Target="https://auto.vercity.ru/statistics/sales/asia/2018/japan/nissan/01-12/" TargetMode="External"/><Relationship Id="rId6" Type="http://schemas.openxmlformats.org/officeDocument/2006/relationships/hyperlink" Target="https://auto.vercity.ru/statistics/sales/asia/2018/japan/mazda/01-12/" TargetMode="External"/><Relationship Id="rId29" Type="http://schemas.openxmlformats.org/officeDocument/2006/relationships/hyperlink" Target="https://auto.vercity.ru/statistics/sales/asia/2018/japan/smart/01-12/" TargetMode="External"/><Relationship Id="rId7" Type="http://schemas.openxmlformats.org/officeDocument/2006/relationships/hyperlink" Target="https://auto.vercity.ru/statistics/sales/asia/2018/japan/subaru/01-12/" TargetMode="External"/><Relationship Id="rId8" Type="http://schemas.openxmlformats.org/officeDocument/2006/relationships/hyperlink" Target="https://auto.vercity.ru/statistics/sales/asia/2018/japan/mitsubishi/01-12/" TargetMode="External"/><Relationship Id="rId31" Type="http://schemas.openxmlformats.org/officeDocument/2006/relationships/hyperlink" Target="https://auto.vercity.ru/statistics/sales/asia/2018/japan/chevrolet/01-12/" TargetMode="External"/><Relationship Id="rId30" Type="http://schemas.openxmlformats.org/officeDocument/2006/relationships/hyperlink" Target="https://auto.vercity.ru/statistics/sales/asia/2018/japan/maserati/01-12/" TargetMode="External"/><Relationship Id="rId11" Type="http://schemas.openxmlformats.org/officeDocument/2006/relationships/hyperlink" Target="https://auto.vercity.ru/statistics/sales/asia/2018/japan/mercedes_benz/01-12/" TargetMode="External"/><Relationship Id="rId33" Type="http://schemas.openxmlformats.org/officeDocument/2006/relationships/hyperlink" Target="https://auto.vercity.ru/statistics/sales/asia/2018/japan/ds/01-12/" TargetMode="External"/><Relationship Id="rId10" Type="http://schemas.openxmlformats.org/officeDocument/2006/relationships/hyperlink" Target="https://auto.vercity.ru/statistics/sales/asia/2018/japan/hino/01-12/" TargetMode="External"/><Relationship Id="rId32" Type="http://schemas.openxmlformats.org/officeDocument/2006/relationships/hyperlink" Target="https://auto.vercity.ru/statistics/sales/asia/2018/japan/ferrari/01-12/" TargetMode="External"/><Relationship Id="rId13" Type="http://schemas.openxmlformats.org/officeDocument/2006/relationships/hyperlink" Target="https://auto.vercity.ru/statistics/sales/asia/2018/japan/volkswagen/01-12/" TargetMode="External"/><Relationship Id="rId35" Type="http://schemas.openxmlformats.org/officeDocument/2006/relationships/hyperlink" Target="https://auto.vercity.ru/statistics/sales/asia/2018/japan/lamborghini/01-12/" TargetMode="External"/><Relationship Id="rId12" Type="http://schemas.openxmlformats.org/officeDocument/2006/relationships/hyperlink" Target="https://auto.vercity.ru/statistics/sales/asia/2018/japan/lexus/01-12/" TargetMode="External"/><Relationship Id="rId34" Type="http://schemas.openxmlformats.org/officeDocument/2006/relationships/hyperlink" Target="https://auto.vercity.ru/statistics/sales/asia/2018/japan/cadillac/01-12/" TargetMode="External"/><Relationship Id="rId15" Type="http://schemas.openxmlformats.org/officeDocument/2006/relationships/hyperlink" Target="https://auto.vercity.ru/statistics/sales/asia/2018/japan/audi/01-12/" TargetMode="External"/><Relationship Id="rId37" Type="http://schemas.openxmlformats.org/officeDocument/2006/relationships/hyperlink" Target="https://auto.vercity.ru/statistics/sales/asia/2018/japan/bentley/01-12/" TargetMode="External"/><Relationship Id="rId14" Type="http://schemas.openxmlformats.org/officeDocument/2006/relationships/hyperlink" Target="https://auto.vercity.ru/statistics/sales/asia/2018/japan/bmw/01-12/" TargetMode="External"/><Relationship Id="rId36" Type="http://schemas.openxmlformats.org/officeDocument/2006/relationships/hyperlink" Target="https://auto.vercity.ru/statistics/sales/asia/2018/japan/ford/01-12/" TargetMode="External"/><Relationship Id="rId17" Type="http://schemas.openxmlformats.org/officeDocument/2006/relationships/hyperlink" Target="https://auto.vercity.ru/statistics/sales/asia/2018/japan/volvo/01-12/" TargetMode="External"/><Relationship Id="rId39" Type="http://schemas.openxmlformats.org/officeDocument/2006/relationships/hyperlink" Target="https://auto.vercity.ru/statistics/sales/asia/2018/japan/aston_martin/01-12/" TargetMode="External"/><Relationship Id="rId16" Type="http://schemas.openxmlformats.org/officeDocument/2006/relationships/hyperlink" Target="https://auto.vercity.ru/statistics/sales/asia/2018/japan/mini/01-12/" TargetMode="External"/><Relationship Id="rId38" Type="http://schemas.openxmlformats.org/officeDocument/2006/relationships/hyperlink" Target="https://auto.vercity.ru/statistics/sales/asia/2018/japan/dodge/01-12/" TargetMode="External"/><Relationship Id="rId19" Type="http://schemas.openxmlformats.org/officeDocument/2006/relationships/hyperlink" Target="https://auto.vercity.ru/statistics/sales/asia/2018/japan/peugeot/01-12/" TargetMode="External"/><Relationship Id="rId18" Type="http://schemas.openxmlformats.org/officeDocument/2006/relationships/hyperlink" Target="https://auto.vercity.ru/statistics/sales/asia/2018/japan/jeep/01-12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</cols>
  <sheetData>
    <row r="1" ht="95.25" customHeight="1">
      <c r="A1" s="1" t="s">
        <v>0</v>
      </c>
    </row>
    <row r="2">
      <c r="B2" s="2" t="s">
        <v>1</v>
      </c>
      <c r="D2" s="3"/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5" t="s">
        <v>14</v>
      </c>
    </row>
    <row r="3">
      <c r="B3" s="6">
        <v>1.0</v>
      </c>
      <c r="C3" s="7" t="s">
        <v>15</v>
      </c>
      <c r="D3" s="8"/>
      <c r="E3" s="9">
        <v>106744.0</v>
      </c>
      <c r="F3" s="9">
        <v>132254.0</v>
      </c>
      <c r="G3" s="9">
        <v>180205.0</v>
      </c>
      <c r="H3" s="9">
        <v>110328.0</v>
      </c>
      <c r="I3" s="9">
        <v>106852.0</v>
      </c>
      <c r="J3" s="9">
        <v>129400.0</v>
      </c>
      <c r="K3" s="9">
        <v>137621.0</v>
      </c>
      <c r="L3" s="9">
        <v>107822.0</v>
      </c>
      <c r="M3" s="9">
        <v>125760.0</v>
      </c>
      <c r="N3" s="9">
        <v>128569.0</v>
      </c>
      <c r="O3" s="9">
        <v>133146.0</v>
      </c>
      <c r="P3" s="9">
        <v>109946.0</v>
      </c>
      <c r="Q3" s="10">
        <f t="shared" ref="Q3:Q45" si="1">SUM(E3:P3)</f>
        <v>1508647</v>
      </c>
    </row>
    <row r="4">
      <c r="B4" s="11">
        <v>2.0</v>
      </c>
      <c r="C4" s="12" t="s">
        <v>16</v>
      </c>
      <c r="D4" s="13"/>
      <c r="E4" s="14">
        <v>56412.0</v>
      </c>
      <c r="F4" s="14">
        <v>68754.0</v>
      </c>
      <c r="G4" s="14">
        <v>93826.0</v>
      </c>
      <c r="H4" s="14">
        <v>52488.0</v>
      </c>
      <c r="I4" s="14">
        <v>51638.0</v>
      </c>
      <c r="J4" s="14">
        <v>62624.0</v>
      </c>
      <c r="K4" s="14">
        <v>60873.0</v>
      </c>
      <c r="L4" s="14">
        <v>47700.0</v>
      </c>
      <c r="M4" s="14">
        <v>71095.0</v>
      </c>
      <c r="N4" s="14">
        <v>63844.0</v>
      </c>
      <c r="O4" s="14">
        <v>64186.0</v>
      </c>
      <c r="P4" s="14">
        <v>53786.0</v>
      </c>
      <c r="Q4" s="10">
        <f t="shared" si="1"/>
        <v>747226</v>
      </c>
    </row>
    <row r="5">
      <c r="B5" s="6">
        <v>3.0</v>
      </c>
      <c r="C5" s="7" t="s">
        <v>17</v>
      </c>
      <c r="D5" s="8"/>
      <c r="E5" s="9">
        <v>53395.0</v>
      </c>
      <c r="F5" s="9">
        <v>63303.0</v>
      </c>
      <c r="G5" s="9">
        <v>83895.0</v>
      </c>
      <c r="H5" s="9">
        <v>56029.0</v>
      </c>
      <c r="I5" s="9">
        <v>54089.0</v>
      </c>
      <c r="J5" s="9">
        <v>63367.0</v>
      </c>
      <c r="K5" s="9">
        <v>60460.0</v>
      </c>
      <c r="L5" s="9">
        <v>49794.0</v>
      </c>
      <c r="M5" s="9">
        <v>65204.0</v>
      </c>
      <c r="N5" s="9">
        <v>54204.0</v>
      </c>
      <c r="O5" s="9">
        <v>59373.0</v>
      </c>
      <c r="P5" s="9">
        <v>51481.0</v>
      </c>
      <c r="Q5" s="10">
        <f t="shared" si="1"/>
        <v>714594</v>
      </c>
    </row>
    <row r="6">
      <c r="B6" s="11">
        <v>4.0</v>
      </c>
      <c r="C6" s="12" t="s">
        <v>18</v>
      </c>
      <c r="D6" s="13"/>
      <c r="E6" s="14">
        <v>53599.0</v>
      </c>
      <c r="F6" s="14">
        <v>58895.0</v>
      </c>
      <c r="G6" s="14">
        <v>75564.0</v>
      </c>
      <c r="H6" s="14">
        <v>48818.0</v>
      </c>
      <c r="I6" s="14">
        <v>44676.0</v>
      </c>
      <c r="J6" s="14">
        <v>53562.0</v>
      </c>
      <c r="K6" s="14">
        <v>54145.0</v>
      </c>
      <c r="L6" s="14">
        <v>43607.0</v>
      </c>
      <c r="M6" s="14">
        <v>54074.0</v>
      </c>
      <c r="N6" s="14">
        <v>56431.0</v>
      </c>
      <c r="O6" s="14">
        <v>54667.0</v>
      </c>
      <c r="P6" s="14">
        <v>48743.0</v>
      </c>
      <c r="Q6" s="10">
        <f t="shared" si="1"/>
        <v>646781</v>
      </c>
    </row>
    <row r="7">
      <c r="B7" s="6">
        <v>5.0</v>
      </c>
      <c r="C7" s="7" t="s">
        <v>19</v>
      </c>
      <c r="D7" s="8"/>
      <c r="E7" s="9">
        <v>56336.0</v>
      </c>
      <c r="F7" s="9">
        <v>64362.0</v>
      </c>
      <c r="G7" s="9">
        <v>85485.0</v>
      </c>
      <c r="H7" s="9">
        <v>36548.0</v>
      </c>
      <c r="I7" s="9">
        <v>41592.0</v>
      </c>
      <c r="J7" s="9">
        <v>51674.0</v>
      </c>
      <c r="K7" s="9">
        <v>51053.0</v>
      </c>
      <c r="L7" s="9">
        <v>42789.0</v>
      </c>
      <c r="M7" s="9">
        <v>60994.0</v>
      </c>
      <c r="N7" s="9">
        <v>42720.0</v>
      </c>
      <c r="O7" s="9">
        <v>45592.0</v>
      </c>
      <c r="P7" s="9">
        <v>36888.0</v>
      </c>
      <c r="Q7" s="10">
        <f t="shared" si="1"/>
        <v>616033</v>
      </c>
    </row>
    <row r="8">
      <c r="B8" s="11">
        <v>6.0</v>
      </c>
      <c r="C8" s="12" t="s">
        <v>20</v>
      </c>
      <c r="D8" s="13"/>
      <c r="E8" s="14">
        <v>17695.0</v>
      </c>
      <c r="F8" s="14">
        <v>18709.0</v>
      </c>
      <c r="G8" s="14">
        <v>34536.0</v>
      </c>
      <c r="H8" s="14">
        <v>13875.0</v>
      </c>
      <c r="I8" s="14">
        <v>16200.0</v>
      </c>
      <c r="J8" s="14">
        <v>18886.0</v>
      </c>
      <c r="K8" s="14">
        <v>15550.0</v>
      </c>
      <c r="L8" s="14">
        <v>15402.0</v>
      </c>
      <c r="M8" s="14">
        <v>22842.0</v>
      </c>
      <c r="N8" s="14">
        <v>14338.0</v>
      </c>
      <c r="O8" s="14">
        <v>17988.0</v>
      </c>
      <c r="P8" s="14">
        <v>14722.0</v>
      </c>
      <c r="Q8" s="10">
        <f t="shared" si="1"/>
        <v>220743</v>
      </c>
    </row>
    <row r="9">
      <c r="B9" s="6">
        <v>7.0</v>
      </c>
      <c r="C9" s="7" t="s">
        <v>21</v>
      </c>
      <c r="D9" s="8"/>
      <c r="E9" s="9">
        <v>12118.0</v>
      </c>
      <c r="F9" s="9">
        <v>13614.0</v>
      </c>
      <c r="G9" s="9">
        <v>21135.0</v>
      </c>
      <c r="H9" s="9">
        <v>9007.0</v>
      </c>
      <c r="I9" s="9">
        <v>8542.0</v>
      </c>
      <c r="J9" s="9">
        <v>12184.0</v>
      </c>
      <c r="K9" s="9">
        <v>12278.0</v>
      </c>
      <c r="L9" s="9">
        <v>10193.0</v>
      </c>
      <c r="M9" s="9">
        <v>15215.0</v>
      </c>
      <c r="N9" s="9">
        <v>12841.0</v>
      </c>
      <c r="O9" s="9">
        <v>12153.0</v>
      </c>
      <c r="P9" s="9">
        <v>9173.0</v>
      </c>
      <c r="Q9" s="10">
        <f t="shared" si="1"/>
        <v>148453</v>
      </c>
    </row>
    <row r="10">
      <c r="B10" s="11">
        <v>8.0</v>
      </c>
      <c r="C10" s="12" t="s">
        <v>22</v>
      </c>
      <c r="D10" s="13"/>
      <c r="E10" s="14">
        <v>10160.0</v>
      </c>
      <c r="F10" s="14">
        <v>12526.0</v>
      </c>
      <c r="G10" s="14">
        <v>24131.0</v>
      </c>
      <c r="H10" s="14">
        <v>7779.0</v>
      </c>
      <c r="I10" s="14">
        <v>9464.0</v>
      </c>
      <c r="J10" s="14">
        <v>13195.0</v>
      </c>
      <c r="K10" s="14">
        <v>11664.0</v>
      </c>
      <c r="L10" s="14">
        <v>9815.0</v>
      </c>
      <c r="M10" s="14">
        <v>15251.0</v>
      </c>
      <c r="N10" s="14">
        <v>9500.0</v>
      </c>
      <c r="O10" s="14">
        <v>11655.0</v>
      </c>
      <c r="P10" s="14">
        <v>10271.0</v>
      </c>
      <c r="Q10" s="10">
        <f t="shared" si="1"/>
        <v>145411</v>
      </c>
    </row>
    <row r="11">
      <c r="B11" s="6">
        <v>9.0</v>
      </c>
      <c r="C11" s="7" t="s">
        <v>23</v>
      </c>
      <c r="D11" s="8"/>
      <c r="E11" s="9">
        <v>4719.0</v>
      </c>
      <c r="F11" s="9">
        <v>5940.0</v>
      </c>
      <c r="G11" s="9">
        <v>10157.0</v>
      </c>
      <c r="H11" s="9">
        <v>4008.0</v>
      </c>
      <c r="I11" s="9">
        <v>4746.0</v>
      </c>
      <c r="J11" s="9">
        <v>5673.0</v>
      </c>
      <c r="K11" s="9">
        <v>6084.0</v>
      </c>
      <c r="L11" s="9">
        <v>6003.0</v>
      </c>
      <c r="M11" s="9">
        <v>9621.0</v>
      </c>
      <c r="N11" s="9">
        <v>5222.0</v>
      </c>
      <c r="O11" s="9">
        <v>6531.0</v>
      </c>
      <c r="P11" s="9">
        <v>6421.0</v>
      </c>
      <c r="Q11" s="10">
        <f t="shared" si="1"/>
        <v>75125</v>
      </c>
    </row>
    <row r="12">
      <c r="B12" s="11">
        <v>10.0</v>
      </c>
      <c r="C12" s="12" t="s">
        <v>24</v>
      </c>
      <c r="D12" s="13"/>
      <c r="E12" s="14">
        <v>4448.0</v>
      </c>
      <c r="F12" s="14">
        <v>5373.0</v>
      </c>
      <c r="G12" s="14">
        <v>9336.0</v>
      </c>
      <c r="H12" s="14">
        <v>4156.0</v>
      </c>
      <c r="I12" s="14">
        <v>4716.0</v>
      </c>
      <c r="J12" s="14">
        <v>5905.0</v>
      </c>
      <c r="K12" s="14">
        <v>5017.0</v>
      </c>
      <c r="L12" s="14">
        <v>4908.0</v>
      </c>
      <c r="M12" s="14">
        <v>7532.0</v>
      </c>
      <c r="N12" s="14">
        <v>5262.0</v>
      </c>
      <c r="O12" s="14">
        <v>6233.0</v>
      </c>
      <c r="P12" s="14">
        <v>5837.0</v>
      </c>
      <c r="Q12" s="10">
        <f t="shared" si="1"/>
        <v>68723</v>
      </c>
    </row>
    <row r="13">
      <c r="B13" s="6">
        <v>11.0</v>
      </c>
      <c r="C13" s="7" t="s">
        <v>25</v>
      </c>
      <c r="D13" s="8"/>
      <c r="E13" s="9">
        <v>4267.0</v>
      </c>
      <c r="F13" s="9">
        <v>5070.0</v>
      </c>
      <c r="G13" s="9">
        <v>8655.0</v>
      </c>
      <c r="H13" s="9">
        <v>3614.0</v>
      </c>
      <c r="I13" s="9">
        <v>4772.0</v>
      </c>
      <c r="J13" s="9">
        <v>6127.0</v>
      </c>
      <c r="K13" s="9">
        <v>4672.0</v>
      </c>
      <c r="L13" s="9">
        <v>4744.0</v>
      </c>
      <c r="M13" s="9">
        <v>7016.0</v>
      </c>
      <c r="N13" s="9">
        <v>4637.0</v>
      </c>
      <c r="O13" s="9">
        <v>5453.0</v>
      </c>
      <c r="P13" s="9">
        <v>8533.0</v>
      </c>
      <c r="Q13" s="10">
        <f t="shared" si="1"/>
        <v>67560</v>
      </c>
    </row>
    <row r="14">
      <c r="B14" s="11">
        <v>12.0</v>
      </c>
      <c r="C14" s="12" t="s">
        <v>26</v>
      </c>
      <c r="D14" s="13"/>
      <c r="E14" s="14">
        <v>6448.0</v>
      </c>
      <c r="F14" s="14">
        <v>6171.0</v>
      </c>
      <c r="G14" s="14">
        <v>7769.0</v>
      </c>
      <c r="H14" s="14">
        <v>4632.0</v>
      </c>
      <c r="I14" s="14">
        <v>4116.0</v>
      </c>
      <c r="J14" s="14">
        <v>3776.0</v>
      </c>
      <c r="K14" s="14">
        <v>3681.0</v>
      </c>
      <c r="L14" s="14">
        <v>3019.0</v>
      </c>
      <c r="M14" s="14">
        <v>3550.0</v>
      </c>
      <c r="N14" s="14">
        <v>3770.0</v>
      </c>
      <c r="O14" s="14">
        <v>4136.0</v>
      </c>
      <c r="P14" s="14">
        <v>4028.0</v>
      </c>
      <c r="Q14" s="10">
        <f t="shared" si="1"/>
        <v>55096</v>
      </c>
    </row>
    <row r="15">
      <c r="B15" s="6">
        <v>13.0</v>
      </c>
      <c r="C15" s="7" t="s">
        <v>27</v>
      </c>
      <c r="D15" s="8"/>
      <c r="E15" s="9">
        <v>2795.0</v>
      </c>
      <c r="F15" s="9">
        <v>3945.0</v>
      </c>
      <c r="G15" s="9">
        <v>6455.0</v>
      </c>
      <c r="H15" s="9">
        <v>2880.0</v>
      </c>
      <c r="I15" s="9">
        <v>4667.0</v>
      </c>
      <c r="J15" s="9">
        <v>5336.0</v>
      </c>
      <c r="K15" s="9">
        <v>3682.0</v>
      </c>
      <c r="L15" s="9">
        <v>3660.0</v>
      </c>
      <c r="M15" s="9">
        <v>5067.0</v>
      </c>
      <c r="N15" s="9">
        <v>3726.0</v>
      </c>
      <c r="O15" s="9">
        <v>4380.0</v>
      </c>
      <c r="P15" s="9">
        <v>5368.0</v>
      </c>
      <c r="Q15" s="10">
        <f t="shared" si="1"/>
        <v>51961</v>
      </c>
    </row>
    <row r="16">
      <c r="B16" s="11">
        <v>14.0</v>
      </c>
      <c r="C16" s="12" t="s">
        <v>28</v>
      </c>
      <c r="D16" s="13"/>
      <c r="E16" s="14">
        <v>2010.0</v>
      </c>
      <c r="F16" s="14">
        <v>3651.0</v>
      </c>
      <c r="G16" s="14">
        <v>6299.0</v>
      </c>
      <c r="H16" s="14">
        <v>2479.0</v>
      </c>
      <c r="I16" s="14">
        <v>3748.0</v>
      </c>
      <c r="J16" s="14">
        <v>5411.0</v>
      </c>
      <c r="K16" s="14">
        <v>3777.0</v>
      </c>
      <c r="L16" s="14">
        <v>3309.0</v>
      </c>
      <c r="M16" s="14">
        <v>5861.0</v>
      </c>
      <c r="N16" s="14">
        <v>3817.0</v>
      </c>
      <c r="O16" s="14">
        <v>4276.0</v>
      </c>
      <c r="P16" s="14">
        <v>6597.0</v>
      </c>
      <c r="Q16" s="10">
        <f t="shared" si="1"/>
        <v>51235</v>
      </c>
    </row>
    <row r="17">
      <c r="B17" s="6">
        <v>15.0</v>
      </c>
      <c r="C17" s="7" t="s">
        <v>29</v>
      </c>
      <c r="D17" s="8"/>
      <c r="E17" s="9">
        <v>1506.0</v>
      </c>
      <c r="F17" s="9">
        <v>2166.0</v>
      </c>
      <c r="G17" s="9">
        <v>3569.0</v>
      </c>
      <c r="H17" s="9">
        <v>1467.0</v>
      </c>
      <c r="I17" s="9">
        <v>2190.0</v>
      </c>
      <c r="J17" s="9">
        <v>3154.0</v>
      </c>
      <c r="K17" s="9">
        <v>1503.0</v>
      </c>
      <c r="L17" s="9">
        <v>2096.0</v>
      </c>
      <c r="M17" s="9">
        <v>3165.0</v>
      </c>
      <c r="N17" s="9">
        <v>1504.0</v>
      </c>
      <c r="O17" s="9">
        <v>1728.0</v>
      </c>
      <c r="P17" s="9">
        <v>2425.0</v>
      </c>
      <c r="Q17" s="10">
        <f t="shared" si="1"/>
        <v>26473</v>
      </c>
    </row>
    <row r="18">
      <c r="B18" s="11">
        <v>16.0</v>
      </c>
      <c r="C18" s="12" t="s">
        <v>30</v>
      </c>
      <c r="D18" s="13"/>
      <c r="E18" s="14">
        <v>1182.0</v>
      </c>
      <c r="F18" s="14">
        <v>1952.0</v>
      </c>
      <c r="G18" s="14">
        <v>3384.0</v>
      </c>
      <c r="H18" s="14">
        <v>1542.0</v>
      </c>
      <c r="I18" s="14">
        <v>2141.0</v>
      </c>
      <c r="J18" s="14">
        <v>2572.0</v>
      </c>
      <c r="K18" s="14">
        <v>1802.0</v>
      </c>
      <c r="L18" s="14">
        <v>1774.0</v>
      </c>
      <c r="M18" s="14">
        <v>2841.0</v>
      </c>
      <c r="N18" s="14">
        <v>1706.0</v>
      </c>
      <c r="O18" s="14">
        <v>2173.0</v>
      </c>
      <c r="P18" s="14">
        <v>2916.0</v>
      </c>
      <c r="Q18" s="10">
        <f t="shared" si="1"/>
        <v>25985</v>
      </c>
    </row>
    <row r="19">
      <c r="B19" s="6">
        <v>17.0</v>
      </c>
      <c r="C19" s="7" t="s">
        <v>31</v>
      </c>
      <c r="D19" s="8"/>
      <c r="E19" s="9">
        <v>1004.0</v>
      </c>
      <c r="F19" s="9">
        <v>1303.0</v>
      </c>
      <c r="G19" s="9">
        <v>1889.0</v>
      </c>
      <c r="H19" s="9">
        <v>1057.0</v>
      </c>
      <c r="I19" s="9">
        <v>1518.0</v>
      </c>
      <c r="J19" s="9">
        <v>1953.0</v>
      </c>
      <c r="K19" s="9">
        <v>1308.0</v>
      </c>
      <c r="L19" s="9">
        <v>1297.0</v>
      </c>
      <c r="M19" s="9">
        <v>1592.0</v>
      </c>
      <c r="N19" s="9">
        <v>1227.0</v>
      </c>
      <c r="O19" s="9">
        <v>1645.0</v>
      </c>
      <c r="P19" s="9">
        <v>2011.0</v>
      </c>
      <c r="Q19" s="10">
        <f t="shared" si="1"/>
        <v>17804</v>
      </c>
    </row>
    <row r="20">
      <c r="B20" s="11">
        <v>18.0</v>
      </c>
      <c r="C20" s="12" t="s">
        <v>32</v>
      </c>
      <c r="D20" s="13"/>
      <c r="E20" s="14">
        <v>664.0</v>
      </c>
      <c r="F20" s="14">
        <v>839.0</v>
      </c>
      <c r="G20" s="14">
        <v>1319.0</v>
      </c>
      <c r="H20" s="14">
        <v>655.0</v>
      </c>
      <c r="I20" s="14">
        <v>900.0</v>
      </c>
      <c r="J20" s="14">
        <v>1263.0</v>
      </c>
      <c r="K20" s="14">
        <v>846.0</v>
      </c>
      <c r="L20" s="14">
        <v>820.0</v>
      </c>
      <c r="M20" s="14">
        <v>1217.0</v>
      </c>
      <c r="N20" s="14">
        <v>803.0</v>
      </c>
      <c r="O20" s="14">
        <v>985.0</v>
      </c>
      <c r="P20" s="14">
        <v>1127.0</v>
      </c>
      <c r="Q20" s="10">
        <f t="shared" si="1"/>
        <v>11438</v>
      </c>
    </row>
    <row r="21">
      <c r="B21" s="6">
        <v>19.0</v>
      </c>
      <c r="C21" s="7" t="s">
        <v>33</v>
      </c>
      <c r="D21" s="8"/>
      <c r="E21" s="9">
        <v>669.0</v>
      </c>
      <c r="F21" s="9">
        <v>770.0</v>
      </c>
      <c r="G21" s="9">
        <v>1405.0</v>
      </c>
      <c r="H21" s="9">
        <v>631.0</v>
      </c>
      <c r="I21" s="9">
        <v>725.0</v>
      </c>
      <c r="J21" s="9">
        <v>1031.0</v>
      </c>
      <c r="K21" s="9">
        <v>851.0</v>
      </c>
      <c r="L21" s="9">
        <v>567.0</v>
      </c>
      <c r="M21" s="9">
        <v>1047.0</v>
      </c>
      <c r="N21" s="9">
        <v>578.0</v>
      </c>
      <c r="O21" s="9">
        <v>784.0</v>
      </c>
      <c r="P21" s="9">
        <v>823.0</v>
      </c>
      <c r="Q21" s="10">
        <f t="shared" si="1"/>
        <v>9881</v>
      </c>
    </row>
    <row r="22">
      <c r="B22" s="11">
        <v>20.0</v>
      </c>
      <c r="C22" s="12" t="s">
        <v>34</v>
      </c>
      <c r="D22" s="13"/>
      <c r="E22" s="14">
        <v>491.0</v>
      </c>
      <c r="F22" s="14">
        <v>644.0</v>
      </c>
      <c r="G22" s="14">
        <v>1064.0</v>
      </c>
      <c r="H22" s="14">
        <v>407.0</v>
      </c>
      <c r="I22" s="14">
        <v>434.0</v>
      </c>
      <c r="J22" s="14">
        <v>663.0</v>
      </c>
      <c r="K22" s="14">
        <v>590.0</v>
      </c>
      <c r="L22" s="14">
        <v>478.0</v>
      </c>
      <c r="M22" s="14">
        <v>759.0</v>
      </c>
      <c r="N22" s="14">
        <v>532.0</v>
      </c>
      <c r="O22" s="14">
        <v>586.0</v>
      </c>
      <c r="P22" s="14">
        <v>605.0</v>
      </c>
      <c r="Q22" s="10">
        <f t="shared" si="1"/>
        <v>7253</v>
      </c>
    </row>
    <row r="23">
      <c r="B23" s="6">
        <v>21.0</v>
      </c>
      <c r="C23" s="7" t="s">
        <v>35</v>
      </c>
      <c r="D23" s="8"/>
      <c r="E23" s="9">
        <v>316.0</v>
      </c>
      <c r="F23" s="9">
        <v>457.0</v>
      </c>
      <c r="G23" s="9">
        <v>783.0</v>
      </c>
      <c r="H23" s="9">
        <v>474.0</v>
      </c>
      <c r="I23" s="9">
        <v>478.0</v>
      </c>
      <c r="J23" s="9">
        <v>731.0</v>
      </c>
      <c r="K23" s="9">
        <v>468.0</v>
      </c>
      <c r="L23" s="9">
        <v>496.0</v>
      </c>
      <c r="M23" s="9">
        <v>689.0</v>
      </c>
      <c r="N23" s="9">
        <v>662.0</v>
      </c>
      <c r="O23" s="9">
        <v>713.0</v>
      </c>
      <c r="P23" s="9">
        <v>902.0</v>
      </c>
      <c r="Q23" s="10">
        <f t="shared" si="1"/>
        <v>7169</v>
      </c>
    </row>
    <row r="24">
      <c r="B24" s="11">
        <v>22.0</v>
      </c>
      <c r="C24" s="12" t="s">
        <v>36</v>
      </c>
      <c r="D24" s="13"/>
      <c r="E24" s="14">
        <v>490.0</v>
      </c>
      <c r="F24" s="14">
        <v>461.0</v>
      </c>
      <c r="G24" s="14">
        <v>974.0</v>
      </c>
      <c r="H24" s="14">
        <v>445.0</v>
      </c>
      <c r="I24" s="14">
        <v>410.0</v>
      </c>
      <c r="J24" s="14">
        <v>773.0</v>
      </c>
      <c r="K24" s="14">
        <v>392.0</v>
      </c>
      <c r="L24" s="14">
        <v>482.0</v>
      </c>
      <c r="M24" s="14">
        <v>836.0</v>
      </c>
      <c r="N24" s="14">
        <v>479.0</v>
      </c>
      <c r="O24" s="14">
        <v>549.0</v>
      </c>
      <c r="P24" s="14">
        <v>875.0</v>
      </c>
      <c r="Q24" s="10">
        <f t="shared" si="1"/>
        <v>7166</v>
      </c>
    </row>
    <row r="25">
      <c r="B25" s="6">
        <v>23.0</v>
      </c>
      <c r="C25" s="7" t="s">
        <v>37</v>
      </c>
      <c r="D25" s="8"/>
      <c r="E25" s="9">
        <v>302.0</v>
      </c>
      <c r="F25" s="9">
        <v>422.0</v>
      </c>
      <c r="G25" s="9">
        <v>776.0</v>
      </c>
      <c r="H25" s="9">
        <v>376.0</v>
      </c>
      <c r="I25" s="9">
        <v>478.0</v>
      </c>
      <c r="J25" s="9">
        <v>699.0</v>
      </c>
      <c r="K25" s="9">
        <v>492.0</v>
      </c>
      <c r="L25" s="9">
        <v>373.0</v>
      </c>
      <c r="M25" s="9">
        <v>587.0</v>
      </c>
      <c r="N25" s="9">
        <v>447.0</v>
      </c>
      <c r="O25" s="9">
        <v>490.0</v>
      </c>
      <c r="P25" s="9">
        <v>572.0</v>
      </c>
      <c r="Q25" s="10">
        <f t="shared" si="1"/>
        <v>6014</v>
      </c>
    </row>
    <row r="26">
      <c r="B26" s="15">
        <v>24.0</v>
      </c>
      <c r="C26" s="16" t="s">
        <v>38</v>
      </c>
      <c r="D26" s="17"/>
      <c r="E26" s="18">
        <v>142.0</v>
      </c>
      <c r="F26" s="18">
        <v>293.0</v>
      </c>
      <c r="G26" s="18">
        <v>751.0</v>
      </c>
      <c r="H26" s="18">
        <v>222.0</v>
      </c>
      <c r="I26" s="18">
        <v>267.0</v>
      </c>
      <c r="J26" s="14">
        <v>332.0</v>
      </c>
      <c r="K26" s="14">
        <v>303.0</v>
      </c>
      <c r="L26" s="14">
        <v>213.0</v>
      </c>
      <c r="M26" s="14">
        <v>442.0</v>
      </c>
      <c r="N26" s="14">
        <v>183.0</v>
      </c>
      <c r="O26" s="14">
        <v>367.0</v>
      </c>
      <c r="P26" s="14">
        <v>457.0</v>
      </c>
      <c r="Q26" s="10">
        <f t="shared" si="1"/>
        <v>3972</v>
      </c>
    </row>
    <row r="27">
      <c r="B27" s="6">
        <v>25.0</v>
      </c>
      <c r="C27" s="7" t="s">
        <v>39</v>
      </c>
      <c r="D27" s="8"/>
      <c r="E27" s="9">
        <v>152.0</v>
      </c>
      <c r="F27" s="9">
        <v>156.0</v>
      </c>
      <c r="G27" s="9">
        <v>447.0</v>
      </c>
      <c r="H27" s="9">
        <v>378.0</v>
      </c>
      <c r="I27" s="9">
        <v>215.0</v>
      </c>
      <c r="J27" s="18">
        <v>375.0</v>
      </c>
      <c r="K27" s="18">
        <v>328.0</v>
      </c>
      <c r="L27" s="18">
        <v>193.0</v>
      </c>
      <c r="M27" s="18">
        <v>470.0</v>
      </c>
      <c r="N27" s="18">
        <v>287.0</v>
      </c>
      <c r="O27" s="18">
        <v>240.0</v>
      </c>
      <c r="P27" s="18">
        <v>323.0</v>
      </c>
      <c r="Q27" s="10">
        <f t="shared" si="1"/>
        <v>3564</v>
      </c>
    </row>
    <row r="28">
      <c r="B28" s="15">
        <v>26.0</v>
      </c>
      <c r="C28" s="16" t="s">
        <v>40</v>
      </c>
      <c r="D28" s="17"/>
      <c r="E28" s="18">
        <v>59.0</v>
      </c>
      <c r="F28" s="18">
        <v>181.0</v>
      </c>
      <c r="G28" s="18">
        <v>539.0</v>
      </c>
      <c r="H28" s="18">
        <v>125.0</v>
      </c>
      <c r="I28" s="18">
        <v>270.0</v>
      </c>
      <c r="J28" s="14">
        <v>424.0</v>
      </c>
      <c r="K28" s="14">
        <v>121.0</v>
      </c>
      <c r="L28" s="14">
        <v>230.0</v>
      </c>
      <c r="M28" s="14">
        <v>497.0</v>
      </c>
      <c r="N28" s="14">
        <v>121.0</v>
      </c>
      <c r="O28" s="14">
        <v>252.0</v>
      </c>
      <c r="P28" s="14">
        <v>441.0</v>
      </c>
      <c r="Q28" s="10">
        <f t="shared" si="1"/>
        <v>3260</v>
      </c>
    </row>
    <row r="29">
      <c r="B29" s="6">
        <v>27.0</v>
      </c>
      <c r="C29" s="7" t="s">
        <v>41</v>
      </c>
      <c r="D29" s="8"/>
      <c r="E29" s="9">
        <v>186.0</v>
      </c>
      <c r="F29" s="9">
        <v>190.0</v>
      </c>
      <c r="G29" s="9">
        <v>355.0</v>
      </c>
      <c r="H29" s="9">
        <v>207.0</v>
      </c>
      <c r="I29" s="9">
        <v>279.0</v>
      </c>
      <c r="J29" s="9">
        <v>314.0</v>
      </c>
      <c r="K29" s="9">
        <v>201.0</v>
      </c>
      <c r="L29" s="9">
        <v>202.0</v>
      </c>
      <c r="M29" s="9">
        <v>358.0</v>
      </c>
      <c r="N29" s="9">
        <v>173.0</v>
      </c>
      <c r="O29" s="9">
        <v>178.0</v>
      </c>
      <c r="P29" s="9">
        <v>247.0</v>
      </c>
      <c r="Q29" s="10">
        <f t="shared" si="1"/>
        <v>2890</v>
      </c>
    </row>
    <row r="30">
      <c r="B30" s="11">
        <v>28.0</v>
      </c>
      <c r="C30" s="12" t="s">
        <v>42</v>
      </c>
      <c r="D30" s="13"/>
      <c r="E30" s="14">
        <v>128.0</v>
      </c>
      <c r="F30" s="14">
        <v>189.0</v>
      </c>
      <c r="G30" s="14">
        <v>280.0</v>
      </c>
      <c r="H30" s="14">
        <v>158.0</v>
      </c>
      <c r="I30" s="14">
        <v>157.0</v>
      </c>
      <c r="J30" s="14">
        <v>259.0</v>
      </c>
      <c r="K30" s="14">
        <v>227.0</v>
      </c>
      <c r="L30" s="14">
        <v>208.0</v>
      </c>
      <c r="M30" s="14">
        <v>280.0</v>
      </c>
      <c r="N30" s="14">
        <v>171.0</v>
      </c>
      <c r="O30" s="14">
        <v>179.0</v>
      </c>
      <c r="P30" s="14">
        <v>274.0</v>
      </c>
      <c r="Q30" s="10">
        <f t="shared" si="1"/>
        <v>2510</v>
      </c>
    </row>
    <row r="31">
      <c r="B31" s="6">
        <v>29.0</v>
      </c>
      <c r="C31" s="7" t="s">
        <v>43</v>
      </c>
      <c r="D31" s="8"/>
      <c r="E31" s="9">
        <v>124.0</v>
      </c>
      <c r="F31" s="9">
        <v>64.0</v>
      </c>
      <c r="G31" s="9">
        <v>50.0</v>
      </c>
      <c r="H31" s="9">
        <v>206.0</v>
      </c>
      <c r="I31" s="9">
        <v>379.0</v>
      </c>
      <c r="J31" s="9">
        <v>319.0</v>
      </c>
      <c r="K31" s="9">
        <v>158.0</v>
      </c>
      <c r="L31" s="9">
        <v>194.0</v>
      </c>
      <c r="M31" s="9">
        <v>262.0</v>
      </c>
      <c r="N31" s="9">
        <v>183.0</v>
      </c>
      <c r="O31" s="9">
        <v>255.0</v>
      </c>
      <c r="P31" s="9">
        <v>271.0</v>
      </c>
      <c r="Q31" s="10">
        <f t="shared" si="1"/>
        <v>2465</v>
      </c>
    </row>
    <row r="32">
      <c r="B32" s="11">
        <v>30.0</v>
      </c>
      <c r="C32" s="12" t="s">
        <v>44</v>
      </c>
      <c r="D32" s="13"/>
      <c r="E32" s="14">
        <v>66.0</v>
      </c>
      <c r="F32" s="14">
        <v>92.0</v>
      </c>
      <c r="G32" s="14">
        <v>158.0</v>
      </c>
      <c r="H32" s="14">
        <v>88.0</v>
      </c>
      <c r="I32" s="14">
        <v>96.0</v>
      </c>
      <c r="J32" s="14">
        <v>187.0</v>
      </c>
      <c r="K32" s="14">
        <v>96.0</v>
      </c>
      <c r="L32" s="14">
        <v>74.0</v>
      </c>
      <c r="M32" s="14">
        <v>150.0</v>
      </c>
      <c r="N32" s="14">
        <v>109.0</v>
      </c>
      <c r="O32" s="14">
        <v>119.0</v>
      </c>
      <c r="P32" s="14">
        <v>218.0</v>
      </c>
      <c r="Q32" s="10">
        <f t="shared" si="1"/>
        <v>1453</v>
      </c>
    </row>
    <row r="33">
      <c r="B33" s="6">
        <v>31.0</v>
      </c>
      <c r="C33" s="7" t="s">
        <v>45</v>
      </c>
      <c r="D33" s="8"/>
      <c r="E33" s="9">
        <v>51.0</v>
      </c>
      <c r="F33" s="9">
        <v>65.0</v>
      </c>
      <c r="G33" s="9">
        <v>98.0</v>
      </c>
      <c r="H33" s="9">
        <v>54.0</v>
      </c>
      <c r="I33" s="9">
        <v>74.0</v>
      </c>
      <c r="J33" s="9">
        <v>84.0</v>
      </c>
      <c r="K33" s="9">
        <v>75.0</v>
      </c>
      <c r="L33" s="9">
        <v>76.0</v>
      </c>
      <c r="M33" s="9">
        <v>78.0</v>
      </c>
      <c r="N33" s="9">
        <v>66.0</v>
      </c>
      <c r="O33" s="9">
        <v>80.0</v>
      </c>
      <c r="P33" s="9">
        <v>77.0</v>
      </c>
      <c r="Q33" s="10">
        <f t="shared" si="1"/>
        <v>878</v>
      </c>
    </row>
    <row r="34">
      <c r="B34" s="11">
        <v>32.0</v>
      </c>
      <c r="C34" s="12" t="s">
        <v>46</v>
      </c>
      <c r="D34" s="13"/>
      <c r="E34" s="14">
        <v>65.0</v>
      </c>
      <c r="F34" s="14">
        <v>61.0</v>
      </c>
      <c r="G34" s="14">
        <v>51.0</v>
      </c>
      <c r="H34" s="14">
        <v>74.0</v>
      </c>
      <c r="I34" s="14">
        <v>80.0</v>
      </c>
      <c r="J34" s="14">
        <v>61.0</v>
      </c>
      <c r="K34" s="14">
        <v>95.0</v>
      </c>
      <c r="L34" s="14">
        <v>59.0</v>
      </c>
      <c r="M34" s="14">
        <v>32.0</v>
      </c>
      <c r="N34" s="14">
        <v>67.0</v>
      </c>
      <c r="O34" s="14">
        <v>61.0</v>
      </c>
      <c r="P34" s="14">
        <v>61.0</v>
      </c>
      <c r="Q34" s="10">
        <f t="shared" si="1"/>
        <v>767</v>
      </c>
    </row>
    <row r="35">
      <c r="B35" s="6">
        <v>33.0</v>
      </c>
      <c r="C35" s="7" t="s">
        <v>47</v>
      </c>
      <c r="D35" s="8"/>
      <c r="E35" s="9">
        <v>22.0</v>
      </c>
      <c r="F35" s="9">
        <v>36.0</v>
      </c>
      <c r="G35" s="9">
        <v>87.0</v>
      </c>
      <c r="H35" s="9">
        <v>34.0</v>
      </c>
      <c r="I35" s="9">
        <v>38.0</v>
      </c>
      <c r="J35" s="9">
        <v>55.0</v>
      </c>
      <c r="K35" s="9">
        <v>88.0</v>
      </c>
      <c r="L35" s="9">
        <v>52.0</v>
      </c>
      <c r="M35" s="9">
        <v>117.0</v>
      </c>
      <c r="N35" s="9">
        <v>58.0</v>
      </c>
      <c r="O35" s="9">
        <v>68.0</v>
      </c>
      <c r="P35" s="9">
        <v>94.0</v>
      </c>
      <c r="Q35" s="10">
        <f t="shared" si="1"/>
        <v>749</v>
      </c>
    </row>
    <row r="36">
      <c r="B36" s="11">
        <v>34.0</v>
      </c>
      <c r="C36" s="12" t="s">
        <v>48</v>
      </c>
      <c r="D36" s="13"/>
      <c r="E36" s="14">
        <v>32.0</v>
      </c>
      <c r="F36" s="14">
        <v>46.0</v>
      </c>
      <c r="G36" s="14">
        <v>114.0</v>
      </c>
      <c r="H36" s="14">
        <v>34.0</v>
      </c>
      <c r="I36" s="14">
        <v>36.0</v>
      </c>
      <c r="J36" s="14">
        <v>55.0</v>
      </c>
      <c r="K36" s="14">
        <v>35.0</v>
      </c>
      <c r="L36" s="14">
        <v>26.0</v>
      </c>
      <c r="M36" s="14">
        <v>76.0</v>
      </c>
      <c r="N36" s="14">
        <v>47.0</v>
      </c>
      <c r="O36" s="14">
        <v>55.0</v>
      </c>
      <c r="P36" s="14">
        <v>77.0</v>
      </c>
      <c r="Q36" s="10">
        <f t="shared" si="1"/>
        <v>633</v>
      </c>
    </row>
    <row r="37">
      <c r="B37" s="6">
        <v>35.0</v>
      </c>
      <c r="C37" s="7" t="s">
        <v>49</v>
      </c>
      <c r="D37" s="8"/>
      <c r="E37" s="9">
        <v>32.0</v>
      </c>
      <c r="F37" s="9">
        <v>61.0</v>
      </c>
      <c r="G37" s="9">
        <v>67.0</v>
      </c>
      <c r="H37" s="9">
        <v>64.0</v>
      </c>
      <c r="I37" s="9">
        <v>38.0</v>
      </c>
      <c r="J37" s="9">
        <v>57.0</v>
      </c>
      <c r="K37" s="9">
        <v>40.0</v>
      </c>
      <c r="L37" s="9">
        <v>36.0</v>
      </c>
      <c r="M37" s="9">
        <v>37.0</v>
      </c>
      <c r="N37" s="9">
        <v>52.0</v>
      </c>
      <c r="O37" s="9">
        <v>38.0</v>
      </c>
      <c r="P37" s="9">
        <v>21.0</v>
      </c>
      <c r="Q37" s="10">
        <f t="shared" si="1"/>
        <v>543</v>
      </c>
    </row>
    <row r="38">
      <c r="B38" s="11">
        <v>36.0</v>
      </c>
      <c r="C38" s="12" t="s">
        <v>50</v>
      </c>
      <c r="D38" s="13"/>
      <c r="E38" s="14">
        <v>33.0</v>
      </c>
      <c r="F38" s="14">
        <v>32.0</v>
      </c>
      <c r="G38" s="14">
        <v>38.0</v>
      </c>
      <c r="H38" s="14">
        <v>46.0</v>
      </c>
      <c r="I38" s="14">
        <v>31.0</v>
      </c>
      <c r="J38" s="14">
        <v>47.0</v>
      </c>
      <c r="K38" s="14">
        <v>43.0</v>
      </c>
      <c r="L38" s="14">
        <v>46.0</v>
      </c>
      <c r="M38" s="14">
        <v>41.0</v>
      </c>
      <c r="N38" s="14">
        <v>34.0</v>
      </c>
      <c r="O38" s="14">
        <v>28.0</v>
      </c>
      <c r="P38" s="14">
        <v>65.0</v>
      </c>
      <c r="Q38" s="10">
        <f t="shared" si="1"/>
        <v>484</v>
      </c>
    </row>
    <row r="39">
      <c r="B39" s="6">
        <v>37.0</v>
      </c>
      <c r="C39" s="7" t="s">
        <v>51</v>
      </c>
      <c r="D39" s="8"/>
      <c r="E39" s="9">
        <v>17.0</v>
      </c>
      <c r="F39" s="9">
        <v>16.0</v>
      </c>
      <c r="G39" s="9">
        <v>30.0</v>
      </c>
      <c r="H39" s="9">
        <v>18.0</v>
      </c>
      <c r="I39" s="9">
        <v>21.0</v>
      </c>
      <c r="J39" s="9">
        <v>24.0</v>
      </c>
      <c r="K39" s="9">
        <v>26.0</v>
      </c>
      <c r="L39" s="9">
        <v>24.0</v>
      </c>
      <c r="M39" s="9">
        <v>35.0</v>
      </c>
      <c r="N39" s="9">
        <v>97.0</v>
      </c>
      <c r="O39" s="9">
        <v>68.0</v>
      </c>
      <c r="P39" s="9">
        <v>61.0</v>
      </c>
      <c r="Q39" s="10">
        <f t="shared" si="1"/>
        <v>437</v>
      </c>
    </row>
    <row r="40">
      <c r="B40" s="11">
        <v>38.0</v>
      </c>
      <c r="C40" s="12" t="s">
        <v>52</v>
      </c>
      <c r="D40" s="13"/>
      <c r="E40" s="14">
        <v>16.0</v>
      </c>
      <c r="F40" s="14">
        <v>24.0</v>
      </c>
      <c r="G40" s="14">
        <v>27.0</v>
      </c>
      <c r="H40" s="14">
        <v>21.0</v>
      </c>
      <c r="I40" s="14">
        <v>43.0</v>
      </c>
      <c r="J40" s="14">
        <v>49.0</v>
      </c>
      <c r="K40" s="14">
        <v>36.0</v>
      </c>
      <c r="L40" s="14">
        <v>37.0</v>
      </c>
      <c r="M40" s="14">
        <v>35.0</v>
      </c>
      <c r="N40" s="14">
        <v>37.0</v>
      </c>
      <c r="O40" s="14">
        <v>36.0</v>
      </c>
      <c r="P40" s="14">
        <v>38.0</v>
      </c>
      <c r="Q40" s="10">
        <f t="shared" si="1"/>
        <v>399</v>
      </c>
    </row>
    <row r="41">
      <c r="B41" s="6">
        <v>39.0</v>
      </c>
      <c r="C41" s="7" t="s">
        <v>53</v>
      </c>
      <c r="D41" s="8"/>
      <c r="E41" s="9">
        <v>25.0</v>
      </c>
      <c r="F41" s="9">
        <v>19.0</v>
      </c>
      <c r="G41" s="9">
        <v>25.0</v>
      </c>
      <c r="H41" s="9">
        <v>24.0</v>
      </c>
      <c r="I41" s="9">
        <v>15.0</v>
      </c>
      <c r="J41" s="9">
        <v>27.0</v>
      </c>
      <c r="K41" s="9">
        <v>18.0</v>
      </c>
      <c r="L41" s="9">
        <v>27.0</v>
      </c>
      <c r="M41" s="9">
        <v>20.0</v>
      </c>
      <c r="N41" s="9">
        <v>23.0</v>
      </c>
      <c r="O41" s="9">
        <v>14.0</v>
      </c>
      <c r="P41" s="9">
        <v>81.0</v>
      </c>
      <c r="Q41" s="10">
        <f t="shared" si="1"/>
        <v>318</v>
      </c>
    </row>
    <row r="42">
      <c r="B42" s="11">
        <v>40.0</v>
      </c>
      <c r="C42" s="12" t="s">
        <v>54</v>
      </c>
      <c r="D42" s="13"/>
      <c r="E42" s="14">
        <v>12.0</v>
      </c>
      <c r="F42" s="14">
        <v>5.0</v>
      </c>
      <c r="G42" s="14">
        <v>24.0</v>
      </c>
      <c r="H42" s="14">
        <v>18.0</v>
      </c>
      <c r="I42" s="14">
        <v>13.0</v>
      </c>
      <c r="J42" s="18">
        <v>29.0</v>
      </c>
      <c r="K42" s="18">
        <v>17.0</v>
      </c>
      <c r="L42" s="14">
        <v>24.0</v>
      </c>
      <c r="M42" s="14">
        <v>19.0</v>
      </c>
      <c r="N42" s="14">
        <v>20.0</v>
      </c>
      <c r="O42" s="14">
        <v>28.0</v>
      </c>
      <c r="P42" s="14">
        <v>40.0</v>
      </c>
      <c r="Q42" s="10">
        <f t="shared" si="1"/>
        <v>249</v>
      </c>
    </row>
    <row r="43">
      <c r="B43" s="6">
        <v>41.0</v>
      </c>
      <c r="C43" s="7" t="s">
        <v>55</v>
      </c>
      <c r="D43" s="8"/>
      <c r="E43" s="9">
        <v>19.0</v>
      </c>
      <c r="F43" s="9">
        <v>14.0</v>
      </c>
      <c r="G43" s="9">
        <v>17.0</v>
      </c>
      <c r="H43" s="9">
        <v>20.0</v>
      </c>
      <c r="I43" s="9">
        <v>21.0</v>
      </c>
      <c r="J43" s="9">
        <v>16.0</v>
      </c>
      <c r="K43" s="9">
        <v>9.0</v>
      </c>
      <c r="L43" s="9">
        <v>18.0</v>
      </c>
      <c r="M43" s="9">
        <v>17.0</v>
      </c>
      <c r="N43" s="9">
        <v>18.0</v>
      </c>
      <c r="O43" s="9">
        <v>25.0</v>
      </c>
      <c r="P43" s="9">
        <v>36.0</v>
      </c>
      <c r="Q43" s="10">
        <f t="shared" si="1"/>
        <v>230</v>
      </c>
    </row>
    <row r="44">
      <c r="B44" s="11">
        <v>42.0</v>
      </c>
      <c r="C44" s="12" t="s">
        <v>56</v>
      </c>
      <c r="D44" s="13"/>
      <c r="E44" s="14">
        <v>19.0</v>
      </c>
      <c r="F44" s="14">
        <v>18.0</v>
      </c>
      <c r="G44" s="14">
        <v>32.0</v>
      </c>
      <c r="H44" s="14">
        <v>31.0</v>
      </c>
      <c r="I44" s="14">
        <v>21.0</v>
      </c>
      <c r="J44" s="14">
        <v>18.0</v>
      </c>
      <c r="K44" s="14">
        <v>20.0</v>
      </c>
      <c r="L44" s="14">
        <v>15.0</v>
      </c>
      <c r="M44" s="14">
        <v>15.0</v>
      </c>
      <c r="N44" s="14">
        <v>13.0</v>
      </c>
      <c r="O44" s="14">
        <v>7.0</v>
      </c>
      <c r="P44" s="14">
        <v>15.0</v>
      </c>
      <c r="Q44" s="10">
        <f t="shared" si="1"/>
        <v>224</v>
      </c>
    </row>
    <row r="45">
      <c r="B45" s="15">
        <v>43.0</v>
      </c>
      <c r="C45" s="16" t="s">
        <v>57</v>
      </c>
      <c r="D45" s="17"/>
      <c r="E45" s="18">
        <v>20.0</v>
      </c>
      <c r="F45" s="18">
        <v>13.0</v>
      </c>
      <c r="G45" s="18">
        <v>26.0</v>
      </c>
      <c r="H45" s="18">
        <v>19.0</v>
      </c>
      <c r="I45" s="18">
        <v>17.0</v>
      </c>
      <c r="J45" s="9">
        <v>21.0</v>
      </c>
      <c r="K45" s="9">
        <v>18.0</v>
      </c>
      <c r="L45" s="18">
        <v>11.0</v>
      </c>
      <c r="M45" s="18">
        <v>14.0</v>
      </c>
      <c r="N45" s="18">
        <v>27.0</v>
      </c>
      <c r="O45" s="18">
        <v>15.0</v>
      </c>
      <c r="P45" s="18">
        <v>21.0</v>
      </c>
      <c r="Q45" s="10">
        <f t="shared" si="1"/>
        <v>222</v>
      </c>
    </row>
    <row r="46">
      <c r="E46" s="19">
        <f t="shared" ref="E46:Q46" si="2">SUM(E3:E45)</f>
        <v>398990</v>
      </c>
      <c r="F46" s="19">
        <f t="shared" si="2"/>
        <v>473156</v>
      </c>
      <c r="G46" s="19">
        <f t="shared" si="2"/>
        <v>665827</v>
      </c>
      <c r="H46" s="19">
        <f t="shared" si="2"/>
        <v>365536</v>
      </c>
      <c r="I46" s="19">
        <f t="shared" si="2"/>
        <v>371203</v>
      </c>
      <c r="J46" s="19">
        <f t="shared" si="2"/>
        <v>452712</v>
      </c>
      <c r="K46" s="19">
        <f t="shared" si="2"/>
        <v>440763</v>
      </c>
      <c r="L46" s="19">
        <f t="shared" si="2"/>
        <v>362913</v>
      </c>
      <c r="M46" s="19">
        <f t="shared" si="2"/>
        <v>484810</v>
      </c>
      <c r="N46" s="19">
        <f t="shared" si="2"/>
        <v>418605</v>
      </c>
      <c r="O46" s="19">
        <f t="shared" si="2"/>
        <v>441535</v>
      </c>
      <c r="P46" s="19">
        <f t="shared" si="2"/>
        <v>386968</v>
      </c>
      <c r="Q46" s="19">
        <f t="shared" si="2"/>
        <v>5263018</v>
      </c>
    </row>
  </sheetData>
  <mergeCells count="1">
    <mergeCell ref="B2:C2"/>
  </mergeCell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</hyperlinks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C1" s="20" t="s">
        <v>14</v>
      </c>
      <c r="D1" s="21" t="s">
        <v>58</v>
      </c>
      <c r="E1" s="21" t="s">
        <v>59</v>
      </c>
      <c r="F1" s="21" t="s">
        <v>60</v>
      </c>
    </row>
    <row r="2">
      <c r="A2" s="6">
        <v>1.0</v>
      </c>
      <c r="B2" s="7" t="s">
        <v>15</v>
      </c>
      <c r="C2" s="20">
        <v>1508647.0</v>
      </c>
      <c r="D2" s="22">
        <f t="shared" ref="D2:D44" si="1">C2/$C$45</f>
        <v>0.2866505492</v>
      </c>
      <c r="E2" s="22">
        <f>D2</f>
        <v>0.2866505492</v>
      </c>
      <c r="F2" s="23" t="str">
        <f t="shared" ref="F2:F44" si="2">IF(E2&lt;0.81, "A", IF(E2&lt;0.96, "B", "C"))</f>
        <v>A</v>
      </c>
    </row>
    <row r="3">
      <c r="A3" s="11">
        <v>2.0</v>
      </c>
      <c r="B3" s="12" t="s">
        <v>16</v>
      </c>
      <c r="C3" s="20">
        <v>747226.0</v>
      </c>
      <c r="D3" s="22">
        <f t="shared" si="1"/>
        <v>0.1419767137</v>
      </c>
      <c r="E3" s="22">
        <f t="shared" ref="E3:E44" si="3">E2+D3</f>
        <v>0.4286272629</v>
      </c>
      <c r="F3" s="23" t="str">
        <f t="shared" si="2"/>
        <v>A</v>
      </c>
    </row>
    <row r="4">
      <c r="A4" s="6">
        <v>3.0</v>
      </c>
      <c r="B4" s="7" t="s">
        <v>17</v>
      </c>
      <c r="C4" s="20">
        <v>714594.0</v>
      </c>
      <c r="D4" s="22">
        <f t="shared" si="1"/>
        <v>0.1357764689</v>
      </c>
      <c r="E4" s="22">
        <f t="shared" si="3"/>
        <v>0.5644037319</v>
      </c>
      <c r="F4" s="23" t="str">
        <f t="shared" si="2"/>
        <v>A</v>
      </c>
    </row>
    <row r="5">
      <c r="A5" s="11">
        <v>4.0</v>
      </c>
      <c r="B5" s="12" t="s">
        <v>18</v>
      </c>
      <c r="C5" s="20">
        <v>646781.0</v>
      </c>
      <c r="D5" s="22">
        <f t="shared" si="1"/>
        <v>0.1228916565</v>
      </c>
      <c r="E5" s="22">
        <f t="shared" si="3"/>
        <v>0.6872953883</v>
      </c>
      <c r="F5" s="23" t="str">
        <f t="shared" si="2"/>
        <v>A</v>
      </c>
    </row>
    <row r="6">
      <c r="A6" s="6">
        <v>5.0</v>
      </c>
      <c r="B6" s="7" t="s">
        <v>19</v>
      </c>
      <c r="C6" s="20">
        <v>616033.0</v>
      </c>
      <c r="D6" s="22">
        <f t="shared" si="1"/>
        <v>0.1170493812</v>
      </c>
      <c r="E6" s="22">
        <f t="shared" si="3"/>
        <v>0.8043447695</v>
      </c>
      <c r="F6" s="23" t="str">
        <f t="shared" si="2"/>
        <v>A</v>
      </c>
    </row>
    <row r="7">
      <c r="A7" s="11">
        <v>6.0</v>
      </c>
      <c r="B7" s="12" t="s">
        <v>20</v>
      </c>
      <c r="C7" s="20">
        <v>220743.0</v>
      </c>
      <c r="D7" s="22">
        <f t="shared" si="1"/>
        <v>0.04194228483</v>
      </c>
      <c r="E7" s="22">
        <f t="shared" si="3"/>
        <v>0.8462870543</v>
      </c>
      <c r="F7" s="23" t="str">
        <f t="shared" si="2"/>
        <v>B</v>
      </c>
    </row>
    <row r="8">
      <c r="A8" s="6">
        <v>7.0</v>
      </c>
      <c r="B8" s="7" t="s">
        <v>21</v>
      </c>
      <c r="C8" s="20">
        <v>148453.0</v>
      </c>
      <c r="D8" s="22">
        <f t="shared" si="1"/>
        <v>0.02820681974</v>
      </c>
      <c r="E8" s="22">
        <f t="shared" si="3"/>
        <v>0.874493874</v>
      </c>
      <c r="F8" s="23" t="str">
        <f t="shared" si="2"/>
        <v>B</v>
      </c>
    </row>
    <row r="9">
      <c r="A9" s="11">
        <v>8.0</v>
      </c>
      <c r="B9" s="12" t="s">
        <v>22</v>
      </c>
      <c r="C9" s="20">
        <v>145411.0</v>
      </c>
      <c r="D9" s="22">
        <f t="shared" si="1"/>
        <v>0.02762882437</v>
      </c>
      <c r="E9" s="22">
        <f t="shared" si="3"/>
        <v>0.9021226984</v>
      </c>
      <c r="F9" s="23" t="str">
        <f t="shared" si="2"/>
        <v>B</v>
      </c>
    </row>
    <row r="10">
      <c r="A10" s="6">
        <v>9.0</v>
      </c>
      <c r="B10" s="7" t="s">
        <v>23</v>
      </c>
      <c r="C10" s="20">
        <v>75125.0</v>
      </c>
      <c r="D10" s="22">
        <f t="shared" si="1"/>
        <v>0.01427412941</v>
      </c>
      <c r="E10" s="22">
        <f t="shared" si="3"/>
        <v>0.9163968278</v>
      </c>
      <c r="F10" s="23" t="str">
        <f t="shared" si="2"/>
        <v>B</v>
      </c>
    </row>
    <row r="11">
      <c r="A11" s="11">
        <v>10.0</v>
      </c>
      <c r="B11" s="12" t="s">
        <v>24</v>
      </c>
      <c r="C11" s="20">
        <v>68723.0</v>
      </c>
      <c r="D11" s="22">
        <f t="shared" si="1"/>
        <v>0.01305771707</v>
      </c>
      <c r="E11" s="22">
        <f t="shared" si="3"/>
        <v>0.9294545449</v>
      </c>
      <c r="F11" s="23" t="str">
        <f t="shared" si="2"/>
        <v>B</v>
      </c>
    </row>
    <row r="12">
      <c r="A12" s="6">
        <v>11.0</v>
      </c>
      <c r="B12" s="7" t="s">
        <v>25</v>
      </c>
      <c r="C12" s="20">
        <v>67560.0</v>
      </c>
      <c r="D12" s="22">
        <f t="shared" si="1"/>
        <v>0.0128367412</v>
      </c>
      <c r="E12" s="22">
        <f t="shared" si="3"/>
        <v>0.9422912861</v>
      </c>
      <c r="F12" s="23" t="str">
        <f t="shared" si="2"/>
        <v>B</v>
      </c>
    </row>
    <row r="13">
      <c r="A13" s="11">
        <v>12.0</v>
      </c>
      <c r="B13" s="12" t="s">
        <v>26</v>
      </c>
      <c r="C13" s="20">
        <v>55096.0</v>
      </c>
      <c r="D13" s="22">
        <f t="shared" si="1"/>
        <v>0.01046851825</v>
      </c>
      <c r="E13" s="22">
        <f t="shared" si="3"/>
        <v>0.9527598044</v>
      </c>
      <c r="F13" s="23" t="str">
        <f t="shared" si="2"/>
        <v>B</v>
      </c>
    </row>
    <row r="14">
      <c r="A14" s="6">
        <v>13.0</v>
      </c>
      <c r="B14" s="7" t="s">
        <v>27</v>
      </c>
      <c r="C14" s="20">
        <v>51961.0</v>
      </c>
      <c r="D14" s="22">
        <f t="shared" si="1"/>
        <v>0.00987285242</v>
      </c>
      <c r="E14" s="22">
        <f t="shared" si="3"/>
        <v>0.9626326568</v>
      </c>
      <c r="F14" s="23" t="str">
        <f t="shared" si="2"/>
        <v>C</v>
      </c>
    </row>
    <row r="15">
      <c r="A15" s="11">
        <v>14.0</v>
      </c>
      <c r="B15" s="12" t="s">
        <v>28</v>
      </c>
      <c r="C15" s="20">
        <v>51235.0</v>
      </c>
      <c r="D15" s="22">
        <f t="shared" si="1"/>
        <v>0.009734908754</v>
      </c>
      <c r="E15" s="22">
        <f t="shared" si="3"/>
        <v>0.9723675655</v>
      </c>
      <c r="F15" s="23" t="str">
        <f t="shared" si="2"/>
        <v>C</v>
      </c>
    </row>
    <row r="16">
      <c r="A16" s="6">
        <v>15.0</v>
      </c>
      <c r="B16" s="7" t="s">
        <v>29</v>
      </c>
      <c r="C16" s="20">
        <v>26473.0</v>
      </c>
      <c r="D16" s="22">
        <f t="shared" si="1"/>
        <v>0.005030003697</v>
      </c>
      <c r="E16" s="22">
        <f t="shared" si="3"/>
        <v>0.9773975692</v>
      </c>
      <c r="F16" s="23" t="str">
        <f t="shared" si="2"/>
        <v>C</v>
      </c>
    </row>
    <row r="17">
      <c r="A17" s="11">
        <v>16.0</v>
      </c>
      <c r="B17" s="12" t="s">
        <v>30</v>
      </c>
      <c r="C17" s="20">
        <v>25985.0</v>
      </c>
      <c r="D17" s="22">
        <f t="shared" si="1"/>
        <v>0.004937281233</v>
      </c>
      <c r="E17" s="22">
        <f t="shared" si="3"/>
        <v>0.9823348505</v>
      </c>
      <c r="F17" s="23" t="str">
        <f t="shared" si="2"/>
        <v>C</v>
      </c>
    </row>
    <row r="18">
      <c r="A18" s="6">
        <v>17.0</v>
      </c>
      <c r="B18" s="7" t="s">
        <v>31</v>
      </c>
      <c r="C18" s="20">
        <v>17804.0</v>
      </c>
      <c r="D18" s="22">
        <f t="shared" si="1"/>
        <v>0.003382849916</v>
      </c>
      <c r="E18" s="22">
        <f t="shared" si="3"/>
        <v>0.9857177004</v>
      </c>
      <c r="F18" s="23" t="str">
        <f t="shared" si="2"/>
        <v>C</v>
      </c>
    </row>
    <row r="19">
      <c r="A19" s="11">
        <v>18.0</v>
      </c>
      <c r="B19" s="12" t="s">
        <v>32</v>
      </c>
      <c r="C19" s="20">
        <v>11438.0</v>
      </c>
      <c r="D19" s="22">
        <f t="shared" si="1"/>
        <v>0.002173277766</v>
      </c>
      <c r="E19" s="22">
        <f t="shared" si="3"/>
        <v>0.9878909781</v>
      </c>
      <c r="F19" s="23" t="str">
        <f t="shared" si="2"/>
        <v>C</v>
      </c>
    </row>
    <row r="20">
      <c r="A20" s="6">
        <v>19.0</v>
      </c>
      <c r="B20" s="7" t="s">
        <v>33</v>
      </c>
      <c r="C20" s="20">
        <v>9881.0</v>
      </c>
      <c r="D20" s="22">
        <f t="shared" si="1"/>
        <v>0.001877439902</v>
      </c>
      <c r="E20" s="22">
        <f t="shared" si="3"/>
        <v>0.989768418</v>
      </c>
      <c r="F20" s="23" t="str">
        <f t="shared" si="2"/>
        <v>C</v>
      </c>
    </row>
    <row r="21">
      <c r="A21" s="11">
        <v>20.0</v>
      </c>
      <c r="B21" s="12" t="s">
        <v>34</v>
      </c>
      <c r="C21" s="20">
        <v>7253.0</v>
      </c>
      <c r="D21" s="22">
        <f t="shared" si="1"/>
        <v>0.00137810663</v>
      </c>
      <c r="E21" s="22">
        <f t="shared" si="3"/>
        <v>0.9911465247</v>
      </c>
      <c r="F21" s="23" t="str">
        <f t="shared" si="2"/>
        <v>C</v>
      </c>
    </row>
    <row r="22">
      <c r="A22" s="6">
        <v>21.0</v>
      </c>
      <c r="B22" s="7" t="s">
        <v>35</v>
      </c>
      <c r="C22" s="20">
        <v>7169.0</v>
      </c>
      <c r="D22" s="22">
        <f t="shared" si="1"/>
        <v>0.001362146206</v>
      </c>
      <c r="E22" s="22">
        <f t="shared" si="3"/>
        <v>0.9925086709</v>
      </c>
      <c r="F22" s="23" t="str">
        <f t="shared" si="2"/>
        <v>C</v>
      </c>
    </row>
    <row r="23">
      <c r="A23" s="11">
        <v>22.0</v>
      </c>
      <c r="B23" s="12" t="s">
        <v>36</v>
      </c>
      <c r="C23" s="20">
        <v>7166.0</v>
      </c>
      <c r="D23" s="22">
        <f t="shared" si="1"/>
        <v>0.001361576191</v>
      </c>
      <c r="E23" s="22">
        <f t="shared" si="3"/>
        <v>0.9938702471</v>
      </c>
      <c r="F23" s="23" t="str">
        <f t="shared" si="2"/>
        <v>C</v>
      </c>
    </row>
    <row r="24">
      <c r="A24" s="6">
        <v>23.0</v>
      </c>
      <c r="B24" s="7" t="s">
        <v>37</v>
      </c>
      <c r="C24" s="20">
        <v>6014.0</v>
      </c>
      <c r="D24" s="22">
        <f t="shared" si="1"/>
        <v>0.001142690373</v>
      </c>
      <c r="E24" s="22">
        <f t="shared" si="3"/>
        <v>0.9950129374</v>
      </c>
      <c r="F24" s="23" t="str">
        <f t="shared" si="2"/>
        <v>C</v>
      </c>
    </row>
    <row r="25">
      <c r="A25" s="15">
        <v>24.0</v>
      </c>
      <c r="B25" s="16" t="s">
        <v>38</v>
      </c>
      <c r="C25" s="20">
        <v>3972.0</v>
      </c>
      <c r="D25" s="22">
        <f t="shared" si="1"/>
        <v>0.0007547000599</v>
      </c>
      <c r="E25" s="22">
        <f t="shared" si="3"/>
        <v>0.9957676375</v>
      </c>
      <c r="F25" s="23" t="str">
        <f t="shared" si="2"/>
        <v>C</v>
      </c>
    </row>
    <row r="26">
      <c r="A26" s="6">
        <v>25.0</v>
      </c>
      <c r="B26" s="7" t="s">
        <v>39</v>
      </c>
      <c r="C26" s="20">
        <v>3564.0</v>
      </c>
      <c r="D26" s="22">
        <f t="shared" si="1"/>
        <v>0.0006771779994</v>
      </c>
      <c r="E26" s="22">
        <f t="shared" si="3"/>
        <v>0.9964448155</v>
      </c>
      <c r="F26" s="23" t="str">
        <f t="shared" si="2"/>
        <v>C</v>
      </c>
    </row>
    <row r="27">
      <c r="A27" s="15">
        <v>26.0</v>
      </c>
      <c r="B27" s="16" t="s">
        <v>40</v>
      </c>
      <c r="C27" s="20">
        <v>3260.0</v>
      </c>
      <c r="D27" s="22">
        <f t="shared" si="1"/>
        <v>0.0006194164641</v>
      </c>
      <c r="E27" s="22">
        <f t="shared" si="3"/>
        <v>0.997064232</v>
      </c>
      <c r="F27" s="23" t="str">
        <f t="shared" si="2"/>
        <v>C</v>
      </c>
    </row>
    <row r="28">
      <c r="A28" s="6">
        <v>27.0</v>
      </c>
      <c r="B28" s="7" t="s">
        <v>41</v>
      </c>
      <c r="C28" s="20">
        <v>2890.0</v>
      </c>
      <c r="D28" s="22">
        <f t="shared" si="1"/>
        <v>0.0005491145955</v>
      </c>
      <c r="E28" s="22">
        <f t="shared" si="3"/>
        <v>0.9976133466</v>
      </c>
      <c r="F28" s="23" t="str">
        <f t="shared" si="2"/>
        <v>C</v>
      </c>
    </row>
    <row r="29">
      <c r="A29" s="11">
        <v>28.0</v>
      </c>
      <c r="B29" s="12" t="s">
        <v>42</v>
      </c>
      <c r="C29" s="20">
        <v>2510.0</v>
      </c>
      <c r="D29" s="22">
        <f t="shared" si="1"/>
        <v>0.0004769126763</v>
      </c>
      <c r="E29" s="22">
        <f t="shared" si="3"/>
        <v>0.9980902592</v>
      </c>
      <c r="F29" s="23" t="str">
        <f t="shared" si="2"/>
        <v>C</v>
      </c>
    </row>
    <row r="30">
      <c r="A30" s="6">
        <v>29.0</v>
      </c>
      <c r="B30" s="7" t="s">
        <v>43</v>
      </c>
      <c r="C30" s="20">
        <v>2465.0</v>
      </c>
      <c r="D30" s="22">
        <f t="shared" si="1"/>
        <v>0.0004683624491</v>
      </c>
      <c r="E30" s="22">
        <f t="shared" si="3"/>
        <v>0.9985586217</v>
      </c>
      <c r="F30" s="23" t="str">
        <f t="shared" si="2"/>
        <v>C</v>
      </c>
    </row>
    <row r="31">
      <c r="A31" s="11">
        <v>30.0</v>
      </c>
      <c r="B31" s="12" t="s">
        <v>44</v>
      </c>
      <c r="C31" s="20">
        <v>1453.0</v>
      </c>
      <c r="D31" s="22">
        <f t="shared" si="1"/>
        <v>0.0002760773381</v>
      </c>
      <c r="E31" s="22">
        <f t="shared" si="3"/>
        <v>0.998834699</v>
      </c>
      <c r="F31" s="23" t="str">
        <f t="shared" si="2"/>
        <v>C</v>
      </c>
    </row>
    <row r="32">
      <c r="A32" s="6">
        <v>31.0</v>
      </c>
      <c r="B32" s="7" t="s">
        <v>45</v>
      </c>
      <c r="C32" s="20">
        <v>878.0</v>
      </c>
      <c r="D32" s="22">
        <f t="shared" si="1"/>
        <v>0.0001668244342</v>
      </c>
      <c r="E32" s="22">
        <f t="shared" si="3"/>
        <v>0.9990015235</v>
      </c>
      <c r="F32" s="23" t="str">
        <f t="shared" si="2"/>
        <v>C</v>
      </c>
    </row>
    <row r="33">
      <c r="A33" s="11">
        <v>32.0</v>
      </c>
      <c r="B33" s="12" t="s">
        <v>46</v>
      </c>
      <c r="C33" s="20">
        <v>767.0</v>
      </c>
      <c r="D33" s="22">
        <f t="shared" si="1"/>
        <v>0.0001457338736</v>
      </c>
      <c r="E33" s="22">
        <f t="shared" si="3"/>
        <v>0.9991472573</v>
      </c>
      <c r="F33" s="23" t="str">
        <f t="shared" si="2"/>
        <v>C</v>
      </c>
    </row>
    <row r="34">
      <c r="A34" s="6">
        <v>33.0</v>
      </c>
      <c r="B34" s="7" t="s">
        <v>47</v>
      </c>
      <c r="C34" s="20">
        <v>749.0</v>
      </c>
      <c r="D34" s="22">
        <f t="shared" si="1"/>
        <v>0.0001423137827</v>
      </c>
      <c r="E34" s="22">
        <f t="shared" si="3"/>
        <v>0.9992895711</v>
      </c>
      <c r="F34" s="23" t="str">
        <f t="shared" si="2"/>
        <v>C</v>
      </c>
    </row>
    <row r="35">
      <c r="A35" s="11">
        <v>34.0</v>
      </c>
      <c r="B35" s="12" t="s">
        <v>48</v>
      </c>
      <c r="C35" s="20">
        <v>633.0</v>
      </c>
      <c r="D35" s="22">
        <f t="shared" si="1"/>
        <v>0.0001202731969</v>
      </c>
      <c r="E35" s="22">
        <f t="shared" si="3"/>
        <v>0.9994098443</v>
      </c>
      <c r="F35" s="23" t="str">
        <f t="shared" si="2"/>
        <v>C</v>
      </c>
    </row>
    <row r="36">
      <c r="A36" s="6">
        <v>35.0</v>
      </c>
      <c r="B36" s="7" t="s">
        <v>49</v>
      </c>
      <c r="C36" s="20">
        <v>543.0</v>
      </c>
      <c r="D36" s="22">
        <f t="shared" si="1"/>
        <v>0.0001031727423</v>
      </c>
      <c r="E36" s="22">
        <f t="shared" si="3"/>
        <v>0.9995130171</v>
      </c>
      <c r="F36" s="23" t="str">
        <f t="shared" si="2"/>
        <v>C</v>
      </c>
    </row>
    <row r="37">
      <c r="A37" s="11">
        <v>36.0</v>
      </c>
      <c r="B37" s="12" t="s">
        <v>50</v>
      </c>
      <c r="C37" s="20">
        <v>484.0</v>
      </c>
      <c r="D37" s="22">
        <f t="shared" si="1"/>
        <v>0.00009196244436</v>
      </c>
      <c r="E37" s="22">
        <f t="shared" si="3"/>
        <v>0.9996049795</v>
      </c>
      <c r="F37" s="23" t="str">
        <f t="shared" si="2"/>
        <v>C</v>
      </c>
    </row>
    <row r="38">
      <c r="A38" s="6">
        <v>37.0</v>
      </c>
      <c r="B38" s="7" t="s">
        <v>51</v>
      </c>
      <c r="C38" s="20">
        <v>437.0</v>
      </c>
      <c r="D38" s="22">
        <f t="shared" si="1"/>
        <v>0.000083032207</v>
      </c>
      <c r="E38" s="22">
        <f t="shared" si="3"/>
        <v>0.9996880117</v>
      </c>
      <c r="F38" s="23" t="str">
        <f t="shared" si="2"/>
        <v>C</v>
      </c>
    </row>
    <row r="39">
      <c r="A39" s="11">
        <v>38.0</v>
      </c>
      <c r="B39" s="12" t="s">
        <v>52</v>
      </c>
      <c r="C39" s="20">
        <v>399.0</v>
      </c>
      <c r="D39" s="22">
        <f t="shared" si="1"/>
        <v>0.00007581201508</v>
      </c>
      <c r="E39" s="22">
        <f t="shared" si="3"/>
        <v>0.9997638237</v>
      </c>
      <c r="F39" s="23" t="str">
        <f t="shared" si="2"/>
        <v>C</v>
      </c>
    </row>
    <row r="40">
      <c r="A40" s="6">
        <v>39.0</v>
      </c>
      <c r="B40" s="7" t="s">
        <v>53</v>
      </c>
      <c r="C40" s="20">
        <v>318.0</v>
      </c>
      <c r="D40" s="22">
        <f t="shared" si="1"/>
        <v>0.00006042160601</v>
      </c>
      <c r="E40" s="22">
        <f t="shared" si="3"/>
        <v>0.9998242453</v>
      </c>
      <c r="F40" s="23" t="str">
        <f t="shared" si="2"/>
        <v>C</v>
      </c>
    </row>
    <row r="41">
      <c r="A41" s="11">
        <v>40.0</v>
      </c>
      <c r="B41" s="12" t="s">
        <v>54</v>
      </c>
      <c r="C41" s="20">
        <v>249.0</v>
      </c>
      <c r="D41" s="22">
        <f t="shared" si="1"/>
        <v>0.00004731125753</v>
      </c>
      <c r="E41" s="22">
        <f t="shared" si="3"/>
        <v>0.9998715566</v>
      </c>
      <c r="F41" s="23" t="str">
        <f t="shared" si="2"/>
        <v>C</v>
      </c>
    </row>
    <row r="42">
      <c r="A42" s="6">
        <v>41.0</v>
      </c>
      <c r="B42" s="7" t="s">
        <v>55</v>
      </c>
      <c r="C42" s="20">
        <v>230.0</v>
      </c>
      <c r="D42" s="22">
        <f t="shared" si="1"/>
        <v>0.00004370116158</v>
      </c>
      <c r="E42" s="22">
        <f t="shared" si="3"/>
        <v>0.9999152577</v>
      </c>
      <c r="F42" s="23" t="str">
        <f t="shared" si="2"/>
        <v>C</v>
      </c>
    </row>
    <row r="43">
      <c r="A43" s="11">
        <v>42.0</v>
      </c>
      <c r="B43" s="12" t="s">
        <v>56</v>
      </c>
      <c r="C43" s="20">
        <v>224.0</v>
      </c>
      <c r="D43" s="22">
        <f t="shared" si="1"/>
        <v>0.00004256113127</v>
      </c>
      <c r="E43" s="22">
        <f t="shared" si="3"/>
        <v>0.9999578189</v>
      </c>
      <c r="F43" s="23" t="str">
        <f t="shared" si="2"/>
        <v>C</v>
      </c>
    </row>
    <row r="44">
      <c r="A44" s="15">
        <v>43.0</v>
      </c>
      <c r="B44" s="16" t="s">
        <v>57</v>
      </c>
      <c r="C44" s="20">
        <v>222.0</v>
      </c>
      <c r="D44" s="22">
        <f t="shared" si="1"/>
        <v>0.00004218112117</v>
      </c>
      <c r="E44" s="22">
        <f t="shared" si="3"/>
        <v>1</v>
      </c>
      <c r="F44" s="23" t="str">
        <f t="shared" si="2"/>
        <v>C</v>
      </c>
    </row>
    <row r="45">
      <c r="B45" s="21" t="s">
        <v>61</v>
      </c>
      <c r="C45" s="23">
        <v>5263018.0</v>
      </c>
    </row>
  </sheetData>
  <mergeCells count="1">
    <mergeCell ref="A1:B1"/>
  </mergeCells>
  <conditionalFormatting sqref="F2:F44">
    <cfRule type="cellIs" dxfId="0" priority="1" operator="equal">
      <formula>"A"</formula>
    </cfRule>
  </conditionalFormatting>
  <conditionalFormatting sqref="F2:F44">
    <cfRule type="cellIs" dxfId="1" priority="2" operator="equal">
      <formula>"B"</formula>
    </cfRule>
  </conditionalFormatting>
  <conditionalFormatting sqref="F2:F44">
    <cfRule type="cellIs" dxfId="2" priority="3" operator="equal">
      <formula>"C"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C1" s="20" t="s">
        <v>14</v>
      </c>
      <c r="D1" s="21" t="s">
        <v>60</v>
      </c>
    </row>
    <row r="2">
      <c r="A2" s="6">
        <v>1.0</v>
      </c>
      <c r="B2" s="7" t="s">
        <v>15</v>
      </c>
      <c r="C2" s="20">
        <v>1508647.0</v>
      </c>
      <c r="D2" s="23" t="str">
        <f t="shared" ref="D2:D44" si="1">IF(C2&gt;$E$47, "A", IF(C2&gt;$E$48, "B", "C"))</f>
        <v>A</v>
      </c>
    </row>
    <row r="3">
      <c r="A3" s="11">
        <v>2.0</v>
      </c>
      <c r="B3" s="12" t="s">
        <v>16</v>
      </c>
      <c r="C3" s="20">
        <v>747226.0</v>
      </c>
      <c r="D3" s="23" t="str">
        <f t="shared" si="1"/>
        <v>A</v>
      </c>
    </row>
    <row r="4">
      <c r="A4" s="6">
        <v>3.0</v>
      </c>
      <c r="B4" s="7" t="s">
        <v>17</v>
      </c>
      <c r="C4" s="20">
        <v>714594.0</v>
      </c>
      <c r="D4" s="23" t="str">
        <f t="shared" si="1"/>
        <v>A</v>
      </c>
    </row>
    <row r="5">
      <c r="A5" s="11">
        <v>4.0</v>
      </c>
      <c r="B5" s="12" t="s">
        <v>18</v>
      </c>
      <c r="C5" s="20">
        <v>646781.0</v>
      </c>
      <c r="D5" s="23" t="str">
        <f t="shared" si="1"/>
        <v>A</v>
      </c>
    </row>
    <row r="6">
      <c r="A6" s="6">
        <v>5.0</v>
      </c>
      <c r="B6" s="7" t="s">
        <v>19</v>
      </c>
      <c r="C6" s="20">
        <v>616033.0</v>
      </c>
      <c r="D6" s="23" t="str">
        <f t="shared" si="1"/>
        <v>A</v>
      </c>
    </row>
    <row r="7">
      <c r="A7" s="11">
        <v>6.0</v>
      </c>
      <c r="B7" s="12" t="s">
        <v>20</v>
      </c>
      <c r="C7" s="20">
        <v>220743.0</v>
      </c>
      <c r="D7" s="23" t="str">
        <f t="shared" si="1"/>
        <v>B</v>
      </c>
    </row>
    <row r="8">
      <c r="A8" s="6">
        <v>7.0</v>
      </c>
      <c r="B8" s="7" t="s">
        <v>21</v>
      </c>
      <c r="C8" s="20">
        <v>148453.0</v>
      </c>
      <c r="D8" s="23" t="str">
        <f t="shared" si="1"/>
        <v>B</v>
      </c>
    </row>
    <row r="9">
      <c r="A9" s="11">
        <v>8.0</v>
      </c>
      <c r="B9" s="12" t="s">
        <v>22</v>
      </c>
      <c r="C9" s="20">
        <v>145411.0</v>
      </c>
      <c r="D9" s="23" t="str">
        <f t="shared" si="1"/>
        <v>B</v>
      </c>
    </row>
    <row r="10">
      <c r="A10" s="6">
        <v>9.0</v>
      </c>
      <c r="B10" s="7" t="s">
        <v>23</v>
      </c>
      <c r="C10" s="20">
        <v>75125.0</v>
      </c>
      <c r="D10" s="23" t="str">
        <f t="shared" si="1"/>
        <v>B</v>
      </c>
    </row>
    <row r="11">
      <c r="A11" s="11">
        <v>10.0</v>
      </c>
      <c r="B11" s="12" t="s">
        <v>24</v>
      </c>
      <c r="C11" s="20">
        <v>68723.0</v>
      </c>
      <c r="D11" s="23" t="str">
        <f t="shared" si="1"/>
        <v>B</v>
      </c>
    </row>
    <row r="12">
      <c r="A12" s="6">
        <v>11.0</v>
      </c>
      <c r="B12" s="7" t="s">
        <v>25</v>
      </c>
      <c r="C12" s="20">
        <v>67560.0</v>
      </c>
      <c r="D12" s="23" t="str">
        <f t="shared" si="1"/>
        <v>B</v>
      </c>
    </row>
    <row r="13">
      <c r="A13" s="11">
        <v>12.0</v>
      </c>
      <c r="B13" s="12" t="s">
        <v>26</v>
      </c>
      <c r="C13" s="20">
        <v>55096.0</v>
      </c>
      <c r="D13" s="23" t="str">
        <f t="shared" si="1"/>
        <v>C</v>
      </c>
    </row>
    <row r="14">
      <c r="A14" s="6">
        <v>13.0</v>
      </c>
      <c r="B14" s="7" t="s">
        <v>27</v>
      </c>
      <c r="C14" s="20">
        <v>51961.0</v>
      </c>
      <c r="D14" s="23" t="str">
        <f t="shared" si="1"/>
        <v>C</v>
      </c>
    </row>
    <row r="15">
      <c r="A15" s="11">
        <v>14.0</v>
      </c>
      <c r="B15" s="12" t="s">
        <v>28</v>
      </c>
      <c r="C15" s="20">
        <v>51235.0</v>
      </c>
      <c r="D15" s="23" t="str">
        <f t="shared" si="1"/>
        <v>C</v>
      </c>
    </row>
    <row r="16">
      <c r="A16" s="6">
        <v>15.0</v>
      </c>
      <c r="B16" s="7" t="s">
        <v>29</v>
      </c>
      <c r="C16" s="20">
        <v>26473.0</v>
      </c>
      <c r="D16" s="23" t="str">
        <f t="shared" si="1"/>
        <v>C</v>
      </c>
    </row>
    <row r="17">
      <c r="A17" s="11">
        <v>16.0</v>
      </c>
      <c r="B17" s="12" t="s">
        <v>30</v>
      </c>
      <c r="C17" s="20">
        <v>25985.0</v>
      </c>
      <c r="D17" s="23" t="str">
        <f t="shared" si="1"/>
        <v>C</v>
      </c>
    </row>
    <row r="18">
      <c r="A18" s="6">
        <v>17.0</v>
      </c>
      <c r="B18" s="7" t="s">
        <v>31</v>
      </c>
      <c r="C18" s="20">
        <v>17804.0</v>
      </c>
      <c r="D18" s="23" t="str">
        <f t="shared" si="1"/>
        <v>C</v>
      </c>
    </row>
    <row r="19">
      <c r="A19" s="11">
        <v>18.0</v>
      </c>
      <c r="B19" s="12" t="s">
        <v>32</v>
      </c>
      <c r="C19" s="20">
        <v>11438.0</v>
      </c>
      <c r="D19" s="23" t="str">
        <f t="shared" si="1"/>
        <v>C</v>
      </c>
    </row>
    <row r="20">
      <c r="A20" s="6">
        <v>19.0</v>
      </c>
      <c r="B20" s="7" t="s">
        <v>33</v>
      </c>
      <c r="C20" s="20">
        <v>9881.0</v>
      </c>
      <c r="D20" s="23" t="str">
        <f t="shared" si="1"/>
        <v>C</v>
      </c>
    </row>
    <row r="21">
      <c r="A21" s="11">
        <v>20.0</v>
      </c>
      <c r="B21" s="12" t="s">
        <v>34</v>
      </c>
      <c r="C21" s="20">
        <v>7253.0</v>
      </c>
      <c r="D21" s="23" t="str">
        <f t="shared" si="1"/>
        <v>C</v>
      </c>
    </row>
    <row r="22">
      <c r="A22" s="6">
        <v>21.0</v>
      </c>
      <c r="B22" s="7" t="s">
        <v>35</v>
      </c>
      <c r="C22" s="20">
        <v>7169.0</v>
      </c>
      <c r="D22" s="23" t="str">
        <f t="shared" si="1"/>
        <v>C</v>
      </c>
    </row>
    <row r="23">
      <c r="A23" s="11">
        <v>22.0</v>
      </c>
      <c r="B23" s="12" t="s">
        <v>36</v>
      </c>
      <c r="C23" s="20">
        <v>7166.0</v>
      </c>
      <c r="D23" s="23" t="str">
        <f t="shared" si="1"/>
        <v>C</v>
      </c>
    </row>
    <row r="24">
      <c r="A24" s="6">
        <v>23.0</v>
      </c>
      <c r="B24" s="7" t="s">
        <v>37</v>
      </c>
      <c r="C24" s="20">
        <v>6014.0</v>
      </c>
      <c r="D24" s="23" t="str">
        <f t="shared" si="1"/>
        <v>C</v>
      </c>
    </row>
    <row r="25">
      <c r="A25" s="15">
        <v>24.0</v>
      </c>
      <c r="B25" s="16" t="s">
        <v>38</v>
      </c>
      <c r="C25" s="20">
        <v>3972.0</v>
      </c>
      <c r="D25" s="23" t="str">
        <f t="shared" si="1"/>
        <v>C</v>
      </c>
    </row>
    <row r="26">
      <c r="A26" s="6">
        <v>25.0</v>
      </c>
      <c r="B26" s="7" t="s">
        <v>39</v>
      </c>
      <c r="C26" s="20">
        <v>3564.0</v>
      </c>
      <c r="D26" s="23" t="str">
        <f t="shared" si="1"/>
        <v>C</v>
      </c>
    </row>
    <row r="27">
      <c r="A27" s="15">
        <v>26.0</v>
      </c>
      <c r="B27" s="16" t="s">
        <v>40</v>
      </c>
      <c r="C27" s="20">
        <v>3260.0</v>
      </c>
      <c r="D27" s="23" t="str">
        <f t="shared" si="1"/>
        <v>C</v>
      </c>
    </row>
    <row r="28">
      <c r="A28" s="6">
        <v>27.0</v>
      </c>
      <c r="B28" s="7" t="s">
        <v>41</v>
      </c>
      <c r="C28" s="20">
        <v>2890.0</v>
      </c>
      <c r="D28" s="23" t="str">
        <f t="shared" si="1"/>
        <v>C</v>
      </c>
    </row>
    <row r="29">
      <c r="A29" s="11">
        <v>28.0</v>
      </c>
      <c r="B29" s="12" t="s">
        <v>42</v>
      </c>
      <c r="C29" s="20">
        <v>2510.0</v>
      </c>
      <c r="D29" s="23" t="str">
        <f t="shared" si="1"/>
        <v>C</v>
      </c>
    </row>
    <row r="30">
      <c r="A30" s="6">
        <v>29.0</v>
      </c>
      <c r="B30" s="7" t="s">
        <v>43</v>
      </c>
      <c r="C30" s="20">
        <v>2465.0</v>
      </c>
      <c r="D30" s="23" t="str">
        <f t="shared" si="1"/>
        <v>C</v>
      </c>
    </row>
    <row r="31">
      <c r="A31" s="11">
        <v>30.0</v>
      </c>
      <c r="B31" s="12" t="s">
        <v>44</v>
      </c>
      <c r="C31" s="20">
        <v>1453.0</v>
      </c>
      <c r="D31" s="23" t="str">
        <f t="shared" si="1"/>
        <v>C</v>
      </c>
    </row>
    <row r="32">
      <c r="A32" s="6">
        <v>31.0</v>
      </c>
      <c r="B32" s="7" t="s">
        <v>45</v>
      </c>
      <c r="C32" s="20">
        <v>878.0</v>
      </c>
      <c r="D32" s="23" t="str">
        <f t="shared" si="1"/>
        <v>C</v>
      </c>
    </row>
    <row r="33">
      <c r="A33" s="11">
        <v>32.0</v>
      </c>
      <c r="B33" s="12" t="s">
        <v>46</v>
      </c>
      <c r="C33" s="20">
        <v>767.0</v>
      </c>
      <c r="D33" s="23" t="str">
        <f t="shared" si="1"/>
        <v>C</v>
      </c>
    </row>
    <row r="34">
      <c r="A34" s="6">
        <v>33.0</v>
      </c>
      <c r="B34" s="7" t="s">
        <v>47</v>
      </c>
      <c r="C34" s="20">
        <v>749.0</v>
      </c>
      <c r="D34" s="23" t="str">
        <f t="shared" si="1"/>
        <v>C</v>
      </c>
    </row>
    <row r="35">
      <c r="A35" s="11">
        <v>34.0</v>
      </c>
      <c r="B35" s="12" t="s">
        <v>48</v>
      </c>
      <c r="C35" s="20">
        <v>633.0</v>
      </c>
      <c r="D35" s="23" t="str">
        <f t="shared" si="1"/>
        <v>C</v>
      </c>
    </row>
    <row r="36">
      <c r="A36" s="6">
        <v>35.0</v>
      </c>
      <c r="B36" s="7" t="s">
        <v>49</v>
      </c>
      <c r="C36" s="20">
        <v>543.0</v>
      </c>
      <c r="D36" s="23" t="str">
        <f t="shared" si="1"/>
        <v>C</v>
      </c>
    </row>
    <row r="37">
      <c r="A37" s="11">
        <v>36.0</v>
      </c>
      <c r="B37" s="12" t="s">
        <v>50</v>
      </c>
      <c r="C37" s="20">
        <v>484.0</v>
      </c>
      <c r="D37" s="23" t="str">
        <f t="shared" si="1"/>
        <v>C</v>
      </c>
    </row>
    <row r="38">
      <c r="A38" s="6">
        <v>37.0</v>
      </c>
      <c r="B38" s="7" t="s">
        <v>51</v>
      </c>
      <c r="C38" s="20">
        <v>437.0</v>
      </c>
      <c r="D38" s="23" t="str">
        <f t="shared" si="1"/>
        <v>C</v>
      </c>
    </row>
    <row r="39">
      <c r="A39" s="11">
        <v>38.0</v>
      </c>
      <c r="B39" s="12" t="s">
        <v>52</v>
      </c>
      <c r="C39" s="20">
        <v>399.0</v>
      </c>
      <c r="D39" s="23" t="str">
        <f t="shared" si="1"/>
        <v>C</v>
      </c>
    </row>
    <row r="40">
      <c r="A40" s="6">
        <v>39.0</v>
      </c>
      <c r="B40" s="7" t="s">
        <v>53</v>
      </c>
      <c r="C40" s="20">
        <v>318.0</v>
      </c>
      <c r="D40" s="23" t="str">
        <f t="shared" si="1"/>
        <v>C</v>
      </c>
    </row>
    <row r="41">
      <c r="A41" s="11">
        <v>40.0</v>
      </c>
      <c r="B41" s="12" t="s">
        <v>54</v>
      </c>
      <c r="C41" s="20">
        <v>249.0</v>
      </c>
      <c r="D41" s="23" t="str">
        <f t="shared" si="1"/>
        <v>C</v>
      </c>
    </row>
    <row r="42">
      <c r="A42" s="6">
        <v>41.0</v>
      </c>
      <c r="B42" s="7" t="s">
        <v>55</v>
      </c>
      <c r="C42" s="20">
        <v>230.0</v>
      </c>
      <c r="D42" s="23" t="str">
        <f t="shared" si="1"/>
        <v>C</v>
      </c>
    </row>
    <row r="43">
      <c r="A43" s="11">
        <v>42.0</v>
      </c>
      <c r="B43" s="12" t="s">
        <v>56</v>
      </c>
      <c r="C43" s="20">
        <v>224.0</v>
      </c>
      <c r="D43" s="23" t="str">
        <f t="shared" si="1"/>
        <v>C</v>
      </c>
    </row>
    <row r="44">
      <c r="A44" s="15">
        <v>43.0</v>
      </c>
      <c r="B44" s="16" t="s">
        <v>57</v>
      </c>
      <c r="C44" s="20">
        <v>222.0</v>
      </c>
      <c r="D44" s="23" t="str">
        <f t="shared" si="1"/>
        <v>C</v>
      </c>
    </row>
    <row r="45">
      <c r="B45" s="21" t="s">
        <v>62</v>
      </c>
      <c r="C45" s="23">
        <f>SUM(C2:C44)</f>
        <v>5263018</v>
      </c>
    </row>
    <row r="46">
      <c r="B46" s="21" t="s">
        <v>63</v>
      </c>
      <c r="C46" s="19">
        <f>AVERAGE(C2:C44)</f>
        <v>122395.7674</v>
      </c>
    </row>
    <row r="47">
      <c r="A47" s="21" t="s">
        <v>64</v>
      </c>
      <c r="B47" s="21">
        <v>2.0</v>
      </c>
      <c r="D47" s="21" t="s">
        <v>65</v>
      </c>
      <c r="E47" s="19">
        <f>C46*B47</f>
        <v>244791.5349</v>
      </c>
    </row>
    <row r="48">
      <c r="A48" s="21" t="s">
        <v>66</v>
      </c>
      <c r="B48" s="21">
        <v>0.5</v>
      </c>
      <c r="D48" s="21" t="s">
        <v>67</v>
      </c>
      <c r="E48" s="19">
        <f>C46*B48</f>
        <v>61197.88372</v>
      </c>
    </row>
  </sheetData>
  <mergeCells count="1">
    <mergeCell ref="A1:B1"/>
  </mergeCells>
  <conditionalFormatting sqref="D2:D44">
    <cfRule type="cellIs" dxfId="0" priority="1" operator="equal">
      <formula>"A"</formula>
    </cfRule>
  </conditionalFormatting>
  <conditionalFormatting sqref="D2:D44">
    <cfRule type="cellIs" dxfId="1" priority="2" operator="equal">
      <formula>"B"</formula>
    </cfRule>
  </conditionalFormatting>
  <conditionalFormatting sqref="D2:D44">
    <cfRule type="cellIs" dxfId="2" priority="3" operator="equal">
      <formula>"C"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C1" s="20" t="s">
        <v>14</v>
      </c>
      <c r="D1" s="21" t="s">
        <v>58</v>
      </c>
      <c r="E1" s="21" t="s">
        <v>59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73</v>
      </c>
    </row>
    <row r="2">
      <c r="A2" s="21">
        <v>0.0</v>
      </c>
      <c r="D2" s="24">
        <v>0.0</v>
      </c>
      <c r="E2" s="24">
        <v>0.0</v>
      </c>
      <c r="H2" s="24">
        <v>0.0</v>
      </c>
      <c r="I2" s="25">
        <f>(90.212-18.6)/100</f>
        <v>0.71612</v>
      </c>
    </row>
    <row r="3">
      <c r="A3" s="6">
        <v>1.0</v>
      </c>
      <c r="B3" s="7" t="s">
        <v>15</v>
      </c>
      <c r="C3" s="20">
        <v>1508647.0</v>
      </c>
      <c r="D3" s="22">
        <f t="shared" ref="D3:D45" si="1">C3/$C$46</f>
        <v>0.2866505492</v>
      </c>
      <c r="E3" s="22">
        <f>D3</f>
        <v>0.2866505492</v>
      </c>
      <c r="F3" s="23" t="str">
        <f t="shared" ref="F3:F45" si="2">IF(E3&lt;0.81, "A", IF(E3&lt;0.96, "B", "C"))</f>
        <v>A</v>
      </c>
      <c r="G3" s="23" t="str">
        <f t="shared" ref="G3:G45" si="3">IF(D3&gt;$M$3, "A", IF(D3&gt;$M$5, "B", "C"))</f>
        <v>A</v>
      </c>
      <c r="H3" s="25">
        <f t="shared" ref="H3:H45" si="4">A3*$M$3</f>
        <v>0.02325581395</v>
      </c>
      <c r="I3" s="25">
        <f t="shared" ref="I3:I9" si="5">(A3*$M$3*100+90.212-18.6)/100</f>
        <v>0.739375814</v>
      </c>
      <c r="L3" s="21" t="s">
        <v>74</v>
      </c>
      <c r="M3" s="26">
        <f>AVERAGE(D3:D45)</f>
        <v>0.02325581395</v>
      </c>
    </row>
    <row r="4">
      <c r="A4" s="11">
        <v>2.0</v>
      </c>
      <c r="B4" s="12" t="s">
        <v>16</v>
      </c>
      <c r="C4" s="20">
        <v>747226.0</v>
      </c>
      <c r="D4" s="22">
        <f t="shared" si="1"/>
        <v>0.1419767137</v>
      </c>
      <c r="E4" s="22">
        <f t="shared" ref="E4:E45" si="6">E3+D4</f>
        <v>0.4286272629</v>
      </c>
      <c r="F4" s="23" t="str">
        <f t="shared" si="2"/>
        <v>A</v>
      </c>
      <c r="G4" s="23" t="str">
        <f t="shared" si="3"/>
        <v>A</v>
      </c>
      <c r="H4" s="25">
        <f t="shared" si="4"/>
        <v>0.04651162791</v>
      </c>
      <c r="I4" s="25">
        <f t="shared" si="5"/>
        <v>0.7626316279</v>
      </c>
      <c r="L4" s="21" t="s">
        <v>75</v>
      </c>
      <c r="M4" s="23">
        <f>COUNTIF(D3:D45, "&gt;"&amp;M3)</f>
        <v>8</v>
      </c>
    </row>
    <row r="5">
      <c r="A5" s="6">
        <v>3.0</v>
      </c>
      <c r="B5" s="7" t="s">
        <v>17</v>
      </c>
      <c r="C5" s="20">
        <v>714594.0</v>
      </c>
      <c r="D5" s="22">
        <f t="shared" si="1"/>
        <v>0.1357764689</v>
      </c>
      <c r="E5" s="22">
        <f t="shared" si="6"/>
        <v>0.5644037319</v>
      </c>
      <c r="F5" s="23" t="str">
        <f t="shared" si="2"/>
        <v>A</v>
      </c>
      <c r="G5" s="23" t="str">
        <f t="shared" si="3"/>
        <v>A</v>
      </c>
      <c r="H5" s="25">
        <f t="shared" si="4"/>
        <v>0.06976744186</v>
      </c>
      <c r="I5" s="25">
        <f t="shared" si="5"/>
        <v>0.7858874419</v>
      </c>
      <c r="L5" s="21" t="s">
        <v>76</v>
      </c>
      <c r="M5" s="25">
        <f>(1-E10)/(A45-M4)</f>
        <v>0.002796494331</v>
      </c>
    </row>
    <row r="6">
      <c r="A6" s="11">
        <v>4.0</v>
      </c>
      <c r="B6" s="12" t="s">
        <v>18</v>
      </c>
      <c r="C6" s="20">
        <v>646781.0</v>
      </c>
      <c r="D6" s="22">
        <f t="shared" si="1"/>
        <v>0.1228916565</v>
      </c>
      <c r="E6" s="22">
        <f t="shared" si="6"/>
        <v>0.6872953883</v>
      </c>
      <c r="F6" s="23" t="str">
        <f t="shared" si="2"/>
        <v>A</v>
      </c>
      <c r="G6" s="23" t="str">
        <f t="shared" si="3"/>
        <v>A</v>
      </c>
      <c r="H6" s="25">
        <f t="shared" si="4"/>
        <v>0.09302325581</v>
      </c>
      <c r="I6" s="25">
        <f t="shared" si="5"/>
        <v>0.8091432558</v>
      </c>
      <c r="L6" s="21" t="s">
        <v>77</v>
      </c>
      <c r="M6" s="23">
        <f>COUNTIF(D3:D45, "&gt;"&amp;M5)</f>
        <v>17</v>
      </c>
    </row>
    <row r="7">
      <c r="A7" s="6">
        <v>5.0</v>
      </c>
      <c r="B7" s="7" t="s">
        <v>19</v>
      </c>
      <c r="C7" s="20">
        <v>616033.0</v>
      </c>
      <c r="D7" s="22">
        <f t="shared" si="1"/>
        <v>0.1170493812</v>
      </c>
      <c r="E7" s="22">
        <f t="shared" si="6"/>
        <v>0.8043447695</v>
      </c>
      <c r="F7" s="23" t="str">
        <f t="shared" si="2"/>
        <v>A</v>
      </c>
      <c r="G7" s="23" t="str">
        <f t="shared" si="3"/>
        <v>A</v>
      </c>
      <c r="H7" s="25">
        <f t="shared" si="4"/>
        <v>0.1162790698</v>
      </c>
      <c r="I7" s="25">
        <f t="shared" si="5"/>
        <v>0.8323990698</v>
      </c>
    </row>
    <row r="8">
      <c r="A8" s="11">
        <v>6.0</v>
      </c>
      <c r="B8" s="12" t="s">
        <v>20</v>
      </c>
      <c r="C8" s="20">
        <v>220743.0</v>
      </c>
      <c r="D8" s="22">
        <f t="shared" si="1"/>
        <v>0.04194228483</v>
      </c>
      <c r="E8" s="22">
        <f t="shared" si="6"/>
        <v>0.8462870543</v>
      </c>
      <c r="F8" s="23" t="str">
        <f t="shared" si="2"/>
        <v>B</v>
      </c>
      <c r="G8" s="23" t="str">
        <f t="shared" si="3"/>
        <v>A</v>
      </c>
      <c r="H8" s="25">
        <f t="shared" si="4"/>
        <v>0.1395348837</v>
      </c>
      <c r="I8" s="25">
        <f t="shared" si="5"/>
        <v>0.8556548837</v>
      </c>
    </row>
    <row r="9">
      <c r="A9" s="6">
        <v>7.0</v>
      </c>
      <c r="B9" s="7" t="s">
        <v>21</v>
      </c>
      <c r="C9" s="20">
        <v>148453.0</v>
      </c>
      <c r="D9" s="22">
        <f t="shared" si="1"/>
        <v>0.02820681974</v>
      </c>
      <c r="E9" s="22">
        <f t="shared" si="6"/>
        <v>0.874493874</v>
      </c>
      <c r="F9" s="23" t="str">
        <f t="shared" si="2"/>
        <v>B</v>
      </c>
      <c r="G9" s="23" t="str">
        <f t="shared" si="3"/>
        <v>A</v>
      </c>
      <c r="H9" s="25">
        <f t="shared" si="4"/>
        <v>0.1627906977</v>
      </c>
      <c r="I9" s="25">
        <f t="shared" si="5"/>
        <v>0.8789106977</v>
      </c>
    </row>
    <row r="10">
      <c r="A10" s="11">
        <v>8.0</v>
      </c>
      <c r="B10" s="12" t="s">
        <v>22</v>
      </c>
      <c r="C10" s="20">
        <v>145411.0</v>
      </c>
      <c r="D10" s="22">
        <f t="shared" si="1"/>
        <v>0.02762882437</v>
      </c>
      <c r="E10" s="22">
        <f t="shared" si="6"/>
        <v>0.9021226984</v>
      </c>
      <c r="F10" s="23" t="str">
        <f t="shared" si="2"/>
        <v>B</v>
      </c>
      <c r="G10" s="23" t="str">
        <f t="shared" si="3"/>
        <v>A</v>
      </c>
      <c r="H10" s="25">
        <f t="shared" si="4"/>
        <v>0.1860465116</v>
      </c>
      <c r="I10" s="25">
        <f t="shared" ref="I10:I45" si="7">(A10*$M$3*100+90.212-18.61)/100</f>
        <v>0.9020665116</v>
      </c>
      <c r="J10" s="25">
        <f t="shared" ref="J10:J45" si="8">(A10*$M$5*100-2.25+90.22)/100</f>
        <v>0.9020719546</v>
      </c>
    </row>
    <row r="11">
      <c r="A11" s="6">
        <v>9.0</v>
      </c>
      <c r="B11" s="7" t="s">
        <v>23</v>
      </c>
      <c r="C11" s="20">
        <v>75125.0</v>
      </c>
      <c r="D11" s="22">
        <f t="shared" si="1"/>
        <v>0.01427412941</v>
      </c>
      <c r="E11" s="22">
        <f t="shared" si="6"/>
        <v>0.9163968278</v>
      </c>
      <c r="F11" s="23" t="str">
        <f t="shared" si="2"/>
        <v>B</v>
      </c>
      <c r="G11" s="23" t="str">
        <f t="shared" si="3"/>
        <v>B</v>
      </c>
      <c r="H11" s="25">
        <f t="shared" si="4"/>
        <v>0.2093023256</v>
      </c>
      <c r="I11" s="25">
        <f t="shared" si="7"/>
        <v>0.9253223256</v>
      </c>
      <c r="J11" s="25">
        <f t="shared" si="8"/>
        <v>0.904868449</v>
      </c>
    </row>
    <row r="12">
      <c r="A12" s="11">
        <v>10.0</v>
      </c>
      <c r="B12" s="12" t="s">
        <v>24</v>
      </c>
      <c r="C12" s="20">
        <v>68723.0</v>
      </c>
      <c r="D12" s="22">
        <f t="shared" si="1"/>
        <v>0.01305771707</v>
      </c>
      <c r="E12" s="22">
        <f t="shared" si="6"/>
        <v>0.9294545449</v>
      </c>
      <c r="F12" s="23" t="str">
        <f t="shared" si="2"/>
        <v>B</v>
      </c>
      <c r="G12" s="23" t="str">
        <f t="shared" si="3"/>
        <v>B</v>
      </c>
      <c r="H12" s="25">
        <f t="shared" si="4"/>
        <v>0.2325581395</v>
      </c>
      <c r="I12" s="25">
        <f t="shared" si="7"/>
        <v>0.9485781395</v>
      </c>
      <c r="J12" s="25">
        <f t="shared" si="8"/>
        <v>0.9076649433</v>
      </c>
    </row>
    <row r="13">
      <c r="A13" s="6">
        <v>11.0</v>
      </c>
      <c r="B13" s="7" t="s">
        <v>25</v>
      </c>
      <c r="C13" s="20">
        <v>67560.0</v>
      </c>
      <c r="D13" s="22">
        <f t="shared" si="1"/>
        <v>0.0128367412</v>
      </c>
      <c r="E13" s="22">
        <f t="shared" si="6"/>
        <v>0.9422912861</v>
      </c>
      <c r="F13" s="23" t="str">
        <f t="shared" si="2"/>
        <v>B</v>
      </c>
      <c r="G13" s="23" t="str">
        <f t="shared" si="3"/>
        <v>B</v>
      </c>
      <c r="H13" s="25">
        <f t="shared" si="4"/>
        <v>0.2558139535</v>
      </c>
      <c r="I13" s="25">
        <f t="shared" si="7"/>
        <v>0.9718339535</v>
      </c>
      <c r="J13" s="25">
        <f t="shared" si="8"/>
        <v>0.9104614376</v>
      </c>
    </row>
    <row r="14">
      <c r="A14" s="11">
        <v>12.0</v>
      </c>
      <c r="B14" s="12" t="s">
        <v>26</v>
      </c>
      <c r="C14" s="20">
        <v>55096.0</v>
      </c>
      <c r="D14" s="22">
        <f t="shared" si="1"/>
        <v>0.01046851825</v>
      </c>
      <c r="E14" s="22">
        <f t="shared" si="6"/>
        <v>0.9527598044</v>
      </c>
      <c r="F14" s="23" t="str">
        <f t="shared" si="2"/>
        <v>B</v>
      </c>
      <c r="G14" s="23" t="str">
        <f t="shared" si="3"/>
        <v>B</v>
      </c>
      <c r="H14" s="25">
        <f t="shared" si="4"/>
        <v>0.2790697674</v>
      </c>
      <c r="I14" s="25">
        <f t="shared" si="7"/>
        <v>0.9950897674</v>
      </c>
      <c r="J14" s="25">
        <f t="shared" si="8"/>
        <v>0.913257932</v>
      </c>
    </row>
    <row r="15">
      <c r="A15" s="6">
        <v>13.0</v>
      </c>
      <c r="B15" s="7" t="s">
        <v>27</v>
      </c>
      <c r="C15" s="20">
        <v>51961.0</v>
      </c>
      <c r="D15" s="22">
        <f t="shared" si="1"/>
        <v>0.00987285242</v>
      </c>
      <c r="E15" s="22">
        <f t="shared" si="6"/>
        <v>0.9626326568</v>
      </c>
      <c r="F15" s="23" t="str">
        <f t="shared" si="2"/>
        <v>C</v>
      </c>
      <c r="G15" s="23" t="str">
        <f t="shared" si="3"/>
        <v>B</v>
      </c>
      <c r="H15" s="25">
        <f t="shared" si="4"/>
        <v>0.3023255814</v>
      </c>
      <c r="I15" s="25">
        <f t="shared" si="7"/>
        <v>1.018345581</v>
      </c>
      <c r="J15" s="25">
        <f t="shared" si="8"/>
        <v>0.9160544263</v>
      </c>
    </row>
    <row r="16">
      <c r="A16" s="11">
        <v>14.0</v>
      </c>
      <c r="B16" s="12" t="s">
        <v>28</v>
      </c>
      <c r="C16" s="20">
        <v>51235.0</v>
      </c>
      <c r="D16" s="22">
        <f t="shared" si="1"/>
        <v>0.009734908754</v>
      </c>
      <c r="E16" s="22">
        <f t="shared" si="6"/>
        <v>0.9723675655</v>
      </c>
      <c r="F16" s="23" t="str">
        <f t="shared" si="2"/>
        <v>C</v>
      </c>
      <c r="G16" s="23" t="str">
        <f t="shared" si="3"/>
        <v>B</v>
      </c>
      <c r="H16" s="25">
        <f t="shared" si="4"/>
        <v>0.3255813953</v>
      </c>
      <c r="I16" s="25">
        <f t="shared" si="7"/>
        <v>1.041601395</v>
      </c>
      <c r="J16" s="25">
        <f t="shared" si="8"/>
        <v>0.9188509206</v>
      </c>
    </row>
    <row r="17">
      <c r="A17" s="6">
        <v>15.0</v>
      </c>
      <c r="B17" s="7" t="s">
        <v>29</v>
      </c>
      <c r="C17" s="20">
        <v>26473.0</v>
      </c>
      <c r="D17" s="22">
        <f t="shared" si="1"/>
        <v>0.005030003697</v>
      </c>
      <c r="E17" s="22">
        <f t="shared" si="6"/>
        <v>0.9773975692</v>
      </c>
      <c r="F17" s="23" t="str">
        <f t="shared" si="2"/>
        <v>C</v>
      </c>
      <c r="G17" s="23" t="str">
        <f t="shared" si="3"/>
        <v>B</v>
      </c>
      <c r="H17" s="25">
        <f t="shared" si="4"/>
        <v>0.3488372093</v>
      </c>
      <c r="I17" s="25">
        <f t="shared" si="7"/>
        <v>1.064857209</v>
      </c>
      <c r="J17" s="25">
        <f t="shared" si="8"/>
        <v>0.921647415</v>
      </c>
    </row>
    <row r="18">
      <c r="A18" s="11">
        <v>16.0</v>
      </c>
      <c r="B18" s="12" t="s">
        <v>30</v>
      </c>
      <c r="C18" s="20">
        <v>25985.0</v>
      </c>
      <c r="D18" s="22">
        <f t="shared" si="1"/>
        <v>0.004937281233</v>
      </c>
      <c r="E18" s="22">
        <f t="shared" si="6"/>
        <v>0.9823348505</v>
      </c>
      <c r="F18" s="23" t="str">
        <f t="shared" si="2"/>
        <v>C</v>
      </c>
      <c r="G18" s="23" t="str">
        <f t="shared" si="3"/>
        <v>B</v>
      </c>
      <c r="H18" s="25">
        <f t="shared" si="4"/>
        <v>0.3720930233</v>
      </c>
      <c r="I18" s="25">
        <f t="shared" si="7"/>
        <v>1.088113023</v>
      </c>
      <c r="J18" s="25">
        <f t="shared" si="8"/>
        <v>0.9244439093</v>
      </c>
    </row>
    <row r="19">
      <c r="A19" s="6">
        <v>17.0</v>
      </c>
      <c r="B19" s="7" t="s">
        <v>31</v>
      </c>
      <c r="C19" s="20">
        <v>17804.0</v>
      </c>
      <c r="D19" s="22">
        <f t="shared" si="1"/>
        <v>0.003382849916</v>
      </c>
      <c r="E19" s="22">
        <f t="shared" si="6"/>
        <v>0.9857177004</v>
      </c>
      <c r="F19" s="23" t="str">
        <f t="shared" si="2"/>
        <v>C</v>
      </c>
      <c r="G19" s="23" t="str">
        <f t="shared" si="3"/>
        <v>B</v>
      </c>
      <c r="H19" s="25">
        <f t="shared" si="4"/>
        <v>0.3953488372</v>
      </c>
      <c r="I19" s="25">
        <f t="shared" si="7"/>
        <v>1.111368837</v>
      </c>
      <c r="J19" s="25">
        <f t="shared" si="8"/>
        <v>0.9272404036</v>
      </c>
      <c r="K19" s="25">
        <f t="shared" ref="K19:K45" si="9">J19+0.0583</f>
        <v>0.9855404036</v>
      </c>
    </row>
    <row r="20">
      <c r="A20" s="11">
        <v>18.0</v>
      </c>
      <c r="B20" s="12" t="s">
        <v>32</v>
      </c>
      <c r="C20" s="20">
        <v>11438.0</v>
      </c>
      <c r="D20" s="22">
        <f t="shared" si="1"/>
        <v>0.002173277766</v>
      </c>
      <c r="E20" s="22">
        <f t="shared" si="6"/>
        <v>0.9878909781</v>
      </c>
      <c r="F20" s="23" t="str">
        <f t="shared" si="2"/>
        <v>C</v>
      </c>
      <c r="G20" s="23" t="str">
        <f t="shared" si="3"/>
        <v>C</v>
      </c>
      <c r="H20" s="25">
        <f t="shared" si="4"/>
        <v>0.4186046512</v>
      </c>
      <c r="I20" s="25">
        <f t="shared" si="7"/>
        <v>1.134624651</v>
      </c>
      <c r="J20" s="25">
        <f t="shared" si="8"/>
        <v>0.930036898</v>
      </c>
      <c r="K20" s="25">
        <f t="shared" si="9"/>
        <v>0.988336898</v>
      </c>
    </row>
    <row r="21">
      <c r="A21" s="6">
        <v>19.0</v>
      </c>
      <c r="B21" s="7" t="s">
        <v>33</v>
      </c>
      <c r="C21" s="20">
        <v>9881.0</v>
      </c>
      <c r="D21" s="22">
        <f t="shared" si="1"/>
        <v>0.001877439902</v>
      </c>
      <c r="E21" s="22">
        <f t="shared" si="6"/>
        <v>0.989768418</v>
      </c>
      <c r="F21" s="23" t="str">
        <f t="shared" si="2"/>
        <v>C</v>
      </c>
      <c r="G21" s="23" t="str">
        <f t="shared" si="3"/>
        <v>C</v>
      </c>
      <c r="H21" s="25">
        <f t="shared" si="4"/>
        <v>0.4418604651</v>
      </c>
      <c r="I21" s="25">
        <f t="shared" si="7"/>
        <v>1.157880465</v>
      </c>
      <c r="J21" s="25">
        <f t="shared" si="8"/>
        <v>0.9328333923</v>
      </c>
      <c r="K21" s="25">
        <f t="shared" si="9"/>
        <v>0.9911333923</v>
      </c>
    </row>
    <row r="22">
      <c r="A22" s="11">
        <v>20.0</v>
      </c>
      <c r="B22" s="12" t="s">
        <v>34</v>
      </c>
      <c r="C22" s="20">
        <v>7253.0</v>
      </c>
      <c r="D22" s="22">
        <f t="shared" si="1"/>
        <v>0.00137810663</v>
      </c>
      <c r="E22" s="22">
        <f t="shared" si="6"/>
        <v>0.9911465247</v>
      </c>
      <c r="F22" s="23" t="str">
        <f t="shared" si="2"/>
        <v>C</v>
      </c>
      <c r="G22" s="23" t="str">
        <f t="shared" si="3"/>
        <v>C</v>
      </c>
      <c r="H22" s="25">
        <f t="shared" si="4"/>
        <v>0.4651162791</v>
      </c>
      <c r="I22" s="25">
        <f t="shared" si="7"/>
        <v>1.181136279</v>
      </c>
      <c r="J22" s="25">
        <f t="shared" si="8"/>
        <v>0.9356298866</v>
      </c>
      <c r="K22" s="25">
        <f t="shared" si="9"/>
        <v>0.9939298866</v>
      </c>
    </row>
    <row r="23">
      <c r="A23" s="6">
        <v>21.0</v>
      </c>
      <c r="B23" s="7" t="s">
        <v>35</v>
      </c>
      <c r="C23" s="20">
        <v>7169.0</v>
      </c>
      <c r="D23" s="22">
        <f t="shared" si="1"/>
        <v>0.001362146206</v>
      </c>
      <c r="E23" s="22">
        <f t="shared" si="6"/>
        <v>0.9925086709</v>
      </c>
      <c r="F23" s="23" t="str">
        <f t="shared" si="2"/>
        <v>C</v>
      </c>
      <c r="G23" s="23" t="str">
        <f t="shared" si="3"/>
        <v>C</v>
      </c>
      <c r="H23" s="25">
        <f t="shared" si="4"/>
        <v>0.488372093</v>
      </c>
      <c r="I23" s="25">
        <f t="shared" si="7"/>
        <v>1.204392093</v>
      </c>
      <c r="J23" s="25">
        <f t="shared" si="8"/>
        <v>0.9384263809</v>
      </c>
      <c r="K23" s="25">
        <f t="shared" si="9"/>
        <v>0.9967263809</v>
      </c>
    </row>
    <row r="24">
      <c r="A24" s="11">
        <v>22.0</v>
      </c>
      <c r="B24" s="12" t="s">
        <v>36</v>
      </c>
      <c r="C24" s="20">
        <v>7166.0</v>
      </c>
      <c r="D24" s="22">
        <f t="shared" si="1"/>
        <v>0.001361576191</v>
      </c>
      <c r="E24" s="22">
        <f t="shared" si="6"/>
        <v>0.9938702471</v>
      </c>
      <c r="F24" s="23" t="str">
        <f t="shared" si="2"/>
        <v>C</v>
      </c>
      <c r="G24" s="23" t="str">
        <f t="shared" si="3"/>
        <v>C</v>
      </c>
      <c r="H24" s="25">
        <f t="shared" si="4"/>
        <v>0.511627907</v>
      </c>
      <c r="I24" s="25">
        <f t="shared" si="7"/>
        <v>1.227647907</v>
      </c>
      <c r="J24" s="25">
        <f t="shared" si="8"/>
        <v>0.9412228753</v>
      </c>
      <c r="K24" s="25">
        <f t="shared" si="9"/>
        <v>0.9995228753</v>
      </c>
    </row>
    <row r="25">
      <c r="A25" s="6">
        <v>23.0</v>
      </c>
      <c r="B25" s="7" t="s">
        <v>37</v>
      </c>
      <c r="C25" s="20">
        <v>6014.0</v>
      </c>
      <c r="D25" s="22">
        <f t="shared" si="1"/>
        <v>0.001142690373</v>
      </c>
      <c r="E25" s="22">
        <f t="shared" si="6"/>
        <v>0.9950129374</v>
      </c>
      <c r="F25" s="23" t="str">
        <f t="shared" si="2"/>
        <v>C</v>
      </c>
      <c r="G25" s="23" t="str">
        <f t="shared" si="3"/>
        <v>C</v>
      </c>
      <c r="H25" s="25">
        <f t="shared" si="4"/>
        <v>0.5348837209</v>
      </c>
      <c r="I25" s="25">
        <f t="shared" si="7"/>
        <v>1.250903721</v>
      </c>
      <c r="J25" s="25">
        <f t="shared" si="8"/>
        <v>0.9440193696</v>
      </c>
      <c r="K25" s="25">
        <f t="shared" si="9"/>
        <v>1.00231937</v>
      </c>
    </row>
    <row r="26">
      <c r="A26" s="15">
        <v>24.0</v>
      </c>
      <c r="B26" s="16" t="s">
        <v>38</v>
      </c>
      <c r="C26" s="20">
        <v>3972.0</v>
      </c>
      <c r="D26" s="22">
        <f t="shared" si="1"/>
        <v>0.0007547000599</v>
      </c>
      <c r="E26" s="22">
        <f t="shared" si="6"/>
        <v>0.9957676375</v>
      </c>
      <c r="F26" s="23" t="str">
        <f t="shared" si="2"/>
        <v>C</v>
      </c>
      <c r="G26" s="23" t="str">
        <f t="shared" si="3"/>
        <v>C</v>
      </c>
      <c r="H26" s="25">
        <f t="shared" si="4"/>
        <v>0.5581395349</v>
      </c>
      <c r="I26" s="25">
        <f t="shared" si="7"/>
        <v>1.274159535</v>
      </c>
      <c r="J26" s="25">
        <f t="shared" si="8"/>
        <v>0.9468158639</v>
      </c>
      <c r="K26" s="25">
        <f t="shared" si="9"/>
        <v>1.005115864</v>
      </c>
    </row>
    <row r="27">
      <c r="A27" s="6">
        <v>25.0</v>
      </c>
      <c r="B27" s="7" t="s">
        <v>39</v>
      </c>
      <c r="C27" s="20">
        <v>3564.0</v>
      </c>
      <c r="D27" s="22">
        <f t="shared" si="1"/>
        <v>0.0006771779994</v>
      </c>
      <c r="E27" s="22">
        <f t="shared" si="6"/>
        <v>0.9964448155</v>
      </c>
      <c r="F27" s="23" t="str">
        <f t="shared" si="2"/>
        <v>C</v>
      </c>
      <c r="G27" s="23" t="str">
        <f t="shared" si="3"/>
        <v>C</v>
      </c>
      <c r="H27" s="25">
        <f t="shared" si="4"/>
        <v>0.5813953488</v>
      </c>
      <c r="I27" s="25">
        <f t="shared" si="7"/>
        <v>1.297415349</v>
      </c>
      <c r="J27" s="25">
        <f t="shared" si="8"/>
        <v>0.9496123583</v>
      </c>
      <c r="K27" s="25">
        <f t="shared" si="9"/>
        <v>1.007912358</v>
      </c>
    </row>
    <row r="28">
      <c r="A28" s="15">
        <v>26.0</v>
      </c>
      <c r="B28" s="16" t="s">
        <v>40</v>
      </c>
      <c r="C28" s="20">
        <v>3260.0</v>
      </c>
      <c r="D28" s="22">
        <f t="shared" si="1"/>
        <v>0.0006194164641</v>
      </c>
      <c r="E28" s="22">
        <f t="shared" si="6"/>
        <v>0.997064232</v>
      </c>
      <c r="F28" s="23" t="str">
        <f t="shared" si="2"/>
        <v>C</v>
      </c>
      <c r="G28" s="23" t="str">
        <f t="shared" si="3"/>
        <v>C</v>
      </c>
      <c r="H28" s="25">
        <f t="shared" si="4"/>
        <v>0.6046511628</v>
      </c>
      <c r="I28" s="25">
        <f t="shared" si="7"/>
        <v>1.320671163</v>
      </c>
      <c r="J28" s="25">
        <f t="shared" si="8"/>
        <v>0.9524088526</v>
      </c>
      <c r="K28" s="25">
        <f t="shared" si="9"/>
        <v>1.010708853</v>
      </c>
    </row>
    <row r="29">
      <c r="A29" s="6">
        <v>27.0</v>
      </c>
      <c r="B29" s="7" t="s">
        <v>41</v>
      </c>
      <c r="C29" s="20">
        <v>2890.0</v>
      </c>
      <c r="D29" s="22">
        <f t="shared" si="1"/>
        <v>0.0005491145955</v>
      </c>
      <c r="E29" s="22">
        <f t="shared" si="6"/>
        <v>0.9976133466</v>
      </c>
      <c r="F29" s="23" t="str">
        <f t="shared" si="2"/>
        <v>C</v>
      </c>
      <c r="G29" s="23" t="str">
        <f t="shared" si="3"/>
        <v>C</v>
      </c>
      <c r="H29" s="25">
        <f t="shared" si="4"/>
        <v>0.6279069767</v>
      </c>
      <c r="I29" s="25">
        <f t="shared" si="7"/>
        <v>1.343926977</v>
      </c>
      <c r="J29" s="25">
        <f t="shared" si="8"/>
        <v>0.9552053469</v>
      </c>
      <c r="K29" s="25">
        <f t="shared" si="9"/>
        <v>1.013505347</v>
      </c>
    </row>
    <row r="30">
      <c r="A30" s="11">
        <v>28.0</v>
      </c>
      <c r="B30" s="12" t="s">
        <v>42</v>
      </c>
      <c r="C30" s="20">
        <v>2510.0</v>
      </c>
      <c r="D30" s="22">
        <f t="shared" si="1"/>
        <v>0.0004769126763</v>
      </c>
      <c r="E30" s="22">
        <f t="shared" si="6"/>
        <v>0.9980902592</v>
      </c>
      <c r="F30" s="23" t="str">
        <f t="shared" si="2"/>
        <v>C</v>
      </c>
      <c r="G30" s="23" t="str">
        <f t="shared" si="3"/>
        <v>C</v>
      </c>
      <c r="H30" s="25">
        <f t="shared" si="4"/>
        <v>0.6511627907</v>
      </c>
      <c r="I30" s="25">
        <f t="shared" si="7"/>
        <v>1.367182791</v>
      </c>
      <c r="J30" s="25">
        <f t="shared" si="8"/>
        <v>0.9580018413</v>
      </c>
      <c r="K30" s="25">
        <f t="shared" si="9"/>
        <v>1.016301841</v>
      </c>
    </row>
    <row r="31">
      <c r="A31" s="6">
        <v>29.0</v>
      </c>
      <c r="B31" s="7" t="s">
        <v>43</v>
      </c>
      <c r="C31" s="20">
        <v>2465.0</v>
      </c>
      <c r="D31" s="22">
        <f t="shared" si="1"/>
        <v>0.0004683624491</v>
      </c>
      <c r="E31" s="22">
        <f t="shared" si="6"/>
        <v>0.9985586217</v>
      </c>
      <c r="F31" s="23" t="str">
        <f t="shared" si="2"/>
        <v>C</v>
      </c>
      <c r="G31" s="23" t="str">
        <f t="shared" si="3"/>
        <v>C</v>
      </c>
      <c r="H31" s="25">
        <f t="shared" si="4"/>
        <v>0.6744186047</v>
      </c>
      <c r="I31" s="25">
        <f t="shared" si="7"/>
        <v>1.390438605</v>
      </c>
      <c r="J31" s="25">
        <f t="shared" si="8"/>
        <v>0.9607983356</v>
      </c>
      <c r="K31" s="25">
        <f t="shared" si="9"/>
        <v>1.019098336</v>
      </c>
    </row>
    <row r="32">
      <c r="A32" s="11">
        <v>30.0</v>
      </c>
      <c r="B32" s="12" t="s">
        <v>44</v>
      </c>
      <c r="C32" s="20">
        <v>1453.0</v>
      </c>
      <c r="D32" s="22">
        <f t="shared" si="1"/>
        <v>0.0002760773381</v>
      </c>
      <c r="E32" s="22">
        <f t="shared" si="6"/>
        <v>0.998834699</v>
      </c>
      <c r="F32" s="23" t="str">
        <f t="shared" si="2"/>
        <v>C</v>
      </c>
      <c r="G32" s="23" t="str">
        <f t="shared" si="3"/>
        <v>C</v>
      </c>
      <c r="H32" s="25">
        <f t="shared" si="4"/>
        <v>0.6976744186</v>
      </c>
      <c r="I32" s="25">
        <f t="shared" si="7"/>
        <v>1.413694419</v>
      </c>
      <c r="J32" s="25">
        <f t="shared" si="8"/>
        <v>0.9635948299</v>
      </c>
      <c r="K32" s="25">
        <f t="shared" si="9"/>
        <v>1.02189483</v>
      </c>
    </row>
    <row r="33">
      <c r="A33" s="6">
        <v>31.0</v>
      </c>
      <c r="B33" s="7" t="s">
        <v>45</v>
      </c>
      <c r="C33" s="20">
        <v>878.0</v>
      </c>
      <c r="D33" s="22">
        <f t="shared" si="1"/>
        <v>0.0001668244342</v>
      </c>
      <c r="E33" s="22">
        <f t="shared" si="6"/>
        <v>0.9990015235</v>
      </c>
      <c r="F33" s="23" t="str">
        <f t="shared" si="2"/>
        <v>C</v>
      </c>
      <c r="G33" s="23" t="str">
        <f t="shared" si="3"/>
        <v>C</v>
      </c>
      <c r="H33" s="25">
        <f t="shared" si="4"/>
        <v>0.7209302326</v>
      </c>
      <c r="I33" s="25">
        <f t="shared" si="7"/>
        <v>1.436950233</v>
      </c>
      <c r="J33" s="25">
        <f t="shared" si="8"/>
        <v>0.9663913243</v>
      </c>
      <c r="K33" s="25">
        <f t="shared" si="9"/>
        <v>1.024691324</v>
      </c>
    </row>
    <row r="34">
      <c r="A34" s="11">
        <v>32.0</v>
      </c>
      <c r="B34" s="12" t="s">
        <v>46</v>
      </c>
      <c r="C34" s="20">
        <v>767.0</v>
      </c>
      <c r="D34" s="22">
        <f t="shared" si="1"/>
        <v>0.0001457338736</v>
      </c>
      <c r="E34" s="22">
        <f t="shared" si="6"/>
        <v>0.9991472573</v>
      </c>
      <c r="F34" s="23" t="str">
        <f t="shared" si="2"/>
        <v>C</v>
      </c>
      <c r="G34" s="23" t="str">
        <f t="shared" si="3"/>
        <v>C</v>
      </c>
      <c r="H34" s="25">
        <f t="shared" si="4"/>
        <v>0.7441860465</v>
      </c>
      <c r="I34" s="25">
        <f t="shared" si="7"/>
        <v>1.460206047</v>
      </c>
      <c r="J34" s="25">
        <f t="shared" si="8"/>
        <v>0.9691878186</v>
      </c>
      <c r="K34" s="25">
        <f t="shared" si="9"/>
        <v>1.027487819</v>
      </c>
    </row>
    <row r="35">
      <c r="A35" s="6">
        <v>33.0</v>
      </c>
      <c r="B35" s="7" t="s">
        <v>47</v>
      </c>
      <c r="C35" s="20">
        <v>749.0</v>
      </c>
      <c r="D35" s="22">
        <f t="shared" si="1"/>
        <v>0.0001423137827</v>
      </c>
      <c r="E35" s="22">
        <f t="shared" si="6"/>
        <v>0.9992895711</v>
      </c>
      <c r="F35" s="23" t="str">
        <f t="shared" si="2"/>
        <v>C</v>
      </c>
      <c r="G35" s="23" t="str">
        <f t="shared" si="3"/>
        <v>C</v>
      </c>
      <c r="H35" s="25">
        <f t="shared" si="4"/>
        <v>0.7674418605</v>
      </c>
      <c r="I35" s="25">
        <f t="shared" si="7"/>
        <v>1.48346186</v>
      </c>
      <c r="J35" s="25">
        <f t="shared" si="8"/>
        <v>0.9719843129</v>
      </c>
      <c r="K35" s="25">
        <f t="shared" si="9"/>
        <v>1.030284313</v>
      </c>
    </row>
    <row r="36">
      <c r="A36" s="11">
        <v>34.0</v>
      </c>
      <c r="B36" s="12" t="s">
        <v>48</v>
      </c>
      <c r="C36" s="20">
        <v>633.0</v>
      </c>
      <c r="D36" s="22">
        <f t="shared" si="1"/>
        <v>0.0001202731969</v>
      </c>
      <c r="E36" s="22">
        <f t="shared" si="6"/>
        <v>0.9994098443</v>
      </c>
      <c r="F36" s="23" t="str">
        <f t="shared" si="2"/>
        <v>C</v>
      </c>
      <c r="G36" s="23" t="str">
        <f t="shared" si="3"/>
        <v>C</v>
      </c>
      <c r="H36" s="25">
        <f t="shared" si="4"/>
        <v>0.7906976744</v>
      </c>
      <c r="I36" s="25">
        <f t="shared" si="7"/>
        <v>1.506717674</v>
      </c>
      <c r="J36" s="25">
        <f t="shared" si="8"/>
        <v>0.9747808072</v>
      </c>
      <c r="K36" s="25">
        <f t="shared" si="9"/>
        <v>1.033080807</v>
      </c>
    </row>
    <row r="37">
      <c r="A37" s="6">
        <v>35.0</v>
      </c>
      <c r="B37" s="7" t="s">
        <v>49</v>
      </c>
      <c r="C37" s="20">
        <v>543.0</v>
      </c>
      <c r="D37" s="22">
        <f t="shared" si="1"/>
        <v>0.0001031727423</v>
      </c>
      <c r="E37" s="22">
        <f t="shared" si="6"/>
        <v>0.9995130171</v>
      </c>
      <c r="F37" s="23" t="str">
        <f t="shared" si="2"/>
        <v>C</v>
      </c>
      <c r="G37" s="23" t="str">
        <f t="shared" si="3"/>
        <v>C</v>
      </c>
      <c r="H37" s="25">
        <f t="shared" si="4"/>
        <v>0.8139534884</v>
      </c>
      <c r="I37" s="25">
        <f t="shared" si="7"/>
        <v>1.529973488</v>
      </c>
      <c r="J37" s="25">
        <f t="shared" si="8"/>
        <v>0.9775773016</v>
      </c>
      <c r="K37" s="25">
        <f t="shared" si="9"/>
        <v>1.035877302</v>
      </c>
    </row>
    <row r="38">
      <c r="A38" s="11">
        <v>36.0</v>
      </c>
      <c r="B38" s="12" t="s">
        <v>50</v>
      </c>
      <c r="C38" s="20">
        <v>484.0</v>
      </c>
      <c r="D38" s="22">
        <f t="shared" si="1"/>
        <v>0.00009196244436</v>
      </c>
      <c r="E38" s="22">
        <f t="shared" si="6"/>
        <v>0.9996049795</v>
      </c>
      <c r="F38" s="23" t="str">
        <f t="shared" si="2"/>
        <v>C</v>
      </c>
      <c r="G38" s="23" t="str">
        <f t="shared" si="3"/>
        <v>C</v>
      </c>
      <c r="H38" s="25">
        <f t="shared" si="4"/>
        <v>0.8372093023</v>
      </c>
      <c r="I38" s="25">
        <f t="shared" si="7"/>
        <v>1.553229302</v>
      </c>
      <c r="J38" s="25">
        <f t="shared" si="8"/>
        <v>0.9803737959</v>
      </c>
      <c r="K38" s="25">
        <f t="shared" si="9"/>
        <v>1.038673796</v>
      </c>
    </row>
    <row r="39">
      <c r="A39" s="6">
        <v>37.0</v>
      </c>
      <c r="B39" s="7" t="s">
        <v>51</v>
      </c>
      <c r="C39" s="20">
        <v>437.0</v>
      </c>
      <c r="D39" s="22">
        <f t="shared" si="1"/>
        <v>0.000083032207</v>
      </c>
      <c r="E39" s="22">
        <f t="shared" si="6"/>
        <v>0.9996880117</v>
      </c>
      <c r="F39" s="23" t="str">
        <f t="shared" si="2"/>
        <v>C</v>
      </c>
      <c r="G39" s="23" t="str">
        <f t="shared" si="3"/>
        <v>C</v>
      </c>
      <c r="H39" s="25">
        <f t="shared" si="4"/>
        <v>0.8604651163</v>
      </c>
      <c r="I39" s="25">
        <f t="shared" si="7"/>
        <v>1.576485116</v>
      </c>
      <c r="J39" s="25">
        <f t="shared" si="8"/>
        <v>0.9831702902</v>
      </c>
      <c r="K39" s="25">
        <f t="shared" si="9"/>
        <v>1.04147029</v>
      </c>
    </row>
    <row r="40">
      <c r="A40" s="11">
        <v>38.0</v>
      </c>
      <c r="B40" s="12" t="s">
        <v>52</v>
      </c>
      <c r="C40" s="20">
        <v>399.0</v>
      </c>
      <c r="D40" s="22">
        <f t="shared" si="1"/>
        <v>0.00007581201508</v>
      </c>
      <c r="E40" s="22">
        <f t="shared" si="6"/>
        <v>0.9997638237</v>
      </c>
      <c r="F40" s="23" t="str">
        <f t="shared" si="2"/>
        <v>C</v>
      </c>
      <c r="G40" s="23" t="str">
        <f t="shared" si="3"/>
        <v>C</v>
      </c>
      <c r="H40" s="25">
        <f t="shared" si="4"/>
        <v>0.8837209302</v>
      </c>
      <c r="I40" s="25">
        <f t="shared" si="7"/>
        <v>1.59974093</v>
      </c>
      <c r="J40" s="25">
        <f t="shared" si="8"/>
        <v>0.9859667846</v>
      </c>
      <c r="K40" s="25">
        <f t="shared" si="9"/>
        <v>1.044266785</v>
      </c>
    </row>
    <row r="41">
      <c r="A41" s="6">
        <v>39.0</v>
      </c>
      <c r="B41" s="7" t="s">
        <v>53</v>
      </c>
      <c r="C41" s="20">
        <v>318.0</v>
      </c>
      <c r="D41" s="22">
        <f t="shared" si="1"/>
        <v>0.00006042160601</v>
      </c>
      <c r="E41" s="22">
        <f t="shared" si="6"/>
        <v>0.9998242453</v>
      </c>
      <c r="F41" s="23" t="str">
        <f t="shared" si="2"/>
        <v>C</v>
      </c>
      <c r="G41" s="23" t="str">
        <f t="shared" si="3"/>
        <v>C</v>
      </c>
      <c r="H41" s="25">
        <f t="shared" si="4"/>
        <v>0.9069767442</v>
      </c>
      <c r="I41" s="25">
        <f t="shared" si="7"/>
        <v>1.622996744</v>
      </c>
      <c r="J41" s="25">
        <f t="shared" si="8"/>
        <v>0.9887632789</v>
      </c>
      <c r="K41" s="25">
        <f t="shared" si="9"/>
        <v>1.047063279</v>
      </c>
    </row>
    <row r="42">
      <c r="A42" s="11">
        <v>40.0</v>
      </c>
      <c r="B42" s="12" t="s">
        <v>54</v>
      </c>
      <c r="C42" s="20">
        <v>249.0</v>
      </c>
      <c r="D42" s="22">
        <f t="shared" si="1"/>
        <v>0.00004731125753</v>
      </c>
      <c r="E42" s="22">
        <f t="shared" si="6"/>
        <v>0.9998715566</v>
      </c>
      <c r="F42" s="23" t="str">
        <f t="shared" si="2"/>
        <v>C</v>
      </c>
      <c r="G42" s="23" t="str">
        <f t="shared" si="3"/>
        <v>C</v>
      </c>
      <c r="H42" s="25">
        <f t="shared" si="4"/>
        <v>0.9302325581</v>
      </c>
      <c r="I42" s="25">
        <f t="shared" si="7"/>
        <v>1.646252558</v>
      </c>
      <c r="J42" s="25">
        <f t="shared" si="8"/>
        <v>0.9915597732</v>
      </c>
      <c r="K42" s="25">
        <f t="shared" si="9"/>
        <v>1.049859773</v>
      </c>
    </row>
    <row r="43">
      <c r="A43" s="6">
        <v>41.0</v>
      </c>
      <c r="B43" s="7" t="s">
        <v>55</v>
      </c>
      <c r="C43" s="20">
        <v>230.0</v>
      </c>
      <c r="D43" s="22">
        <f t="shared" si="1"/>
        <v>0.00004370116158</v>
      </c>
      <c r="E43" s="22">
        <f t="shared" si="6"/>
        <v>0.9999152577</v>
      </c>
      <c r="F43" s="23" t="str">
        <f t="shared" si="2"/>
        <v>C</v>
      </c>
      <c r="G43" s="23" t="str">
        <f t="shared" si="3"/>
        <v>C</v>
      </c>
      <c r="H43" s="25">
        <f t="shared" si="4"/>
        <v>0.9534883721</v>
      </c>
      <c r="I43" s="25">
        <f t="shared" si="7"/>
        <v>1.669508372</v>
      </c>
      <c r="J43" s="25">
        <f t="shared" si="8"/>
        <v>0.9943562676</v>
      </c>
      <c r="K43" s="25">
        <f t="shared" si="9"/>
        <v>1.052656268</v>
      </c>
    </row>
    <row r="44">
      <c r="A44" s="11">
        <v>42.0</v>
      </c>
      <c r="B44" s="12" t="s">
        <v>56</v>
      </c>
      <c r="C44" s="20">
        <v>224.0</v>
      </c>
      <c r="D44" s="22">
        <f t="shared" si="1"/>
        <v>0.00004256113127</v>
      </c>
      <c r="E44" s="22">
        <f t="shared" si="6"/>
        <v>0.9999578189</v>
      </c>
      <c r="F44" s="23" t="str">
        <f t="shared" si="2"/>
        <v>C</v>
      </c>
      <c r="G44" s="23" t="str">
        <f t="shared" si="3"/>
        <v>C</v>
      </c>
      <c r="H44" s="25">
        <f t="shared" si="4"/>
        <v>0.976744186</v>
      </c>
      <c r="I44" s="25">
        <f t="shared" si="7"/>
        <v>1.692764186</v>
      </c>
      <c r="J44" s="25">
        <f t="shared" si="8"/>
        <v>0.9971527619</v>
      </c>
      <c r="K44" s="25">
        <f t="shared" si="9"/>
        <v>1.055452762</v>
      </c>
    </row>
    <row r="45">
      <c r="A45" s="15">
        <v>43.0</v>
      </c>
      <c r="B45" s="16" t="s">
        <v>57</v>
      </c>
      <c r="C45" s="20">
        <v>222.0</v>
      </c>
      <c r="D45" s="22">
        <f t="shared" si="1"/>
        <v>0.00004218112117</v>
      </c>
      <c r="E45" s="22">
        <f t="shared" si="6"/>
        <v>1</v>
      </c>
      <c r="F45" s="23" t="str">
        <f t="shared" si="2"/>
        <v>C</v>
      </c>
      <c r="G45" s="23" t="str">
        <f t="shared" si="3"/>
        <v>C</v>
      </c>
      <c r="H45" s="25">
        <f t="shared" si="4"/>
        <v>1</v>
      </c>
      <c r="I45" s="25">
        <f t="shared" si="7"/>
        <v>1.71602</v>
      </c>
      <c r="J45" s="25">
        <f t="shared" si="8"/>
        <v>0.9999492562</v>
      </c>
      <c r="K45" s="25">
        <f t="shared" si="9"/>
        <v>1.058249256</v>
      </c>
    </row>
    <row r="46">
      <c r="B46" s="21" t="s">
        <v>78</v>
      </c>
      <c r="C46" s="23">
        <v>5263018.0</v>
      </c>
    </row>
  </sheetData>
  <mergeCells count="1">
    <mergeCell ref="A1:B1"/>
  </mergeCells>
  <conditionalFormatting sqref="F3:F45">
    <cfRule type="cellIs" dxfId="0" priority="1" operator="equal">
      <formula>"A"</formula>
    </cfRule>
  </conditionalFormatting>
  <conditionalFormatting sqref="F3:F45">
    <cfRule type="cellIs" dxfId="1" priority="2" operator="equal">
      <formula>"B"</formula>
    </cfRule>
  </conditionalFormatting>
  <conditionalFormatting sqref="F3:F45">
    <cfRule type="cellIs" dxfId="2" priority="3" operator="equal">
      <formula>"C"</formula>
    </cfRule>
  </conditionalFormatting>
  <conditionalFormatting sqref="G3:G45">
    <cfRule type="cellIs" dxfId="0" priority="4" operator="equal">
      <formula>"A"</formula>
    </cfRule>
  </conditionalFormatting>
  <conditionalFormatting sqref="G3:G45">
    <cfRule type="cellIs" dxfId="1" priority="5" operator="equal">
      <formula>"B"</formula>
    </cfRule>
  </conditionalFormatting>
  <conditionalFormatting sqref="G3:G45">
    <cfRule type="cellIs" dxfId="2" priority="6" operator="equal">
      <formula>"C"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</hyperlinks>
  <drawing r:id="rId4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C1" s="20" t="s">
        <v>14</v>
      </c>
      <c r="D1" s="21" t="s">
        <v>58</v>
      </c>
      <c r="E1" s="21" t="s">
        <v>79</v>
      </c>
    </row>
    <row r="2">
      <c r="A2" s="21">
        <v>0.0</v>
      </c>
      <c r="E2" s="27">
        <f t="shared" ref="E2:E45" si="1">A2/$A$45</f>
        <v>0</v>
      </c>
      <c r="H2" s="21" t="s">
        <v>80</v>
      </c>
      <c r="I2" s="28">
        <v>0.293</v>
      </c>
    </row>
    <row r="3">
      <c r="A3" s="6">
        <v>1.0</v>
      </c>
      <c r="B3" s="7" t="s">
        <v>15</v>
      </c>
      <c r="C3" s="20">
        <v>1508647.0</v>
      </c>
      <c r="D3" s="22">
        <f t="shared" ref="D3:D45" si="2">C3/$C$46</f>
        <v>0.2866505492</v>
      </c>
      <c r="E3" s="27">
        <f t="shared" si="1"/>
        <v>0.02325581395</v>
      </c>
      <c r="F3" s="23" t="str">
        <f t="shared" ref="F3:F45" si="3">IF(E3&lt;$I$2, "A", IF(E3&lt;$I$4, "B", "C"))</f>
        <v>A</v>
      </c>
      <c r="H3" s="21" t="s">
        <v>81</v>
      </c>
      <c r="I3" s="28">
        <v>0.707</v>
      </c>
    </row>
    <row r="4">
      <c r="A4" s="11">
        <v>2.0</v>
      </c>
      <c r="B4" s="12" t="s">
        <v>16</v>
      </c>
      <c r="C4" s="20">
        <v>747226.0</v>
      </c>
      <c r="D4" s="22">
        <f t="shared" si="2"/>
        <v>0.1419767137</v>
      </c>
      <c r="E4" s="27">
        <f t="shared" si="1"/>
        <v>0.04651162791</v>
      </c>
      <c r="F4" s="23" t="str">
        <f t="shared" si="3"/>
        <v>A</v>
      </c>
      <c r="H4" s="21" t="s">
        <v>82</v>
      </c>
      <c r="I4" s="28">
        <v>0.618</v>
      </c>
    </row>
    <row r="5">
      <c r="A5" s="6">
        <v>3.0</v>
      </c>
      <c r="B5" s="7" t="s">
        <v>17</v>
      </c>
      <c r="C5" s="20">
        <v>714594.0</v>
      </c>
      <c r="D5" s="22">
        <f t="shared" si="2"/>
        <v>0.1357764689</v>
      </c>
      <c r="E5" s="27">
        <f t="shared" si="1"/>
        <v>0.06976744186</v>
      </c>
      <c r="F5" s="23" t="str">
        <f t="shared" si="3"/>
        <v>A</v>
      </c>
      <c r="H5" s="21" t="s">
        <v>83</v>
      </c>
      <c r="I5" s="28">
        <v>0.924</v>
      </c>
    </row>
    <row r="6">
      <c r="A6" s="11">
        <v>4.0</v>
      </c>
      <c r="B6" s="12" t="s">
        <v>18</v>
      </c>
      <c r="C6" s="20">
        <v>646781.0</v>
      </c>
      <c r="D6" s="22">
        <f t="shared" si="2"/>
        <v>0.1228916565</v>
      </c>
      <c r="E6" s="27">
        <f t="shared" si="1"/>
        <v>0.09302325581</v>
      </c>
      <c r="F6" s="23" t="str">
        <f t="shared" si="3"/>
        <v>A</v>
      </c>
    </row>
    <row r="7">
      <c r="A7" s="6">
        <v>5.0</v>
      </c>
      <c r="B7" s="7" t="s">
        <v>19</v>
      </c>
      <c r="C7" s="20">
        <v>616033.0</v>
      </c>
      <c r="D7" s="22">
        <f t="shared" si="2"/>
        <v>0.1170493812</v>
      </c>
      <c r="E7" s="27">
        <f t="shared" si="1"/>
        <v>0.1162790698</v>
      </c>
      <c r="F7" s="23" t="str">
        <f t="shared" si="3"/>
        <v>A</v>
      </c>
    </row>
    <row r="8">
      <c r="A8" s="11">
        <v>6.0</v>
      </c>
      <c r="B8" s="12" t="s">
        <v>20</v>
      </c>
      <c r="C8" s="20">
        <v>220743.0</v>
      </c>
      <c r="D8" s="22">
        <f t="shared" si="2"/>
        <v>0.04194228483</v>
      </c>
      <c r="E8" s="27">
        <f t="shared" si="1"/>
        <v>0.1395348837</v>
      </c>
      <c r="F8" s="23" t="str">
        <f t="shared" si="3"/>
        <v>A</v>
      </c>
    </row>
    <row r="9">
      <c r="A9" s="6">
        <v>7.0</v>
      </c>
      <c r="B9" s="7" t="s">
        <v>21</v>
      </c>
      <c r="C9" s="20">
        <v>148453.0</v>
      </c>
      <c r="D9" s="22">
        <f t="shared" si="2"/>
        <v>0.02820681974</v>
      </c>
      <c r="E9" s="27">
        <f t="shared" si="1"/>
        <v>0.1627906977</v>
      </c>
      <c r="F9" s="23" t="str">
        <f t="shared" si="3"/>
        <v>A</v>
      </c>
    </row>
    <row r="10">
      <c r="A10" s="11">
        <v>8.0</v>
      </c>
      <c r="B10" s="12" t="s">
        <v>22</v>
      </c>
      <c r="C10" s="20">
        <v>145411.0</v>
      </c>
      <c r="D10" s="22">
        <f t="shared" si="2"/>
        <v>0.02762882437</v>
      </c>
      <c r="E10" s="27">
        <f t="shared" si="1"/>
        <v>0.1860465116</v>
      </c>
      <c r="F10" s="23" t="str">
        <f t="shared" si="3"/>
        <v>A</v>
      </c>
    </row>
    <row r="11">
      <c r="A11" s="6">
        <v>9.0</v>
      </c>
      <c r="B11" s="7" t="s">
        <v>23</v>
      </c>
      <c r="C11" s="20">
        <v>75125.0</v>
      </c>
      <c r="D11" s="22">
        <f t="shared" si="2"/>
        <v>0.01427412941</v>
      </c>
      <c r="E11" s="27">
        <f t="shared" si="1"/>
        <v>0.2093023256</v>
      </c>
      <c r="F11" s="23" t="str">
        <f t="shared" si="3"/>
        <v>A</v>
      </c>
    </row>
    <row r="12">
      <c r="A12" s="11">
        <v>10.0</v>
      </c>
      <c r="B12" s="12" t="s">
        <v>24</v>
      </c>
      <c r="C12" s="20">
        <v>68723.0</v>
      </c>
      <c r="D12" s="22">
        <f t="shared" si="2"/>
        <v>0.01305771707</v>
      </c>
      <c r="E12" s="27">
        <f t="shared" si="1"/>
        <v>0.2325581395</v>
      </c>
      <c r="F12" s="23" t="str">
        <f t="shared" si="3"/>
        <v>A</v>
      </c>
    </row>
    <row r="13">
      <c r="A13" s="6">
        <v>11.0</v>
      </c>
      <c r="B13" s="7" t="s">
        <v>25</v>
      </c>
      <c r="C13" s="20">
        <v>67560.0</v>
      </c>
      <c r="D13" s="22">
        <f t="shared" si="2"/>
        <v>0.0128367412</v>
      </c>
      <c r="E13" s="27">
        <f t="shared" si="1"/>
        <v>0.2558139535</v>
      </c>
      <c r="F13" s="23" t="str">
        <f t="shared" si="3"/>
        <v>A</v>
      </c>
    </row>
    <row r="14">
      <c r="A14" s="11">
        <v>12.0</v>
      </c>
      <c r="B14" s="12" t="s">
        <v>26</v>
      </c>
      <c r="C14" s="20">
        <v>55096.0</v>
      </c>
      <c r="D14" s="22">
        <f t="shared" si="2"/>
        <v>0.01046851825</v>
      </c>
      <c r="E14" s="27">
        <f t="shared" si="1"/>
        <v>0.2790697674</v>
      </c>
      <c r="F14" s="23" t="str">
        <f t="shared" si="3"/>
        <v>A</v>
      </c>
    </row>
    <row r="15">
      <c r="A15" s="6">
        <v>13.0</v>
      </c>
      <c r="B15" s="7" t="s">
        <v>27</v>
      </c>
      <c r="C15" s="20">
        <v>51961.0</v>
      </c>
      <c r="D15" s="22">
        <f t="shared" si="2"/>
        <v>0.00987285242</v>
      </c>
      <c r="E15" s="27">
        <f t="shared" si="1"/>
        <v>0.3023255814</v>
      </c>
      <c r="F15" s="23" t="str">
        <f t="shared" si="3"/>
        <v>B</v>
      </c>
    </row>
    <row r="16">
      <c r="A16" s="11">
        <v>14.0</v>
      </c>
      <c r="B16" s="12" t="s">
        <v>28</v>
      </c>
      <c r="C16" s="20">
        <v>51235.0</v>
      </c>
      <c r="D16" s="22">
        <f t="shared" si="2"/>
        <v>0.009734908754</v>
      </c>
      <c r="E16" s="27">
        <f t="shared" si="1"/>
        <v>0.3255813953</v>
      </c>
      <c r="F16" s="23" t="str">
        <f t="shared" si="3"/>
        <v>B</v>
      </c>
    </row>
    <row r="17">
      <c r="A17" s="6">
        <v>15.0</v>
      </c>
      <c r="B17" s="7" t="s">
        <v>29</v>
      </c>
      <c r="C17" s="20">
        <v>26473.0</v>
      </c>
      <c r="D17" s="22">
        <f t="shared" si="2"/>
        <v>0.005030003697</v>
      </c>
      <c r="E17" s="27">
        <f t="shared" si="1"/>
        <v>0.3488372093</v>
      </c>
      <c r="F17" s="23" t="str">
        <f t="shared" si="3"/>
        <v>B</v>
      </c>
    </row>
    <row r="18">
      <c r="A18" s="11">
        <v>16.0</v>
      </c>
      <c r="B18" s="12" t="s">
        <v>30</v>
      </c>
      <c r="C18" s="20">
        <v>25985.0</v>
      </c>
      <c r="D18" s="22">
        <f t="shared" si="2"/>
        <v>0.004937281233</v>
      </c>
      <c r="E18" s="27">
        <f t="shared" si="1"/>
        <v>0.3720930233</v>
      </c>
      <c r="F18" s="23" t="str">
        <f t="shared" si="3"/>
        <v>B</v>
      </c>
    </row>
    <row r="19">
      <c r="A19" s="6">
        <v>17.0</v>
      </c>
      <c r="B19" s="7" t="s">
        <v>31</v>
      </c>
      <c r="C19" s="20">
        <v>17804.0</v>
      </c>
      <c r="D19" s="22">
        <f t="shared" si="2"/>
        <v>0.003382849916</v>
      </c>
      <c r="E19" s="27">
        <f t="shared" si="1"/>
        <v>0.3953488372</v>
      </c>
      <c r="F19" s="23" t="str">
        <f t="shared" si="3"/>
        <v>B</v>
      </c>
    </row>
    <row r="20">
      <c r="A20" s="11">
        <v>18.0</v>
      </c>
      <c r="B20" s="12" t="s">
        <v>32</v>
      </c>
      <c r="C20" s="20">
        <v>11438.0</v>
      </c>
      <c r="D20" s="22">
        <f t="shared" si="2"/>
        <v>0.002173277766</v>
      </c>
      <c r="E20" s="27">
        <f t="shared" si="1"/>
        <v>0.4186046512</v>
      </c>
      <c r="F20" s="23" t="str">
        <f t="shared" si="3"/>
        <v>B</v>
      </c>
    </row>
    <row r="21">
      <c r="A21" s="6">
        <v>19.0</v>
      </c>
      <c r="B21" s="7" t="s">
        <v>33</v>
      </c>
      <c r="C21" s="20">
        <v>9881.0</v>
      </c>
      <c r="D21" s="22">
        <f t="shared" si="2"/>
        <v>0.001877439902</v>
      </c>
      <c r="E21" s="27">
        <f t="shared" si="1"/>
        <v>0.4418604651</v>
      </c>
      <c r="F21" s="23" t="str">
        <f t="shared" si="3"/>
        <v>B</v>
      </c>
    </row>
    <row r="22">
      <c r="A22" s="11">
        <v>20.0</v>
      </c>
      <c r="B22" s="12" t="s">
        <v>34</v>
      </c>
      <c r="C22" s="20">
        <v>7253.0</v>
      </c>
      <c r="D22" s="22">
        <f t="shared" si="2"/>
        <v>0.00137810663</v>
      </c>
      <c r="E22" s="27">
        <f t="shared" si="1"/>
        <v>0.4651162791</v>
      </c>
      <c r="F22" s="23" t="str">
        <f t="shared" si="3"/>
        <v>B</v>
      </c>
    </row>
    <row r="23">
      <c r="A23" s="6">
        <v>21.0</v>
      </c>
      <c r="B23" s="7" t="s">
        <v>35</v>
      </c>
      <c r="C23" s="20">
        <v>7169.0</v>
      </c>
      <c r="D23" s="22">
        <f t="shared" si="2"/>
        <v>0.001362146206</v>
      </c>
      <c r="E23" s="27">
        <f t="shared" si="1"/>
        <v>0.488372093</v>
      </c>
      <c r="F23" s="23" t="str">
        <f t="shared" si="3"/>
        <v>B</v>
      </c>
    </row>
    <row r="24">
      <c r="A24" s="11">
        <v>22.0</v>
      </c>
      <c r="B24" s="12" t="s">
        <v>36</v>
      </c>
      <c r="C24" s="20">
        <v>7166.0</v>
      </c>
      <c r="D24" s="22">
        <f t="shared" si="2"/>
        <v>0.001361576191</v>
      </c>
      <c r="E24" s="27">
        <f t="shared" si="1"/>
        <v>0.511627907</v>
      </c>
      <c r="F24" s="23" t="str">
        <f t="shared" si="3"/>
        <v>B</v>
      </c>
    </row>
    <row r="25">
      <c r="A25" s="6">
        <v>23.0</v>
      </c>
      <c r="B25" s="7" t="s">
        <v>37</v>
      </c>
      <c r="C25" s="20">
        <v>6014.0</v>
      </c>
      <c r="D25" s="22">
        <f t="shared" si="2"/>
        <v>0.001142690373</v>
      </c>
      <c r="E25" s="27">
        <f t="shared" si="1"/>
        <v>0.5348837209</v>
      </c>
      <c r="F25" s="23" t="str">
        <f t="shared" si="3"/>
        <v>B</v>
      </c>
    </row>
    <row r="26">
      <c r="A26" s="15">
        <v>24.0</v>
      </c>
      <c r="B26" s="16" t="s">
        <v>38</v>
      </c>
      <c r="C26" s="20">
        <v>3972.0</v>
      </c>
      <c r="D26" s="22">
        <f t="shared" si="2"/>
        <v>0.0007547000599</v>
      </c>
      <c r="E26" s="27">
        <f t="shared" si="1"/>
        <v>0.5581395349</v>
      </c>
      <c r="F26" s="23" t="str">
        <f t="shared" si="3"/>
        <v>B</v>
      </c>
    </row>
    <row r="27">
      <c r="A27" s="6">
        <v>25.0</v>
      </c>
      <c r="B27" s="7" t="s">
        <v>39</v>
      </c>
      <c r="C27" s="20">
        <v>3564.0</v>
      </c>
      <c r="D27" s="22">
        <f t="shared" si="2"/>
        <v>0.0006771779994</v>
      </c>
      <c r="E27" s="27">
        <f t="shared" si="1"/>
        <v>0.5813953488</v>
      </c>
      <c r="F27" s="23" t="str">
        <f t="shared" si="3"/>
        <v>B</v>
      </c>
    </row>
    <row r="28">
      <c r="A28" s="15">
        <v>26.0</v>
      </c>
      <c r="B28" s="16" t="s">
        <v>40</v>
      </c>
      <c r="C28" s="20">
        <v>3260.0</v>
      </c>
      <c r="D28" s="22">
        <f t="shared" si="2"/>
        <v>0.0006194164641</v>
      </c>
      <c r="E28" s="27">
        <f t="shared" si="1"/>
        <v>0.6046511628</v>
      </c>
      <c r="F28" s="23" t="str">
        <f t="shared" si="3"/>
        <v>B</v>
      </c>
    </row>
    <row r="29">
      <c r="A29" s="6">
        <v>27.0</v>
      </c>
      <c r="B29" s="7" t="s">
        <v>41</v>
      </c>
      <c r="C29" s="20">
        <v>2890.0</v>
      </c>
      <c r="D29" s="22">
        <f t="shared" si="2"/>
        <v>0.0005491145955</v>
      </c>
      <c r="E29" s="27">
        <f t="shared" si="1"/>
        <v>0.6279069767</v>
      </c>
      <c r="F29" s="23" t="str">
        <f t="shared" si="3"/>
        <v>C</v>
      </c>
    </row>
    <row r="30">
      <c r="A30" s="11">
        <v>28.0</v>
      </c>
      <c r="B30" s="12" t="s">
        <v>42</v>
      </c>
      <c r="C30" s="20">
        <v>2510.0</v>
      </c>
      <c r="D30" s="22">
        <f t="shared" si="2"/>
        <v>0.0004769126763</v>
      </c>
      <c r="E30" s="27">
        <f t="shared" si="1"/>
        <v>0.6511627907</v>
      </c>
      <c r="F30" s="23" t="str">
        <f t="shared" si="3"/>
        <v>C</v>
      </c>
    </row>
    <row r="31">
      <c r="A31" s="6">
        <v>29.0</v>
      </c>
      <c r="B31" s="7" t="s">
        <v>43</v>
      </c>
      <c r="C31" s="20">
        <v>2465.0</v>
      </c>
      <c r="D31" s="22">
        <f t="shared" si="2"/>
        <v>0.0004683624491</v>
      </c>
      <c r="E31" s="27">
        <f t="shared" si="1"/>
        <v>0.6744186047</v>
      </c>
      <c r="F31" s="23" t="str">
        <f t="shared" si="3"/>
        <v>C</v>
      </c>
    </row>
    <row r="32">
      <c r="A32" s="11">
        <v>30.0</v>
      </c>
      <c r="B32" s="12" t="s">
        <v>44</v>
      </c>
      <c r="C32" s="20">
        <v>1453.0</v>
      </c>
      <c r="D32" s="22">
        <f t="shared" si="2"/>
        <v>0.0002760773381</v>
      </c>
      <c r="E32" s="27">
        <f t="shared" si="1"/>
        <v>0.6976744186</v>
      </c>
      <c r="F32" s="23" t="str">
        <f t="shared" si="3"/>
        <v>C</v>
      </c>
    </row>
    <row r="33">
      <c r="A33" s="6">
        <v>31.0</v>
      </c>
      <c r="B33" s="7" t="s">
        <v>45</v>
      </c>
      <c r="C33" s="20">
        <v>878.0</v>
      </c>
      <c r="D33" s="22">
        <f t="shared" si="2"/>
        <v>0.0001668244342</v>
      </c>
      <c r="E33" s="27">
        <f t="shared" si="1"/>
        <v>0.7209302326</v>
      </c>
      <c r="F33" s="23" t="str">
        <f t="shared" si="3"/>
        <v>C</v>
      </c>
    </row>
    <row r="34">
      <c r="A34" s="11">
        <v>32.0</v>
      </c>
      <c r="B34" s="12" t="s">
        <v>46</v>
      </c>
      <c r="C34" s="20">
        <v>767.0</v>
      </c>
      <c r="D34" s="22">
        <f t="shared" si="2"/>
        <v>0.0001457338736</v>
      </c>
      <c r="E34" s="27">
        <f t="shared" si="1"/>
        <v>0.7441860465</v>
      </c>
      <c r="F34" s="23" t="str">
        <f t="shared" si="3"/>
        <v>C</v>
      </c>
    </row>
    <row r="35">
      <c r="A35" s="6">
        <v>33.0</v>
      </c>
      <c r="B35" s="7" t="s">
        <v>47</v>
      </c>
      <c r="C35" s="20">
        <v>749.0</v>
      </c>
      <c r="D35" s="22">
        <f t="shared" si="2"/>
        <v>0.0001423137827</v>
      </c>
      <c r="E35" s="27">
        <f t="shared" si="1"/>
        <v>0.7674418605</v>
      </c>
      <c r="F35" s="23" t="str">
        <f t="shared" si="3"/>
        <v>C</v>
      </c>
    </row>
    <row r="36">
      <c r="A36" s="11">
        <v>34.0</v>
      </c>
      <c r="B36" s="12" t="s">
        <v>48</v>
      </c>
      <c r="C36" s="20">
        <v>633.0</v>
      </c>
      <c r="D36" s="22">
        <f t="shared" si="2"/>
        <v>0.0001202731969</v>
      </c>
      <c r="E36" s="27">
        <f t="shared" si="1"/>
        <v>0.7906976744</v>
      </c>
      <c r="F36" s="23" t="str">
        <f t="shared" si="3"/>
        <v>C</v>
      </c>
    </row>
    <row r="37">
      <c r="A37" s="6">
        <v>35.0</v>
      </c>
      <c r="B37" s="7" t="s">
        <v>49</v>
      </c>
      <c r="C37" s="20">
        <v>543.0</v>
      </c>
      <c r="D37" s="22">
        <f t="shared" si="2"/>
        <v>0.0001031727423</v>
      </c>
      <c r="E37" s="27">
        <f t="shared" si="1"/>
        <v>0.8139534884</v>
      </c>
      <c r="F37" s="23" t="str">
        <f t="shared" si="3"/>
        <v>C</v>
      </c>
    </row>
    <row r="38">
      <c r="A38" s="11">
        <v>36.0</v>
      </c>
      <c r="B38" s="12" t="s">
        <v>50</v>
      </c>
      <c r="C38" s="20">
        <v>484.0</v>
      </c>
      <c r="D38" s="22">
        <f t="shared" si="2"/>
        <v>0.00009196244436</v>
      </c>
      <c r="E38" s="27">
        <f t="shared" si="1"/>
        <v>0.8372093023</v>
      </c>
      <c r="F38" s="23" t="str">
        <f t="shared" si="3"/>
        <v>C</v>
      </c>
    </row>
    <row r="39">
      <c r="A39" s="6">
        <v>37.0</v>
      </c>
      <c r="B39" s="7" t="s">
        <v>51</v>
      </c>
      <c r="C39" s="20">
        <v>437.0</v>
      </c>
      <c r="D39" s="22">
        <f t="shared" si="2"/>
        <v>0.000083032207</v>
      </c>
      <c r="E39" s="27">
        <f t="shared" si="1"/>
        <v>0.8604651163</v>
      </c>
      <c r="F39" s="23" t="str">
        <f t="shared" si="3"/>
        <v>C</v>
      </c>
    </row>
    <row r="40">
      <c r="A40" s="11">
        <v>38.0</v>
      </c>
      <c r="B40" s="12" t="s">
        <v>52</v>
      </c>
      <c r="C40" s="20">
        <v>399.0</v>
      </c>
      <c r="D40" s="22">
        <f t="shared" si="2"/>
        <v>0.00007581201508</v>
      </c>
      <c r="E40" s="27">
        <f t="shared" si="1"/>
        <v>0.8837209302</v>
      </c>
      <c r="F40" s="23" t="str">
        <f t="shared" si="3"/>
        <v>C</v>
      </c>
    </row>
    <row r="41">
      <c r="A41" s="6">
        <v>39.0</v>
      </c>
      <c r="B41" s="7" t="s">
        <v>53</v>
      </c>
      <c r="C41" s="20">
        <v>318.0</v>
      </c>
      <c r="D41" s="22">
        <f t="shared" si="2"/>
        <v>0.00006042160601</v>
      </c>
      <c r="E41" s="27">
        <f t="shared" si="1"/>
        <v>0.9069767442</v>
      </c>
      <c r="F41" s="23" t="str">
        <f t="shared" si="3"/>
        <v>C</v>
      </c>
    </row>
    <row r="42">
      <c r="A42" s="11">
        <v>40.0</v>
      </c>
      <c r="B42" s="12" t="s">
        <v>54</v>
      </c>
      <c r="C42" s="20">
        <v>249.0</v>
      </c>
      <c r="D42" s="22">
        <f t="shared" si="2"/>
        <v>0.00004731125753</v>
      </c>
      <c r="E42" s="27">
        <f t="shared" si="1"/>
        <v>0.9302325581</v>
      </c>
      <c r="F42" s="23" t="str">
        <f t="shared" si="3"/>
        <v>C</v>
      </c>
    </row>
    <row r="43">
      <c r="A43" s="6">
        <v>41.0</v>
      </c>
      <c r="B43" s="7" t="s">
        <v>55</v>
      </c>
      <c r="C43" s="20">
        <v>230.0</v>
      </c>
      <c r="D43" s="22">
        <f t="shared" si="2"/>
        <v>0.00004370116158</v>
      </c>
      <c r="E43" s="27">
        <f t="shared" si="1"/>
        <v>0.9534883721</v>
      </c>
      <c r="F43" s="23" t="str">
        <f t="shared" si="3"/>
        <v>C</v>
      </c>
    </row>
    <row r="44">
      <c r="A44" s="11">
        <v>42.0</v>
      </c>
      <c r="B44" s="12" t="s">
        <v>56</v>
      </c>
      <c r="C44" s="20">
        <v>224.0</v>
      </c>
      <c r="D44" s="22">
        <f t="shared" si="2"/>
        <v>0.00004256113127</v>
      </c>
      <c r="E44" s="27">
        <f t="shared" si="1"/>
        <v>0.976744186</v>
      </c>
      <c r="F44" s="23" t="str">
        <f t="shared" si="3"/>
        <v>C</v>
      </c>
    </row>
    <row r="45">
      <c r="A45" s="15">
        <v>43.0</v>
      </c>
      <c r="B45" s="16" t="s">
        <v>57</v>
      </c>
      <c r="C45" s="20">
        <v>222.0</v>
      </c>
      <c r="D45" s="22">
        <f t="shared" si="2"/>
        <v>0.00004218112117</v>
      </c>
      <c r="E45" s="27">
        <f t="shared" si="1"/>
        <v>1</v>
      </c>
      <c r="F45" s="23" t="str">
        <f t="shared" si="3"/>
        <v>C</v>
      </c>
    </row>
    <row r="46">
      <c r="B46" s="21" t="s">
        <v>61</v>
      </c>
      <c r="C46" s="23">
        <v>5263018.0</v>
      </c>
    </row>
  </sheetData>
  <mergeCells count="1">
    <mergeCell ref="A1:B1"/>
  </mergeCells>
  <conditionalFormatting sqref="F3:F45">
    <cfRule type="cellIs" dxfId="0" priority="1" operator="equal">
      <formula>"A"</formula>
    </cfRule>
  </conditionalFormatting>
  <conditionalFormatting sqref="F3:F45">
    <cfRule type="cellIs" dxfId="1" priority="2" operator="equal">
      <formula>"B"</formula>
    </cfRule>
  </conditionalFormatting>
  <conditionalFormatting sqref="F3:F45">
    <cfRule type="cellIs" dxfId="2" priority="3" operator="equal">
      <formula>"C"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</hyperlinks>
  <drawing r:id="rId4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</cols>
  <sheetData>
    <row r="1">
      <c r="A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21" t="s">
        <v>84</v>
      </c>
      <c r="Q1" s="21" t="s">
        <v>85</v>
      </c>
      <c r="R1" s="21" t="s">
        <v>86</v>
      </c>
      <c r="S1" s="21" t="s">
        <v>87</v>
      </c>
      <c r="T1" s="21" t="s">
        <v>88</v>
      </c>
      <c r="U1" s="21" t="s">
        <v>89</v>
      </c>
    </row>
    <row r="2">
      <c r="A2" s="29">
        <v>4.0</v>
      </c>
      <c r="B2" s="12" t="s">
        <v>18</v>
      </c>
      <c r="C2" s="30">
        <v>53599.0</v>
      </c>
      <c r="D2" s="30">
        <v>58895.0</v>
      </c>
      <c r="E2" s="30">
        <v>75564.0</v>
      </c>
      <c r="F2" s="30">
        <v>48818.0</v>
      </c>
      <c r="G2" s="30">
        <v>44676.0</v>
      </c>
      <c r="H2" s="30">
        <v>53562.0</v>
      </c>
      <c r="I2" s="30">
        <v>54145.0</v>
      </c>
      <c r="J2" s="30">
        <v>43607.0</v>
      </c>
      <c r="K2" s="30">
        <v>54074.0</v>
      </c>
      <c r="L2" s="30">
        <v>56431.0</v>
      </c>
      <c r="M2" s="30">
        <v>54667.0</v>
      </c>
      <c r="N2" s="30">
        <v>48743.0</v>
      </c>
      <c r="O2" s="10">
        <f t="shared" ref="O2:O44" si="1">SUM(C2:N2)</f>
        <v>646781</v>
      </c>
      <c r="P2" s="31">
        <f t="shared" ref="P2:P45" si="2">AVERAGE(C2:N2)</f>
        <v>53898.41667</v>
      </c>
      <c r="Q2" s="31">
        <f t="shared" ref="Q2:Q45" si="3">STDEV(C2:N2)</f>
        <v>8229.755795</v>
      </c>
      <c r="R2" s="32">
        <f t="shared" ref="R2:R45" si="4">Q2/P2</f>
        <v>0.1526901216</v>
      </c>
      <c r="S2" s="33" t="str">
        <f t="shared" ref="S2:S44" si="5">IFS(R2&lt;0.1,"X",R2&lt;0.25,"Y",R2&gt;=0.25,"Z")</f>
        <v>Y</v>
      </c>
      <c r="T2" s="34" t="str">
        <f t="shared" ref="T2:T44" si="6">IFS(R2&lt;0.25,"X",R2&lt;0.5,"Y",R2&gt;=0.5,"Z")</f>
        <v>X</v>
      </c>
      <c r="U2" s="33" t="str">
        <f t="shared" ref="U2:U44" si="7">IFS(R2&lt;0.175,"X",R2&lt;0.425,"Y",R2&gt;=0.425,"Z")</f>
        <v>X</v>
      </c>
    </row>
    <row r="3">
      <c r="A3" s="35">
        <v>3.0</v>
      </c>
      <c r="B3" s="7" t="s">
        <v>17</v>
      </c>
      <c r="C3" s="36">
        <v>53395.0</v>
      </c>
      <c r="D3" s="36">
        <v>63303.0</v>
      </c>
      <c r="E3" s="36">
        <v>83895.0</v>
      </c>
      <c r="F3" s="36">
        <v>56029.0</v>
      </c>
      <c r="G3" s="36">
        <v>54089.0</v>
      </c>
      <c r="H3" s="36">
        <v>63367.0</v>
      </c>
      <c r="I3" s="36">
        <v>60460.0</v>
      </c>
      <c r="J3" s="36">
        <v>49794.0</v>
      </c>
      <c r="K3" s="36">
        <v>65204.0</v>
      </c>
      <c r="L3" s="36">
        <v>54204.0</v>
      </c>
      <c r="M3" s="36">
        <v>59373.0</v>
      </c>
      <c r="N3" s="36">
        <v>51481.0</v>
      </c>
      <c r="O3" s="10">
        <f t="shared" si="1"/>
        <v>714594</v>
      </c>
      <c r="P3" s="31">
        <f t="shared" si="2"/>
        <v>59549.5</v>
      </c>
      <c r="Q3" s="31">
        <f t="shared" si="3"/>
        <v>9160.848834</v>
      </c>
      <c r="R3" s="32">
        <f t="shared" si="4"/>
        <v>0.1538358649</v>
      </c>
      <c r="S3" s="33" t="str">
        <f t="shared" si="5"/>
        <v>Y</v>
      </c>
      <c r="T3" s="34" t="str">
        <f t="shared" si="6"/>
        <v>X</v>
      </c>
      <c r="U3" s="33" t="str">
        <f t="shared" si="7"/>
        <v>X</v>
      </c>
    </row>
    <row r="4">
      <c r="A4" s="35">
        <v>1.0</v>
      </c>
      <c r="B4" s="7" t="s">
        <v>15</v>
      </c>
      <c r="C4" s="36">
        <v>106744.0</v>
      </c>
      <c r="D4" s="36">
        <v>132254.0</v>
      </c>
      <c r="E4" s="36">
        <v>180205.0</v>
      </c>
      <c r="F4" s="36">
        <v>110328.0</v>
      </c>
      <c r="G4" s="36">
        <v>106852.0</v>
      </c>
      <c r="H4" s="36">
        <v>129400.0</v>
      </c>
      <c r="I4" s="36">
        <v>137621.0</v>
      </c>
      <c r="J4" s="36">
        <v>107822.0</v>
      </c>
      <c r="K4" s="36">
        <v>125760.0</v>
      </c>
      <c r="L4" s="36">
        <v>128569.0</v>
      </c>
      <c r="M4" s="36">
        <v>133146.0</v>
      </c>
      <c r="N4" s="36">
        <v>109946.0</v>
      </c>
      <c r="O4" s="10">
        <f t="shared" si="1"/>
        <v>1508647</v>
      </c>
      <c r="P4" s="31">
        <f t="shared" si="2"/>
        <v>125720.5833</v>
      </c>
      <c r="Q4" s="31">
        <f t="shared" si="3"/>
        <v>20784.41199</v>
      </c>
      <c r="R4" s="32">
        <f t="shared" si="4"/>
        <v>0.1653222681</v>
      </c>
      <c r="S4" s="33" t="str">
        <f t="shared" si="5"/>
        <v>Y</v>
      </c>
      <c r="T4" s="34" t="str">
        <f t="shared" si="6"/>
        <v>X</v>
      </c>
      <c r="U4" s="33" t="str">
        <f t="shared" si="7"/>
        <v>X</v>
      </c>
    </row>
    <row r="5">
      <c r="A5" s="35">
        <v>31.0</v>
      </c>
      <c r="B5" s="7" t="s">
        <v>45</v>
      </c>
      <c r="C5" s="36">
        <v>51.0</v>
      </c>
      <c r="D5" s="36">
        <v>65.0</v>
      </c>
      <c r="E5" s="36">
        <v>98.0</v>
      </c>
      <c r="F5" s="36">
        <v>54.0</v>
      </c>
      <c r="G5" s="36">
        <v>74.0</v>
      </c>
      <c r="H5" s="36">
        <v>84.0</v>
      </c>
      <c r="I5" s="36">
        <v>75.0</v>
      </c>
      <c r="J5" s="36">
        <v>76.0</v>
      </c>
      <c r="K5" s="36">
        <v>78.0</v>
      </c>
      <c r="L5" s="36">
        <v>66.0</v>
      </c>
      <c r="M5" s="36">
        <v>80.0</v>
      </c>
      <c r="N5" s="36">
        <v>77.0</v>
      </c>
      <c r="O5" s="10">
        <f t="shared" si="1"/>
        <v>878</v>
      </c>
      <c r="P5" s="31">
        <f t="shared" si="2"/>
        <v>73.16666667</v>
      </c>
      <c r="Q5" s="31">
        <f t="shared" si="3"/>
        <v>12.81925635</v>
      </c>
      <c r="R5" s="32">
        <f t="shared" si="4"/>
        <v>0.1752062371</v>
      </c>
      <c r="S5" s="33" t="str">
        <f t="shared" si="5"/>
        <v>Y</v>
      </c>
      <c r="T5" s="34" t="str">
        <f t="shared" si="6"/>
        <v>X</v>
      </c>
      <c r="U5" s="33" t="str">
        <f t="shared" si="7"/>
        <v>Y</v>
      </c>
    </row>
    <row r="6">
      <c r="A6" s="29">
        <v>2.0</v>
      </c>
      <c r="B6" s="12" t="s">
        <v>16</v>
      </c>
      <c r="C6" s="30">
        <v>56412.0</v>
      </c>
      <c r="D6" s="30">
        <v>68754.0</v>
      </c>
      <c r="E6" s="30">
        <v>93826.0</v>
      </c>
      <c r="F6" s="30">
        <v>52488.0</v>
      </c>
      <c r="G6" s="30">
        <v>51638.0</v>
      </c>
      <c r="H6" s="30">
        <v>62624.0</v>
      </c>
      <c r="I6" s="30">
        <v>60873.0</v>
      </c>
      <c r="J6" s="30">
        <v>47700.0</v>
      </c>
      <c r="K6" s="30">
        <v>71095.0</v>
      </c>
      <c r="L6" s="30">
        <v>63844.0</v>
      </c>
      <c r="M6" s="30">
        <v>64186.0</v>
      </c>
      <c r="N6" s="30">
        <v>53786.0</v>
      </c>
      <c r="O6" s="10">
        <f t="shared" si="1"/>
        <v>747226</v>
      </c>
      <c r="P6" s="31">
        <f t="shared" si="2"/>
        <v>62268.83333</v>
      </c>
      <c r="Q6" s="31">
        <f t="shared" si="3"/>
        <v>12252.03406</v>
      </c>
      <c r="R6" s="32">
        <f t="shared" si="4"/>
        <v>0.1967602958</v>
      </c>
      <c r="S6" s="33" t="str">
        <f t="shared" si="5"/>
        <v>Y</v>
      </c>
      <c r="T6" s="34" t="str">
        <f t="shared" si="6"/>
        <v>X</v>
      </c>
      <c r="U6" s="33" t="str">
        <f t="shared" si="7"/>
        <v>Y</v>
      </c>
    </row>
    <row r="7">
      <c r="A7" s="35">
        <v>17.0</v>
      </c>
      <c r="B7" s="7" t="s">
        <v>31</v>
      </c>
      <c r="C7" s="36">
        <v>1004.0</v>
      </c>
      <c r="D7" s="36">
        <v>1303.0</v>
      </c>
      <c r="E7" s="36">
        <v>1889.0</v>
      </c>
      <c r="F7" s="36">
        <v>1057.0</v>
      </c>
      <c r="G7" s="36">
        <v>1518.0</v>
      </c>
      <c r="H7" s="36">
        <v>1953.0</v>
      </c>
      <c r="I7" s="36">
        <v>1308.0</v>
      </c>
      <c r="J7" s="36">
        <v>1297.0</v>
      </c>
      <c r="K7" s="36">
        <v>1592.0</v>
      </c>
      <c r="L7" s="36">
        <v>1227.0</v>
      </c>
      <c r="M7" s="36">
        <v>1645.0</v>
      </c>
      <c r="N7" s="36">
        <v>2011.0</v>
      </c>
      <c r="O7" s="10">
        <f t="shared" si="1"/>
        <v>17804</v>
      </c>
      <c r="P7" s="31">
        <f t="shared" si="2"/>
        <v>1483.666667</v>
      </c>
      <c r="Q7" s="31">
        <f t="shared" si="3"/>
        <v>340.8463619</v>
      </c>
      <c r="R7" s="32">
        <f t="shared" si="4"/>
        <v>0.2297324389</v>
      </c>
      <c r="S7" s="33" t="str">
        <f t="shared" si="5"/>
        <v>Y</v>
      </c>
      <c r="T7" s="34" t="str">
        <f t="shared" si="6"/>
        <v>X</v>
      </c>
      <c r="U7" s="33" t="str">
        <f t="shared" si="7"/>
        <v>Y</v>
      </c>
    </row>
    <row r="8">
      <c r="A8" s="29">
        <v>18.0</v>
      </c>
      <c r="B8" s="12" t="s">
        <v>32</v>
      </c>
      <c r="C8" s="30">
        <v>664.0</v>
      </c>
      <c r="D8" s="30">
        <v>839.0</v>
      </c>
      <c r="E8" s="30">
        <v>1319.0</v>
      </c>
      <c r="F8" s="30">
        <v>655.0</v>
      </c>
      <c r="G8" s="30">
        <v>900.0</v>
      </c>
      <c r="H8" s="30">
        <v>1263.0</v>
      </c>
      <c r="I8" s="30">
        <v>846.0</v>
      </c>
      <c r="J8" s="30">
        <v>820.0</v>
      </c>
      <c r="K8" s="30">
        <v>1217.0</v>
      </c>
      <c r="L8" s="30">
        <v>803.0</v>
      </c>
      <c r="M8" s="30">
        <v>985.0</v>
      </c>
      <c r="N8" s="30">
        <v>1127.0</v>
      </c>
      <c r="O8" s="10">
        <f t="shared" si="1"/>
        <v>11438</v>
      </c>
      <c r="P8" s="31">
        <f t="shared" si="2"/>
        <v>953.1666667</v>
      </c>
      <c r="Q8" s="31">
        <f t="shared" si="3"/>
        <v>227.7996861</v>
      </c>
      <c r="R8" s="32">
        <f t="shared" si="4"/>
        <v>0.2389925016</v>
      </c>
      <c r="S8" s="33" t="str">
        <f t="shared" si="5"/>
        <v>Y</v>
      </c>
      <c r="T8" s="34" t="str">
        <f t="shared" si="6"/>
        <v>X</v>
      </c>
      <c r="U8" s="33" t="str">
        <f t="shared" si="7"/>
        <v>Y</v>
      </c>
    </row>
    <row r="9">
      <c r="A9" s="29">
        <v>32.0</v>
      </c>
      <c r="B9" s="12" t="s">
        <v>46</v>
      </c>
      <c r="C9" s="30">
        <v>65.0</v>
      </c>
      <c r="D9" s="30">
        <v>61.0</v>
      </c>
      <c r="E9" s="30">
        <v>51.0</v>
      </c>
      <c r="F9" s="30">
        <v>74.0</v>
      </c>
      <c r="G9" s="30">
        <v>80.0</v>
      </c>
      <c r="H9" s="30">
        <v>61.0</v>
      </c>
      <c r="I9" s="30">
        <v>95.0</v>
      </c>
      <c r="J9" s="30">
        <v>59.0</v>
      </c>
      <c r="K9" s="30">
        <v>32.0</v>
      </c>
      <c r="L9" s="30">
        <v>67.0</v>
      </c>
      <c r="M9" s="30">
        <v>61.0</v>
      </c>
      <c r="N9" s="30">
        <v>61.0</v>
      </c>
      <c r="O9" s="10">
        <f t="shared" si="1"/>
        <v>767</v>
      </c>
      <c r="P9" s="31">
        <f t="shared" si="2"/>
        <v>63.91666667</v>
      </c>
      <c r="Q9" s="31">
        <f t="shared" si="3"/>
        <v>15.31759733</v>
      </c>
      <c r="R9" s="32">
        <f t="shared" si="4"/>
        <v>0.2396495019</v>
      </c>
      <c r="S9" s="33" t="str">
        <f t="shared" si="5"/>
        <v>Y</v>
      </c>
      <c r="T9" s="34" t="str">
        <f t="shared" si="6"/>
        <v>X</v>
      </c>
      <c r="U9" s="33" t="str">
        <f t="shared" si="7"/>
        <v>Y</v>
      </c>
    </row>
    <row r="10">
      <c r="A10" s="29">
        <v>36.0</v>
      </c>
      <c r="B10" s="12" t="s">
        <v>50</v>
      </c>
      <c r="C10" s="30">
        <v>33.0</v>
      </c>
      <c r="D10" s="30">
        <v>32.0</v>
      </c>
      <c r="E10" s="30">
        <v>38.0</v>
      </c>
      <c r="F10" s="30">
        <v>46.0</v>
      </c>
      <c r="G10" s="30">
        <v>31.0</v>
      </c>
      <c r="H10" s="30">
        <v>47.0</v>
      </c>
      <c r="I10" s="30">
        <v>43.0</v>
      </c>
      <c r="J10" s="30">
        <v>46.0</v>
      </c>
      <c r="K10" s="30">
        <v>41.0</v>
      </c>
      <c r="L10" s="30">
        <v>34.0</v>
      </c>
      <c r="M10" s="30">
        <v>28.0</v>
      </c>
      <c r="N10" s="30">
        <v>65.0</v>
      </c>
      <c r="O10" s="10">
        <f t="shared" si="1"/>
        <v>484</v>
      </c>
      <c r="P10" s="31">
        <f t="shared" si="2"/>
        <v>40.33333333</v>
      </c>
      <c r="Q10" s="31">
        <f t="shared" si="3"/>
        <v>10.14739853</v>
      </c>
      <c r="R10" s="32">
        <f t="shared" si="4"/>
        <v>0.2515883934</v>
      </c>
      <c r="S10" s="33" t="str">
        <f t="shared" si="5"/>
        <v>Z</v>
      </c>
      <c r="T10" s="34" t="str">
        <f t="shared" si="6"/>
        <v>Y</v>
      </c>
      <c r="U10" s="33" t="str">
        <f t="shared" si="7"/>
        <v>Y</v>
      </c>
    </row>
    <row r="11">
      <c r="A11" s="35">
        <v>13.0</v>
      </c>
      <c r="B11" s="7" t="s">
        <v>27</v>
      </c>
      <c r="C11" s="36">
        <v>2795.0</v>
      </c>
      <c r="D11" s="36">
        <v>3945.0</v>
      </c>
      <c r="E11" s="36">
        <v>6455.0</v>
      </c>
      <c r="F11" s="36">
        <v>2880.0</v>
      </c>
      <c r="G11" s="36">
        <v>4667.0</v>
      </c>
      <c r="H11" s="36">
        <v>5336.0</v>
      </c>
      <c r="I11" s="36">
        <v>3682.0</v>
      </c>
      <c r="J11" s="36">
        <v>3660.0</v>
      </c>
      <c r="K11" s="36">
        <v>5067.0</v>
      </c>
      <c r="L11" s="36">
        <v>3726.0</v>
      </c>
      <c r="M11" s="36">
        <v>4380.0</v>
      </c>
      <c r="N11" s="36">
        <v>5368.0</v>
      </c>
      <c r="O11" s="10">
        <f t="shared" si="1"/>
        <v>51961</v>
      </c>
      <c r="P11" s="31">
        <f t="shared" si="2"/>
        <v>4330.083333</v>
      </c>
      <c r="Q11" s="31">
        <f t="shared" si="3"/>
        <v>1091.492428</v>
      </c>
      <c r="R11" s="32">
        <f t="shared" si="4"/>
        <v>0.2520719219</v>
      </c>
      <c r="S11" s="33" t="str">
        <f t="shared" si="5"/>
        <v>Z</v>
      </c>
      <c r="T11" s="34" t="str">
        <f t="shared" si="6"/>
        <v>Y</v>
      </c>
      <c r="U11" s="33" t="str">
        <f t="shared" si="7"/>
        <v>Y</v>
      </c>
    </row>
    <row r="12">
      <c r="A12" s="29">
        <v>10.0</v>
      </c>
      <c r="B12" s="12" t="s">
        <v>24</v>
      </c>
      <c r="C12" s="30">
        <v>4448.0</v>
      </c>
      <c r="D12" s="30">
        <v>5373.0</v>
      </c>
      <c r="E12" s="30">
        <v>9336.0</v>
      </c>
      <c r="F12" s="30">
        <v>4156.0</v>
      </c>
      <c r="G12" s="30">
        <v>4716.0</v>
      </c>
      <c r="H12" s="30">
        <v>5905.0</v>
      </c>
      <c r="I12" s="30">
        <v>5017.0</v>
      </c>
      <c r="J12" s="30">
        <v>4908.0</v>
      </c>
      <c r="K12" s="30">
        <v>7532.0</v>
      </c>
      <c r="L12" s="30">
        <v>5262.0</v>
      </c>
      <c r="M12" s="30">
        <v>6233.0</v>
      </c>
      <c r="N12" s="30">
        <v>5837.0</v>
      </c>
      <c r="O12" s="10">
        <f t="shared" si="1"/>
        <v>68723</v>
      </c>
      <c r="P12" s="31">
        <f t="shared" si="2"/>
        <v>5726.916667</v>
      </c>
      <c r="Q12" s="31">
        <f t="shared" si="3"/>
        <v>1453.057307</v>
      </c>
      <c r="R12" s="32">
        <f t="shared" si="4"/>
        <v>0.2537241926</v>
      </c>
      <c r="S12" s="33" t="str">
        <f t="shared" si="5"/>
        <v>Z</v>
      </c>
      <c r="T12" s="34" t="str">
        <f t="shared" si="6"/>
        <v>Y</v>
      </c>
      <c r="U12" s="33" t="str">
        <f t="shared" si="7"/>
        <v>Y</v>
      </c>
    </row>
    <row r="13">
      <c r="A13" s="29">
        <v>28.0</v>
      </c>
      <c r="B13" s="12" t="s">
        <v>42</v>
      </c>
      <c r="C13" s="30">
        <v>128.0</v>
      </c>
      <c r="D13" s="30">
        <v>189.0</v>
      </c>
      <c r="E13" s="30">
        <v>280.0</v>
      </c>
      <c r="F13" s="30">
        <v>158.0</v>
      </c>
      <c r="G13" s="30">
        <v>157.0</v>
      </c>
      <c r="H13" s="30">
        <v>259.0</v>
      </c>
      <c r="I13" s="30">
        <v>227.0</v>
      </c>
      <c r="J13" s="30">
        <v>208.0</v>
      </c>
      <c r="K13" s="30">
        <v>280.0</v>
      </c>
      <c r="L13" s="30">
        <v>171.0</v>
      </c>
      <c r="M13" s="30">
        <v>179.0</v>
      </c>
      <c r="N13" s="30">
        <v>274.0</v>
      </c>
      <c r="O13" s="10">
        <f t="shared" si="1"/>
        <v>2510</v>
      </c>
      <c r="P13" s="31">
        <f t="shared" si="2"/>
        <v>209.1666667</v>
      </c>
      <c r="Q13" s="31">
        <f t="shared" si="3"/>
        <v>53.71783745</v>
      </c>
      <c r="R13" s="32">
        <f t="shared" si="4"/>
        <v>0.2568183464</v>
      </c>
      <c r="S13" s="33" t="str">
        <f t="shared" si="5"/>
        <v>Z</v>
      </c>
      <c r="T13" s="34" t="str">
        <f t="shared" si="6"/>
        <v>Y</v>
      </c>
      <c r="U13" s="33" t="str">
        <f t="shared" si="7"/>
        <v>Y</v>
      </c>
    </row>
    <row r="14">
      <c r="A14" s="37">
        <v>43.0</v>
      </c>
      <c r="B14" s="16" t="s">
        <v>57</v>
      </c>
      <c r="C14" s="38">
        <v>20.0</v>
      </c>
      <c r="D14" s="38">
        <v>13.0</v>
      </c>
      <c r="E14" s="38">
        <v>26.0</v>
      </c>
      <c r="F14" s="38">
        <v>19.0</v>
      </c>
      <c r="G14" s="38">
        <v>17.0</v>
      </c>
      <c r="H14" s="36">
        <v>21.0</v>
      </c>
      <c r="I14" s="36">
        <v>18.0</v>
      </c>
      <c r="J14" s="38">
        <v>11.0</v>
      </c>
      <c r="K14" s="38">
        <v>14.0</v>
      </c>
      <c r="L14" s="38">
        <v>27.0</v>
      </c>
      <c r="M14" s="38">
        <v>15.0</v>
      </c>
      <c r="N14" s="38">
        <v>21.0</v>
      </c>
      <c r="O14" s="10">
        <f t="shared" si="1"/>
        <v>222</v>
      </c>
      <c r="P14" s="31">
        <f t="shared" si="2"/>
        <v>18.5</v>
      </c>
      <c r="Q14" s="31">
        <f t="shared" si="3"/>
        <v>4.908249086</v>
      </c>
      <c r="R14" s="32">
        <f t="shared" si="4"/>
        <v>0.2653107614</v>
      </c>
      <c r="S14" s="33" t="str">
        <f t="shared" si="5"/>
        <v>Z</v>
      </c>
      <c r="T14" s="34" t="str">
        <f t="shared" si="6"/>
        <v>Y</v>
      </c>
      <c r="U14" s="33" t="str">
        <f t="shared" si="7"/>
        <v>Y</v>
      </c>
    </row>
    <row r="15">
      <c r="A15" s="35">
        <v>5.0</v>
      </c>
      <c r="B15" s="7" t="s">
        <v>19</v>
      </c>
      <c r="C15" s="36">
        <v>56336.0</v>
      </c>
      <c r="D15" s="36">
        <v>64362.0</v>
      </c>
      <c r="E15" s="36">
        <v>85485.0</v>
      </c>
      <c r="F15" s="36">
        <v>36548.0</v>
      </c>
      <c r="G15" s="36">
        <v>41592.0</v>
      </c>
      <c r="H15" s="36">
        <v>51674.0</v>
      </c>
      <c r="I15" s="36">
        <v>51053.0</v>
      </c>
      <c r="J15" s="36">
        <v>42789.0</v>
      </c>
      <c r="K15" s="36">
        <v>60994.0</v>
      </c>
      <c r="L15" s="36">
        <v>42720.0</v>
      </c>
      <c r="M15" s="36">
        <v>45592.0</v>
      </c>
      <c r="N15" s="36">
        <v>36888.0</v>
      </c>
      <c r="O15" s="10">
        <f t="shared" si="1"/>
        <v>616033</v>
      </c>
      <c r="P15" s="31">
        <f t="shared" si="2"/>
        <v>51336.08333</v>
      </c>
      <c r="Q15" s="31">
        <f t="shared" si="3"/>
        <v>14003.10861</v>
      </c>
      <c r="R15" s="32">
        <f t="shared" si="4"/>
        <v>0.2727732173</v>
      </c>
      <c r="S15" s="33" t="str">
        <f t="shared" si="5"/>
        <v>Z</v>
      </c>
      <c r="T15" s="34" t="str">
        <f t="shared" si="6"/>
        <v>Y</v>
      </c>
      <c r="U15" s="33" t="str">
        <f t="shared" si="7"/>
        <v>Y</v>
      </c>
    </row>
    <row r="16">
      <c r="A16" s="35">
        <v>23.0</v>
      </c>
      <c r="B16" s="7" t="s">
        <v>37</v>
      </c>
      <c r="C16" s="36">
        <v>302.0</v>
      </c>
      <c r="D16" s="36">
        <v>422.0</v>
      </c>
      <c r="E16" s="36">
        <v>776.0</v>
      </c>
      <c r="F16" s="36">
        <v>376.0</v>
      </c>
      <c r="G16" s="36">
        <v>478.0</v>
      </c>
      <c r="H16" s="36">
        <v>699.0</v>
      </c>
      <c r="I16" s="36">
        <v>492.0</v>
      </c>
      <c r="J16" s="36">
        <v>373.0</v>
      </c>
      <c r="K16" s="36">
        <v>587.0</v>
      </c>
      <c r="L16" s="36">
        <v>447.0</v>
      </c>
      <c r="M16" s="36">
        <v>490.0</v>
      </c>
      <c r="N16" s="36">
        <v>572.0</v>
      </c>
      <c r="O16" s="10">
        <f t="shared" si="1"/>
        <v>6014</v>
      </c>
      <c r="P16" s="31">
        <f t="shared" si="2"/>
        <v>501.1666667</v>
      </c>
      <c r="Q16" s="31">
        <f t="shared" si="3"/>
        <v>137.7625317</v>
      </c>
      <c r="R16" s="32">
        <f t="shared" si="4"/>
        <v>0.2748836683</v>
      </c>
      <c r="S16" s="33" t="str">
        <f t="shared" si="5"/>
        <v>Z</v>
      </c>
      <c r="T16" s="34" t="str">
        <f t="shared" si="6"/>
        <v>Y</v>
      </c>
      <c r="U16" s="33" t="str">
        <f t="shared" si="7"/>
        <v>Y</v>
      </c>
    </row>
    <row r="17">
      <c r="A17" s="35">
        <v>7.0</v>
      </c>
      <c r="B17" s="7" t="s">
        <v>21</v>
      </c>
      <c r="C17" s="36">
        <v>12118.0</v>
      </c>
      <c r="D17" s="36">
        <v>13614.0</v>
      </c>
      <c r="E17" s="36">
        <v>21135.0</v>
      </c>
      <c r="F17" s="36">
        <v>9007.0</v>
      </c>
      <c r="G17" s="36">
        <v>8542.0</v>
      </c>
      <c r="H17" s="36">
        <v>12184.0</v>
      </c>
      <c r="I17" s="36">
        <v>12278.0</v>
      </c>
      <c r="J17" s="36">
        <v>10193.0</v>
      </c>
      <c r="K17" s="36">
        <v>15215.0</v>
      </c>
      <c r="L17" s="36">
        <v>12841.0</v>
      </c>
      <c r="M17" s="36">
        <v>12153.0</v>
      </c>
      <c r="N17" s="36">
        <v>9173.0</v>
      </c>
      <c r="O17" s="10">
        <f t="shared" si="1"/>
        <v>148453</v>
      </c>
      <c r="P17" s="31">
        <f t="shared" si="2"/>
        <v>12371.08333</v>
      </c>
      <c r="Q17" s="31">
        <f t="shared" si="3"/>
        <v>3408.088733</v>
      </c>
      <c r="R17" s="32">
        <f t="shared" si="4"/>
        <v>0.2754883013</v>
      </c>
      <c r="S17" s="33" t="str">
        <f t="shared" si="5"/>
        <v>Z</v>
      </c>
      <c r="T17" s="34" t="str">
        <f t="shared" si="6"/>
        <v>Y</v>
      </c>
      <c r="U17" s="33" t="str">
        <f t="shared" si="7"/>
        <v>Y</v>
      </c>
    </row>
    <row r="18">
      <c r="A18" s="29">
        <v>38.0</v>
      </c>
      <c r="B18" s="12" t="s">
        <v>52</v>
      </c>
      <c r="C18" s="30">
        <v>16.0</v>
      </c>
      <c r="D18" s="30">
        <v>24.0</v>
      </c>
      <c r="E18" s="30">
        <v>27.0</v>
      </c>
      <c r="F18" s="30">
        <v>21.0</v>
      </c>
      <c r="G18" s="30">
        <v>43.0</v>
      </c>
      <c r="H18" s="30">
        <v>49.0</v>
      </c>
      <c r="I18" s="30">
        <v>36.0</v>
      </c>
      <c r="J18" s="30">
        <v>37.0</v>
      </c>
      <c r="K18" s="30">
        <v>35.0</v>
      </c>
      <c r="L18" s="30">
        <v>37.0</v>
      </c>
      <c r="M18" s="30">
        <v>36.0</v>
      </c>
      <c r="N18" s="30">
        <v>38.0</v>
      </c>
      <c r="O18" s="10">
        <f t="shared" si="1"/>
        <v>399</v>
      </c>
      <c r="P18" s="31">
        <f t="shared" si="2"/>
        <v>33.25</v>
      </c>
      <c r="Q18" s="31">
        <f t="shared" si="3"/>
        <v>9.459242714</v>
      </c>
      <c r="R18" s="32">
        <f t="shared" si="4"/>
        <v>0.2844885027</v>
      </c>
      <c r="S18" s="33" t="str">
        <f t="shared" si="5"/>
        <v>Z</v>
      </c>
      <c r="T18" s="34" t="str">
        <f t="shared" si="6"/>
        <v>Y</v>
      </c>
      <c r="U18" s="33" t="str">
        <f t="shared" si="7"/>
        <v>Y</v>
      </c>
    </row>
    <row r="19">
      <c r="A19" s="35">
        <v>27.0</v>
      </c>
      <c r="B19" s="7" t="s">
        <v>41</v>
      </c>
      <c r="C19" s="36">
        <v>186.0</v>
      </c>
      <c r="D19" s="36">
        <v>190.0</v>
      </c>
      <c r="E19" s="36">
        <v>355.0</v>
      </c>
      <c r="F19" s="36">
        <v>207.0</v>
      </c>
      <c r="G19" s="36">
        <v>279.0</v>
      </c>
      <c r="H19" s="36">
        <v>314.0</v>
      </c>
      <c r="I19" s="36">
        <v>201.0</v>
      </c>
      <c r="J19" s="36">
        <v>202.0</v>
      </c>
      <c r="K19" s="36">
        <v>358.0</v>
      </c>
      <c r="L19" s="36">
        <v>173.0</v>
      </c>
      <c r="M19" s="36">
        <v>178.0</v>
      </c>
      <c r="N19" s="36">
        <v>247.0</v>
      </c>
      <c r="O19" s="10">
        <f t="shared" si="1"/>
        <v>2890</v>
      </c>
      <c r="P19" s="31">
        <f t="shared" si="2"/>
        <v>240.8333333</v>
      </c>
      <c r="Q19" s="31">
        <f t="shared" si="3"/>
        <v>68.74833331</v>
      </c>
      <c r="R19" s="32">
        <f t="shared" si="4"/>
        <v>0.2854602075</v>
      </c>
      <c r="S19" s="33" t="str">
        <f t="shared" si="5"/>
        <v>Z</v>
      </c>
      <c r="T19" s="34" t="str">
        <f t="shared" si="6"/>
        <v>Y</v>
      </c>
      <c r="U19" s="33" t="str">
        <f t="shared" si="7"/>
        <v>Y</v>
      </c>
    </row>
    <row r="20">
      <c r="A20" s="35">
        <v>21.0</v>
      </c>
      <c r="B20" s="7" t="s">
        <v>35</v>
      </c>
      <c r="C20" s="36">
        <v>316.0</v>
      </c>
      <c r="D20" s="36">
        <v>457.0</v>
      </c>
      <c r="E20" s="36">
        <v>783.0</v>
      </c>
      <c r="F20" s="36">
        <v>474.0</v>
      </c>
      <c r="G20" s="36">
        <v>478.0</v>
      </c>
      <c r="H20" s="36">
        <v>731.0</v>
      </c>
      <c r="I20" s="36">
        <v>468.0</v>
      </c>
      <c r="J20" s="36">
        <v>496.0</v>
      </c>
      <c r="K20" s="36">
        <v>689.0</v>
      </c>
      <c r="L20" s="36">
        <v>662.0</v>
      </c>
      <c r="M20" s="36">
        <v>713.0</v>
      </c>
      <c r="N20" s="36">
        <v>902.0</v>
      </c>
      <c r="O20" s="10">
        <f t="shared" si="1"/>
        <v>7169</v>
      </c>
      <c r="P20" s="31">
        <f t="shared" si="2"/>
        <v>597.4166667</v>
      </c>
      <c r="Q20" s="31">
        <f t="shared" si="3"/>
        <v>172.2611434</v>
      </c>
      <c r="R20" s="32">
        <f t="shared" si="4"/>
        <v>0.2883433841</v>
      </c>
      <c r="S20" s="33" t="str">
        <f t="shared" si="5"/>
        <v>Z</v>
      </c>
      <c r="T20" s="34" t="str">
        <f t="shared" si="6"/>
        <v>Y</v>
      </c>
      <c r="U20" s="33" t="str">
        <f t="shared" si="7"/>
        <v>Y</v>
      </c>
    </row>
    <row r="21">
      <c r="A21" s="35">
        <v>11.0</v>
      </c>
      <c r="B21" s="7" t="s">
        <v>25</v>
      </c>
      <c r="C21" s="36">
        <v>4267.0</v>
      </c>
      <c r="D21" s="36">
        <v>5070.0</v>
      </c>
      <c r="E21" s="36">
        <v>8655.0</v>
      </c>
      <c r="F21" s="36">
        <v>3614.0</v>
      </c>
      <c r="G21" s="36">
        <v>4772.0</v>
      </c>
      <c r="H21" s="36">
        <v>6127.0</v>
      </c>
      <c r="I21" s="36">
        <v>4672.0</v>
      </c>
      <c r="J21" s="36">
        <v>4744.0</v>
      </c>
      <c r="K21" s="36">
        <v>7016.0</v>
      </c>
      <c r="L21" s="36">
        <v>4637.0</v>
      </c>
      <c r="M21" s="36">
        <v>5453.0</v>
      </c>
      <c r="N21" s="36">
        <v>8533.0</v>
      </c>
      <c r="O21" s="10">
        <f t="shared" si="1"/>
        <v>67560</v>
      </c>
      <c r="P21" s="31">
        <f t="shared" si="2"/>
        <v>5630</v>
      </c>
      <c r="Q21" s="31">
        <f t="shared" si="3"/>
        <v>1635.903031</v>
      </c>
      <c r="R21" s="32">
        <f t="shared" si="4"/>
        <v>0.290568922</v>
      </c>
      <c r="S21" s="33" t="str">
        <f t="shared" si="5"/>
        <v>Z</v>
      </c>
      <c r="T21" s="34" t="str">
        <f t="shared" si="6"/>
        <v>Y</v>
      </c>
      <c r="U21" s="33" t="str">
        <f t="shared" si="7"/>
        <v>Y</v>
      </c>
    </row>
    <row r="22">
      <c r="A22" s="35">
        <v>19.0</v>
      </c>
      <c r="B22" s="7" t="s">
        <v>33</v>
      </c>
      <c r="C22" s="36">
        <v>669.0</v>
      </c>
      <c r="D22" s="36">
        <v>770.0</v>
      </c>
      <c r="E22" s="36">
        <v>1405.0</v>
      </c>
      <c r="F22" s="36">
        <v>631.0</v>
      </c>
      <c r="G22" s="36">
        <v>725.0</v>
      </c>
      <c r="H22" s="36">
        <v>1031.0</v>
      </c>
      <c r="I22" s="36">
        <v>851.0</v>
      </c>
      <c r="J22" s="36">
        <v>567.0</v>
      </c>
      <c r="K22" s="36">
        <v>1047.0</v>
      </c>
      <c r="L22" s="36">
        <v>578.0</v>
      </c>
      <c r="M22" s="36">
        <v>784.0</v>
      </c>
      <c r="N22" s="36">
        <v>823.0</v>
      </c>
      <c r="O22" s="10">
        <f t="shared" si="1"/>
        <v>9881</v>
      </c>
      <c r="P22" s="31">
        <f t="shared" si="2"/>
        <v>823.4166667</v>
      </c>
      <c r="Q22" s="31">
        <f t="shared" si="3"/>
        <v>239.8903001</v>
      </c>
      <c r="R22" s="32">
        <f t="shared" si="4"/>
        <v>0.2913352495</v>
      </c>
      <c r="S22" s="33" t="str">
        <f t="shared" si="5"/>
        <v>Z</v>
      </c>
      <c r="T22" s="34" t="str">
        <f t="shared" si="6"/>
        <v>Y</v>
      </c>
      <c r="U22" s="33" t="str">
        <f t="shared" si="7"/>
        <v>Y</v>
      </c>
    </row>
    <row r="23">
      <c r="A23" s="29">
        <v>20.0</v>
      </c>
      <c r="B23" s="12" t="s">
        <v>34</v>
      </c>
      <c r="C23" s="30">
        <v>491.0</v>
      </c>
      <c r="D23" s="30">
        <v>644.0</v>
      </c>
      <c r="E23" s="30">
        <v>1064.0</v>
      </c>
      <c r="F23" s="30">
        <v>407.0</v>
      </c>
      <c r="G23" s="30">
        <v>434.0</v>
      </c>
      <c r="H23" s="30">
        <v>663.0</v>
      </c>
      <c r="I23" s="30">
        <v>590.0</v>
      </c>
      <c r="J23" s="30">
        <v>478.0</v>
      </c>
      <c r="K23" s="30">
        <v>759.0</v>
      </c>
      <c r="L23" s="30">
        <v>532.0</v>
      </c>
      <c r="M23" s="30">
        <v>586.0</v>
      </c>
      <c r="N23" s="30">
        <v>605.0</v>
      </c>
      <c r="O23" s="10">
        <f t="shared" si="1"/>
        <v>7253</v>
      </c>
      <c r="P23" s="31">
        <f t="shared" si="2"/>
        <v>604.4166667</v>
      </c>
      <c r="Q23" s="31">
        <f t="shared" si="3"/>
        <v>176.5227044</v>
      </c>
      <c r="R23" s="32">
        <f t="shared" si="4"/>
        <v>0.2920546604</v>
      </c>
      <c r="S23" s="33" t="str">
        <f t="shared" si="5"/>
        <v>Z</v>
      </c>
      <c r="T23" s="34" t="str">
        <f t="shared" si="6"/>
        <v>Y</v>
      </c>
      <c r="U23" s="33" t="str">
        <f t="shared" si="7"/>
        <v>Y</v>
      </c>
    </row>
    <row r="24">
      <c r="A24" s="35">
        <v>9.0</v>
      </c>
      <c r="B24" s="7" t="s">
        <v>23</v>
      </c>
      <c r="C24" s="36">
        <v>4719.0</v>
      </c>
      <c r="D24" s="36">
        <v>5940.0</v>
      </c>
      <c r="E24" s="36">
        <v>10157.0</v>
      </c>
      <c r="F24" s="36">
        <v>4008.0</v>
      </c>
      <c r="G24" s="36">
        <v>4746.0</v>
      </c>
      <c r="H24" s="36">
        <v>5673.0</v>
      </c>
      <c r="I24" s="36">
        <v>6084.0</v>
      </c>
      <c r="J24" s="36">
        <v>6003.0</v>
      </c>
      <c r="K24" s="36">
        <v>9621.0</v>
      </c>
      <c r="L24" s="36">
        <v>5222.0</v>
      </c>
      <c r="M24" s="36">
        <v>6531.0</v>
      </c>
      <c r="N24" s="36">
        <v>6421.0</v>
      </c>
      <c r="O24" s="10">
        <f t="shared" si="1"/>
        <v>75125</v>
      </c>
      <c r="P24" s="31">
        <f t="shared" si="2"/>
        <v>6260.416667</v>
      </c>
      <c r="Q24" s="31">
        <f t="shared" si="3"/>
        <v>1857.224442</v>
      </c>
      <c r="R24" s="32">
        <f t="shared" si="4"/>
        <v>0.296661475</v>
      </c>
      <c r="S24" s="33" t="str">
        <f t="shared" si="5"/>
        <v>Z</v>
      </c>
      <c r="T24" s="34" t="str">
        <f t="shared" si="6"/>
        <v>Y</v>
      </c>
      <c r="U24" s="33" t="str">
        <f t="shared" si="7"/>
        <v>Y</v>
      </c>
    </row>
    <row r="25">
      <c r="A25" s="29">
        <v>16.0</v>
      </c>
      <c r="B25" s="12" t="s">
        <v>30</v>
      </c>
      <c r="C25" s="30">
        <v>1182.0</v>
      </c>
      <c r="D25" s="30">
        <v>1952.0</v>
      </c>
      <c r="E25" s="30">
        <v>3384.0</v>
      </c>
      <c r="F25" s="30">
        <v>1542.0</v>
      </c>
      <c r="G25" s="30">
        <v>2141.0</v>
      </c>
      <c r="H25" s="30">
        <v>2572.0</v>
      </c>
      <c r="I25" s="30">
        <v>1802.0</v>
      </c>
      <c r="J25" s="30">
        <v>1774.0</v>
      </c>
      <c r="K25" s="30">
        <v>2841.0</v>
      </c>
      <c r="L25" s="30">
        <v>1706.0</v>
      </c>
      <c r="M25" s="30">
        <v>2173.0</v>
      </c>
      <c r="N25" s="30">
        <v>2916.0</v>
      </c>
      <c r="O25" s="10">
        <f t="shared" si="1"/>
        <v>25985</v>
      </c>
      <c r="P25" s="31">
        <f t="shared" si="2"/>
        <v>2165.416667</v>
      </c>
      <c r="Q25" s="31">
        <f t="shared" si="3"/>
        <v>644.4407665</v>
      </c>
      <c r="R25" s="32">
        <f t="shared" si="4"/>
        <v>0.2976058956</v>
      </c>
      <c r="S25" s="33" t="str">
        <f t="shared" si="5"/>
        <v>Z</v>
      </c>
      <c r="T25" s="34" t="str">
        <f t="shared" si="6"/>
        <v>Y</v>
      </c>
      <c r="U25" s="33" t="str">
        <f t="shared" si="7"/>
        <v>Y</v>
      </c>
    </row>
    <row r="26">
      <c r="A26" s="29">
        <v>6.0</v>
      </c>
      <c r="B26" s="12" t="s">
        <v>20</v>
      </c>
      <c r="C26" s="30">
        <v>17695.0</v>
      </c>
      <c r="D26" s="30">
        <v>18709.0</v>
      </c>
      <c r="E26" s="30">
        <v>34536.0</v>
      </c>
      <c r="F26" s="30">
        <v>13875.0</v>
      </c>
      <c r="G26" s="30">
        <v>16200.0</v>
      </c>
      <c r="H26" s="30">
        <v>18886.0</v>
      </c>
      <c r="I26" s="30">
        <v>15550.0</v>
      </c>
      <c r="J26" s="30">
        <v>15402.0</v>
      </c>
      <c r="K26" s="30">
        <v>22842.0</v>
      </c>
      <c r="L26" s="30">
        <v>14338.0</v>
      </c>
      <c r="M26" s="30">
        <v>17988.0</v>
      </c>
      <c r="N26" s="30">
        <v>14722.0</v>
      </c>
      <c r="O26" s="10">
        <f t="shared" si="1"/>
        <v>220743</v>
      </c>
      <c r="P26" s="31">
        <f t="shared" si="2"/>
        <v>18395.25</v>
      </c>
      <c r="Q26" s="31">
        <f t="shared" si="3"/>
        <v>5669.324894</v>
      </c>
      <c r="R26" s="32">
        <f t="shared" si="4"/>
        <v>0.3081950446</v>
      </c>
      <c r="S26" s="33" t="str">
        <f t="shared" si="5"/>
        <v>Z</v>
      </c>
      <c r="T26" s="34" t="str">
        <f t="shared" si="6"/>
        <v>Y</v>
      </c>
      <c r="U26" s="33" t="str">
        <f t="shared" si="7"/>
        <v>Y</v>
      </c>
    </row>
    <row r="27">
      <c r="A27" s="29">
        <v>12.0</v>
      </c>
      <c r="B27" s="12" t="s">
        <v>26</v>
      </c>
      <c r="C27" s="30">
        <v>6448.0</v>
      </c>
      <c r="D27" s="30">
        <v>6171.0</v>
      </c>
      <c r="E27" s="30">
        <v>7769.0</v>
      </c>
      <c r="F27" s="30">
        <v>4632.0</v>
      </c>
      <c r="G27" s="30">
        <v>4116.0</v>
      </c>
      <c r="H27" s="30">
        <v>3776.0</v>
      </c>
      <c r="I27" s="30">
        <v>3681.0</v>
      </c>
      <c r="J27" s="30">
        <v>3019.0</v>
      </c>
      <c r="K27" s="30">
        <v>3550.0</v>
      </c>
      <c r="L27" s="30">
        <v>3770.0</v>
      </c>
      <c r="M27" s="30">
        <v>4136.0</v>
      </c>
      <c r="N27" s="30">
        <v>4028.0</v>
      </c>
      <c r="O27" s="10">
        <f t="shared" si="1"/>
        <v>55096</v>
      </c>
      <c r="P27" s="31">
        <f t="shared" si="2"/>
        <v>4591.333333</v>
      </c>
      <c r="Q27" s="31">
        <f t="shared" si="3"/>
        <v>1430.736068</v>
      </c>
      <c r="R27" s="32">
        <f t="shared" si="4"/>
        <v>0.3116166839</v>
      </c>
      <c r="S27" s="33" t="str">
        <f t="shared" si="5"/>
        <v>Z</v>
      </c>
      <c r="T27" s="34" t="str">
        <f t="shared" si="6"/>
        <v>Y</v>
      </c>
      <c r="U27" s="33" t="str">
        <f t="shared" si="7"/>
        <v>Y</v>
      </c>
    </row>
    <row r="28">
      <c r="A28" s="35">
        <v>35.0</v>
      </c>
      <c r="B28" s="7" t="s">
        <v>49</v>
      </c>
      <c r="C28" s="36">
        <v>32.0</v>
      </c>
      <c r="D28" s="36">
        <v>61.0</v>
      </c>
      <c r="E28" s="36">
        <v>67.0</v>
      </c>
      <c r="F28" s="36">
        <v>64.0</v>
      </c>
      <c r="G28" s="36">
        <v>38.0</v>
      </c>
      <c r="H28" s="36">
        <v>57.0</v>
      </c>
      <c r="I28" s="36">
        <v>40.0</v>
      </c>
      <c r="J28" s="36">
        <v>36.0</v>
      </c>
      <c r="K28" s="36">
        <v>37.0</v>
      </c>
      <c r="L28" s="36">
        <v>52.0</v>
      </c>
      <c r="M28" s="36">
        <v>38.0</v>
      </c>
      <c r="N28" s="36">
        <v>21.0</v>
      </c>
      <c r="O28" s="10">
        <f t="shared" si="1"/>
        <v>543</v>
      </c>
      <c r="P28" s="31">
        <f t="shared" si="2"/>
        <v>45.25</v>
      </c>
      <c r="Q28" s="31">
        <f t="shared" si="3"/>
        <v>14.47960949</v>
      </c>
      <c r="R28" s="32">
        <f t="shared" si="4"/>
        <v>0.3199913699</v>
      </c>
      <c r="S28" s="33" t="str">
        <f t="shared" si="5"/>
        <v>Z</v>
      </c>
      <c r="T28" s="34" t="str">
        <f t="shared" si="6"/>
        <v>Y</v>
      </c>
      <c r="U28" s="33" t="str">
        <f t="shared" si="7"/>
        <v>Y</v>
      </c>
    </row>
    <row r="29">
      <c r="A29" s="35">
        <v>15.0</v>
      </c>
      <c r="B29" s="7" t="s">
        <v>29</v>
      </c>
      <c r="C29" s="36">
        <v>1506.0</v>
      </c>
      <c r="D29" s="36">
        <v>2166.0</v>
      </c>
      <c r="E29" s="36">
        <v>3569.0</v>
      </c>
      <c r="F29" s="36">
        <v>1467.0</v>
      </c>
      <c r="G29" s="36">
        <v>2190.0</v>
      </c>
      <c r="H29" s="36">
        <v>3154.0</v>
      </c>
      <c r="I29" s="36">
        <v>1503.0</v>
      </c>
      <c r="J29" s="36">
        <v>2096.0</v>
      </c>
      <c r="K29" s="36">
        <v>3165.0</v>
      </c>
      <c r="L29" s="36">
        <v>1504.0</v>
      </c>
      <c r="M29" s="36">
        <v>1728.0</v>
      </c>
      <c r="N29" s="36">
        <v>2425.0</v>
      </c>
      <c r="O29" s="10">
        <f t="shared" si="1"/>
        <v>26473</v>
      </c>
      <c r="P29" s="31">
        <f t="shared" si="2"/>
        <v>2206.083333</v>
      </c>
      <c r="Q29" s="31">
        <f t="shared" si="3"/>
        <v>737.9140697</v>
      </c>
      <c r="R29" s="32">
        <f t="shared" si="4"/>
        <v>0.3344905691</v>
      </c>
      <c r="S29" s="33" t="str">
        <f t="shared" si="5"/>
        <v>Z</v>
      </c>
      <c r="T29" s="34" t="str">
        <f t="shared" si="6"/>
        <v>Y</v>
      </c>
      <c r="U29" s="33" t="str">
        <f t="shared" si="7"/>
        <v>Y</v>
      </c>
    </row>
    <row r="30">
      <c r="A30" s="35">
        <v>41.0</v>
      </c>
      <c r="B30" s="7" t="s">
        <v>55</v>
      </c>
      <c r="C30" s="36">
        <v>19.0</v>
      </c>
      <c r="D30" s="36">
        <v>14.0</v>
      </c>
      <c r="E30" s="36">
        <v>17.0</v>
      </c>
      <c r="F30" s="36">
        <v>20.0</v>
      </c>
      <c r="G30" s="36">
        <v>21.0</v>
      </c>
      <c r="H30" s="36">
        <v>16.0</v>
      </c>
      <c r="I30" s="36">
        <v>9.0</v>
      </c>
      <c r="J30" s="36">
        <v>18.0</v>
      </c>
      <c r="K30" s="36">
        <v>17.0</v>
      </c>
      <c r="L30" s="36">
        <v>18.0</v>
      </c>
      <c r="M30" s="36">
        <v>25.0</v>
      </c>
      <c r="N30" s="36">
        <v>36.0</v>
      </c>
      <c r="O30" s="10">
        <f t="shared" si="1"/>
        <v>230</v>
      </c>
      <c r="P30" s="31">
        <f t="shared" si="2"/>
        <v>19.16666667</v>
      </c>
      <c r="Q30" s="31">
        <f t="shared" si="3"/>
        <v>6.562058066</v>
      </c>
      <c r="R30" s="32">
        <f t="shared" si="4"/>
        <v>0.3423682469</v>
      </c>
      <c r="S30" s="33" t="str">
        <f t="shared" si="5"/>
        <v>Z</v>
      </c>
      <c r="T30" s="34" t="str">
        <f t="shared" si="6"/>
        <v>Y</v>
      </c>
      <c r="U30" s="33" t="str">
        <f t="shared" si="7"/>
        <v>Y</v>
      </c>
    </row>
    <row r="31">
      <c r="A31" s="29">
        <v>14.0</v>
      </c>
      <c r="B31" s="12" t="s">
        <v>28</v>
      </c>
      <c r="C31" s="30">
        <v>2010.0</v>
      </c>
      <c r="D31" s="30">
        <v>3651.0</v>
      </c>
      <c r="E31" s="30">
        <v>6299.0</v>
      </c>
      <c r="F31" s="30">
        <v>2479.0</v>
      </c>
      <c r="G31" s="30">
        <v>3748.0</v>
      </c>
      <c r="H31" s="30">
        <v>5411.0</v>
      </c>
      <c r="I31" s="30">
        <v>3777.0</v>
      </c>
      <c r="J31" s="30">
        <v>3309.0</v>
      </c>
      <c r="K31" s="30">
        <v>5861.0</v>
      </c>
      <c r="L31" s="30">
        <v>3817.0</v>
      </c>
      <c r="M31" s="30">
        <v>4276.0</v>
      </c>
      <c r="N31" s="30">
        <v>6597.0</v>
      </c>
      <c r="O31" s="10">
        <f t="shared" si="1"/>
        <v>51235</v>
      </c>
      <c r="P31" s="31">
        <f t="shared" si="2"/>
        <v>4269.583333</v>
      </c>
      <c r="Q31" s="31">
        <f t="shared" si="3"/>
        <v>1468.074525</v>
      </c>
      <c r="R31" s="32">
        <f t="shared" si="4"/>
        <v>0.3438449165</v>
      </c>
      <c r="S31" s="33" t="str">
        <f t="shared" si="5"/>
        <v>Z</v>
      </c>
      <c r="T31" s="34" t="str">
        <f t="shared" si="6"/>
        <v>Y</v>
      </c>
      <c r="U31" s="33" t="str">
        <f t="shared" si="7"/>
        <v>Y</v>
      </c>
    </row>
    <row r="32">
      <c r="A32" s="29">
        <v>22.0</v>
      </c>
      <c r="B32" s="12" t="s">
        <v>36</v>
      </c>
      <c r="C32" s="30">
        <v>490.0</v>
      </c>
      <c r="D32" s="30">
        <v>461.0</v>
      </c>
      <c r="E32" s="30">
        <v>974.0</v>
      </c>
      <c r="F32" s="30">
        <v>445.0</v>
      </c>
      <c r="G32" s="30">
        <v>410.0</v>
      </c>
      <c r="H32" s="30">
        <v>773.0</v>
      </c>
      <c r="I32" s="30">
        <v>392.0</v>
      </c>
      <c r="J32" s="30">
        <v>482.0</v>
      </c>
      <c r="K32" s="30">
        <v>836.0</v>
      </c>
      <c r="L32" s="30">
        <v>479.0</v>
      </c>
      <c r="M32" s="30">
        <v>549.0</v>
      </c>
      <c r="N32" s="30">
        <v>875.0</v>
      </c>
      <c r="O32" s="10">
        <f t="shared" si="1"/>
        <v>7166</v>
      </c>
      <c r="P32" s="31">
        <f t="shared" si="2"/>
        <v>597.1666667</v>
      </c>
      <c r="Q32" s="31">
        <f t="shared" si="3"/>
        <v>206.0462584</v>
      </c>
      <c r="R32" s="32">
        <f t="shared" si="4"/>
        <v>0.3450397852</v>
      </c>
      <c r="S32" s="33" t="str">
        <f t="shared" si="5"/>
        <v>Z</v>
      </c>
      <c r="T32" s="34" t="str">
        <f t="shared" si="6"/>
        <v>Y</v>
      </c>
      <c r="U32" s="33" t="str">
        <f t="shared" si="7"/>
        <v>Y</v>
      </c>
    </row>
    <row r="33">
      <c r="A33" s="29">
        <v>8.0</v>
      </c>
      <c r="B33" s="12" t="s">
        <v>22</v>
      </c>
      <c r="C33" s="30">
        <v>10160.0</v>
      </c>
      <c r="D33" s="30">
        <v>12526.0</v>
      </c>
      <c r="E33" s="30">
        <v>24131.0</v>
      </c>
      <c r="F33" s="30">
        <v>7779.0</v>
      </c>
      <c r="G33" s="30">
        <v>9464.0</v>
      </c>
      <c r="H33" s="30">
        <v>13195.0</v>
      </c>
      <c r="I33" s="30">
        <v>11664.0</v>
      </c>
      <c r="J33" s="30">
        <v>9815.0</v>
      </c>
      <c r="K33" s="30">
        <v>15251.0</v>
      </c>
      <c r="L33" s="30">
        <v>9500.0</v>
      </c>
      <c r="M33" s="30">
        <v>11655.0</v>
      </c>
      <c r="N33" s="30">
        <v>10271.0</v>
      </c>
      <c r="O33" s="10">
        <f t="shared" si="1"/>
        <v>145411</v>
      </c>
      <c r="P33" s="31">
        <f t="shared" si="2"/>
        <v>12117.58333</v>
      </c>
      <c r="Q33" s="31">
        <f t="shared" si="3"/>
        <v>4276.237481</v>
      </c>
      <c r="R33" s="32">
        <f t="shared" si="4"/>
        <v>0.3528952402</v>
      </c>
      <c r="S33" s="33" t="str">
        <f t="shared" si="5"/>
        <v>Z</v>
      </c>
      <c r="T33" s="34" t="str">
        <f t="shared" si="6"/>
        <v>Y</v>
      </c>
      <c r="U33" s="33" t="str">
        <f t="shared" si="7"/>
        <v>Y</v>
      </c>
    </row>
    <row r="34">
      <c r="A34" s="35">
        <v>25.0</v>
      </c>
      <c r="B34" s="7" t="s">
        <v>39</v>
      </c>
      <c r="C34" s="36">
        <v>152.0</v>
      </c>
      <c r="D34" s="36">
        <v>156.0</v>
      </c>
      <c r="E34" s="36">
        <v>447.0</v>
      </c>
      <c r="F34" s="36">
        <v>378.0</v>
      </c>
      <c r="G34" s="36">
        <v>215.0</v>
      </c>
      <c r="H34" s="38">
        <v>375.0</v>
      </c>
      <c r="I34" s="38">
        <v>328.0</v>
      </c>
      <c r="J34" s="38">
        <v>193.0</v>
      </c>
      <c r="K34" s="38">
        <v>470.0</v>
      </c>
      <c r="L34" s="38">
        <v>287.0</v>
      </c>
      <c r="M34" s="38">
        <v>240.0</v>
      </c>
      <c r="N34" s="38">
        <v>323.0</v>
      </c>
      <c r="O34" s="10">
        <f t="shared" si="1"/>
        <v>3564</v>
      </c>
      <c r="P34" s="31">
        <f t="shared" si="2"/>
        <v>297</v>
      </c>
      <c r="Q34" s="31">
        <f t="shared" si="3"/>
        <v>108.0849834</v>
      </c>
      <c r="R34" s="32">
        <f t="shared" si="4"/>
        <v>0.363922503</v>
      </c>
      <c r="S34" s="33" t="str">
        <f t="shared" si="5"/>
        <v>Z</v>
      </c>
      <c r="T34" s="34" t="str">
        <f t="shared" si="6"/>
        <v>Y</v>
      </c>
      <c r="U34" s="33" t="str">
        <f t="shared" si="7"/>
        <v>Y</v>
      </c>
    </row>
    <row r="35">
      <c r="A35" s="29">
        <v>42.0</v>
      </c>
      <c r="B35" s="12" t="s">
        <v>56</v>
      </c>
      <c r="C35" s="30">
        <v>19.0</v>
      </c>
      <c r="D35" s="30">
        <v>18.0</v>
      </c>
      <c r="E35" s="30">
        <v>32.0</v>
      </c>
      <c r="F35" s="30">
        <v>31.0</v>
      </c>
      <c r="G35" s="30">
        <v>21.0</v>
      </c>
      <c r="H35" s="30">
        <v>18.0</v>
      </c>
      <c r="I35" s="30">
        <v>20.0</v>
      </c>
      <c r="J35" s="30">
        <v>15.0</v>
      </c>
      <c r="K35" s="30">
        <v>15.0</v>
      </c>
      <c r="L35" s="30">
        <v>13.0</v>
      </c>
      <c r="M35" s="30">
        <v>7.0</v>
      </c>
      <c r="N35" s="30">
        <v>15.0</v>
      </c>
      <c r="O35" s="10">
        <f t="shared" si="1"/>
        <v>224</v>
      </c>
      <c r="P35" s="31">
        <f t="shared" si="2"/>
        <v>18.66666667</v>
      </c>
      <c r="Q35" s="31">
        <f t="shared" si="3"/>
        <v>7.049607769</v>
      </c>
      <c r="R35" s="32">
        <f t="shared" si="4"/>
        <v>0.3776575591</v>
      </c>
      <c r="S35" s="33" t="str">
        <f t="shared" si="5"/>
        <v>Z</v>
      </c>
      <c r="T35" s="34" t="str">
        <f t="shared" si="6"/>
        <v>Y</v>
      </c>
      <c r="U35" s="33" t="str">
        <f t="shared" si="7"/>
        <v>Y</v>
      </c>
    </row>
    <row r="36">
      <c r="A36" s="29">
        <v>30.0</v>
      </c>
      <c r="B36" s="12" t="s">
        <v>44</v>
      </c>
      <c r="C36" s="30">
        <v>66.0</v>
      </c>
      <c r="D36" s="30">
        <v>92.0</v>
      </c>
      <c r="E36" s="30">
        <v>158.0</v>
      </c>
      <c r="F36" s="30">
        <v>88.0</v>
      </c>
      <c r="G36" s="30">
        <v>96.0</v>
      </c>
      <c r="H36" s="30">
        <v>187.0</v>
      </c>
      <c r="I36" s="30">
        <v>96.0</v>
      </c>
      <c r="J36" s="30">
        <v>74.0</v>
      </c>
      <c r="K36" s="30">
        <v>150.0</v>
      </c>
      <c r="L36" s="30">
        <v>109.0</v>
      </c>
      <c r="M36" s="30">
        <v>119.0</v>
      </c>
      <c r="N36" s="30">
        <v>218.0</v>
      </c>
      <c r="O36" s="10">
        <f t="shared" si="1"/>
        <v>1453</v>
      </c>
      <c r="P36" s="31">
        <f t="shared" si="2"/>
        <v>121.0833333</v>
      </c>
      <c r="Q36" s="31">
        <f t="shared" si="3"/>
        <v>47.22953301</v>
      </c>
      <c r="R36" s="32">
        <f t="shared" si="4"/>
        <v>0.390058084</v>
      </c>
      <c r="S36" s="33" t="str">
        <f t="shared" si="5"/>
        <v>Z</v>
      </c>
      <c r="T36" s="34" t="str">
        <f t="shared" si="6"/>
        <v>Y</v>
      </c>
      <c r="U36" s="33" t="str">
        <f t="shared" si="7"/>
        <v>Y</v>
      </c>
    </row>
    <row r="37">
      <c r="A37" s="29">
        <v>40.0</v>
      </c>
      <c r="B37" s="12" t="s">
        <v>54</v>
      </c>
      <c r="C37" s="30">
        <v>12.0</v>
      </c>
      <c r="D37" s="30">
        <v>5.0</v>
      </c>
      <c r="E37" s="30">
        <v>24.0</v>
      </c>
      <c r="F37" s="30">
        <v>18.0</v>
      </c>
      <c r="G37" s="30">
        <v>13.0</v>
      </c>
      <c r="H37" s="38">
        <v>29.0</v>
      </c>
      <c r="I37" s="38">
        <v>17.0</v>
      </c>
      <c r="J37" s="30">
        <v>24.0</v>
      </c>
      <c r="K37" s="30">
        <v>19.0</v>
      </c>
      <c r="L37" s="30">
        <v>20.0</v>
      </c>
      <c r="M37" s="30">
        <v>28.0</v>
      </c>
      <c r="N37" s="30">
        <v>40.0</v>
      </c>
      <c r="O37" s="10">
        <f t="shared" si="1"/>
        <v>249</v>
      </c>
      <c r="P37" s="31">
        <f t="shared" si="2"/>
        <v>20.75</v>
      </c>
      <c r="Q37" s="31">
        <f t="shared" si="3"/>
        <v>9.156468156</v>
      </c>
      <c r="R37" s="32">
        <f t="shared" si="4"/>
        <v>0.4412755738</v>
      </c>
      <c r="S37" s="33" t="str">
        <f t="shared" si="5"/>
        <v>Z</v>
      </c>
      <c r="T37" s="34" t="str">
        <f t="shared" si="6"/>
        <v>Y</v>
      </c>
      <c r="U37" s="33" t="str">
        <f t="shared" si="7"/>
        <v>Z</v>
      </c>
    </row>
    <row r="38">
      <c r="A38" s="35">
        <v>33.0</v>
      </c>
      <c r="B38" s="7" t="s">
        <v>47</v>
      </c>
      <c r="C38" s="36">
        <v>22.0</v>
      </c>
      <c r="D38" s="36">
        <v>36.0</v>
      </c>
      <c r="E38" s="36">
        <v>87.0</v>
      </c>
      <c r="F38" s="36">
        <v>34.0</v>
      </c>
      <c r="G38" s="36">
        <v>38.0</v>
      </c>
      <c r="H38" s="36">
        <v>55.0</v>
      </c>
      <c r="I38" s="36">
        <v>88.0</v>
      </c>
      <c r="J38" s="36">
        <v>52.0</v>
      </c>
      <c r="K38" s="36">
        <v>117.0</v>
      </c>
      <c r="L38" s="36">
        <v>58.0</v>
      </c>
      <c r="M38" s="36">
        <v>68.0</v>
      </c>
      <c r="N38" s="36">
        <v>94.0</v>
      </c>
      <c r="O38" s="10">
        <f t="shared" si="1"/>
        <v>749</v>
      </c>
      <c r="P38" s="31">
        <f t="shared" si="2"/>
        <v>62.41666667</v>
      </c>
      <c r="Q38" s="31">
        <f t="shared" si="3"/>
        <v>28.89623547</v>
      </c>
      <c r="R38" s="32">
        <f t="shared" si="4"/>
        <v>0.4629570436</v>
      </c>
      <c r="S38" s="33" t="str">
        <f t="shared" si="5"/>
        <v>Z</v>
      </c>
      <c r="T38" s="34" t="str">
        <f t="shared" si="6"/>
        <v>Y</v>
      </c>
      <c r="U38" s="33" t="str">
        <f t="shared" si="7"/>
        <v>Z</v>
      </c>
    </row>
    <row r="39">
      <c r="A39" s="35">
        <v>29.0</v>
      </c>
      <c r="B39" s="7" t="s">
        <v>43</v>
      </c>
      <c r="C39" s="36">
        <v>124.0</v>
      </c>
      <c r="D39" s="36">
        <v>64.0</v>
      </c>
      <c r="E39" s="36">
        <v>50.0</v>
      </c>
      <c r="F39" s="36">
        <v>206.0</v>
      </c>
      <c r="G39" s="36">
        <v>379.0</v>
      </c>
      <c r="H39" s="36">
        <v>319.0</v>
      </c>
      <c r="I39" s="36">
        <v>158.0</v>
      </c>
      <c r="J39" s="36">
        <v>194.0</v>
      </c>
      <c r="K39" s="36">
        <v>262.0</v>
      </c>
      <c r="L39" s="36">
        <v>183.0</v>
      </c>
      <c r="M39" s="36">
        <v>255.0</v>
      </c>
      <c r="N39" s="36">
        <v>271.0</v>
      </c>
      <c r="O39" s="10">
        <f t="shared" si="1"/>
        <v>2465</v>
      </c>
      <c r="P39" s="31">
        <f t="shared" si="2"/>
        <v>205.4166667</v>
      </c>
      <c r="Q39" s="31">
        <f t="shared" si="3"/>
        <v>98.46869215</v>
      </c>
      <c r="R39" s="32">
        <f t="shared" si="4"/>
        <v>0.4793607731</v>
      </c>
      <c r="S39" s="33" t="str">
        <f t="shared" si="5"/>
        <v>Z</v>
      </c>
      <c r="T39" s="34" t="str">
        <f t="shared" si="6"/>
        <v>Y</v>
      </c>
      <c r="U39" s="33" t="str">
        <f t="shared" si="7"/>
        <v>Z</v>
      </c>
    </row>
    <row r="40">
      <c r="A40" s="29">
        <v>34.0</v>
      </c>
      <c r="B40" s="12" t="s">
        <v>48</v>
      </c>
      <c r="C40" s="30">
        <v>32.0</v>
      </c>
      <c r="D40" s="30">
        <v>46.0</v>
      </c>
      <c r="E40" s="30">
        <v>114.0</v>
      </c>
      <c r="F40" s="30">
        <v>34.0</v>
      </c>
      <c r="G40" s="30">
        <v>36.0</v>
      </c>
      <c r="H40" s="30">
        <v>55.0</v>
      </c>
      <c r="I40" s="30">
        <v>35.0</v>
      </c>
      <c r="J40" s="30">
        <v>26.0</v>
      </c>
      <c r="K40" s="30">
        <v>76.0</v>
      </c>
      <c r="L40" s="30">
        <v>47.0</v>
      </c>
      <c r="M40" s="30">
        <v>55.0</v>
      </c>
      <c r="N40" s="30">
        <v>77.0</v>
      </c>
      <c r="O40" s="10">
        <f t="shared" si="1"/>
        <v>633</v>
      </c>
      <c r="P40" s="31">
        <f t="shared" si="2"/>
        <v>52.75</v>
      </c>
      <c r="Q40" s="31">
        <f t="shared" si="3"/>
        <v>25.3381674</v>
      </c>
      <c r="R40" s="32">
        <f t="shared" si="4"/>
        <v>0.4803444057</v>
      </c>
      <c r="S40" s="33" t="str">
        <f t="shared" si="5"/>
        <v>Z</v>
      </c>
      <c r="T40" s="34" t="str">
        <f t="shared" si="6"/>
        <v>Y</v>
      </c>
      <c r="U40" s="33" t="str">
        <f t="shared" si="7"/>
        <v>Z</v>
      </c>
    </row>
    <row r="41">
      <c r="A41" s="37">
        <v>24.0</v>
      </c>
      <c r="B41" s="16" t="s">
        <v>38</v>
      </c>
      <c r="C41" s="38">
        <v>142.0</v>
      </c>
      <c r="D41" s="38">
        <v>293.0</v>
      </c>
      <c r="E41" s="38">
        <v>751.0</v>
      </c>
      <c r="F41" s="38">
        <v>222.0</v>
      </c>
      <c r="G41" s="38">
        <v>267.0</v>
      </c>
      <c r="H41" s="30">
        <v>332.0</v>
      </c>
      <c r="I41" s="30">
        <v>303.0</v>
      </c>
      <c r="J41" s="30">
        <v>213.0</v>
      </c>
      <c r="K41" s="30">
        <v>442.0</v>
      </c>
      <c r="L41" s="30">
        <v>183.0</v>
      </c>
      <c r="M41" s="30">
        <v>367.0</v>
      </c>
      <c r="N41" s="30">
        <v>457.0</v>
      </c>
      <c r="O41" s="10">
        <f t="shared" si="1"/>
        <v>3972</v>
      </c>
      <c r="P41" s="31">
        <f t="shared" si="2"/>
        <v>331</v>
      </c>
      <c r="Q41" s="31">
        <f t="shared" si="3"/>
        <v>163.9423402</v>
      </c>
      <c r="R41" s="32">
        <f t="shared" si="4"/>
        <v>0.4952940791</v>
      </c>
      <c r="S41" s="33" t="str">
        <f t="shared" si="5"/>
        <v>Z</v>
      </c>
      <c r="T41" s="34" t="str">
        <f t="shared" si="6"/>
        <v>Y</v>
      </c>
      <c r="U41" s="33" t="str">
        <f t="shared" si="7"/>
        <v>Z</v>
      </c>
    </row>
    <row r="42">
      <c r="A42" s="37">
        <v>26.0</v>
      </c>
      <c r="B42" s="16" t="s">
        <v>40</v>
      </c>
      <c r="C42" s="38">
        <v>59.0</v>
      </c>
      <c r="D42" s="38">
        <v>181.0</v>
      </c>
      <c r="E42" s="38">
        <v>539.0</v>
      </c>
      <c r="F42" s="38">
        <v>125.0</v>
      </c>
      <c r="G42" s="38">
        <v>270.0</v>
      </c>
      <c r="H42" s="30">
        <v>424.0</v>
      </c>
      <c r="I42" s="30">
        <v>121.0</v>
      </c>
      <c r="J42" s="30">
        <v>230.0</v>
      </c>
      <c r="K42" s="30">
        <v>497.0</v>
      </c>
      <c r="L42" s="30">
        <v>121.0</v>
      </c>
      <c r="M42" s="30">
        <v>252.0</v>
      </c>
      <c r="N42" s="30">
        <v>441.0</v>
      </c>
      <c r="O42" s="10">
        <f t="shared" si="1"/>
        <v>3260</v>
      </c>
      <c r="P42" s="31">
        <f t="shared" si="2"/>
        <v>271.6666667</v>
      </c>
      <c r="Q42" s="31">
        <f t="shared" si="3"/>
        <v>164.2079244</v>
      </c>
      <c r="R42" s="32">
        <f t="shared" si="4"/>
        <v>0.6044463474</v>
      </c>
      <c r="S42" s="33" t="str">
        <f t="shared" si="5"/>
        <v>Z</v>
      </c>
      <c r="T42" s="34" t="str">
        <f t="shared" si="6"/>
        <v>Z</v>
      </c>
      <c r="U42" s="33" t="str">
        <f t="shared" si="7"/>
        <v>Z</v>
      </c>
    </row>
    <row r="43">
      <c r="A43" s="35">
        <v>39.0</v>
      </c>
      <c r="B43" s="7" t="s">
        <v>53</v>
      </c>
      <c r="C43" s="36">
        <v>25.0</v>
      </c>
      <c r="D43" s="36">
        <v>19.0</v>
      </c>
      <c r="E43" s="36">
        <v>25.0</v>
      </c>
      <c r="F43" s="36">
        <v>24.0</v>
      </c>
      <c r="G43" s="36">
        <v>15.0</v>
      </c>
      <c r="H43" s="36">
        <v>27.0</v>
      </c>
      <c r="I43" s="36">
        <v>18.0</v>
      </c>
      <c r="J43" s="36">
        <v>27.0</v>
      </c>
      <c r="K43" s="36">
        <v>20.0</v>
      </c>
      <c r="L43" s="36">
        <v>23.0</v>
      </c>
      <c r="M43" s="36">
        <v>14.0</v>
      </c>
      <c r="N43" s="36">
        <v>81.0</v>
      </c>
      <c r="O43" s="10">
        <f t="shared" si="1"/>
        <v>318</v>
      </c>
      <c r="P43" s="31">
        <f t="shared" si="2"/>
        <v>26.5</v>
      </c>
      <c r="Q43" s="31">
        <f t="shared" si="3"/>
        <v>17.71747981</v>
      </c>
      <c r="R43" s="32">
        <f t="shared" si="4"/>
        <v>0.6685841439</v>
      </c>
      <c r="S43" s="33" t="str">
        <f t="shared" si="5"/>
        <v>Z</v>
      </c>
      <c r="T43" s="34" t="str">
        <f t="shared" si="6"/>
        <v>Z</v>
      </c>
      <c r="U43" s="33" t="str">
        <f t="shared" si="7"/>
        <v>Z</v>
      </c>
    </row>
    <row r="44">
      <c r="A44" s="35">
        <v>37.0</v>
      </c>
      <c r="B44" s="7" t="s">
        <v>51</v>
      </c>
      <c r="C44" s="36">
        <v>17.0</v>
      </c>
      <c r="D44" s="36">
        <v>16.0</v>
      </c>
      <c r="E44" s="36">
        <v>30.0</v>
      </c>
      <c r="F44" s="36">
        <v>18.0</v>
      </c>
      <c r="G44" s="36">
        <v>21.0</v>
      </c>
      <c r="H44" s="36">
        <v>24.0</v>
      </c>
      <c r="I44" s="36">
        <v>26.0</v>
      </c>
      <c r="J44" s="36">
        <v>24.0</v>
      </c>
      <c r="K44" s="36">
        <v>35.0</v>
      </c>
      <c r="L44" s="36">
        <v>97.0</v>
      </c>
      <c r="M44" s="36">
        <v>68.0</v>
      </c>
      <c r="N44" s="36">
        <v>61.0</v>
      </c>
      <c r="O44" s="10">
        <f t="shared" si="1"/>
        <v>437</v>
      </c>
      <c r="P44" s="31">
        <f t="shared" si="2"/>
        <v>36.41666667</v>
      </c>
      <c r="Q44" s="31">
        <f t="shared" si="3"/>
        <v>25.41101527</v>
      </c>
      <c r="R44" s="32">
        <f t="shared" si="4"/>
        <v>0.6977853163</v>
      </c>
      <c r="S44" s="33" t="str">
        <f t="shared" si="5"/>
        <v>Z</v>
      </c>
      <c r="T44" s="34" t="str">
        <f t="shared" si="6"/>
        <v>Z</v>
      </c>
      <c r="U44" s="33" t="str">
        <f t="shared" si="7"/>
        <v>Z</v>
      </c>
    </row>
    <row r="45">
      <c r="B45" s="21" t="s">
        <v>78</v>
      </c>
      <c r="C45" s="19">
        <f t="shared" ref="C45:O45" si="8">SUM(C2:C44)</f>
        <v>398990</v>
      </c>
      <c r="D45" s="19">
        <f t="shared" si="8"/>
        <v>473156</v>
      </c>
      <c r="E45" s="19">
        <f t="shared" si="8"/>
        <v>665827</v>
      </c>
      <c r="F45" s="19">
        <f t="shared" si="8"/>
        <v>365536</v>
      </c>
      <c r="G45" s="19">
        <f t="shared" si="8"/>
        <v>371203</v>
      </c>
      <c r="H45" s="19">
        <f t="shared" si="8"/>
        <v>452712</v>
      </c>
      <c r="I45" s="19">
        <f t="shared" si="8"/>
        <v>440763</v>
      </c>
      <c r="J45" s="19">
        <f t="shared" si="8"/>
        <v>362913</v>
      </c>
      <c r="K45" s="19">
        <f t="shared" si="8"/>
        <v>484810</v>
      </c>
      <c r="L45" s="19">
        <f t="shared" si="8"/>
        <v>418605</v>
      </c>
      <c r="M45" s="19">
        <f t="shared" si="8"/>
        <v>441535</v>
      </c>
      <c r="N45" s="19">
        <f t="shared" si="8"/>
        <v>386968</v>
      </c>
      <c r="O45" s="19">
        <f t="shared" si="8"/>
        <v>5263018</v>
      </c>
      <c r="P45" s="19">
        <f t="shared" si="2"/>
        <v>438584.8333</v>
      </c>
      <c r="Q45" s="19">
        <f t="shared" si="3"/>
        <v>82801.99304</v>
      </c>
      <c r="R45" s="25">
        <f t="shared" si="4"/>
        <v>0.1887935623</v>
      </c>
      <c r="U45" s="39"/>
    </row>
  </sheetData>
  <mergeCells count="1">
    <mergeCell ref="A1:B1"/>
  </mergeCells>
  <conditionalFormatting sqref="S2:U44">
    <cfRule type="cellIs" dxfId="0" priority="1" operator="equal">
      <formula>"X"</formula>
    </cfRule>
  </conditionalFormatting>
  <conditionalFormatting sqref="S2:U44">
    <cfRule type="cellIs" dxfId="1" priority="2" operator="equal">
      <formula>"Y"</formula>
    </cfRule>
  </conditionalFormatting>
  <conditionalFormatting sqref="S2:U44">
    <cfRule type="cellIs" dxfId="2" priority="3" operator="equal">
      <formula>"Z"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</hyperlinks>
  <drawing r:id="rId4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1.88"/>
  </cols>
  <sheetData>
    <row r="1">
      <c r="A1" s="40"/>
      <c r="B1" s="40"/>
      <c r="C1" s="41">
        <v>1.0</v>
      </c>
      <c r="D1" s="41">
        <v>2.0</v>
      </c>
      <c r="E1" s="41">
        <v>3.0</v>
      </c>
      <c r="F1" s="41">
        <v>4.0</v>
      </c>
      <c r="G1" s="41">
        <v>5.0</v>
      </c>
      <c r="H1" s="41">
        <v>6.0</v>
      </c>
      <c r="I1" s="41">
        <v>7.0</v>
      </c>
      <c r="J1" s="41">
        <v>8.0</v>
      </c>
      <c r="K1" s="41">
        <v>9.0</v>
      </c>
      <c r="L1" s="41">
        <v>10.0</v>
      </c>
      <c r="M1" s="41">
        <v>11.0</v>
      </c>
      <c r="N1" s="41">
        <v>12.0</v>
      </c>
      <c r="O1" s="42"/>
      <c r="P1" s="43"/>
      <c r="Q1" s="43"/>
      <c r="R1" s="43"/>
      <c r="S1" s="43"/>
      <c r="T1" s="43"/>
      <c r="U1" s="43"/>
      <c r="V1" s="43"/>
      <c r="W1" s="43"/>
    </row>
    <row r="2">
      <c r="A2" s="44"/>
      <c r="B2" s="44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8</v>
      </c>
      <c r="J2" s="41" t="s">
        <v>9</v>
      </c>
      <c r="K2" s="41" t="s">
        <v>10</v>
      </c>
      <c r="L2" s="41" t="s">
        <v>11</v>
      </c>
      <c r="M2" s="45" t="s">
        <v>90</v>
      </c>
      <c r="N2" s="45" t="s">
        <v>13</v>
      </c>
      <c r="O2" s="46" t="s">
        <v>84</v>
      </c>
      <c r="P2" s="47" t="s">
        <v>85</v>
      </c>
      <c r="Q2" s="48" t="s">
        <v>91</v>
      </c>
      <c r="R2" s="48" t="s">
        <v>92</v>
      </c>
      <c r="S2" s="49"/>
      <c r="T2" s="43"/>
      <c r="U2" s="43"/>
      <c r="V2" s="43"/>
      <c r="W2" s="43"/>
    </row>
    <row r="3">
      <c r="A3" s="35">
        <v>1.0</v>
      </c>
      <c r="B3" s="7" t="s">
        <v>15</v>
      </c>
      <c r="C3" s="36">
        <v>106744.0</v>
      </c>
      <c r="D3" s="36">
        <v>132254.0</v>
      </c>
      <c r="E3" s="36">
        <v>180205.0</v>
      </c>
      <c r="F3" s="36">
        <v>110328.0</v>
      </c>
      <c r="G3" s="36">
        <v>106852.0</v>
      </c>
      <c r="H3" s="36">
        <v>129400.0</v>
      </c>
      <c r="I3" s="36">
        <v>137621.0</v>
      </c>
      <c r="J3" s="36">
        <v>107822.0</v>
      </c>
      <c r="K3" s="36">
        <v>125760.0</v>
      </c>
      <c r="L3" s="36">
        <v>128569.0</v>
      </c>
      <c r="M3" s="36">
        <v>133146.0</v>
      </c>
      <c r="N3" s="36">
        <v>109946.0</v>
      </c>
      <c r="O3" s="50">
        <f t="shared" ref="O3:O45" si="1">AVERAGE(C3:N3)</f>
        <v>125720.5833</v>
      </c>
      <c r="P3" s="51">
        <f t="shared" ref="P3:P45" si="2">STDEV(C3:N3)</f>
        <v>20784.41199</v>
      </c>
      <c r="Q3" s="52">
        <f t="shared" ref="Q3:Q45" si="3">O3+SQRT((COUNT(C3:N3) - 1)/COUNT(C3:N3))*P3*1.98</f>
        <v>165121.7111</v>
      </c>
      <c r="R3" s="52">
        <f t="shared" ref="R3:R45" si="4">O3-SQRT((COUNT(C3:N3) - 1)/COUNT(C3:N3))*P3*1.98</f>
        <v>86319.45561</v>
      </c>
      <c r="S3" s="43"/>
      <c r="T3" s="40"/>
      <c r="U3" s="43"/>
      <c r="V3" s="43"/>
      <c r="W3" s="43"/>
    </row>
    <row r="4">
      <c r="A4" s="29">
        <v>2.0</v>
      </c>
      <c r="B4" s="12" t="s">
        <v>16</v>
      </c>
      <c r="C4" s="30">
        <v>56412.0</v>
      </c>
      <c r="D4" s="30">
        <v>68754.0</v>
      </c>
      <c r="E4" s="30">
        <v>93826.0</v>
      </c>
      <c r="F4" s="30">
        <v>52488.0</v>
      </c>
      <c r="G4" s="30">
        <v>51638.0</v>
      </c>
      <c r="H4" s="30">
        <v>62624.0</v>
      </c>
      <c r="I4" s="30">
        <v>60873.0</v>
      </c>
      <c r="J4" s="30">
        <v>47700.0</v>
      </c>
      <c r="K4" s="30">
        <v>71095.0</v>
      </c>
      <c r="L4" s="30">
        <v>63844.0</v>
      </c>
      <c r="M4" s="30">
        <v>64186.0</v>
      </c>
      <c r="N4" s="30">
        <v>53786.0</v>
      </c>
      <c r="O4" s="50">
        <f t="shared" si="1"/>
        <v>62268.83333</v>
      </c>
      <c r="P4" s="51">
        <f t="shared" si="2"/>
        <v>12252.03406</v>
      </c>
      <c r="Q4" s="52">
        <f t="shared" si="3"/>
        <v>85495.08382</v>
      </c>
      <c r="R4" s="52">
        <f t="shared" si="4"/>
        <v>39042.58285</v>
      </c>
      <c r="S4" s="43"/>
      <c r="T4" s="40"/>
      <c r="U4" s="43"/>
      <c r="V4" s="43"/>
      <c r="W4" s="43"/>
    </row>
    <row r="5">
      <c r="A5" s="35">
        <v>3.0</v>
      </c>
      <c r="B5" s="7" t="s">
        <v>17</v>
      </c>
      <c r="C5" s="36">
        <v>53395.0</v>
      </c>
      <c r="D5" s="36">
        <v>63303.0</v>
      </c>
      <c r="E5" s="36">
        <v>83895.0</v>
      </c>
      <c r="F5" s="36">
        <v>56029.0</v>
      </c>
      <c r="G5" s="36">
        <v>54089.0</v>
      </c>
      <c r="H5" s="36">
        <v>63367.0</v>
      </c>
      <c r="I5" s="36">
        <v>60460.0</v>
      </c>
      <c r="J5" s="36">
        <v>49794.0</v>
      </c>
      <c r="K5" s="36">
        <v>65204.0</v>
      </c>
      <c r="L5" s="36">
        <v>54204.0</v>
      </c>
      <c r="M5" s="36">
        <v>59373.0</v>
      </c>
      <c r="N5" s="36">
        <v>51481.0</v>
      </c>
      <c r="O5" s="50">
        <f t="shared" si="1"/>
        <v>59549.5</v>
      </c>
      <c r="P5" s="51">
        <f t="shared" si="2"/>
        <v>9160.848834</v>
      </c>
      <c r="Q5" s="52">
        <f t="shared" si="3"/>
        <v>76915.77311</v>
      </c>
      <c r="R5" s="52">
        <f t="shared" si="4"/>
        <v>42183.22689</v>
      </c>
      <c r="S5" s="43"/>
      <c r="T5" s="40"/>
      <c r="U5" s="43"/>
      <c r="V5" s="43"/>
      <c r="W5" s="43"/>
    </row>
    <row r="6">
      <c r="A6" s="29">
        <v>4.0</v>
      </c>
      <c r="B6" s="12" t="s">
        <v>18</v>
      </c>
      <c r="C6" s="30">
        <v>53599.0</v>
      </c>
      <c r="D6" s="30">
        <v>58895.0</v>
      </c>
      <c r="E6" s="30">
        <v>75564.0</v>
      </c>
      <c r="F6" s="30">
        <v>48818.0</v>
      </c>
      <c r="G6" s="30">
        <v>44676.0</v>
      </c>
      <c r="H6" s="30">
        <v>53562.0</v>
      </c>
      <c r="I6" s="30">
        <v>54145.0</v>
      </c>
      <c r="J6" s="30">
        <v>43607.0</v>
      </c>
      <c r="K6" s="30">
        <v>54074.0</v>
      </c>
      <c r="L6" s="30">
        <v>56431.0</v>
      </c>
      <c r="M6" s="30">
        <v>54667.0</v>
      </c>
      <c r="N6" s="30">
        <v>48743.0</v>
      </c>
      <c r="O6" s="50">
        <f t="shared" si="1"/>
        <v>53898.41667</v>
      </c>
      <c r="P6" s="51">
        <f t="shared" si="2"/>
        <v>8229.755795</v>
      </c>
      <c r="Q6" s="52">
        <f t="shared" si="3"/>
        <v>69499.61142</v>
      </c>
      <c r="R6" s="52">
        <f t="shared" si="4"/>
        <v>38297.22192</v>
      </c>
      <c r="S6" s="43"/>
      <c r="T6" s="40"/>
      <c r="U6" s="43"/>
      <c r="V6" s="43"/>
      <c r="W6" s="43"/>
    </row>
    <row r="7">
      <c r="A7" s="35">
        <v>5.0</v>
      </c>
      <c r="B7" s="7" t="s">
        <v>19</v>
      </c>
      <c r="C7" s="36">
        <v>56336.0</v>
      </c>
      <c r="D7" s="36">
        <v>64362.0</v>
      </c>
      <c r="E7" s="36">
        <v>85485.0</v>
      </c>
      <c r="F7" s="36">
        <v>36548.0</v>
      </c>
      <c r="G7" s="36">
        <v>41592.0</v>
      </c>
      <c r="H7" s="36">
        <v>51674.0</v>
      </c>
      <c r="I7" s="36">
        <v>51053.0</v>
      </c>
      <c r="J7" s="36">
        <v>42789.0</v>
      </c>
      <c r="K7" s="36">
        <v>60994.0</v>
      </c>
      <c r="L7" s="36">
        <v>42720.0</v>
      </c>
      <c r="M7" s="36">
        <v>45592.0</v>
      </c>
      <c r="N7" s="36">
        <v>36888.0</v>
      </c>
      <c r="O7" s="50">
        <f t="shared" si="1"/>
        <v>51336.08333</v>
      </c>
      <c r="P7" s="51">
        <f t="shared" si="2"/>
        <v>14003.10861</v>
      </c>
      <c r="Q7" s="52">
        <f t="shared" si="3"/>
        <v>77881.85577</v>
      </c>
      <c r="R7" s="52">
        <f t="shared" si="4"/>
        <v>24790.31089</v>
      </c>
      <c r="S7" s="43"/>
      <c r="T7" s="40"/>
      <c r="U7" s="43"/>
      <c r="V7" s="43"/>
      <c r="W7" s="43"/>
    </row>
    <row r="8">
      <c r="A8" s="29">
        <v>6.0</v>
      </c>
      <c r="B8" s="12" t="s">
        <v>20</v>
      </c>
      <c r="C8" s="30">
        <v>17695.0</v>
      </c>
      <c r="D8" s="30">
        <v>18709.0</v>
      </c>
      <c r="E8" s="30">
        <v>34536.0</v>
      </c>
      <c r="F8" s="30">
        <v>13875.0</v>
      </c>
      <c r="G8" s="30">
        <v>16200.0</v>
      </c>
      <c r="H8" s="30">
        <v>18886.0</v>
      </c>
      <c r="I8" s="30">
        <v>15550.0</v>
      </c>
      <c r="J8" s="30">
        <v>15402.0</v>
      </c>
      <c r="K8" s="30">
        <v>22842.0</v>
      </c>
      <c r="L8" s="30">
        <v>14338.0</v>
      </c>
      <c r="M8" s="30">
        <v>17988.0</v>
      </c>
      <c r="N8" s="30">
        <v>14722.0</v>
      </c>
      <c r="O8" s="50">
        <f t="shared" si="1"/>
        <v>18395.25</v>
      </c>
      <c r="P8" s="51">
        <f t="shared" si="2"/>
        <v>5669.324894</v>
      </c>
      <c r="Q8" s="52">
        <f t="shared" si="3"/>
        <v>29142.62137</v>
      </c>
      <c r="R8" s="52">
        <f t="shared" si="4"/>
        <v>7647.878635</v>
      </c>
      <c r="S8" s="43"/>
      <c r="T8" s="40"/>
      <c r="U8" s="43"/>
      <c r="V8" s="43"/>
      <c r="W8" s="43"/>
    </row>
    <row r="9">
      <c r="A9" s="35">
        <v>7.0</v>
      </c>
      <c r="B9" s="7" t="s">
        <v>21</v>
      </c>
      <c r="C9" s="36">
        <v>12118.0</v>
      </c>
      <c r="D9" s="36">
        <v>13614.0</v>
      </c>
      <c r="E9" s="36">
        <v>21135.0</v>
      </c>
      <c r="F9" s="36">
        <v>9007.0</v>
      </c>
      <c r="G9" s="36">
        <v>8542.0</v>
      </c>
      <c r="H9" s="36">
        <v>12184.0</v>
      </c>
      <c r="I9" s="36">
        <v>12278.0</v>
      </c>
      <c r="J9" s="36">
        <v>10193.0</v>
      </c>
      <c r="K9" s="36">
        <v>15215.0</v>
      </c>
      <c r="L9" s="36">
        <v>12841.0</v>
      </c>
      <c r="M9" s="36">
        <v>12153.0</v>
      </c>
      <c r="N9" s="36">
        <v>9173.0</v>
      </c>
      <c r="O9" s="50">
        <f t="shared" si="1"/>
        <v>12371.08333</v>
      </c>
      <c r="P9" s="51">
        <f t="shared" si="2"/>
        <v>3408.088733</v>
      </c>
      <c r="Q9" s="52">
        <f t="shared" si="3"/>
        <v>18831.81648</v>
      </c>
      <c r="R9" s="52">
        <f t="shared" si="4"/>
        <v>5910.350187</v>
      </c>
      <c r="S9" s="43"/>
      <c r="T9" s="40"/>
      <c r="U9" s="43"/>
      <c r="V9" s="43"/>
      <c r="W9" s="43"/>
    </row>
    <row r="10">
      <c r="A10" s="29">
        <v>8.0</v>
      </c>
      <c r="B10" s="12" t="s">
        <v>22</v>
      </c>
      <c r="C10" s="30">
        <v>10160.0</v>
      </c>
      <c r="D10" s="30">
        <v>12526.0</v>
      </c>
      <c r="E10" s="30">
        <v>24131.0</v>
      </c>
      <c r="F10" s="30">
        <v>7779.0</v>
      </c>
      <c r="G10" s="30">
        <v>9464.0</v>
      </c>
      <c r="H10" s="30">
        <v>13195.0</v>
      </c>
      <c r="I10" s="30">
        <v>11664.0</v>
      </c>
      <c r="J10" s="30">
        <v>9815.0</v>
      </c>
      <c r="K10" s="30">
        <v>15251.0</v>
      </c>
      <c r="L10" s="30">
        <v>9500.0</v>
      </c>
      <c r="M10" s="30">
        <v>11655.0</v>
      </c>
      <c r="N10" s="30">
        <v>10271.0</v>
      </c>
      <c r="O10" s="50">
        <f t="shared" si="1"/>
        <v>12117.58333</v>
      </c>
      <c r="P10" s="51">
        <f t="shared" si="2"/>
        <v>4276.237481</v>
      </c>
      <c r="Q10" s="52">
        <f t="shared" si="3"/>
        <v>20224.07099</v>
      </c>
      <c r="R10" s="52">
        <f t="shared" si="4"/>
        <v>4011.09568</v>
      </c>
      <c r="S10" s="43"/>
      <c r="T10" s="40"/>
      <c r="U10" s="43"/>
      <c r="V10" s="43"/>
      <c r="W10" s="43"/>
    </row>
    <row r="11">
      <c r="A11" s="35">
        <v>9.0</v>
      </c>
      <c r="B11" s="7" t="s">
        <v>23</v>
      </c>
      <c r="C11" s="36">
        <v>4719.0</v>
      </c>
      <c r="D11" s="36">
        <v>5940.0</v>
      </c>
      <c r="E11" s="36">
        <v>10157.0</v>
      </c>
      <c r="F11" s="36">
        <v>4008.0</v>
      </c>
      <c r="G11" s="36">
        <v>4746.0</v>
      </c>
      <c r="H11" s="36">
        <v>5673.0</v>
      </c>
      <c r="I11" s="36">
        <v>6084.0</v>
      </c>
      <c r="J11" s="36">
        <v>6003.0</v>
      </c>
      <c r="K11" s="36">
        <v>9621.0</v>
      </c>
      <c r="L11" s="36">
        <v>5222.0</v>
      </c>
      <c r="M11" s="36">
        <v>6531.0</v>
      </c>
      <c r="N11" s="36">
        <v>6421.0</v>
      </c>
      <c r="O11" s="50">
        <f t="shared" si="1"/>
        <v>6260.416667</v>
      </c>
      <c r="P11" s="51">
        <f t="shared" si="2"/>
        <v>1857.224442</v>
      </c>
      <c r="Q11" s="52">
        <f t="shared" si="3"/>
        <v>9781.167578</v>
      </c>
      <c r="R11" s="52">
        <f t="shared" si="4"/>
        <v>2739.665755</v>
      </c>
      <c r="S11" s="43"/>
      <c r="T11" s="40"/>
      <c r="U11" s="43"/>
      <c r="V11" s="43"/>
      <c r="W11" s="43"/>
    </row>
    <row r="12">
      <c r="A12" s="29">
        <v>10.0</v>
      </c>
      <c r="B12" s="12" t="s">
        <v>24</v>
      </c>
      <c r="C12" s="30">
        <v>4448.0</v>
      </c>
      <c r="D12" s="30">
        <v>5373.0</v>
      </c>
      <c r="E12" s="30">
        <v>9336.0</v>
      </c>
      <c r="F12" s="30">
        <v>4156.0</v>
      </c>
      <c r="G12" s="30">
        <v>4716.0</v>
      </c>
      <c r="H12" s="30">
        <v>5905.0</v>
      </c>
      <c r="I12" s="30">
        <v>5017.0</v>
      </c>
      <c r="J12" s="30">
        <v>4908.0</v>
      </c>
      <c r="K12" s="30">
        <v>7532.0</v>
      </c>
      <c r="L12" s="30">
        <v>5262.0</v>
      </c>
      <c r="M12" s="30">
        <v>6233.0</v>
      </c>
      <c r="N12" s="30">
        <v>5837.0</v>
      </c>
      <c r="O12" s="50">
        <f t="shared" si="1"/>
        <v>5726.916667</v>
      </c>
      <c r="P12" s="51">
        <f t="shared" si="2"/>
        <v>1453.057307</v>
      </c>
      <c r="Q12" s="52">
        <f t="shared" si="3"/>
        <v>8481.485648</v>
      </c>
      <c r="R12" s="52">
        <f t="shared" si="4"/>
        <v>2972.347686</v>
      </c>
      <c r="S12" s="43"/>
      <c r="T12" s="40"/>
      <c r="U12" s="43"/>
      <c r="V12" s="43"/>
      <c r="W12" s="43"/>
    </row>
    <row r="13">
      <c r="A13" s="35">
        <v>11.0</v>
      </c>
      <c r="B13" s="7" t="s">
        <v>25</v>
      </c>
      <c r="C13" s="36">
        <v>4267.0</v>
      </c>
      <c r="D13" s="36">
        <v>5070.0</v>
      </c>
      <c r="E13" s="36">
        <v>8655.0</v>
      </c>
      <c r="F13" s="36">
        <v>3614.0</v>
      </c>
      <c r="G13" s="36">
        <v>4772.0</v>
      </c>
      <c r="H13" s="36">
        <v>6127.0</v>
      </c>
      <c r="I13" s="36">
        <v>4672.0</v>
      </c>
      <c r="J13" s="36">
        <v>4744.0</v>
      </c>
      <c r="K13" s="36">
        <v>7016.0</v>
      </c>
      <c r="L13" s="36">
        <v>4637.0</v>
      </c>
      <c r="M13" s="36">
        <v>5453.0</v>
      </c>
      <c r="N13" s="36">
        <v>8533.0</v>
      </c>
      <c r="O13" s="50">
        <f t="shared" si="1"/>
        <v>5630</v>
      </c>
      <c r="P13" s="51">
        <f t="shared" si="2"/>
        <v>1635.903031</v>
      </c>
      <c r="Q13" s="52">
        <f t="shared" si="3"/>
        <v>8731.190657</v>
      </c>
      <c r="R13" s="52">
        <f t="shared" si="4"/>
        <v>2528.809343</v>
      </c>
      <c r="S13" s="43"/>
      <c r="T13" s="40"/>
      <c r="U13" s="43"/>
      <c r="V13" s="43"/>
      <c r="W13" s="43"/>
    </row>
    <row r="14">
      <c r="A14" s="29">
        <v>12.0</v>
      </c>
      <c r="B14" s="12" t="s">
        <v>26</v>
      </c>
      <c r="C14" s="30">
        <v>6448.0</v>
      </c>
      <c r="D14" s="30">
        <v>6171.0</v>
      </c>
      <c r="E14" s="30">
        <v>7769.0</v>
      </c>
      <c r="F14" s="30">
        <v>4632.0</v>
      </c>
      <c r="G14" s="30">
        <v>4116.0</v>
      </c>
      <c r="H14" s="30">
        <v>3776.0</v>
      </c>
      <c r="I14" s="30">
        <v>3681.0</v>
      </c>
      <c r="J14" s="30">
        <v>3019.0</v>
      </c>
      <c r="K14" s="30">
        <v>3550.0</v>
      </c>
      <c r="L14" s="30">
        <v>3770.0</v>
      </c>
      <c r="M14" s="30">
        <v>4136.0</v>
      </c>
      <c r="N14" s="30">
        <v>4028.0</v>
      </c>
      <c r="O14" s="50">
        <f t="shared" si="1"/>
        <v>4591.333333</v>
      </c>
      <c r="P14" s="51">
        <f t="shared" si="2"/>
        <v>1430.736068</v>
      </c>
      <c r="Q14" s="52">
        <f t="shared" si="3"/>
        <v>7303.587815</v>
      </c>
      <c r="R14" s="52">
        <f t="shared" si="4"/>
        <v>1879.078852</v>
      </c>
      <c r="S14" s="43"/>
      <c r="T14" s="40"/>
      <c r="U14" s="43"/>
      <c r="V14" s="43"/>
      <c r="W14" s="43"/>
    </row>
    <row r="15">
      <c r="A15" s="35">
        <v>13.0</v>
      </c>
      <c r="B15" s="7" t="s">
        <v>27</v>
      </c>
      <c r="C15" s="36">
        <v>2795.0</v>
      </c>
      <c r="D15" s="36">
        <v>3945.0</v>
      </c>
      <c r="E15" s="36">
        <v>6455.0</v>
      </c>
      <c r="F15" s="36">
        <v>2880.0</v>
      </c>
      <c r="G15" s="36">
        <v>4667.0</v>
      </c>
      <c r="H15" s="36">
        <v>5336.0</v>
      </c>
      <c r="I15" s="36">
        <v>3682.0</v>
      </c>
      <c r="J15" s="36">
        <v>3660.0</v>
      </c>
      <c r="K15" s="36">
        <v>5067.0</v>
      </c>
      <c r="L15" s="36">
        <v>3726.0</v>
      </c>
      <c r="M15" s="36">
        <v>4380.0</v>
      </c>
      <c r="N15" s="36">
        <v>5368.0</v>
      </c>
      <c r="O15" s="50">
        <f t="shared" si="1"/>
        <v>4330.083333</v>
      </c>
      <c r="P15" s="51">
        <f t="shared" si="2"/>
        <v>1091.492428</v>
      </c>
      <c r="Q15" s="52">
        <f t="shared" si="3"/>
        <v>6399.231721</v>
      </c>
      <c r="R15" s="52">
        <f t="shared" si="4"/>
        <v>2260.934946</v>
      </c>
      <c r="S15" s="43"/>
      <c r="T15" s="40"/>
      <c r="U15" s="43"/>
      <c r="V15" s="43"/>
      <c r="W15" s="43"/>
    </row>
    <row r="16">
      <c r="A16" s="29">
        <v>14.0</v>
      </c>
      <c r="B16" s="12" t="s">
        <v>28</v>
      </c>
      <c r="C16" s="30">
        <v>2010.0</v>
      </c>
      <c r="D16" s="30">
        <v>3651.0</v>
      </c>
      <c r="E16" s="30">
        <v>6299.0</v>
      </c>
      <c r="F16" s="30">
        <v>2479.0</v>
      </c>
      <c r="G16" s="30">
        <v>3748.0</v>
      </c>
      <c r="H16" s="30">
        <v>5411.0</v>
      </c>
      <c r="I16" s="30">
        <v>3777.0</v>
      </c>
      <c r="J16" s="30">
        <v>3309.0</v>
      </c>
      <c r="K16" s="30">
        <v>5861.0</v>
      </c>
      <c r="L16" s="30">
        <v>3817.0</v>
      </c>
      <c r="M16" s="30">
        <v>4276.0</v>
      </c>
      <c r="N16" s="30">
        <v>6597.0</v>
      </c>
      <c r="O16" s="50">
        <f t="shared" si="1"/>
        <v>4269.583333</v>
      </c>
      <c r="P16" s="51">
        <f t="shared" si="2"/>
        <v>1468.074525</v>
      </c>
      <c r="Q16" s="52">
        <f t="shared" si="3"/>
        <v>7052.620539</v>
      </c>
      <c r="R16" s="52">
        <f t="shared" si="4"/>
        <v>1486.546128</v>
      </c>
      <c r="S16" s="43"/>
      <c r="T16" s="40"/>
      <c r="U16" s="43"/>
      <c r="V16" s="43"/>
      <c r="W16" s="43"/>
    </row>
    <row r="17">
      <c r="A17" s="35">
        <v>15.0</v>
      </c>
      <c r="B17" s="7" t="s">
        <v>29</v>
      </c>
      <c r="C17" s="36">
        <v>1506.0</v>
      </c>
      <c r="D17" s="36">
        <v>2166.0</v>
      </c>
      <c r="E17" s="36">
        <v>3569.0</v>
      </c>
      <c r="F17" s="36">
        <v>1467.0</v>
      </c>
      <c r="G17" s="36">
        <v>2190.0</v>
      </c>
      <c r="H17" s="36">
        <v>3154.0</v>
      </c>
      <c r="I17" s="36">
        <v>1503.0</v>
      </c>
      <c r="J17" s="36">
        <v>2096.0</v>
      </c>
      <c r="K17" s="36">
        <v>3165.0</v>
      </c>
      <c r="L17" s="36">
        <v>1504.0</v>
      </c>
      <c r="M17" s="36">
        <v>1728.0</v>
      </c>
      <c r="N17" s="36">
        <v>2425.0</v>
      </c>
      <c r="O17" s="50">
        <f t="shared" si="1"/>
        <v>2206.083333</v>
      </c>
      <c r="P17" s="51">
        <f t="shared" si="2"/>
        <v>737.9140697</v>
      </c>
      <c r="Q17" s="52">
        <f t="shared" si="3"/>
        <v>3604.951222</v>
      </c>
      <c r="R17" s="52">
        <f t="shared" si="4"/>
        <v>807.215445</v>
      </c>
      <c r="S17" s="43"/>
      <c r="T17" s="40"/>
      <c r="U17" s="43"/>
      <c r="V17" s="43"/>
      <c r="W17" s="43"/>
    </row>
    <row r="18">
      <c r="A18" s="29">
        <v>16.0</v>
      </c>
      <c r="B18" s="12" t="s">
        <v>30</v>
      </c>
      <c r="C18" s="30">
        <v>1182.0</v>
      </c>
      <c r="D18" s="30">
        <v>1952.0</v>
      </c>
      <c r="E18" s="30">
        <v>3384.0</v>
      </c>
      <c r="F18" s="30">
        <v>1542.0</v>
      </c>
      <c r="G18" s="30">
        <v>2141.0</v>
      </c>
      <c r="H18" s="30">
        <v>2572.0</v>
      </c>
      <c r="I18" s="30">
        <v>1802.0</v>
      </c>
      <c r="J18" s="30">
        <v>1774.0</v>
      </c>
      <c r="K18" s="30">
        <v>2841.0</v>
      </c>
      <c r="L18" s="30">
        <v>1706.0</v>
      </c>
      <c r="M18" s="30">
        <v>2173.0</v>
      </c>
      <c r="N18" s="30">
        <v>2916.0</v>
      </c>
      <c r="O18" s="50">
        <f t="shared" si="1"/>
        <v>2165.416667</v>
      </c>
      <c r="P18" s="51">
        <f t="shared" si="2"/>
        <v>644.4407665</v>
      </c>
      <c r="Q18" s="52">
        <f t="shared" si="3"/>
        <v>3387.086684</v>
      </c>
      <c r="R18" s="52">
        <f t="shared" si="4"/>
        <v>943.7466495</v>
      </c>
      <c r="S18" s="43"/>
      <c r="T18" s="40"/>
      <c r="U18" s="43"/>
      <c r="V18" s="43"/>
      <c r="W18" s="43"/>
    </row>
    <row r="19">
      <c r="A19" s="35">
        <v>17.0</v>
      </c>
      <c r="B19" s="7" t="s">
        <v>31</v>
      </c>
      <c r="C19" s="36">
        <v>1004.0</v>
      </c>
      <c r="D19" s="36">
        <v>1303.0</v>
      </c>
      <c r="E19" s="36">
        <v>1889.0</v>
      </c>
      <c r="F19" s="36">
        <v>1057.0</v>
      </c>
      <c r="G19" s="36">
        <v>1518.0</v>
      </c>
      <c r="H19" s="36">
        <v>1953.0</v>
      </c>
      <c r="I19" s="36">
        <v>1308.0</v>
      </c>
      <c r="J19" s="36">
        <v>1297.0</v>
      </c>
      <c r="K19" s="36">
        <v>1592.0</v>
      </c>
      <c r="L19" s="36">
        <v>1227.0</v>
      </c>
      <c r="M19" s="36">
        <v>1645.0</v>
      </c>
      <c r="N19" s="36">
        <v>2011.0</v>
      </c>
      <c r="O19" s="50">
        <f t="shared" si="1"/>
        <v>1483.666667</v>
      </c>
      <c r="P19" s="51">
        <f t="shared" si="2"/>
        <v>340.8463619</v>
      </c>
      <c r="Q19" s="52">
        <f t="shared" si="3"/>
        <v>2129.811049</v>
      </c>
      <c r="R19" s="52">
        <f t="shared" si="4"/>
        <v>837.5222847</v>
      </c>
      <c r="S19" s="43"/>
      <c r="T19" s="40"/>
      <c r="U19" s="43"/>
      <c r="V19" s="43"/>
      <c r="W19" s="43"/>
    </row>
    <row r="20">
      <c r="A20" s="29">
        <v>18.0</v>
      </c>
      <c r="B20" s="12" t="s">
        <v>32</v>
      </c>
      <c r="C20" s="30">
        <v>664.0</v>
      </c>
      <c r="D20" s="30">
        <v>839.0</v>
      </c>
      <c r="E20" s="30">
        <v>1319.0</v>
      </c>
      <c r="F20" s="30">
        <v>655.0</v>
      </c>
      <c r="G20" s="30">
        <v>900.0</v>
      </c>
      <c r="H20" s="30">
        <v>1263.0</v>
      </c>
      <c r="I20" s="30">
        <v>846.0</v>
      </c>
      <c r="J20" s="30">
        <v>820.0</v>
      </c>
      <c r="K20" s="30">
        <v>1217.0</v>
      </c>
      <c r="L20" s="30">
        <v>803.0</v>
      </c>
      <c r="M20" s="30">
        <v>985.0</v>
      </c>
      <c r="N20" s="30">
        <v>1127.0</v>
      </c>
      <c r="O20" s="50">
        <f t="shared" si="1"/>
        <v>953.1666667</v>
      </c>
      <c r="P20" s="51">
        <f t="shared" si="2"/>
        <v>227.7996861</v>
      </c>
      <c r="Q20" s="52">
        <f t="shared" si="3"/>
        <v>1385.007824</v>
      </c>
      <c r="R20" s="52">
        <f t="shared" si="4"/>
        <v>521.3255094</v>
      </c>
      <c r="S20" s="43"/>
      <c r="T20" s="40"/>
      <c r="U20" s="43"/>
      <c r="V20" s="43"/>
      <c r="W20" s="43"/>
    </row>
    <row r="21">
      <c r="A21" s="35">
        <v>19.0</v>
      </c>
      <c r="B21" s="7" t="s">
        <v>33</v>
      </c>
      <c r="C21" s="36">
        <v>669.0</v>
      </c>
      <c r="D21" s="36">
        <v>770.0</v>
      </c>
      <c r="E21" s="36">
        <v>1405.0</v>
      </c>
      <c r="F21" s="36">
        <v>631.0</v>
      </c>
      <c r="G21" s="36">
        <v>725.0</v>
      </c>
      <c r="H21" s="36">
        <v>1031.0</v>
      </c>
      <c r="I21" s="36">
        <v>851.0</v>
      </c>
      <c r="J21" s="36">
        <v>567.0</v>
      </c>
      <c r="K21" s="36">
        <v>1047.0</v>
      </c>
      <c r="L21" s="36">
        <v>578.0</v>
      </c>
      <c r="M21" s="36">
        <v>784.0</v>
      </c>
      <c r="N21" s="36">
        <v>823.0</v>
      </c>
      <c r="O21" s="50">
        <f t="shared" si="1"/>
        <v>823.4166667</v>
      </c>
      <c r="P21" s="51">
        <f t="shared" si="2"/>
        <v>239.8903001</v>
      </c>
      <c r="Q21" s="52">
        <f t="shared" si="3"/>
        <v>1278.178069</v>
      </c>
      <c r="R21" s="52">
        <f t="shared" si="4"/>
        <v>368.6552639</v>
      </c>
      <c r="S21" s="43"/>
      <c r="T21" s="40"/>
      <c r="U21" s="43"/>
      <c r="V21" s="43"/>
      <c r="W21" s="43"/>
    </row>
    <row r="22">
      <c r="A22" s="29">
        <v>20.0</v>
      </c>
      <c r="B22" s="12" t="s">
        <v>34</v>
      </c>
      <c r="C22" s="30">
        <v>491.0</v>
      </c>
      <c r="D22" s="30">
        <v>644.0</v>
      </c>
      <c r="E22" s="30">
        <v>1064.0</v>
      </c>
      <c r="F22" s="30">
        <v>407.0</v>
      </c>
      <c r="G22" s="30">
        <v>434.0</v>
      </c>
      <c r="H22" s="30">
        <v>663.0</v>
      </c>
      <c r="I22" s="30">
        <v>590.0</v>
      </c>
      <c r="J22" s="30">
        <v>478.0</v>
      </c>
      <c r="K22" s="30">
        <v>759.0</v>
      </c>
      <c r="L22" s="30">
        <v>532.0</v>
      </c>
      <c r="M22" s="30">
        <v>586.0</v>
      </c>
      <c r="N22" s="30">
        <v>605.0</v>
      </c>
      <c r="O22" s="50">
        <f t="shared" si="1"/>
        <v>604.4166667</v>
      </c>
      <c r="P22" s="51">
        <f t="shared" si="2"/>
        <v>176.5227044</v>
      </c>
      <c r="Q22" s="52">
        <f t="shared" si="3"/>
        <v>939.0517588</v>
      </c>
      <c r="R22" s="52">
        <f t="shared" si="4"/>
        <v>269.7815746</v>
      </c>
      <c r="S22" s="43"/>
      <c r="T22" s="40"/>
      <c r="U22" s="43"/>
      <c r="V22" s="43"/>
      <c r="W22" s="43"/>
    </row>
    <row r="23">
      <c r="A23" s="35">
        <v>21.0</v>
      </c>
      <c r="B23" s="7" t="s">
        <v>35</v>
      </c>
      <c r="C23" s="36">
        <v>316.0</v>
      </c>
      <c r="D23" s="36">
        <v>457.0</v>
      </c>
      <c r="E23" s="36">
        <v>783.0</v>
      </c>
      <c r="F23" s="36">
        <v>474.0</v>
      </c>
      <c r="G23" s="36">
        <v>478.0</v>
      </c>
      <c r="H23" s="36">
        <v>731.0</v>
      </c>
      <c r="I23" s="36">
        <v>468.0</v>
      </c>
      <c r="J23" s="36">
        <v>496.0</v>
      </c>
      <c r="K23" s="36">
        <v>689.0</v>
      </c>
      <c r="L23" s="36">
        <v>662.0</v>
      </c>
      <c r="M23" s="36">
        <v>713.0</v>
      </c>
      <c r="N23" s="36">
        <v>902.0</v>
      </c>
      <c r="O23" s="50">
        <f t="shared" si="1"/>
        <v>597.4166667</v>
      </c>
      <c r="P23" s="51">
        <f t="shared" si="2"/>
        <v>172.2611434</v>
      </c>
      <c r="Q23" s="52">
        <f t="shared" si="3"/>
        <v>923.9730935</v>
      </c>
      <c r="R23" s="52">
        <f t="shared" si="4"/>
        <v>270.8602399</v>
      </c>
      <c r="S23" s="43"/>
      <c r="T23" s="40"/>
      <c r="U23" s="43"/>
      <c r="V23" s="43"/>
      <c r="W23" s="43"/>
    </row>
    <row r="24">
      <c r="A24" s="29">
        <v>22.0</v>
      </c>
      <c r="B24" s="12" t="s">
        <v>36</v>
      </c>
      <c r="C24" s="30">
        <v>490.0</v>
      </c>
      <c r="D24" s="30">
        <v>461.0</v>
      </c>
      <c r="E24" s="30">
        <v>974.0</v>
      </c>
      <c r="F24" s="30">
        <v>445.0</v>
      </c>
      <c r="G24" s="30">
        <v>410.0</v>
      </c>
      <c r="H24" s="30">
        <v>773.0</v>
      </c>
      <c r="I24" s="30">
        <v>392.0</v>
      </c>
      <c r="J24" s="30">
        <v>482.0</v>
      </c>
      <c r="K24" s="30">
        <v>836.0</v>
      </c>
      <c r="L24" s="30">
        <v>479.0</v>
      </c>
      <c r="M24" s="30">
        <v>549.0</v>
      </c>
      <c r="N24" s="30">
        <v>875.0</v>
      </c>
      <c r="O24" s="50">
        <f t="shared" si="1"/>
        <v>597.1666667</v>
      </c>
      <c r="P24" s="51">
        <f t="shared" si="2"/>
        <v>206.0462584</v>
      </c>
      <c r="Q24" s="52">
        <f t="shared" si="3"/>
        <v>987.7697277</v>
      </c>
      <c r="R24" s="52">
        <f t="shared" si="4"/>
        <v>206.5636056</v>
      </c>
      <c r="S24" s="43"/>
      <c r="T24" s="40"/>
      <c r="U24" s="43"/>
      <c r="V24" s="43"/>
      <c r="W24" s="43"/>
    </row>
    <row r="25">
      <c r="A25" s="35">
        <v>23.0</v>
      </c>
      <c r="B25" s="7" t="s">
        <v>37</v>
      </c>
      <c r="C25" s="36">
        <v>302.0</v>
      </c>
      <c r="D25" s="36">
        <v>422.0</v>
      </c>
      <c r="E25" s="36">
        <v>776.0</v>
      </c>
      <c r="F25" s="36">
        <v>376.0</v>
      </c>
      <c r="G25" s="36">
        <v>478.0</v>
      </c>
      <c r="H25" s="36">
        <v>699.0</v>
      </c>
      <c r="I25" s="36">
        <v>492.0</v>
      </c>
      <c r="J25" s="36">
        <v>373.0</v>
      </c>
      <c r="K25" s="36">
        <v>587.0</v>
      </c>
      <c r="L25" s="36">
        <v>447.0</v>
      </c>
      <c r="M25" s="36">
        <v>490.0</v>
      </c>
      <c r="N25" s="36">
        <v>572.0</v>
      </c>
      <c r="O25" s="50">
        <f t="shared" si="1"/>
        <v>501.1666667</v>
      </c>
      <c r="P25" s="51">
        <f t="shared" si="2"/>
        <v>137.7625317</v>
      </c>
      <c r="Q25" s="52">
        <f t="shared" si="3"/>
        <v>762.3238797</v>
      </c>
      <c r="R25" s="52">
        <f t="shared" si="4"/>
        <v>240.0094537</v>
      </c>
      <c r="S25" s="43"/>
      <c r="T25" s="40"/>
      <c r="U25" s="43"/>
      <c r="V25" s="43"/>
      <c r="W25" s="43"/>
    </row>
    <row r="26">
      <c r="A26" s="37">
        <v>24.0</v>
      </c>
      <c r="B26" s="16" t="s">
        <v>38</v>
      </c>
      <c r="C26" s="38">
        <v>142.0</v>
      </c>
      <c r="D26" s="38">
        <v>293.0</v>
      </c>
      <c r="E26" s="38">
        <v>751.0</v>
      </c>
      <c r="F26" s="38">
        <v>222.0</v>
      </c>
      <c r="G26" s="38">
        <v>267.0</v>
      </c>
      <c r="H26" s="30">
        <v>332.0</v>
      </c>
      <c r="I26" s="30">
        <v>303.0</v>
      </c>
      <c r="J26" s="30">
        <v>213.0</v>
      </c>
      <c r="K26" s="30">
        <v>442.0</v>
      </c>
      <c r="L26" s="30">
        <v>183.0</v>
      </c>
      <c r="M26" s="30">
        <v>367.0</v>
      </c>
      <c r="N26" s="30">
        <v>457.0</v>
      </c>
      <c r="O26" s="50">
        <f t="shared" si="1"/>
        <v>331</v>
      </c>
      <c r="P26" s="51">
        <f t="shared" si="2"/>
        <v>163.9423402</v>
      </c>
      <c r="Q26" s="52">
        <f t="shared" si="3"/>
        <v>641.7864244</v>
      </c>
      <c r="R26" s="52">
        <f t="shared" si="4"/>
        <v>20.21357559</v>
      </c>
      <c r="S26" s="43"/>
      <c r="T26" s="40"/>
      <c r="U26" s="43"/>
      <c r="V26" s="43"/>
      <c r="W26" s="43"/>
    </row>
    <row r="27">
      <c r="A27" s="35">
        <v>25.0</v>
      </c>
      <c r="B27" s="7" t="s">
        <v>39</v>
      </c>
      <c r="C27" s="36">
        <v>152.0</v>
      </c>
      <c r="D27" s="36">
        <v>156.0</v>
      </c>
      <c r="E27" s="36">
        <v>447.0</v>
      </c>
      <c r="F27" s="36">
        <v>378.0</v>
      </c>
      <c r="G27" s="36">
        <v>215.0</v>
      </c>
      <c r="H27" s="38">
        <v>375.0</v>
      </c>
      <c r="I27" s="38">
        <v>328.0</v>
      </c>
      <c r="J27" s="38">
        <v>193.0</v>
      </c>
      <c r="K27" s="38">
        <v>470.0</v>
      </c>
      <c r="L27" s="38">
        <v>287.0</v>
      </c>
      <c r="M27" s="38">
        <v>240.0</v>
      </c>
      <c r="N27" s="38">
        <v>323.0</v>
      </c>
      <c r="O27" s="50">
        <f t="shared" si="1"/>
        <v>297</v>
      </c>
      <c r="P27" s="51">
        <f t="shared" si="2"/>
        <v>108.0849834</v>
      </c>
      <c r="Q27" s="52">
        <f t="shared" si="3"/>
        <v>501.8973162</v>
      </c>
      <c r="R27" s="52">
        <f t="shared" si="4"/>
        <v>92.10268377</v>
      </c>
      <c r="S27" s="43"/>
      <c r="T27" s="40"/>
      <c r="U27" s="43"/>
      <c r="V27" s="43"/>
      <c r="W27" s="43"/>
    </row>
    <row r="28">
      <c r="A28" s="37">
        <v>26.0</v>
      </c>
      <c r="B28" s="16" t="s">
        <v>40</v>
      </c>
      <c r="C28" s="38">
        <v>59.0</v>
      </c>
      <c r="D28" s="38">
        <v>181.0</v>
      </c>
      <c r="E28" s="38">
        <v>539.0</v>
      </c>
      <c r="F28" s="38">
        <v>125.0</v>
      </c>
      <c r="G28" s="38">
        <v>270.0</v>
      </c>
      <c r="H28" s="30">
        <v>424.0</v>
      </c>
      <c r="I28" s="30">
        <v>121.0</v>
      </c>
      <c r="J28" s="30">
        <v>230.0</v>
      </c>
      <c r="K28" s="30">
        <v>497.0</v>
      </c>
      <c r="L28" s="30">
        <v>121.0</v>
      </c>
      <c r="M28" s="30">
        <v>252.0</v>
      </c>
      <c r="N28" s="30">
        <v>441.0</v>
      </c>
      <c r="O28" s="50">
        <f t="shared" si="1"/>
        <v>271.6666667</v>
      </c>
      <c r="P28" s="51">
        <f t="shared" si="2"/>
        <v>164.2079244</v>
      </c>
      <c r="Q28" s="52">
        <f t="shared" si="3"/>
        <v>582.9565605</v>
      </c>
      <c r="R28" s="52">
        <f t="shared" si="4"/>
        <v>-39.62322716</v>
      </c>
      <c r="S28" s="43"/>
      <c r="T28" s="40"/>
      <c r="U28" s="43"/>
      <c r="V28" s="43"/>
      <c r="W28" s="43"/>
    </row>
    <row r="29">
      <c r="A29" s="35">
        <v>27.0</v>
      </c>
      <c r="B29" s="7" t="s">
        <v>41</v>
      </c>
      <c r="C29" s="36">
        <v>186.0</v>
      </c>
      <c r="D29" s="36">
        <v>190.0</v>
      </c>
      <c r="E29" s="36">
        <v>355.0</v>
      </c>
      <c r="F29" s="36">
        <v>207.0</v>
      </c>
      <c r="G29" s="36">
        <v>279.0</v>
      </c>
      <c r="H29" s="36">
        <v>314.0</v>
      </c>
      <c r="I29" s="36">
        <v>201.0</v>
      </c>
      <c r="J29" s="36">
        <v>202.0</v>
      </c>
      <c r="K29" s="36">
        <v>358.0</v>
      </c>
      <c r="L29" s="36">
        <v>173.0</v>
      </c>
      <c r="M29" s="36">
        <v>178.0</v>
      </c>
      <c r="N29" s="36">
        <v>247.0</v>
      </c>
      <c r="O29" s="50">
        <f t="shared" si="1"/>
        <v>240.8333333</v>
      </c>
      <c r="P29" s="51">
        <f t="shared" si="2"/>
        <v>68.74833331</v>
      </c>
      <c r="Q29" s="52">
        <f t="shared" si="3"/>
        <v>371.1599388</v>
      </c>
      <c r="R29" s="52">
        <f t="shared" si="4"/>
        <v>110.5067278</v>
      </c>
      <c r="S29" s="43"/>
      <c r="T29" s="40"/>
      <c r="U29" s="43"/>
      <c r="V29" s="43"/>
      <c r="W29" s="43"/>
    </row>
    <row r="30">
      <c r="A30" s="29">
        <v>28.0</v>
      </c>
      <c r="B30" s="12" t="s">
        <v>42</v>
      </c>
      <c r="C30" s="30">
        <v>128.0</v>
      </c>
      <c r="D30" s="30">
        <v>189.0</v>
      </c>
      <c r="E30" s="30">
        <v>280.0</v>
      </c>
      <c r="F30" s="30">
        <v>158.0</v>
      </c>
      <c r="G30" s="30">
        <v>157.0</v>
      </c>
      <c r="H30" s="30">
        <v>259.0</v>
      </c>
      <c r="I30" s="30">
        <v>227.0</v>
      </c>
      <c r="J30" s="30">
        <v>208.0</v>
      </c>
      <c r="K30" s="30">
        <v>280.0</v>
      </c>
      <c r="L30" s="30">
        <v>171.0</v>
      </c>
      <c r="M30" s="30">
        <v>179.0</v>
      </c>
      <c r="N30" s="30">
        <v>274.0</v>
      </c>
      <c r="O30" s="50">
        <f t="shared" si="1"/>
        <v>209.1666667</v>
      </c>
      <c r="P30" s="51">
        <f t="shared" si="2"/>
        <v>53.71783745</v>
      </c>
      <c r="Q30" s="52">
        <f t="shared" si="3"/>
        <v>310.9998759</v>
      </c>
      <c r="R30" s="52">
        <f t="shared" si="4"/>
        <v>107.3334574</v>
      </c>
      <c r="S30" s="43"/>
      <c r="T30" s="40"/>
      <c r="U30" s="43"/>
      <c r="V30" s="43"/>
      <c r="W30" s="43"/>
    </row>
    <row r="31">
      <c r="A31" s="35">
        <v>29.0</v>
      </c>
      <c r="B31" s="7" t="s">
        <v>43</v>
      </c>
      <c r="C31" s="36">
        <v>124.0</v>
      </c>
      <c r="D31" s="36">
        <v>64.0</v>
      </c>
      <c r="E31" s="36">
        <v>50.0</v>
      </c>
      <c r="F31" s="36">
        <v>206.0</v>
      </c>
      <c r="G31" s="36">
        <v>379.0</v>
      </c>
      <c r="H31" s="36">
        <v>319.0</v>
      </c>
      <c r="I31" s="36">
        <v>158.0</v>
      </c>
      <c r="J31" s="36">
        <v>194.0</v>
      </c>
      <c r="K31" s="36">
        <v>262.0</v>
      </c>
      <c r="L31" s="36">
        <v>183.0</v>
      </c>
      <c r="M31" s="36">
        <v>255.0</v>
      </c>
      <c r="N31" s="36">
        <v>271.0</v>
      </c>
      <c r="O31" s="50">
        <f t="shared" si="1"/>
        <v>205.4166667</v>
      </c>
      <c r="P31" s="51">
        <f t="shared" si="2"/>
        <v>98.46869215</v>
      </c>
      <c r="Q31" s="52">
        <f t="shared" si="3"/>
        <v>392.084325</v>
      </c>
      <c r="R31" s="52">
        <f t="shared" si="4"/>
        <v>18.74900831</v>
      </c>
      <c r="S31" s="43"/>
      <c r="T31" s="40"/>
      <c r="U31" s="43"/>
      <c r="V31" s="43"/>
      <c r="W31" s="43"/>
    </row>
    <row r="32">
      <c r="A32" s="29">
        <v>30.0</v>
      </c>
      <c r="B32" s="12" t="s">
        <v>44</v>
      </c>
      <c r="C32" s="30">
        <v>66.0</v>
      </c>
      <c r="D32" s="30">
        <v>92.0</v>
      </c>
      <c r="E32" s="30">
        <v>158.0</v>
      </c>
      <c r="F32" s="30">
        <v>88.0</v>
      </c>
      <c r="G32" s="30">
        <v>96.0</v>
      </c>
      <c r="H32" s="30">
        <v>187.0</v>
      </c>
      <c r="I32" s="30">
        <v>96.0</v>
      </c>
      <c r="J32" s="30">
        <v>74.0</v>
      </c>
      <c r="K32" s="30">
        <v>150.0</v>
      </c>
      <c r="L32" s="30">
        <v>109.0</v>
      </c>
      <c r="M32" s="30">
        <v>119.0</v>
      </c>
      <c r="N32" s="30">
        <v>218.0</v>
      </c>
      <c r="O32" s="50">
        <f t="shared" si="1"/>
        <v>121.0833333</v>
      </c>
      <c r="P32" s="51">
        <f t="shared" si="2"/>
        <v>47.22953301</v>
      </c>
      <c r="Q32" s="52">
        <f t="shared" si="3"/>
        <v>210.616627</v>
      </c>
      <c r="R32" s="52">
        <f t="shared" si="4"/>
        <v>31.55003967</v>
      </c>
      <c r="S32" s="43"/>
      <c r="T32" s="40"/>
      <c r="U32" s="43"/>
      <c r="V32" s="43"/>
      <c r="W32" s="43"/>
    </row>
    <row r="33">
      <c r="A33" s="35">
        <v>31.0</v>
      </c>
      <c r="B33" s="7" t="s">
        <v>45</v>
      </c>
      <c r="C33" s="36">
        <v>51.0</v>
      </c>
      <c r="D33" s="36">
        <v>65.0</v>
      </c>
      <c r="E33" s="36">
        <v>98.0</v>
      </c>
      <c r="F33" s="36">
        <v>54.0</v>
      </c>
      <c r="G33" s="36">
        <v>74.0</v>
      </c>
      <c r="H33" s="36">
        <v>84.0</v>
      </c>
      <c r="I33" s="36">
        <v>75.0</v>
      </c>
      <c r="J33" s="36">
        <v>76.0</v>
      </c>
      <c r="K33" s="36">
        <v>78.0</v>
      </c>
      <c r="L33" s="36">
        <v>66.0</v>
      </c>
      <c r="M33" s="36">
        <v>80.0</v>
      </c>
      <c r="N33" s="36">
        <v>77.0</v>
      </c>
      <c r="O33" s="50">
        <f t="shared" si="1"/>
        <v>73.16666667</v>
      </c>
      <c r="P33" s="51">
        <f t="shared" si="2"/>
        <v>12.81925635</v>
      </c>
      <c r="Q33" s="52">
        <f t="shared" si="3"/>
        <v>97.46820366</v>
      </c>
      <c r="R33" s="52">
        <f t="shared" si="4"/>
        <v>48.86512968</v>
      </c>
      <c r="S33" s="43"/>
      <c r="T33" s="40"/>
      <c r="U33" s="43"/>
      <c r="V33" s="43"/>
      <c r="W33" s="43"/>
    </row>
    <row r="34">
      <c r="A34" s="29">
        <v>32.0</v>
      </c>
      <c r="B34" s="12" t="s">
        <v>46</v>
      </c>
      <c r="C34" s="30">
        <v>65.0</v>
      </c>
      <c r="D34" s="30">
        <v>61.0</v>
      </c>
      <c r="E34" s="30">
        <v>51.0</v>
      </c>
      <c r="F34" s="30">
        <v>74.0</v>
      </c>
      <c r="G34" s="30">
        <v>80.0</v>
      </c>
      <c r="H34" s="30">
        <v>61.0</v>
      </c>
      <c r="I34" s="30">
        <v>95.0</v>
      </c>
      <c r="J34" s="30">
        <v>59.0</v>
      </c>
      <c r="K34" s="30">
        <v>32.0</v>
      </c>
      <c r="L34" s="30">
        <v>67.0</v>
      </c>
      <c r="M34" s="30">
        <v>61.0</v>
      </c>
      <c r="N34" s="30">
        <v>61.0</v>
      </c>
      <c r="O34" s="50">
        <f t="shared" si="1"/>
        <v>63.91666667</v>
      </c>
      <c r="P34" s="51">
        <f t="shared" si="2"/>
        <v>15.31759733</v>
      </c>
      <c r="Q34" s="52">
        <f t="shared" si="3"/>
        <v>92.95432282</v>
      </c>
      <c r="R34" s="52">
        <f t="shared" si="4"/>
        <v>34.87901051</v>
      </c>
      <c r="S34" s="43"/>
      <c r="T34" s="40"/>
      <c r="U34" s="43"/>
      <c r="V34" s="43"/>
      <c r="W34" s="43"/>
    </row>
    <row r="35">
      <c r="A35" s="35">
        <v>33.0</v>
      </c>
      <c r="B35" s="7" t="s">
        <v>47</v>
      </c>
      <c r="C35" s="36">
        <v>22.0</v>
      </c>
      <c r="D35" s="36">
        <v>36.0</v>
      </c>
      <c r="E35" s="36">
        <v>87.0</v>
      </c>
      <c r="F35" s="36">
        <v>34.0</v>
      </c>
      <c r="G35" s="36">
        <v>38.0</v>
      </c>
      <c r="H35" s="36">
        <v>55.0</v>
      </c>
      <c r="I35" s="36">
        <v>88.0</v>
      </c>
      <c r="J35" s="36">
        <v>52.0</v>
      </c>
      <c r="K35" s="36">
        <v>117.0</v>
      </c>
      <c r="L35" s="36">
        <v>58.0</v>
      </c>
      <c r="M35" s="36">
        <v>68.0</v>
      </c>
      <c r="N35" s="36">
        <v>94.0</v>
      </c>
      <c r="O35" s="50">
        <f t="shared" si="1"/>
        <v>62.41666667</v>
      </c>
      <c r="P35" s="51">
        <f t="shared" si="2"/>
        <v>28.89623547</v>
      </c>
      <c r="Q35" s="52">
        <f t="shared" si="3"/>
        <v>117.1954242</v>
      </c>
      <c r="R35" s="52">
        <f t="shared" si="4"/>
        <v>7.637909151</v>
      </c>
      <c r="S35" s="43"/>
      <c r="T35" s="40"/>
      <c r="U35" s="43"/>
      <c r="V35" s="43"/>
      <c r="W35" s="43"/>
    </row>
    <row r="36">
      <c r="A36" s="29">
        <v>34.0</v>
      </c>
      <c r="B36" s="12" t="s">
        <v>48</v>
      </c>
      <c r="C36" s="30">
        <v>32.0</v>
      </c>
      <c r="D36" s="30">
        <v>46.0</v>
      </c>
      <c r="E36" s="30">
        <v>114.0</v>
      </c>
      <c r="F36" s="30">
        <v>34.0</v>
      </c>
      <c r="G36" s="30">
        <v>36.0</v>
      </c>
      <c r="H36" s="30">
        <v>55.0</v>
      </c>
      <c r="I36" s="30">
        <v>35.0</v>
      </c>
      <c r="J36" s="30">
        <v>26.0</v>
      </c>
      <c r="K36" s="30">
        <v>76.0</v>
      </c>
      <c r="L36" s="30">
        <v>47.0</v>
      </c>
      <c r="M36" s="30">
        <v>55.0</v>
      </c>
      <c r="N36" s="30">
        <v>77.0</v>
      </c>
      <c r="O36" s="50">
        <f t="shared" si="1"/>
        <v>52.75</v>
      </c>
      <c r="P36" s="51">
        <f t="shared" si="2"/>
        <v>25.3381674</v>
      </c>
      <c r="Q36" s="52">
        <f t="shared" si="3"/>
        <v>100.7837077</v>
      </c>
      <c r="R36" s="52">
        <f t="shared" si="4"/>
        <v>4.716292304</v>
      </c>
      <c r="S36" s="43"/>
      <c r="T36" s="40"/>
      <c r="U36" s="43"/>
      <c r="V36" s="43"/>
      <c r="W36" s="43"/>
    </row>
    <row r="37">
      <c r="A37" s="35">
        <v>35.0</v>
      </c>
      <c r="B37" s="7" t="s">
        <v>49</v>
      </c>
      <c r="C37" s="36">
        <v>32.0</v>
      </c>
      <c r="D37" s="36">
        <v>61.0</v>
      </c>
      <c r="E37" s="36">
        <v>67.0</v>
      </c>
      <c r="F37" s="36">
        <v>64.0</v>
      </c>
      <c r="G37" s="36">
        <v>38.0</v>
      </c>
      <c r="H37" s="36">
        <v>57.0</v>
      </c>
      <c r="I37" s="36">
        <v>40.0</v>
      </c>
      <c r="J37" s="36">
        <v>36.0</v>
      </c>
      <c r="K37" s="36">
        <v>37.0</v>
      </c>
      <c r="L37" s="36">
        <v>52.0</v>
      </c>
      <c r="M37" s="36">
        <v>38.0</v>
      </c>
      <c r="N37" s="36">
        <v>21.0</v>
      </c>
      <c r="O37" s="50">
        <f t="shared" si="1"/>
        <v>45.25</v>
      </c>
      <c r="P37" s="51">
        <f t="shared" si="2"/>
        <v>14.47960949</v>
      </c>
      <c r="Q37" s="52">
        <f t="shared" si="3"/>
        <v>72.69907785</v>
      </c>
      <c r="R37" s="52">
        <f t="shared" si="4"/>
        <v>17.80092215</v>
      </c>
      <c r="S37" s="43"/>
      <c r="T37" s="40"/>
      <c r="U37" s="43"/>
      <c r="V37" s="43"/>
      <c r="W37" s="43"/>
    </row>
    <row r="38">
      <c r="A38" s="29">
        <v>36.0</v>
      </c>
      <c r="B38" s="12" t="s">
        <v>50</v>
      </c>
      <c r="C38" s="30">
        <v>33.0</v>
      </c>
      <c r="D38" s="30">
        <v>32.0</v>
      </c>
      <c r="E38" s="30">
        <v>38.0</v>
      </c>
      <c r="F38" s="30">
        <v>46.0</v>
      </c>
      <c r="G38" s="30">
        <v>31.0</v>
      </c>
      <c r="H38" s="30">
        <v>47.0</v>
      </c>
      <c r="I38" s="30">
        <v>43.0</v>
      </c>
      <c r="J38" s="30">
        <v>46.0</v>
      </c>
      <c r="K38" s="30">
        <v>41.0</v>
      </c>
      <c r="L38" s="30">
        <v>34.0</v>
      </c>
      <c r="M38" s="30">
        <v>28.0</v>
      </c>
      <c r="N38" s="30">
        <v>65.0</v>
      </c>
      <c r="O38" s="50">
        <f t="shared" si="1"/>
        <v>40.33333333</v>
      </c>
      <c r="P38" s="51">
        <f t="shared" si="2"/>
        <v>10.14739853</v>
      </c>
      <c r="Q38" s="52">
        <f t="shared" si="3"/>
        <v>59.5698143</v>
      </c>
      <c r="R38" s="52">
        <f t="shared" si="4"/>
        <v>21.09685237</v>
      </c>
      <c r="S38" s="43"/>
      <c r="T38" s="40"/>
      <c r="U38" s="43"/>
      <c r="V38" s="43"/>
      <c r="W38" s="43"/>
    </row>
    <row r="39">
      <c r="A39" s="35">
        <v>37.0</v>
      </c>
      <c r="B39" s="7" t="s">
        <v>51</v>
      </c>
      <c r="C39" s="36">
        <v>17.0</v>
      </c>
      <c r="D39" s="36">
        <v>16.0</v>
      </c>
      <c r="E39" s="36">
        <v>30.0</v>
      </c>
      <c r="F39" s="36">
        <v>18.0</v>
      </c>
      <c r="G39" s="36">
        <v>21.0</v>
      </c>
      <c r="H39" s="36">
        <v>24.0</v>
      </c>
      <c r="I39" s="36">
        <v>26.0</v>
      </c>
      <c r="J39" s="36">
        <v>24.0</v>
      </c>
      <c r="K39" s="36">
        <v>35.0</v>
      </c>
      <c r="L39" s="36">
        <v>97.0</v>
      </c>
      <c r="M39" s="36">
        <v>68.0</v>
      </c>
      <c r="N39" s="36">
        <v>61.0</v>
      </c>
      <c r="O39" s="50">
        <f t="shared" si="1"/>
        <v>36.41666667</v>
      </c>
      <c r="P39" s="51">
        <f t="shared" si="2"/>
        <v>25.41101527</v>
      </c>
      <c r="Q39" s="52">
        <f t="shared" si="3"/>
        <v>84.58847248</v>
      </c>
      <c r="R39" s="52">
        <f t="shared" si="4"/>
        <v>-11.75513914</v>
      </c>
      <c r="S39" s="43"/>
      <c r="T39" s="40"/>
      <c r="U39" s="43"/>
      <c r="V39" s="43"/>
      <c r="W39" s="43"/>
    </row>
    <row r="40">
      <c r="A40" s="29">
        <v>38.0</v>
      </c>
      <c r="B40" s="12" t="s">
        <v>52</v>
      </c>
      <c r="C40" s="30">
        <v>16.0</v>
      </c>
      <c r="D40" s="30">
        <v>24.0</v>
      </c>
      <c r="E40" s="30">
        <v>27.0</v>
      </c>
      <c r="F40" s="30">
        <v>21.0</v>
      </c>
      <c r="G40" s="30">
        <v>43.0</v>
      </c>
      <c r="H40" s="30">
        <v>49.0</v>
      </c>
      <c r="I40" s="30">
        <v>36.0</v>
      </c>
      <c r="J40" s="30">
        <v>37.0</v>
      </c>
      <c r="K40" s="30">
        <v>35.0</v>
      </c>
      <c r="L40" s="30">
        <v>37.0</v>
      </c>
      <c r="M40" s="30">
        <v>36.0</v>
      </c>
      <c r="N40" s="30">
        <v>38.0</v>
      </c>
      <c r="O40" s="50">
        <f t="shared" si="1"/>
        <v>33.25</v>
      </c>
      <c r="P40" s="51">
        <f t="shared" si="2"/>
        <v>9.459242714</v>
      </c>
      <c r="Q40" s="52">
        <f t="shared" si="3"/>
        <v>51.18194008</v>
      </c>
      <c r="R40" s="52">
        <f t="shared" si="4"/>
        <v>15.31805992</v>
      </c>
      <c r="S40" s="43"/>
      <c r="T40" s="40"/>
      <c r="U40" s="43"/>
      <c r="V40" s="43"/>
      <c r="W40" s="43"/>
    </row>
    <row r="41">
      <c r="A41" s="35">
        <v>39.0</v>
      </c>
      <c r="B41" s="7" t="s">
        <v>53</v>
      </c>
      <c r="C41" s="36">
        <v>25.0</v>
      </c>
      <c r="D41" s="36">
        <v>19.0</v>
      </c>
      <c r="E41" s="36">
        <v>25.0</v>
      </c>
      <c r="F41" s="36">
        <v>24.0</v>
      </c>
      <c r="G41" s="36">
        <v>15.0</v>
      </c>
      <c r="H41" s="36">
        <v>27.0</v>
      </c>
      <c r="I41" s="36">
        <v>18.0</v>
      </c>
      <c r="J41" s="36">
        <v>27.0</v>
      </c>
      <c r="K41" s="36">
        <v>20.0</v>
      </c>
      <c r="L41" s="36">
        <v>23.0</v>
      </c>
      <c r="M41" s="36">
        <v>14.0</v>
      </c>
      <c r="N41" s="36">
        <v>81.0</v>
      </c>
      <c r="O41" s="50">
        <f t="shared" si="1"/>
        <v>26.5</v>
      </c>
      <c r="P41" s="51">
        <f t="shared" si="2"/>
        <v>17.71747981</v>
      </c>
      <c r="Q41" s="52">
        <f t="shared" si="3"/>
        <v>60.087127</v>
      </c>
      <c r="R41" s="52">
        <f t="shared" si="4"/>
        <v>-7.087126998</v>
      </c>
      <c r="S41" s="43"/>
      <c r="T41" s="40"/>
      <c r="U41" s="43"/>
      <c r="V41" s="43"/>
      <c r="W41" s="43"/>
    </row>
    <row r="42">
      <c r="A42" s="29">
        <v>40.0</v>
      </c>
      <c r="B42" s="12" t="s">
        <v>54</v>
      </c>
      <c r="C42" s="30">
        <v>12.0</v>
      </c>
      <c r="D42" s="30">
        <v>5.0</v>
      </c>
      <c r="E42" s="30">
        <v>24.0</v>
      </c>
      <c r="F42" s="30">
        <v>18.0</v>
      </c>
      <c r="G42" s="30">
        <v>13.0</v>
      </c>
      <c r="H42" s="38">
        <v>29.0</v>
      </c>
      <c r="I42" s="38">
        <v>17.0</v>
      </c>
      <c r="J42" s="30">
        <v>24.0</v>
      </c>
      <c r="K42" s="30">
        <v>19.0</v>
      </c>
      <c r="L42" s="30">
        <v>20.0</v>
      </c>
      <c r="M42" s="30">
        <v>28.0</v>
      </c>
      <c r="N42" s="30">
        <v>40.0</v>
      </c>
      <c r="O42" s="50">
        <f t="shared" si="1"/>
        <v>20.75</v>
      </c>
      <c r="P42" s="51">
        <f t="shared" si="2"/>
        <v>9.156468156</v>
      </c>
      <c r="Q42" s="52">
        <f t="shared" si="3"/>
        <v>38.10796863</v>
      </c>
      <c r="R42" s="52">
        <f t="shared" si="4"/>
        <v>3.392031369</v>
      </c>
      <c r="S42" s="43"/>
      <c r="T42" s="40"/>
      <c r="U42" s="43"/>
      <c r="V42" s="43"/>
      <c r="W42" s="43"/>
    </row>
    <row r="43">
      <c r="A43" s="35">
        <v>41.0</v>
      </c>
      <c r="B43" s="7" t="s">
        <v>55</v>
      </c>
      <c r="C43" s="36">
        <v>19.0</v>
      </c>
      <c r="D43" s="36">
        <v>14.0</v>
      </c>
      <c r="E43" s="36">
        <v>17.0</v>
      </c>
      <c r="F43" s="36">
        <v>20.0</v>
      </c>
      <c r="G43" s="36">
        <v>21.0</v>
      </c>
      <c r="H43" s="36">
        <v>16.0</v>
      </c>
      <c r="I43" s="36">
        <v>9.0</v>
      </c>
      <c r="J43" s="36">
        <v>18.0</v>
      </c>
      <c r="K43" s="36">
        <v>17.0</v>
      </c>
      <c r="L43" s="36">
        <v>18.0</v>
      </c>
      <c r="M43" s="36">
        <v>25.0</v>
      </c>
      <c r="N43" s="36">
        <v>36.0</v>
      </c>
      <c r="O43" s="50">
        <f t="shared" si="1"/>
        <v>19.16666667</v>
      </c>
      <c r="P43" s="51">
        <f t="shared" si="2"/>
        <v>6.562058066</v>
      </c>
      <c r="Q43" s="52">
        <f t="shared" si="3"/>
        <v>31.60639737</v>
      </c>
      <c r="R43" s="52">
        <f t="shared" si="4"/>
        <v>6.726935962</v>
      </c>
      <c r="S43" s="43"/>
      <c r="T43" s="43"/>
      <c r="U43" s="43"/>
      <c r="V43" s="43"/>
      <c r="W43" s="43"/>
    </row>
    <row r="44">
      <c r="A44" s="29">
        <v>42.0</v>
      </c>
      <c r="B44" s="12" t="s">
        <v>56</v>
      </c>
      <c r="C44" s="30">
        <v>19.0</v>
      </c>
      <c r="D44" s="30">
        <v>18.0</v>
      </c>
      <c r="E44" s="30">
        <v>32.0</v>
      </c>
      <c r="F44" s="30">
        <v>31.0</v>
      </c>
      <c r="G44" s="30">
        <v>21.0</v>
      </c>
      <c r="H44" s="30">
        <v>18.0</v>
      </c>
      <c r="I44" s="30">
        <v>20.0</v>
      </c>
      <c r="J44" s="30">
        <v>15.0</v>
      </c>
      <c r="K44" s="30">
        <v>15.0</v>
      </c>
      <c r="L44" s="30">
        <v>13.0</v>
      </c>
      <c r="M44" s="30">
        <v>7.0</v>
      </c>
      <c r="N44" s="30">
        <v>15.0</v>
      </c>
      <c r="O44" s="50">
        <f t="shared" si="1"/>
        <v>18.66666667</v>
      </c>
      <c r="P44" s="51">
        <f t="shared" si="2"/>
        <v>7.049607769</v>
      </c>
      <c r="Q44" s="52">
        <f t="shared" si="3"/>
        <v>32.03064811</v>
      </c>
      <c r="R44" s="52">
        <f t="shared" si="4"/>
        <v>5.302685224</v>
      </c>
      <c r="S44" s="43"/>
      <c r="T44" s="43"/>
      <c r="U44" s="43"/>
      <c r="V44" s="43"/>
      <c r="W44" s="43"/>
    </row>
    <row r="45">
      <c r="A45" s="37">
        <v>43.0</v>
      </c>
      <c r="B45" s="16" t="s">
        <v>57</v>
      </c>
      <c r="C45" s="38">
        <v>20.0</v>
      </c>
      <c r="D45" s="38">
        <v>13.0</v>
      </c>
      <c r="E45" s="38">
        <v>26.0</v>
      </c>
      <c r="F45" s="38">
        <v>19.0</v>
      </c>
      <c r="G45" s="38">
        <v>17.0</v>
      </c>
      <c r="H45" s="36">
        <v>21.0</v>
      </c>
      <c r="I45" s="36">
        <v>18.0</v>
      </c>
      <c r="J45" s="38">
        <v>11.0</v>
      </c>
      <c r="K45" s="38">
        <v>14.0</v>
      </c>
      <c r="L45" s="38">
        <v>27.0</v>
      </c>
      <c r="M45" s="38">
        <v>15.0</v>
      </c>
      <c r="N45" s="38">
        <v>21.0</v>
      </c>
      <c r="O45" s="50">
        <f t="shared" si="1"/>
        <v>18.5</v>
      </c>
      <c r="P45" s="51">
        <f t="shared" si="2"/>
        <v>4.908249086</v>
      </c>
      <c r="Q45" s="52">
        <f t="shared" si="3"/>
        <v>27.80459564</v>
      </c>
      <c r="R45" s="52">
        <f t="shared" si="4"/>
        <v>9.195404361</v>
      </c>
      <c r="S45" s="43"/>
      <c r="T45" s="43"/>
      <c r="U45" s="43"/>
      <c r="V45" s="43"/>
      <c r="W45" s="43"/>
    </row>
    <row r="46">
      <c r="A46" s="53"/>
      <c r="B46" s="54"/>
      <c r="C46" s="55">
        <v>1.0</v>
      </c>
      <c r="D46" s="55">
        <v>2.0</v>
      </c>
      <c r="E46" s="55">
        <v>3.0</v>
      </c>
      <c r="F46" s="55">
        <v>4.0</v>
      </c>
      <c r="G46" s="55">
        <v>5.0</v>
      </c>
      <c r="H46" s="55">
        <v>6.0</v>
      </c>
      <c r="I46" s="55">
        <v>7.0</v>
      </c>
      <c r="J46" s="55">
        <v>8.0</v>
      </c>
      <c r="K46" s="55">
        <v>9.0</v>
      </c>
      <c r="L46" s="55">
        <v>10.0</v>
      </c>
      <c r="M46" s="55">
        <v>11.0</v>
      </c>
      <c r="N46" s="55">
        <v>12.0</v>
      </c>
      <c r="O46" s="55">
        <v>13.0</v>
      </c>
      <c r="P46" s="56"/>
      <c r="Q46" s="57" t="s">
        <v>93</v>
      </c>
      <c r="R46" s="55" t="s">
        <v>94</v>
      </c>
      <c r="S46" s="53" t="s">
        <v>95</v>
      </c>
      <c r="T46" s="53" t="s">
        <v>96</v>
      </c>
      <c r="U46" s="53" t="s">
        <v>97</v>
      </c>
      <c r="V46" s="43"/>
      <c r="W46" s="43"/>
    </row>
    <row r="47">
      <c r="A47" s="58">
        <v>1.0</v>
      </c>
      <c r="B47" s="59" t="str">
        <f>VLOOKUP(A47, $A$3:$B$45, 2, FALSE)</f>
        <v>Toyota</v>
      </c>
      <c r="C47" s="60">
        <f t="shared" ref="C47:N47" si="5">IF(AND($R3&lt;C3,C3&lt;$Q3),C3,0)</f>
        <v>106744</v>
      </c>
      <c r="D47" s="60">
        <f t="shared" si="5"/>
        <v>132254</v>
      </c>
      <c r="E47" s="61">
        <f t="shared" si="5"/>
        <v>0</v>
      </c>
      <c r="F47" s="60">
        <f t="shared" si="5"/>
        <v>110328</v>
      </c>
      <c r="G47" s="60">
        <f t="shared" si="5"/>
        <v>106852</v>
      </c>
      <c r="H47" s="60">
        <f t="shared" si="5"/>
        <v>129400</v>
      </c>
      <c r="I47" s="60">
        <f t="shared" si="5"/>
        <v>137621</v>
      </c>
      <c r="J47" s="60">
        <f t="shared" si="5"/>
        <v>107822</v>
      </c>
      <c r="K47" s="60">
        <f t="shared" si="5"/>
        <v>125760</v>
      </c>
      <c r="L47" s="60">
        <f t="shared" si="5"/>
        <v>128569</v>
      </c>
      <c r="M47" s="60">
        <f t="shared" si="5"/>
        <v>133146</v>
      </c>
      <c r="N47" s="60">
        <f t="shared" si="5"/>
        <v>109946</v>
      </c>
      <c r="O47" s="53"/>
      <c r="P47" s="43"/>
      <c r="Q47" s="61">
        <f>IFERROR(__xludf.DUMMYFUNCTION("LINEST(FILTER(C47:N47,C47:N47 &gt; 0))"),823.0818181818187)</f>
        <v>823.0818182</v>
      </c>
      <c r="R47" s="61">
        <f>IFERROR(__xludf.DUMMYFUNCTION("""COMPUTED_VALUE"""),115828.96363636364)</f>
        <v>115828.9636</v>
      </c>
      <c r="S47" s="62" t="str">
        <f>IFS(R50&lt;10,"X",R50&lt;25,"Y",R50&gt;=25,"Z")</f>
        <v>X</v>
      </c>
      <c r="T47" s="63" t="str">
        <f>IFS(R50&lt;25,"X",R50&lt;50,"Y",R50&gt;=50,"Z")</f>
        <v>X</v>
      </c>
      <c r="U47" s="63" t="str">
        <f>IFS(R50&lt;17.5,"X",R50&lt;42.5,"Y",R50&gt;=42.5,"Z")</f>
        <v>X</v>
      </c>
      <c r="V47" s="43"/>
      <c r="W47" s="43"/>
    </row>
    <row r="48">
      <c r="A48" s="64"/>
      <c r="B48" s="65" t="s">
        <v>98</v>
      </c>
      <c r="C48" s="66">
        <f t="shared" ref="C48:N48" si="6">(C47/($Q47*C$46+$R47))</f>
        <v>0.9150632514</v>
      </c>
      <c r="D48" s="66">
        <f t="shared" si="6"/>
        <v>1.125804271</v>
      </c>
      <c r="E48" s="66">
        <f t="shared" si="6"/>
        <v>0</v>
      </c>
      <c r="F48" s="66">
        <f t="shared" si="6"/>
        <v>0.9261820381</v>
      </c>
      <c r="G48" s="66">
        <f t="shared" si="6"/>
        <v>0.8908462946</v>
      </c>
      <c r="H48" s="66">
        <f t="shared" si="6"/>
        <v>1.071480727</v>
      </c>
      <c r="I48" s="66">
        <f t="shared" si="6"/>
        <v>1.131839731</v>
      </c>
      <c r="J48" s="66">
        <f t="shared" si="6"/>
        <v>0.8808006952</v>
      </c>
      <c r="K48" s="66">
        <f t="shared" si="6"/>
        <v>1.020475232</v>
      </c>
      <c r="L48" s="66">
        <f t="shared" si="6"/>
        <v>1.036347139</v>
      </c>
      <c r="M48" s="66">
        <f t="shared" si="6"/>
        <v>1.066167095</v>
      </c>
      <c r="N48" s="66">
        <f t="shared" si="6"/>
        <v>0.87462848</v>
      </c>
      <c r="O48" s="67"/>
      <c r="P48" s="43"/>
      <c r="Q48" s="68" t="s">
        <v>99</v>
      </c>
      <c r="R48" s="66">
        <f>SUM(C48:N48)</f>
        <v>10.93963496</v>
      </c>
      <c r="S48" s="64"/>
      <c r="T48" s="64"/>
      <c r="U48" s="64"/>
      <c r="V48" s="43"/>
      <c r="W48" s="43"/>
    </row>
    <row r="49">
      <c r="A49" s="64"/>
      <c r="B49" s="65" t="s">
        <v>100</v>
      </c>
      <c r="C49" s="66">
        <f t="shared" ref="C49:N49" si="7">C48*12/$R48</f>
        <v>1.00375918</v>
      </c>
      <c r="D49" s="66">
        <f t="shared" si="7"/>
        <v>1.234927062</v>
      </c>
      <c r="E49" s="66">
        <f t="shared" si="7"/>
        <v>0</v>
      </c>
      <c r="F49" s="66">
        <f t="shared" si="7"/>
        <v>1.015955697</v>
      </c>
      <c r="G49" s="66">
        <f t="shared" si="7"/>
        <v>0.9771949045</v>
      </c>
      <c r="H49" s="66">
        <f t="shared" si="7"/>
        <v>1.175338005</v>
      </c>
      <c r="I49" s="66">
        <f t="shared" si="7"/>
        <v>1.241547532</v>
      </c>
      <c r="J49" s="66">
        <f t="shared" si="7"/>
        <v>0.9661755978</v>
      </c>
      <c r="K49" s="66">
        <f t="shared" si="7"/>
        <v>1.119388611</v>
      </c>
      <c r="L49" s="66">
        <f t="shared" si="7"/>
        <v>1.136798963</v>
      </c>
      <c r="M49" s="66">
        <f t="shared" si="7"/>
        <v>1.16950933</v>
      </c>
      <c r="N49" s="66">
        <f t="shared" si="7"/>
        <v>0.9594051175</v>
      </c>
      <c r="O49" s="66">
        <f>IF(N49&gt;0, N49, M49)</f>
        <v>0.9594051175</v>
      </c>
      <c r="P49" s="43"/>
      <c r="Q49" s="68" t="s">
        <v>101</v>
      </c>
      <c r="R49" s="61">
        <f>SQRT(SUM((D50-D47)^2,(E50-E47)^2,(F50-F47)^2,(G50-G47)^2,(H50-H47)^2,(I50-I47)^2,(J50-J47)^2,(K50-K47)^2,(L50-L47)^2,(M50-M47)^2,(N50-N47)^2)/11)</f>
        <v>11098.38067</v>
      </c>
      <c r="S49" s="64"/>
      <c r="T49" s="64"/>
      <c r="U49" s="64"/>
      <c r="V49" s="43"/>
      <c r="W49" s="43"/>
    </row>
    <row r="50">
      <c r="A50" s="64"/>
      <c r="B50" s="65" t="s">
        <v>102</v>
      </c>
      <c r="C50" s="61">
        <f t="shared" ref="C50:N50" si="8">IF(C47&gt;0,$Q47*C$46+$R47,0)</f>
        <v>116652.0455</v>
      </c>
      <c r="D50" s="61">
        <f t="shared" si="8"/>
        <v>117475.1273</v>
      </c>
      <c r="E50" s="61">
        <f t="shared" si="8"/>
        <v>0</v>
      </c>
      <c r="F50" s="61">
        <f t="shared" si="8"/>
        <v>119121.2909</v>
      </c>
      <c r="G50" s="61">
        <f t="shared" si="8"/>
        <v>119944.3727</v>
      </c>
      <c r="H50" s="61">
        <f t="shared" si="8"/>
        <v>120767.4545</v>
      </c>
      <c r="I50" s="61">
        <f t="shared" si="8"/>
        <v>121590.5364</v>
      </c>
      <c r="J50" s="61">
        <f t="shared" si="8"/>
        <v>122413.6182</v>
      </c>
      <c r="K50" s="61">
        <f t="shared" si="8"/>
        <v>123236.7</v>
      </c>
      <c r="L50" s="61">
        <f t="shared" si="8"/>
        <v>124059.7818</v>
      </c>
      <c r="M50" s="61">
        <f t="shared" si="8"/>
        <v>124882.8636</v>
      </c>
      <c r="N50" s="61">
        <f t="shared" si="8"/>
        <v>125705.9455</v>
      </c>
      <c r="O50" s="61">
        <f>$Q47*O$46+$R47</f>
        <v>126529.0273</v>
      </c>
      <c r="P50" s="43"/>
      <c r="Q50" s="68" t="s">
        <v>103</v>
      </c>
      <c r="R50" s="61">
        <f>100*R49/O51</f>
        <v>9.142551533</v>
      </c>
      <c r="S50" s="64"/>
      <c r="T50" s="64"/>
      <c r="U50" s="64"/>
      <c r="V50" s="43"/>
      <c r="W50" s="43"/>
    </row>
    <row r="51">
      <c r="A51" s="69"/>
      <c r="B51" s="65" t="s">
        <v>104</v>
      </c>
      <c r="C51" s="61">
        <f t="shared" ref="C51:O51" si="9">C50*C49</f>
        <v>117090.5615</v>
      </c>
      <c r="D51" s="61">
        <f t="shared" si="9"/>
        <v>145073.2137</v>
      </c>
      <c r="E51" s="61">
        <f t="shared" si="9"/>
        <v>0</v>
      </c>
      <c r="F51" s="61">
        <f t="shared" si="9"/>
        <v>121021.9542</v>
      </c>
      <c r="G51" s="61">
        <f t="shared" si="9"/>
        <v>117209.0298</v>
      </c>
      <c r="H51" s="61">
        <f t="shared" si="9"/>
        <v>141942.5791</v>
      </c>
      <c r="I51" s="61">
        <f t="shared" si="9"/>
        <v>150960.4303</v>
      </c>
      <c r="J51" s="61">
        <f t="shared" si="9"/>
        <v>118273.0507</v>
      </c>
      <c r="K51" s="61">
        <f t="shared" si="9"/>
        <v>137949.7585</v>
      </c>
      <c r="L51" s="61">
        <f t="shared" si="9"/>
        <v>141031.0313</v>
      </c>
      <c r="M51" s="61">
        <f t="shared" si="9"/>
        <v>146051.6742</v>
      </c>
      <c r="N51" s="61">
        <f t="shared" si="9"/>
        <v>120602.9274</v>
      </c>
      <c r="O51" s="61">
        <f t="shared" si="9"/>
        <v>121392.5963</v>
      </c>
      <c r="P51" s="43"/>
      <c r="Q51" s="53"/>
      <c r="R51" s="53"/>
      <c r="S51" s="69"/>
      <c r="T51" s="69"/>
      <c r="U51" s="69"/>
      <c r="V51" s="43"/>
      <c r="W51" s="43"/>
    </row>
    <row r="52">
      <c r="A52" s="58">
        <v>2.0</v>
      </c>
      <c r="B52" s="59" t="str">
        <f>VLOOKUP(A52, $A$3:$B$45, 2, FALSE)</f>
        <v>Honda</v>
      </c>
      <c r="C52" s="60">
        <f t="shared" ref="C52:N52" si="10">IF(AND($R4&lt;C4,C4&lt;$Q4),C4,0)</f>
        <v>56412</v>
      </c>
      <c r="D52" s="60">
        <f t="shared" si="10"/>
        <v>68754</v>
      </c>
      <c r="E52" s="61">
        <f t="shared" si="10"/>
        <v>0</v>
      </c>
      <c r="F52" s="60">
        <f t="shared" si="10"/>
        <v>52488</v>
      </c>
      <c r="G52" s="60">
        <f t="shared" si="10"/>
        <v>51638</v>
      </c>
      <c r="H52" s="60">
        <f t="shared" si="10"/>
        <v>62624</v>
      </c>
      <c r="I52" s="60">
        <f t="shared" si="10"/>
        <v>60873</v>
      </c>
      <c r="J52" s="60">
        <f t="shared" si="10"/>
        <v>47700</v>
      </c>
      <c r="K52" s="60">
        <f t="shared" si="10"/>
        <v>71095</v>
      </c>
      <c r="L52" s="60">
        <f t="shared" si="10"/>
        <v>63844</v>
      </c>
      <c r="M52" s="60">
        <f t="shared" si="10"/>
        <v>64186</v>
      </c>
      <c r="N52" s="60">
        <f t="shared" si="10"/>
        <v>53786</v>
      </c>
      <c r="O52" s="53"/>
      <c r="P52" s="43"/>
      <c r="Q52" s="61">
        <f>IFERROR(__xludf.DUMMYFUNCTION("LINEST(FILTER(C52:N52,C52:N52 &gt; 0))"),242.32727272727323)</f>
        <v>242.3272727</v>
      </c>
      <c r="R52" s="61">
        <f>IFERROR(__xludf.DUMMYFUNCTION("""COMPUTED_VALUE"""),57946.036363636355)</f>
        <v>57946.03636</v>
      </c>
      <c r="S52" s="62" t="str">
        <f>IFS(R55&lt;10,"X",R55&lt;25,"Y",R55&gt;=25,"Z")</f>
        <v>Y</v>
      </c>
      <c r="T52" s="63" t="str">
        <f>IFS(R55&lt;25,"X",R55&lt;50,"Y",R55&gt;=50,"Z")</f>
        <v>X</v>
      </c>
      <c r="U52" s="63" t="str">
        <f>IFS(R55&lt;17.5,"X",R55&lt;42.5,"Y",R55&gt;=42.5,"Z")</f>
        <v>X</v>
      </c>
      <c r="V52" s="43"/>
      <c r="W52" s="43"/>
    </row>
    <row r="53">
      <c r="A53" s="64"/>
      <c r="B53" s="65" t="s">
        <v>98</v>
      </c>
      <c r="C53" s="66">
        <f t="shared" ref="C53:N53" si="11">(C52/($Q52*C$46+$R52))</f>
        <v>0.9694721844</v>
      </c>
      <c r="D53" s="66">
        <f t="shared" si="11"/>
        <v>1.176676143</v>
      </c>
      <c r="E53" s="66">
        <f t="shared" si="11"/>
        <v>0</v>
      </c>
      <c r="F53" s="66">
        <f t="shared" si="11"/>
        <v>0.89090541</v>
      </c>
      <c r="G53" s="66">
        <f t="shared" si="11"/>
        <v>0.8728876174</v>
      </c>
      <c r="H53" s="66">
        <f t="shared" si="11"/>
        <v>1.054276094</v>
      </c>
      <c r="I53" s="66">
        <f t="shared" si="11"/>
        <v>1.020634217</v>
      </c>
      <c r="J53" s="66">
        <f t="shared" si="11"/>
        <v>0.796531271</v>
      </c>
      <c r="K53" s="66">
        <f t="shared" si="11"/>
        <v>1.182414248</v>
      </c>
      <c r="L53" s="66">
        <f t="shared" si="11"/>
        <v>1.057557242</v>
      </c>
      <c r="M53" s="66">
        <f t="shared" si="11"/>
        <v>1.058971575</v>
      </c>
      <c r="N53" s="66">
        <f t="shared" si="11"/>
        <v>0.8838536849</v>
      </c>
      <c r="O53" s="67"/>
      <c r="P53" s="43"/>
      <c r="Q53" s="68" t="s">
        <v>99</v>
      </c>
      <c r="R53" s="66">
        <f>SUM(C53:N53)</f>
        <v>10.96417969</v>
      </c>
      <c r="S53" s="64"/>
      <c r="T53" s="64"/>
      <c r="U53" s="64"/>
      <c r="V53" s="43"/>
      <c r="W53" s="43"/>
    </row>
    <row r="54">
      <c r="A54" s="64"/>
      <c r="B54" s="65" t="s">
        <v>100</v>
      </c>
      <c r="C54" s="66">
        <f t="shared" ref="C54:N54" si="12">C53*12/$R53</f>
        <v>1.061061251</v>
      </c>
      <c r="D54" s="66">
        <f t="shared" si="12"/>
        <v>1.287840415</v>
      </c>
      <c r="E54" s="66">
        <f t="shared" si="12"/>
        <v>0</v>
      </c>
      <c r="F54" s="66">
        <f t="shared" si="12"/>
        <v>0.9750720279</v>
      </c>
      <c r="G54" s="66">
        <f t="shared" si="12"/>
        <v>0.9553520381</v>
      </c>
      <c r="H54" s="66">
        <f t="shared" si="12"/>
        <v>1.153876851</v>
      </c>
      <c r="I54" s="66">
        <f t="shared" si="12"/>
        <v>1.117056721</v>
      </c>
      <c r="J54" s="66">
        <f t="shared" si="12"/>
        <v>0.871782069</v>
      </c>
      <c r="K54" s="66">
        <f t="shared" si="12"/>
        <v>1.294120617</v>
      </c>
      <c r="L54" s="66">
        <f t="shared" si="12"/>
        <v>1.157467979</v>
      </c>
      <c r="M54" s="66">
        <f t="shared" si="12"/>
        <v>1.159015928</v>
      </c>
      <c r="N54" s="66">
        <f t="shared" si="12"/>
        <v>0.9673541042</v>
      </c>
      <c r="O54" s="66">
        <f>IF(N54&gt;0, N54, M54)</f>
        <v>0.9673541042</v>
      </c>
      <c r="P54" s="43"/>
      <c r="Q54" s="68" t="s">
        <v>101</v>
      </c>
      <c r="R54" s="61">
        <f>SQRT(SUM((D55-D52)^2,(E55-E52)^2,(F55-F52)^2,(G55-G52)^2,(H55-H52)^2,(I55-I52)^2,(J55-J52)^2,(K55-K52)^2,(L55-L52)^2,(M55-M52)^2,(N55-N52)^2)/11)</f>
        <v>7134.452779</v>
      </c>
      <c r="S54" s="64"/>
      <c r="T54" s="64"/>
      <c r="U54" s="64"/>
      <c r="V54" s="43"/>
      <c r="W54" s="43"/>
    </row>
    <row r="55">
      <c r="A55" s="64"/>
      <c r="B55" s="65" t="s">
        <v>102</v>
      </c>
      <c r="C55" s="61">
        <f t="shared" ref="C55:N55" si="13">IF(C52&gt;0,$Q52*C$46+$R52,0)</f>
        <v>58188.36364</v>
      </c>
      <c r="D55" s="61">
        <f t="shared" si="13"/>
        <v>58430.69091</v>
      </c>
      <c r="E55" s="61">
        <f t="shared" si="13"/>
        <v>0</v>
      </c>
      <c r="F55" s="61">
        <f t="shared" si="13"/>
        <v>58915.34545</v>
      </c>
      <c r="G55" s="61">
        <f t="shared" si="13"/>
        <v>59157.67273</v>
      </c>
      <c r="H55" s="61">
        <f t="shared" si="13"/>
        <v>59400</v>
      </c>
      <c r="I55" s="61">
        <f t="shared" si="13"/>
        <v>59642.32727</v>
      </c>
      <c r="J55" s="61">
        <f t="shared" si="13"/>
        <v>59884.65455</v>
      </c>
      <c r="K55" s="61">
        <f t="shared" si="13"/>
        <v>60126.98182</v>
      </c>
      <c r="L55" s="61">
        <f t="shared" si="13"/>
        <v>60369.30909</v>
      </c>
      <c r="M55" s="61">
        <f t="shared" si="13"/>
        <v>60611.63636</v>
      </c>
      <c r="N55" s="61">
        <f t="shared" si="13"/>
        <v>60853.96364</v>
      </c>
      <c r="O55" s="61">
        <f>$Q52*O$46+$R52</f>
        <v>61096.29091</v>
      </c>
      <c r="P55" s="43"/>
      <c r="Q55" s="68" t="s">
        <v>103</v>
      </c>
      <c r="R55" s="61">
        <f>100*R54/O56</f>
        <v>12.07147512</v>
      </c>
      <c r="S55" s="64"/>
      <c r="T55" s="64"/>
      <c r="U55" s="64"/>
      <c r="V55" s="43"/>
      <c r="W55" s="43"/>
    </row>
    <row r="56">
      <c r="A56" s="69"/>
      <c r="B56" s="65" t="s">
        <v>104</v>
      </c>
      <c r="C56" s="61">
        <f t="shared" ref="C56:O56" si="14">C55*C54</f>
        <v>61741.41791</v>
      </c>
      <c r="D56" s="61">
        <f t="shared" si="14"/>
        <v>75249.40521</v>
      </c>
      <c r="E56" s="61">
        <f t="shared" si="14"/>
        <v>0</v>
      </c>
      <c r="F56" s="61">
        <f t="shared" si="14"/>
        <v>57446.70536</v>
      </c>
      <c r="G56" s="61">
        <f t="shared" si="14"/>
        <v>56516.40321</v>
      </c>
      <c r="H56" s="61">
        <f t="shared" si="14"/>
        <v>68540.28496</v>
      </c>
      <c r="I56" s="61">
        <f t="shared" si="14"/>
        <v>66623.86251</v>
      </c>
      <c r="J56" s="61">
        <f t="shared" si="14"/>
        <v>52206.36804</v>
      </c>
      <c r="K56" s="61">
        <f t="shared" si="14"/>
        <v>77811.56679</v>
      </c>
      <c r="L56" s="61">
        <f t="shared" si="14"/>
        <v>69875.54217</v>
      </c>
      <c r="M56" s="61">
        <f t="shared" si="14"/>
        <v>70249.85198</v>
      </c>
      <c r="N56" s="61">
        <f t="shared" si="14"/>
        <v>58867.33148</v>
      </c>
      <c r="O56" s="61">
        <f t="shared" si="14"/>
        <v>59101.74776</v>
      </c>
      <c r="P56" s="43"/>
      <c r="Q56" s="53"/>
      <c r="R56" s="53"/>
      <c r="S56" s="69"/>
      <c r="T56" s="69"/>
      <c r="U56" s="69"/>
      <c r="V56" s="43"/>
      <c r="W56" s="43"/>
    </row>
    <row r="57">
      <c r="A57" s="58">
        <v>3.0</v>
      </c>
      <c r="B57" s="59" t="str">
        <f>VLOOKUP(A57, $A$3:$B$45, 2, FALSE)</f>
        <v>Suzuki</v>
      </c>
      <c r="C57" s="60">
        <f t="shared" ref="C57:N57" si="15">IF(AND($R5&lt;C5,C5&lt;$Q5),C5,0)</f>
        <v>53395</v>
      </c>
      <c r="D57" s="60">
        <f t="shared" si="15"/>
        <v>63303</v>
      </c>
      <c r="E57" s="61">
        <f t="shared" si="15"/>
        <v>0</v>
      </c>
      <c r="F57" s="60">
        <f t="shared" si="15"/>
        <v>56029</v>
      </c>
      <c r="G57" s="60">
        <f t="shared" si="15"/>
        <v>54089</v>
      </c>
      <c r="H57" s="60">
        <f t="shared" si="15"/>
        <v>63367</v>
      </c>
      <c r="I57" s="60">
        <f t="shared" si="15"/>
        <v>60460</v>
      </c>
      <c r="J57" s="60">
        <f t="shared" si="15"/>
        <v>49794</v>
      </c>
      <c r="K57" s="60">
        <f t="shared" si="15"/>
        <v>65204</v>
      </c>
      <c r="L57" s="60">
        <f t="shared" si="15"/>
        <v>54204</v>
      </c>
      <c r="M57" s="60">
        <f t="shared" si="15"/>
        <v>59373</v>
      </c>
      <c r="N57" s="60">
        <f t="shared" si="15"/>
        <v>51481</v>
      </c>
      <c r="O57" s="53"/>
      <c r="P57" s="43"/>
      <c r="Q57" s="61">
        <f>IFERROR(__xludf.DUMMYFUNCTION("LINEST(FILTER(C57:N57,C57:N57 &gt; 0))"),-200.98181818181808)</f>
        <v>-200.9818182</v>
      </c>
      <c r="R57" s="61">
        <f>IFERROR(__xludf.DUMMYFUNCTION("""COMPUTED_VALUE"""),58542.163636363635)</f>
        <v>58542.16364</v>
      </c>
      <c r="S57" s="62" t="str">
        <f>IFS(R60&lt;10,"X",R60&lt;25,"Y",R60&gt;=25,"Z")</f>
        <v>X</v>
      </c>
      <c r="T57" s="63" t="str">
        <f>IFS(R60&lt;25,"X",R60&lt;50,"Y",R60&gt;=50,"Z")</f>
        <v>X</v>
      </c>
      <c r="U57" s="63" t="str">
        <f>IFS(R60&lt;17.5,"X",R60&lt;42.5,"Y",R60&gt;=42.5,"Z")</f>
        <v>X</v>
      </c>
      <c r="V57" s="43"/>
      <c r="W57" s="43"/>
    </row>
    <row r="58">
      <c r="A58" s="64"/>
      <c r="B58" s="65" t="s">
        <v>98</v>
      </c>
      <c r="C58" s="66">
        <f t="shared" ref="C58:N58" si="16">(C57/($Q57*C$46+$R57))</f>
        <v>0.9152197185</v>
      </c>
      <c r="D58" s="66">
        <f t="shared" si="16"/>
        <v>1.088799144</v>
      </c>
      <c r="E58" s="66">
        <f t="shared" si="16"/>
        <v>0</v>
      </c>
      <c r="F58" s="66">
        <f t="shared" si="16"/>
        <v>0.9703968034</v>
      </c>
      <c r="G58" s="66">
        <f t="shared" si="16"/>
        <v>0.9400691852</v>
      </c>
      <c r="H58" s="66">
        <f t="shared" si="16"/>
        <v>1.105181711</v>
      </c>
      <c r="I58" s="66">
        <f t="shared" si="16"/>
        <v>1.058190114</v>
      </c>
      <c r="J58" s="66">
        <f t="shared" si="16"/>
        <v>0.8745868843</v>
      </c>
      <c r="K58" s="66">
        <f t="shared" si="16"/>
        <v>1.149306821</v>
      </c>
      <c r="L58" s="66">
        <f t="shared" si="16"/>
        <v>0.9588139244</v>
      </c>
      <c r="M58" s="66">
        <f t="shared" si="16"/>
        <v>1.053995433</v>
      </c>
      <c r="N58" s="66">
        <f t="shared" si="16"/>
        <v>0.9171681776</v>
      </c>
      <c r="O58" s="67"/>
      <c r="P58" s="43"/>
      <c r="Q58" s="68" t="s">
        <v>99</v>
      </c>
      <c r="R58" s="66">
        <f>SUM(C58:N58)</f>
        <v>11.03172792</v>
      </c>
      <c r="S58" s="64"/>
      <c r="T58" s="64"/>
      <c r="U58" s="64"/>
      <c r="V58" s="43"/>
      <c r="W58" s="43"/>
    </row>
    <row r="59">
      <c r="A59" s="64"/>
      <c r="B59" s="65" t="s">
        <v>100</v>
      </c>
      <c r="C59" s="66">
        <f t="shared" ref="C59:N59" si="17">C58*12/$R58</f>
        <v>0.9955499905</v>
      </c>
      <c r="D59" s="66">
        <f t="shared" si="17"/>
        <v>1.184364755</v>
      </c>
      <c r="E59" s="66">
        <f t="shared" si="17"/>
        <v>0</v>
      </c>
      <c r="F59" s="66">
        <f t="shared" si="17"/>
        <v>1.055570055</v>
      </c>
      <c r="G59" s="66">
        <f t="shared" si="17"/>
        <v>1.022580534</v>
      </c>
      <c r="H59" s="66">
        <f t="shared" si="17"/>
        <v>1.202185245</v>
      </c>
      <c r="I59" s="66">
        <f t="shared" si="17"/>
        <v>1.151069122</v>
      </c>
      <c r="J59" s="66">
        <f t="shared" si="17"/>
        <v>0.9513507487</v>
      </c>
      <c r="K59" s="66">
        <f t="shared" si="17"/>
        <v>1.250183285</v>
      </c>
      <c r="L59" s="66">
        <f t="shared" si="17"/>
        <v>1.042970528</v>
      </c>
      <c r="M59" s="66">
        <f t="shared" si="17"/>
        <v>1.146506267</v>
      </c>
      <c r="N59" s="66">
        <f t="shared" si="17"/>
        <v>0.9976694689</v>
      </c>
      <c r="O59" s="66">
        <f>IF(N59&gt;0, N59, M59)</f>
        <v>0.9976694689</v>
      </c>
      <c r="P59" s="43"/>
      <c r="Q59" s="68" t="s">
        <v>101</v>
      </c>
      <c r="R59" s="61">
        <f>SQRT(SUM((D60-D57)^2,(E60-E57)^2,(F60-F57)^2,(G60-G57)^2,(H60-H57)^2,(I60-I57)^2,(J60-J57)^2,(K60-K57)^2,(L60-L57)^2,(M60-M57)^2,(N60-N57)^2)/11)</f>
        <v>4747.397566</v>
      </c>
      <c r="S59" s="64"/>
      <c r="T59" s="64"/>
      <c r="U59" s="64"/>
      <c r="V59" s="43"/>
      <c r="W59" s="43"/>
    </row>
    <row r="60">
      <c r="A60" s="64"/>
      <c r="B60" s="65" t="s">
        <v>102</v>
      </c>
      <c r="C60" s="61">
        <f t="shared" ref="C60:N60" si="18">IF(C57&gt;0,$Q57*C$46+$R57,0)</f>
        <v>58341.18182</v>
      </c>
      <c r="D60" s="61">
        <f t="shared" si="18"/>
        <v>58140.2</v>
      </c>
      <c r="E60" s="61">
        <f t="shared" si="18"/>
        <v>0</v>
      </c>
      <c r="F60" s="61">
        <f t="shared" si="18"/>
        <v>57738.23636</v>
      </c>
      <c r="G60" s="61">
        <f t="shared" si="18"/>
        <v>57537.25455</v>
      </c>
      <c r="H60" s="61">
        <f t="shared" si="18"/>
        <v>57336.27273</v>
      </c>
      <c r="I60" s="61">
        <f t="shared" si="18"/>
        <v>57135.29091</v>
      </c>
      <c r="J60" s="61">
        <f t="shared" si="18"/>
        <v>56934.30909</v>
      </c>
      <c r="K60" s="61">
        <f t="shared" si="18"/>
        <v>56733.32727</v>
      </c>
      <c r="L60" s="61">
        <f t="shared" si="18"/>
        <v>56532.34545</v>
      </c>
      <c r="M60" s="61">
        <f t="shared" si="18"/>
        <v>56331.36364</v>
      </c>
      <c r="N60" s="61">
        <f t="shared" si="18"/>
        <v>56130.38182</v>
      </c>
      <c r="O60" s="61">
        <f>$Q57*O$46+$R57</f>
        <v>55929.4</v>
      </c>
      <c r="P60" s="43"/>
      <c r="Q60" s="68" t="s">
        <v>103</v>
      </c>
      <c r="R60" s="61">
        <f>100*R59/O61</f>
        <v>8.508025062</v>
      </c>
      <c r="S60" s="64"/>
      <c r="T60" s="64"/>
      <c r="U60" s="64"/>
      <c r="V60" s="43"/>
      <c r="W60" s="43"/>
    </row>
    <row r="61">
      <c r="A61" s="69"/>
      <c r="B61" s="65" t="s">
        <v>104</v>
      </c>
      <c r="C61" s="61">
        <f t="shared" ref="C61:O61" si="19">C60*C59</f>
        <v>58081.563</v>
      </c>
      <c r="D61" s="61">
        <f t="shared" si="19"/>
        <v>68859.20372</v>
      </c>
      <c r="E61" s="61">
        <f t="shared" si="19"/>
        <v>0</v>
      </c>
      <c r="F61" s="61">
        <f t="shared" si="19"/>
        <v>60946.75332</v>
      </c>
      <c r="G61" s="61">
        <f t="shared" si="19"/>
        <v>58836.47647</v>
      </c>
      <c r="H61" s="61">
        <f t="shared" si="19"/>
        <v>68928.8211</v>
      </c>
      <c r="I61" s="61">
        <f t="shared" si="19"/>
        <v>65766.66915</v>
      </c>
      <c r="J61" s="61">
        <f t="shared" si="19"/>
        <v>54164.49758</v>
      </c>
      <c r="K61" s="61">
        <f t="shared" si="19"/>
        <v>70927.05748</v>
      </c>
      <c r="L61" s="61">
        <f t="shared" si="19"/>
        <v>58961.5702</v>
      </c>
      <c r="M61" s="61">
        <f t="shared" si="19"/>
        <v>64584.26145</v>
      </c>
      <c r="N61" s="61">
        <f t="shared" si="19"/>
        <v>55999.56822</v>
      </c>
      <c r="O61" s="61">
        <f t="shared" si="19"/>
        <v>55799.05479</v>
      </c>
      <c r="P61" s="43"/>
      <c r="Q61" s="53"/>
      <c r="R61" s="53"/>
      <c r="S61" s="69"/>
      <c r="T61" s="69"/>
      <c r="U61" s="69"/>
      <c r="V61" s="43"/>
      <c r="W61" s="43"/>
    </row>
    <row r="62">
      <c r="A62" s="58">
        <v>4.0</v>
      </c>
      <c r="B62" s="59" t="str">
        <f>VLOOKUP(A62, $A$3:$B$45, 2, FALSE)</f>
        <v>Daihatsu</v>
      </c>
      <c r="C62" s="60">
        <f t="shared" ref="C62:N62" si="20">IF(AND($R6&lt;C6,C6&lt;$Q6),C6,0)</f>
        <v>53599</v>
      </c>
      <c r="D62" s="60">
        <f t="shared" si="20"/>
        <v>58895</v>
      </c>
      <c r="E62" s="61">
        <f t="shared" si="20"/>
        <v>0</v>
      </c>
      <c r="F62" s="60">
        <f t="shared" si="20"/>
        <v>48818</v>
      </c>
      <c r="G62" s="60">
        <f t="shared" si="20"/>
        <v>44676</v>
      </c>
      <c r="H62" s="60">
        <f t="shared" si="20"/>
        <v>53562</v>
      </c>
      <c r="I62" s="60">
        <f t="shared" si="20"/>
        <v>54145</v>
      </c>
      <c r="J62" s="60">
        <f t="shared" si="20"/>
        <v>43607</v>
      </c>
      <c r="K62" s="60">
        <f t="shared" si="20"/>
        <v>54074</v>
      </c>
      <c r="L62" s="60">
        <f t="shared" si="20"/>
        <v>56431</v>
      </c>
      <c r="M62" s="60">
        <f t="shared" si="20"/>
        <v>54667</v>
      </c>
      <c r="N62" s="60">
        <f t="shared" si="20"/>
        <v>48743</v>
      </c>
      <c r="O62" s="53"/>
      <c r="P62" s="43"/>
      <c r="Q62" s="61">
        <f>IFERROR(__xludf.DUMMYFUNCTION("LINEST(FILTER(C62:N62,C62:N62 &gt; 0))"),-86.47272727272781)</f>
        <v>-86.47272727</v>
      </c>
      <c r="R62" s="61">
        <f>IFERROR(__xludf.DUMMYFUNCTION("""COMPUTED_VALUE"""),52447.65454545455)</f>
        <v>52447.65455</v>
      </c>
      <c r="S62" s="62" t="str">
        <f>IFS(R65&lt;10,"X",R65&lt;25,"Y",R65&gt;=25,"Z")</f>
        <v>X</v>
      </c>
      <c r="T62" s="63" t="str">
        <f>IFS(R65&lt;25,"X",R65&lt;50,"Y",R65&gt;=50,"Z")</f>
        <v>X</v>
      </c>
      <c r="U62" s="63" t="str">
        <f>IFS(R65&lt;17.5,"X",R65&lt;42.5,"Y",R65&gt;=42.5,"Z")</f>
        <v>X</v>
      </c>
      <c r="V62" s="43"/>
      <c r="W62" s="43"/>
    </row>
    <row r="63">
      <c r="A63" s="64"/>
      <c r="B63" s="65" t="s">
        <v>98</v>
      </c>
      <c r="C63" s="66">
        <f t="shared" ref="C63:N63" si="21">(C62/($Q62*C$46+$R62))</f>
        <v>1.023639997</v>
      </c>
      <c r="D63" s="66">
        <f t="shared" si="21"/>
        <v>1.126644242</v>
      </c>
      <c r="E63" s="66">
        <f t="shared" si="21"/>
        <v>0</v>
      </c>
      <c r="F63" s="66">
        <f t="shared" si="21"/>
        <v>0.9369740407</v>
      </c>
      <c r="G63" s="66">
        <f t="shared" si="21"/>
        <v>0.8589012811</v>
      </c>
      <c r="H63" s="66">
        <f t="shared" si="21"/>
        <v>1.031450395</v>
      </c>
      <c r="I63" s="66">
        <f t="shared" si="21"/>
        <v>1.044416481</v>
      </c>
      <c r="J63" s="66">
        <f t="shared" si="21"/>
        <v>0.842551728</v>
      </c>
      <c r="K63" s="66">
        <f t="shared" si="21"/>
        <v>1.046538183</v>
      </c>
      <c r="L63" s="66">
        <f t="shared" si="21"/>
        <v>1.093985995</v>
      </c>
      <c r="M63" s="66">
        <f t="shared" si="21"/>
        <v>1.061568228</v>
      </c>
      <c r="N63" s="66">
        <f t="shared" si="21"/>
        <v>0.9481232686</v>
      </c>
      <c r="O63" s="67"/>
      <c r="P63" s="43"/>
      <c r="Q63" s="68" t="s">
        <v>99</v>
      </c>
      <c r="R63" s="66">
        <f>SUM(C63:N63)</f>
        <v>11.01479384</v>
      </c>
      <c r="S63" s="64"/>
      <c r="T63" s="64"/>
      <c r="U63" s="64"/>
      <c r="V63" s="43"/>
      <c r="W63" s="43"/>
    </row>
    <row r="64">
      <c r="A64" s="64"/>
      <c r="B64" s="65" t="s">
        <v>100</v>
      </c>
      <c r="C64" s="66">
        <f t="shared" ref="C64:N64" si="22">C63*12/$R63</f>
        <v>1.115198355</v>
      </c>
      <c r="D64" s="66">
        <f t="shared" si="22"/>
        <v>1.227415701</v>
      </c>
      <c r="E64" s="66">
        <f t="shared" si="22"/>
        <v>0</v>
      </c>
      <c r="F64" s="66">
        <f t="shared" si="22"/>
        <v>1.020780657</v>
      </c>
      <c r="G64" s="66">
        <f t="shared" si="22"/>
        <v>0.9357247648</v>
      </c>
      <c r="H64" s="66">
        <f t="shared" si="22"/>
        <v>1.123707344</v>
      </c>
      <c r="I64" s="66">
        <f t="shared" si="22"/>
        <v>1.137833168</v>
      </c>
      <c r="J64" s="66">
        <f t="shared" si="22"/>
        <v>0.9179128438</v>
      </c>
      <c r="K64" s="66">
        <f t="shared" si="22"/>
        <v>1.140144644</v>
      </c>
      <c r="L64" s="66">
        <f t="shared" si="22"/>
        <v>1.191836373</v>
      </c>
      <c r="M64" s="66">
        <f t="shared" si="22"/>
        <v>1.156519035</v>
      </c>
      <c r="N64" s="66">
        <f t="shared" si="22"/>
        <v>1.032927115</v>
      </c>
      <c r="O64" s="66">
        <f>IF(N64&gt;0, N64, M64)</f>
        <v>1.032927115</v>
      </c>
      <c r="P64" s="43"/>
      <c r="Q64" s="68" t="s">
        <v>101</v>
      </c>
      <c r="R64" s="61">
        <f>SQRT(SUM((D65-D62)^2,(E65-E62)^2,(F65-F62)^2,(G65-G62)^2,(H65-H62)^2,(I65-I62)^2,(J65-J62)^2,(K65-K62)^2,(L65-L62)^2,(M65-M62)^2,(N65-N62)^2)/11)</f>
        <v>4565.694558</v>
      </c>
      <c r="S64" s="64"/>
      <c r="T64" s="64"/>
      <c r="U64" s="64"/>
      <c r="V64" s="43"/>
      <c r="W64" s="43"/>
    </row>
    <row r="65">
      <c r="A65" s="64"/>
      <c r="B65" s="65" t="s">
        <v>102</v>
      </c>
      <c r="C65" s="61">
        <f t="shared" ref="C65:N65" si="23">IF(C62&gt;0,$Q62*C$46+$R62,0)</f>
        <v>52361.18182</v>
      </c>
      <c r="D65" s="61">
        <f t="shared" si="23"/>
        <v>52274.70909</v>
      </c>
      <c r="E65" s="61">
        <f t="shared" si="23"/>
        <v>0</v>
      </c>
      <c r="F65" s="61">
        <f t="shared" si="23"/>
        <v>52101.76364</v>
      </c>
      <c r="G65" s="61">
        <f t="shared" si="23"/>
        <v>52015.29091</v>
      </c>
      <c r="H65" s="61">
        <f t="shared" si="23"/>
        <v>51928.81818</v>
      </c>
      <c r="I65" s="61">
        <f t="shared" si="23"/>
        <v>51842.34545</v>
      </c>
      <c r="J65" s="61">
        <f t="shared" si="23"/>
        <v>51755.87273</v>
      </c>
      <c r="K65" s="61">
        <f t="shared" si="23"/>
        <v>51669.4</v>
      </c>
      <c r="L65" s="61">
        <f t="shared" si="23"/>
        <v>51582.92727</v>
      </c>
      <c r="M65" s="61">
        <f t="shared" si="23"/>
        <v>51496.45455</v>
      </c>
      <c r="N65" s="61">
        <f t="shared" si="23"/>
        <v>51409.98182</v>
      </c>
      <c r="O65" s="61">
        <f>$Q62*O$46+$R62</f>
        <v>51323.50909</v>
      </c>
      <c r="P65" s="43"/>
      <c r="Q65" s="68" t="s">
        <v>103</v>
      </c>
      <c r="R65" s="61">
        <f>100*R64/O66</f>
        <v>8.612333396</v>
      </c>
      <c r="S65" s="64"/>
      <c r="T65" s="64"/>
      <c r="U65" s="64"/>
      <c r="V65" s="43"/>
      <c r="W65" s="43"/>
    </row>
    <row r="66">
      <c r="A66" s="69"/>
      <c r="B66" s="65" t="s">
        <v>104</v>
      </c>
      <c r="C66" s="61">
        <f t="shared" ref="C66:O66" si="24">C65*C64</f>
        <v>58393.1038</v>
      </c>
      <c r="D66" s="61">
        <f t="shared" si="24"/>
        <v>64162.79872</v>
      </c>
      <c r="E66" s="61">
        <f t="shared" si="24"/>
        <v>0</v>
      </c>
      <c r="F66" s="61">
        <f t="shared" si="24"/>
        <v>53184.4725</v>
      </c>
      <c r="G66" s="61">
        <f t="shared" si="24"/>
        <v>48671.99585</v>
      </c>
      <c r="H66" s="61">
        <f t="shared" si="24"/>
        <v>58352.79438</v>
      </c>
      <c r="I66" s="61">
        <f t="shared" si="24"/>
        <v>58987.94018</v>
      </c>
      <c r="J66" s="61">
        <f t="shared" si="24"/>
        <v>47507.38032</v>
      </c>
      <c r="K66" s="61">
        <f t="shared" si="24"/>
        <v>58910.58966</v>
      </c>
      <c r="L66" s="61">
        <f t="shared" si="24"/>
        <v>61478.40894</v>
      </c>
      <c r="M66" s="61">
        <f t="shared" si="24"/>
        <v>59556.62989</v>
      </c>
      <c r="N66" s="61">
        <f t="shared" si="24"/>
        <v>53102.76421</v>
      </c>
      <c r="O66" s="61">
        <f t="shared" si="24"/>
        <v>53013.44418</v>
      </c>
      <c r="P66" s="43"/>
      <c r="Q66" s="53"/>
      <c r="R66" s="53"/>
      <c r="S66" s="69"/>
      <c r="T66" s="69"/>
      <c r="U66" s="69"/>
      <c r="V66" s="43"/>
      <c r="W66" s="43"/>
    </row>
    <row r="67">
      <c r="A67" s="58">
        <v>5.0</v>
      </c>
      <c r="B67" s="59" t="str">
        <f>VLOOKUP(A67, $A$3:$B$45, 2, FALSE)</f>
        <v>Nissan</v>
      </c>
      <c r="C67" s="60">
        <f t="shared" ref="C67:N67" si="25">IF(AND($R7&lt;C7,C7&lt;$Q7),C7,0)</f>
        <v>56336</v>
      </c>
      <c r="D67" s="60">
        <f t="shared" si="25"/>
        <v>64362</v>
      </c>
      <c r="E67" s="61">
        <f t="shared" si="25"/>
        <v>0</v>
      </c>
      <c r="F67" s="60">
        <f t="shared" si="25"/>
        <v>36548</v>
      </c>
      <c r="G67" s="60">
        <f t="shared" si="25"/>
        <v>41592</v>
      </c>
      <c r="H67" s="60">
        <f t="shared" si="25"/>
        <v>51674</v>
      </c>
      <c r="I67" s="60">
        <f t="shared" si="25"/>
        <v>51053</v>
      </c>
      <c r="J67" s="60">
        <f t="shared" si="25"/>
        <v>42789</v>
      </c>
      <c r="K67" s="60">
        <f t="shared" si="25"/>
        <v>60994</v>
      </c>
      <c r="L67" s="60">
        <f t="shared" si="25"/>
        <v>42720</v>
      </c>
      <c r="M67" s="60">
        <f t="shared" si="25"/>
        <v>45592</v>
      </c>
      <c r="N67" s="60">
        <f t="shared" si="25"/>
        <v>36888</v>
      </c>
      <c r="O67" s="53"/>
      <c r="P67" s="43"/>
      <c r="Q67" s="61">
        <f>IFERROR(__xludf.DUMMYFUNCTION("LINEST(FILTER(C67:N67,C67:N67 &gt; 0))"),-1126.227272727273)</f>
        <v>-1126.227273</v>
      </c>
      <c r="R67" s="61">
        <f>IFERROR(__xludf.DUMMYFUNCTION("""COMPUTED_VALUE"""),54989.00000000001)</f>
        <v>54989</v>
      </c>
      <c r="S67" s="62" t="str">
        <f>IFS(R70&lt;10,"X",R70&lt;25,"Y",R70&gt;=25,"Z")</f>
        <v>Y</v>
      </c>
      <c r="T67" s="63" t="str">
        <f>IFS(R70&lt;25,"X",R70&lt;50,"Y",R70&gt;=50,"Z")</f>
        <v>X</v>
      </c>
      <c r="U67" s="63" t="str">
        <f>IFS(R70&lt;17.5,"X",R70&lt;42.5,"Y",R70&gt;=42.5,"Z")</f>
        <v>Y</v>
      </c>
      <c r="V67" s="43"/>
      <c r="W67" s="43"/>
    </row>
    <row r="68">
      <c r="A68" s="64"/>
      <c r="B68" s="65" t="s">
        <v>98</v>
      </c>
      <c r="C68" s="66">
        <f t="shared" ref="C68:N68" si="26">(C67/($Q67*C$46+$R67))</f>
        <v>1.045917192</v>
      </c>
      <c r="D68" s="66">
        <f t="shared" si="26"/>
        <v>1.220443991</v>
      </c>
      <c r="E68" s="66">
        <f t="shared" si="26"/>
        <v>0</v>
      </c>
      <c r="F68" s="66">
        <f t="shared" si="26"/>
        <v>0.7239508396</v>
      </c>
      <c r="G68" s="66">
        <f t="shared" si="26"/>
        <v>0.8426620793</v>
      </c>
      <c r="H68" s="66">
        <f t="shared" si="26"/>
        <v>1.071371488</v>
      </c>
      <c r="I68" s="66">
        <f t="shared" si="26"/>
        <v>1.083803346</v>
      </c>
      <c r="J68" s="66">
        <f t="shared" si="26"/>
        <v>0.9306168207</v>
      </c>
      <c r="K68" s="66">
        <f t="shared" si="26"/>
        <v>1.359865824</v>
      </c>
      <c r="L68" s="66">
        <f t="shared" si="26"/>
        <v>0.9769768438</v>
      </c>
      <c r="M68" s="66">
        <f t="shared" si="26"/>
        <v>1.07022218</v>
      </c>
      <c r="N68" s="66">
        <f t="shared" si="26"/>
        <v>0.8894188511</v>
      </c>
      <c r="O68" s="67"/>
      <c r="P68" s="43"/>
      <c r="Q68" s="68" t="s">
        <v>99</v>
      </c>
      <c r="R68" s="66">
        <f>SUM(C68:N68)</f>
        <v>11.21524946</v>
      </c>
      <c r="S68" s="64"/>
      <c r="T68" s="64"/>
      <c r="U68" s="64"/>
      <c r="V68" s="43"/>
      <c r="W68" s="43"/>
    </row>
    <row r="69">
      <c r="A69" s="64"/>
      <c r="B69" s="65" t="s">
        <v>100</v>
      </c>
      <c r="C69" s="66">
        <f t="shared" ref="C69:N69" si="27">C68*12/$R68</f>
        <v>1.11910184</v>
      </c>
      <c r="D69" s="66">
        <f t="shared" si="27"/>
        <v>1.305840583</v>
      </c>
      <c r="E69" s="66">
        <f t="shared" si="27"/>
        <v>0</v>
      </c>
      <c r="F69" s="66">
        <f t="shared" si="27"/>
        <v>0.7746069412</v>
      </c>
      <c r="G69" s="66">
        <f t="shared" si="27"/>
        <v>0.9016246131</v>
      </c>
      <c r="H69" s="66">
        <f t="shared" si="27"/>
        <v>1.146337217</v>
      </c>
      <c r="I69" s="66">
        <f t="shared" si="27"/>
        <v>1.159638955</v>
      </c>
      <c r="J69" s="66">
        <f t="shared" si="27"/>
        <v>0.995733701</v>
      </c>
      <c r="K69" s="66">
        <f t="shared" si="27"/>
        <v>1.455018005</v>
      </c>
      <c r="L69" s="66">
        <f t="shared" si="27"/>
        <v>1.045337616</v>
      </c>
      <c r="M69" s="66">
        <f t="shared" si="27"/>
        <v>1.145107491</v>
      </c>
      <c r="N69" s="66">
        <f t="shared" si="27"/>
        <v>0.9516530377</v>
      </c>
      <c r="O69" s="66">
        <f>IF(N69&gt;0, N69, M69)</f>
        <v>0.9516530377</v>
      </c>
      <c r="P69" s="43"/>
      <c r="Q69" s="68" t="s">
        <v>101</v>
      </c>
      <c r="R69" s="61">
        <f>SQRT(SUM((D70-D67)^2,(E70-E67)^2,(F70-F67)^2,(G70-G67)^2,(H70-H67)^2,(I70-I67)^2,(J70-J67)^2,(K70-K67)^2,(L70-L67)^2,(M70-M67)^2,(N70-N67)^2)/11)</f>
        <v>8083.737213</v>
      </c>
      <c r="S69" s="64"/>
      <c r="T69" s="64"/>
      <c r="U69" s="64"/>
      <c r="V69" s="43"/>
      <c r="W69" s="43"/>
    </row>
    <row r="70">
      <c r="A70" s="64"/>
      <c r="B70" s="65" t="s">
        <v>102</v>
      </c>
      <c r="C70" s="61">
        <f t="shared" ref="C70:N70" si="28">IF(C67&gt;0,$Q67*C$46+$R67,0)</f>
        <v>53862.77273</v>
      </c>
      <c r="D70" s="61">
        <f t="shared" si="28"/>
        <v>52736.54545</v>
      </c>
      <c r="E70" s="61">
        <f t="shared" si="28"/>
        <v>0</v>
      </c>
      <c r="F70" s="61">
        <f t="shared" si="28"/>
        <v>50484.09091</v>
      </c>
      <c r="G70" s="61">
        <f t="shared" si="28"/>
        <v>49357.86364</v>
      </c>
      <c r="H70" s="61">
        <f t="shared" si="28"/>
        <v>48231.63636</v>
      </c>
      <c r="I70" s="61">
        <f t="shared" si="28"/>
        <v>47105.40909</v>
      </c>
      <c r="J70" s="61">
        <f t="shared" si="28"/>
        <v>45979.18182</v>
      </c>
      <c r="K70" s="61">
        <f t="shared" si="28"/>
        <v>44852.95455</v>
      </c>
      <c r="L70" s="61">
        <f t="shared" si="28"/>
        <v>43726.72727</v>
      </c>
      <c r="M70" s="61">
        <f t="shared" si="28"/>
        <v>42600.5</v>
      </c>
      <c r="N70" s="61">
        <f t="shared" si="28"/>
        <v>41474.27273</v>
      </c>
      <c r="O70" s="61">
        <f>$Q67*O$46+$R67</f>
        <v>40348.04545</v>
      </c>
      <c r="P70" s="43"/>
      <c r="Q70" s="68" t="s">
        <v>103</v>
      </c>
      <c r="R70" s="61">
        <f>100*R69/O71</f>
        <v>21.05285733</v>
      </c>
      <c r="S70" s="64"/>
      <c r="T70" s="64"/>
      <c r="U70" s="64"/>
      <c r="V70" s="43"/>
      <c r="W70" s="43"/>
    </row>
    <row r="71">
      <c r="A71" s="69"/>
      <c r="B71" s="65" t="s">
        <v>104</v>
      </c>
      <c r="C71" s="61">
        <f t="shared" ref="C71:O71" si="29">C70*C69</f>
        <v>60277.92807</v>
      </c>
      <c r="D71" s="61">
        <f t="shared" si="29"/>
        <v>68865.52127</v>
      </c>
      <c r="E71" s="61">
        <f t="shared" si="29"/>
        <v>0</v>
      </c>
      <c r="F71" s="61">
        <f t="shared" si="29"/>
        <v>39105.32724</v>
      </c>
      <c r="G71" s="61">
        <f t="shared" si="29"/>
        <v>44502.2647</v>
      </c>
      <c r="H71" s="61">
        <f t="shared" si="29"/>
        <v>55289.71981</v>
      </c>
      <c r="I71" s="61">
        <f t="shared" si="29"/>
        <v>54625.26736</v>
      </c>
      <c r="J71" s="61">
        <f t="shared" si="29"/>
        <v>45783.02088</v>
      </c>
      <c r="K71" s="61">
        <f t="shared" si="29"/>
        <v>65261.85645</v>
      </c>
      <c r="L71" s="61">
        <f t="shared" si="29"/>
        <v>45709.19283</v>
      </c>
      <c r="M71" s="61">
        <f t="shared" si="29"/>
        <v>48782.15167</v>
      </c>
      <c r="N71" s="61">
        <f t="shared" si="29"/>
        <v>39469.11763</v>
      </c>
      <c r="O71" s="61">
        <f t="shared" si="29"/>
        <v>38397.34002</v>
      </c>
      <c r="P71" s="43"/>
      <c r="Q71" s="53"/>
      <c r="R71" s="53"/>
      <c r="S71" s="69"/>
      <c r="T71" s="69"/>
      <c r="U71" s="69"/>
      <c r="V71" s="43"/>
      <c r="W71" s="43"/>
    </row>
    <row r="72">
      <c r="A72" s="58">
        <v>6.0</v>
      </c>
      <c r="B72" s="59" t="str">
        <f>VLOOKUP(A72, $A$3:$B$45, 2, FALSE)</f>
        <v>Mazda</v>
      </c>
      <c r="C72" s="60">
        <f t="shared" ref="C72:N72" si="30">IF(AND($R8&lt;C8,C8&lt;$Q8),C8,0)</f>
        <v>17695</v>
      </c>
      <c r="D72" s="60">
        <f t="shared" si="30"/>
        <v>18709</v>
      </c>
      <c r="E72" s="61">
        <f t="shared" si="30"/>
        <v>0</v>
      </c>
      <c r="F72" s="60">
        <f t="shared" si="30"/>
        <v>13875</v>
      </c>
      <c r="G72" s="60">
        <f t="shared" si="30"/>
        <v>16200</v>
      </c>
      <c r="H72" s="60">
        <f t="shared" si="30"/>
        <v>18886</v>
      </c>
      <c r="I72" s="60">
        <f t="shared" si="30"/>
        <v>15550</v>
      </c>
      <c r="J72" s="60">
        <f t="shared" si="30"/>
        <v>15402</v>
      </c>
      <c r="K72" s="60">
        <f t="shared" si="30"/>
        <v>22842</v>
      </c>
      <c r="L72" s="60">
        <f t="shared" si="30"/>
        <v>14338</v>
      </c>
      <c r="M72" s="60">
        <f t="shared" si="30"/>
        <v>17988</v>
      </c>
      <c r="N72" s="60">
        <f t="shared" si="30"/>
        <v>14722</v>
      </c>
      <c r="O72" s="53"/>
      <c r="P72" s="43"/>
      <c r="Q72" s="61">
        <f>IFERROR(__xludf.DUMMYFUNCTION("LINEST(FILTER(C72:N72,C72:N72 &gt; 0))"),-59.63636363636379)</f>
        <v>-59.63636364</v>
      </c>
      <c r="R72" s="61">
        <f>IFERROR(__xludf.DUMMYFUNCTION("""COMPUTED_VALUE"""),17285.727272727276)</f>
        <v>17285.72727</v>
      </c>
      <c r="S72" s="62" t="str">
        <f>IFS(R75&lt;10,"X",R75&lt;25,"Y",R75&gt;=25,"Z")</f>
        <v>Y</v>
      </c>
      <c r="T72" s="63" t="str">
        <f>IFS(R75&lt;25,"X",R75&lt;50,"Y",R75&gt;=50,"Z")</f>
        <v>X</v>
      </c>
      <c r="U72" s="63" t="str">
        <f>IFS(R75&lt;17.5,"X",R75&lt;42.5,"Y",R75&gt;=42.5,"Z")</f>
        <v>X</v>
      </c>
      <c r="V72" s="43"/>
      <c r="W72" s="43"/>
    </row>
    <row r="73">
      <c r="A73" s="64"/>
      <c r="B73" s="65" t="s">
        <v>98</v>
      </c>
      <c r="C73" s="66">
        <f t="shared" ref="C73:N73" si="31">(C72/($Q72*C$46+$R72))</f>
        <v>1.027220865</v>
      </c>
      <c r="D73" s="66">
        <f t="shared" si="31"/>
        <v>1.089858127</v>
      </c>
      <c r="E73" s="66">
        <f t="shared" si="31"/>
        <v>0</v>
      </c>
      <c r="F73" s="66">
        <f t="shared" si="31"/>
        <v>0.813917523</v>
      </c>
      <c r="G73" s="66">
        <f t="shared" si="31"/>
        <v>0.9536398324</v>
      </c>
      <c r="H73" s="66">
        <f t="shared" si="31"/>
        <v>1.115672343</v>
      </c>
      <c r="I73" s="66">
        <f t="shared" si="31"/>
        <v>0.9218489795</v>
      </c>
      <c r="J73" s="66">
        <f t="shared" si="31"/>
        <v>0.9163146651</v>
      </c>
      <c r="K73" s="66">
        <f t="shared" si="31"/>
        <v>1.363782912</v>
      </c>
      <c r="L73" s="66">
        <f t="shared" si="31"/>
        <v>0.8591100483</v>
      </c>
      <c r="M73" s="66">
        <f t="shared" si="31"/>
        <v>1.08167739</v>
      </c>
      <c r="N73" s="66">
        <f t="shared" si="31"/>
        <v>0.8884682698</v>
      </c>
      <c r="O73" s="67"/>
      <c r="P73" s="43"/>
      <c r="Q73" s="68" t="s">
        <v>99</v>
      </c>
      <c r="R73" s="66">
        <f>SUM(C73:N73)</f>
        <v>11.03151096</v>
      </c>
      <c r="S73" s="64"/>
      <c r="T73" s="64"/>
      <c r="U73" s="64"/>
      <c r="V73" s="43"/>
      <c r="W73" s="43"/>
    </row>
    <row r="74">
      <c r="A74" s="64"/>
      <c r="B74" s="65" t="s">
        <v>100</v>
      </c>
      <c r="C74" s="66">
        <f t="shared" ref="C74:N74" si="32">C73*12/$R73</f>
        <v>1.117403629</v>
      </c>
      <c r="D74" s="66">
        <f t="shared" si="32"/>
        <v>1.185540002</v>
      </c>
      <c r="E74" s="66">
        <f t="shared" si="32"/>
        <v>0</v>
      </c>
      <c r="F74" s="66">
        <f t="shared" si="32"/>
        <v>0.8853737548</v>
      </c>
      <c r="G74" s="66">
        <f t="shared" si="32"/>
        <v>1.0373627</v>
      </c>
      <c r="H74" s="66">
        <f t="shared" si="32"/>
        <v>1.213620525</v>
      </c>
      <c r="I74" s="66">
        <f t="shared" si="32"/>
        <v>1.002780834</v>
      </c>
      <c r="J74" s="66">
        <f t="shared" si="32"/>
        <v>0.9967606455</v>
      </c>
      <c r="K74" s="66">
        <f t="shared" si="32"/>
        <v>1.483513457</v>
      </c>
      <c r="L74" s="66">
        <f t="shared" si="32"/>
        <v>0.9345338658</v>
      </c>
      <c r="M74" s="66">
        <f t="shared" si="32"/>
        <v>1.176641055</v>
      </c>
      <c r="N74" s="66">
        <f t="shared" si="32"/>
        <v>0.9664695326</v>
      </c>
      <c r="O74" s="66">
        <f>IF(N74&gt;0, N74, M74)</f>
        <v>0.9664695326</v>
      </c>
      <c r="P74" s="43"/>
      <c r="Q74" s="68" t="s">
        <v>101</v>
      </c>
      <c r="R74" s="61">
        <f>SQRT(SUM((D75-D72)^2,(E75-E72)^2,(F75-F72)^2,(G75-G72)^2,(H75-H72)^2,(I75-I72)^2,(J75-J72)^2,(K75-K72)^2,(L75-L72)^2,(M75-M72)^2,(N75-N72)^2)/11)</f>
        <v>2495.940439</v>
      </c>
      <c r="S74" s="64"/>
      <c r="T74" s="64"/>
      <c r="U74" s="64"/>
      <c r="V74" s="43"/>
      <c r="W74" s="43"/>
    </row>
    <row r="75">
      <c r="A75" s="64"/>
      <c r="B75" s="65" t="s">
        <v>102</v>
      </c>
      <c r="C75" s="61">
        <f t="shared" ref="C75:N75" si="33">IF(C72&gt;0,$Q72*C$46+$R72,0)</f>
        <v>17226.09091</v>
      </c>
      <c r="D75" s="61">
        <f t="shared" si="33"/>
        <v>17166.45455</v>
      </c>
      <c r="E75" s="61">
        <f t="shared" si="33"/>
        <v>0</v>
      </c>
      <c r="F75" s="61">
        <f t="shared" si="33"/>
        <v>17047.18182</v>
      </c>
      <c r="G75" s="61">
        <f t="shared" si="33"/>
        <v>16987.54545</v>
      </c>
      <c r="H75" s="61">
        <f t="shared" si="33"/>
        <v>16927.90909</v>
      </c>
      <c r="I75" s="61">
        <f t="shared" si="33"/>
        <v>16868.27273</v>
      </c>
      <c r="J75" s="61">
        <f t="shared" si="33"/>
        <v>16808.63636</v>
      </c>
      <c r="K75" s="61">
        <f t="shared" si="33"/>
        <v>16749</v>
      </c>
      <c r="L75" s="61">
        <f t="shared" si="33"/>
        <v>16689.36364</v>
      </c>
      <c r="M75" s="61">
        <f t="shared" si="33"/>
        <v>16629.72727</v>
      </c>
      <c r="N75" s="61">
        <f t="shared" si="33"/>
        <v>16570.09091</v>
      </c>
      <c r="O75" s="61">
        <f>$Q72*O$46+$R72</f>
        <v>16510.45455</v>
      </c>
      <c r="P75" s="43"/>
      <c r="Q75" s="68" t="s">
        <v>103</v>
      </c>
      <c r="R75" s="61">
        <f>100*R74/O76</f>
        <v>15.64181049</v>
      </c>
      <c r="S75" s="64"/>
      <c r="T75" s="64"/>
      <c r="U75" s="64"/>
      <c r="V75" s="43"/>
      <c r="W75" s="43"/>
    </row>
    <row r="76">
      <c r="A76" s="69"/>
      <c r="B76" s="65" t="s">
        <v>104</v>
      </c>
      <c r="C76" s="61">
        <f t="shared" ref="C76:O76" si="34">C75*C74</f>
        <v>19248.4965</v>
      </c>
      <c r="D76" s="61">
        <f t="shared" si="34"/>
        <v>20351.51856</v>
      </c>
      <c r="E76" s="61">
        <f t="shared" si="34"/>
        <v>0</v>
      </c>
      <c r="F76" s="61">
        <f t="shared" si="34"/>
        <v>15093.12738</v>
      </c>
      <c r="G76" s="61">
        <f t="shared" si="34"/>
        <v>17622.24602</v>
      </c>
      <c r="H76" s="61">
        <f t="shared" si="34"/>
        <v>20544.05792</v>
      </c>
      <c r="I76" s="61">
        <f t="shared" si="34"/>
        <v>16915.18059</v>
      </c>
      <c r="J76" s="61">
        <f t="shared" si="34"/>
        <v>16754.18723</v>
      </c>
      <c r="K76" s="61">
        <f t="shared" si="34"/>
        <v>24847.36688</v>
      </c>
      <c r="L76" s="61">
        <f t="shared" si="34"/>
        <v>15596.77552</v>
      </c>
      <c r="M76" s="61">
        <f t="shared" si="34"/>
        <v>19567.21984</v>
      </c>
      <c r="N76" s="61">
        <f t="shared" si="34"/>
        <v>16014.48802</v>
      </c>
      <c r="O76" s="61">
        <f t="shared" si="34"/>
        <v>15956.85129</v>
      </c>
      <c r="P76" s="43"/>
      <c r="Q76" s="53"/>
      <c r="R76" s="53"/>
      <c r="S76" s="69"/>
      <c r="T76" s="69"/>
      <c r="U76" s="69"/>
      <c r="V76" s="43"/>
      <c r="W76" s="43"/>
    </row>
    <row r="77">
      <c r="A77" s="58">
        <v>7.0</v>
      </c>
      <c r="B77" s="59" t="str">
        <f>VLOOKUP(A77, $A$3:$B$45, 2, FALSE)</f>
        <v>Subaru</v>
      </c>
      <c r="C77" s="60">
        <f t="shared" ref="C77:N77" si="35">IF(AND($R9&lt;C9,C9&lt;$Q9),C9,0)</f>
        <v>12118</v>
      </c>
      <c r="D77" s="60">
        <f t="shared" si="35"/>
        <v>13614</v>
      </c>
      <c r="E77" s="61">
        <f t="shared" si="35"/>
        <v>0</v>
      </c>
      <c r="F77" s="60">
        <f t="shared" si="35"/>
        <v>9007</v>
      </c>
      <c r="G77" s="60">
        <f t="shared" si="35"/>
        <v>8542</v>
      </c>
      <c r="H77" s="60">
        <f t="shared" si="35"/>
        <v>12184</v>
      </c>
      <c r="I77" s="60">
        <f t="shared" si="35"/>
        <v>12278</v>
      </c>
      <c r="J77" s="60">
        <f t="shared" si="35"/>
        <v>10193</v>
      </c>
      <c r="K77" s="60">
        <f t="shared" si="35"/>
        <v>15215</v>
      </c>
      <c r="L77" s="60">
        <f t="shared" si="35"/>
        <v>12841</v>
      </c>
      <c r="M77" s="60">
        <f t="shared" si="35"/>
        <v>12153</v>
      </c>
      <c r="N77" s="60">
        <f t="shared" si="35"/>
        <v>9173</v>
      </c>
      <c r="O77" s="53"/>
      <c r="P77" s="43"/>
      <c r="Q77" s="61">
        <f>IFERROR(__xludf.DUMMYFUNCTION("LINEST(FILTER(C77:N77,C77:N77 &gt; 0))"),20.799999999999873)</f>
        <v>20.8</v>
      </c>
      <c r="R77" s="61">
        <f>IFERROR(__xludf.DUMMYFUNCTION("""COMPUTED_VALUE"""),11449.563636363639)</f>
        <v>11449.56364</v>
      </c>
      <c r="S77" s="62" t="str">
        <f>IFS(R80&lt;10,"X",R80&lt;25,"Y",R80&gt;=25,"Z")</f>
        <v>Y</v>
      </c>
      <c r="T77" s="63" t="str">
        <f>IFS(R80&lt;25,"X",R80&lt;50,"Y",R80&gt;=50,"Z")</f>
        <v>X</v>
      </c>
      <c r="U77" s="63" t="str">
        <f>IFS(R80&lt;17.5,"X",R80&lt;42.5,"Y",R80&gt;=42.5,"Z")</f>
        <v>Y</v>
      </c>
      <c r="V77" s="43"/>
      <c r="W77" s="43"/>
    </row>
    <row r="78">
      <c r="A78" s="64"/>
      <c r="B78" s="65" t="s">
        <v>98</v>
      </c>
      <c r="C78" s="66">
        <f t="shared" ref="C78:N78" si="36">(C77/($Q77*C$46+$R77))</f>
        <v>1.056461712</v>
      </c>
      <c r="D78" s="66">
        <f t="shared" si="36"/>
        <v>1.184736414</v>
      </c>
      <c r="E78" s="66">
        <f t="shared" si="36"/>
        <v>0</v>
      </c>
      <c r="F78" s="66">
        <f t="shared" si="36"/>
        <v>0.7809923349</v>
      </c>
      <c r="G78" s="66">
        <f t="shared" si="36"/>
        <v>0.739338984</v>
      </c>
      <c r="H78" s="66">
        <f t="shared" si="36"/>
        <v>1.052671264</v>
      </c>
      <c r="I78" s="66">
        <f t="shared" si="36"/>
        <v>1.058889757</v>
      </c>
      <c r="J78" s="66">
        <f t="shared" si="36"/>
        <v>0.8774993035</v>
      </c>
      <c r="K78" s="66">
        <f t="shared" si="36"/>
        <v>1.307494117</v>
      </c>
      <c r="L78" s="66">
        <f t="shared" si="36"/>
        <v>1.101516612</v>
      </c>
      <c r="M78" s="66">
        <f t="shared" si="36"/>
        <v>1.040642369</v>
      </c>
      <c r="N78" s="66">
        <f t="shared" si="36"/>
        <v>0.7840731428</v>
      </c>
      <c r="O78" s="67"/>
      <c r="P78" s="43"/>
      <c r="Q78" s="68" t="s">
        <v>99</v>
      </c>
      <c r="R78" s="66">
        <f>SUM(C78:N78)</f>
        <v>10.98431601</v>
      </c>
      <c r="S78" s="64"/>
      <c r="T78" s="64"/>
      <c r="U78" s="64"/>
      <c r="V78" s="43"/>
      <c r="W78" s="43"/>
    </row>
    <row r="79">
      <c r="A79" s="64"/>
      <c r="B79" s="65" t="s">
        <v>100</v>
      </c>
      <c r="C79" s="66">
        <f t="shared" ref="C79:N79" si="37">C78*12/$R78</f>
        <v>1.154149291</v>
      </c>
      <c r="D79" s="66">
        <f t="shared" si="37"/>
        <v>1.294285139</v>
      </c>
      <c r="E79" s="66">
        <f t="shared" si="37"/>
        <v>0</v>
      </c>
      <c r="F79" s="66">
        <f t="shared" si="37"/>
        <v>0.853208157</v>
      </c>
      <c r="G79" s="66">
        <f t="shared" si="37"/>
        <v>0.8077032561</v>
      </c>
      <c r="H79" s="66">
        <f t="shared" si="37"/>
        <v>1.150008354</v>
      </c>
      <c r="I79" s="66">
        <f t="shared" si="37"/>
        <v>1.15680185</v>
      </c>
      <c r="J79" s="66">
        <f t="shared" si="37"/>
        <v>0.9586388112</v>
      </c>
      <c r="K79" s="66">
        <f t="shared" si="37"/>
        <v>1.428393848</v>
      </c>
      <c r="L79" s="66">
        <f t="shared" si="37"/>
        <v>1.203370272</v>
      </c>
      <c r="M79" s="66">
        <f t="shared" si="37"/>
        <v>1.136867186</v>
      </c>
      <c r="N79" s="66">
        <f t="shared" si="37"/>
        <v>0.8565738372</v>
      </c>
      <c r="O79" s="66">
        <f>IF(N79&gt;0, N79, M79)</f>
        <v>0.8565738372</v>
      </c>
      <c r="P79" s="43"/>
      <c r="Q79" s="68" t="s">
        <v>101</v>
      </c>
      <c r="R79" s="61">
        <f>SQRT(SUM((D80-D77)^2,(E80-E77)^2,(F80-F77)^2,(G80-G77)^2,(H80-H77)^2,(I80-I77)^2,(J80-J77)^2,(K80-K77)^2,(L80-L77)^2,(M80-M77)^2,(N80-N77)^2)/11)</f>
        <v>1991.556237</v>
      </c>
      <c r="S79" s="64"/>
      <c r="T79" s="64"/>
      <c r="U79" s="64"/>
      <c r="V79" s="43"/>
      <c r="W79" s="43"/>
    </row>
    <row r="80">
      <c r="A80" s="64"/>
      <c r="B80" s="65" t="s">
        <v>102</v>
      </c>
      <c r="C80" s="61">
        <f t="shared" ref="C80:N80" si="38">IF(C77&gt;0,$Q77*C$46+$R77,0)</f>
        <v>11470.36364</v>
      </c>
      <c r="D80" s="61">
        <f t="shared" si="38"/>
        <v>11491.16364</v>
      </c>
      <c r="E80" s="61">
        <f t="shared" si="38"/>
        <v>0</v>
      </c>
      <c r="F80" s="61">
        <f t="shared" si="38"/>
        <v>11532.76364</v>
      </c>
      <c r="G80" s="61">
        <f t="shared" si="38"/>
        <v>11553.56364</v>
      </c>
      <c r="H80" s="61">
        <f t="shared" si="38"/>
        <v>11574.36364</v>
      </c>
      <c r="I80" s="61">
        <f t="shared" si="38"/>
        <v>11595.16364</v>
      </c>
      <c r="J80" s="61">
        <f t="shared" si="38"/>
        <v>11615.96364</v>
      </c>
      <c r="K80" s="61">
        <f t="shared" si="38"/>
        <v>11636.76364</v>
      </c>
      <c r="L80" s="61">
        <f t="shared" si="38"/>
        <v>11657.56364</v>
      </c>
      <c r="M80" s="61">
        <f t="shared" si="38"/>
        <v>11678.36364</v>
      </c>
      <c r="N80" s="61">
        <f t="shared" si="38"/>
        <v>11699.16364</v>
      </c>
      <c r="O80" s="61">
        <f>$Q77*O$46+$R77</f>
        <v>11719.96364</v>
      </c>
      <c r="P80" s="43"/>
      <c r="Q80" s="68" t="s">
        <v>103</v>
      </c>
      <c r="R80" s="61">
        <f>100*R79/O81</f>
        <v>19.83816531</v>
      </c>
      <c r="S80" s="64"/>
      <c r="T80" s="64"/>
      <c r="U80" s="64"/>
      <c r="V80" s="43"/>
      <c r="W80" s="43"/>
    </row>
    <row r="81">
      <c r="A81" s="69"/>
      <c r="B81" s="65" t="s">
        <v>104</v>
      </c>
      <c r="C81" s="61">
        <f t="shared" ref="C81:O81" si="39">C80*C79</f>
        <v>13238.51206</v>
      </c>
      <c r="D81" s="61">
        <f t="shared" si="39"/>
        <v>14872.84232</v>
      </c>
      <c r="E81" s="61">
        <f t="shared" si="39"/>
        <v>0</v>
      </c>
      <c r="F81" s="61">
        <f t="shared" si="39"/>
        <v>9839.848007</v>
      </c>
      <c r="G81" s="61">
        <f t="shared" si="39"/>
        <v>9331.850969</v>
      </c>
      <c r="H81" s="61">
        <f t="shared" si="39"/>
        <v>13310.61487</v>
      </c>
      <c r="I81" s="61">
        <f t="shared" si="39"/>
        <v>13413.30674</v>
      </c>
      <c r="J81" s="61">
        <f t="shared" si="39"/>
        <v>11135.51357</v>
      </c>
      <c r="K81" s="61">
        <f t="shared" si="39"/>
        <v>16621.88158</v>
      </c>
      <c r="L81" s="61">
        <f t="shared" si="39"/>
        <v>14028.36552</v>
      </c>
      <c r="M81" s="61">
        <f t="shared" si="39"/>
        <v>13276.7484</v>
      </c>
      <c r="N81" s="61">
        <f t="shared" si="39"/>
        <v>10021.19749</v>
      </c>
      <c r="O81" s="61">
        <f t="shared" si="39"/>
        <v>10039.01422</v>
      </c>
      <c r="P81" s="43"/>
      <c r="Q81" s="53"/>
      <c r="R81" s="53"/>
      <c r="S81" s="69"/>
      <c r="T81" s="69"/>
      <c r="U81" s="69"/>
      <c r="V81" s="43"/>
      <c r="W81" s="43"/>
    </row>
    <row r="82">
      <c r="A82" s="58">
        <v>8.0</v>
      </c>
      <c r="B82" s="59" t="str">
        <f>VLOOKUP(A82, $A$3:$B$45, 2, FALSE)</f>
        <v>Mitsubishi</v>
      </c>
      <c r="C82" s="60">
        <f t="shared" ref="C82:N82" si="40">IF(AND($R10&lt;C10,C10&lt;$Q10),C10,0)</f>
        <v>10160</v>
      </c>
      <c r="D82" s="60">
        <f t="shared" si="40"/>
        <v>12526</v>
      </c>
      <c r="E82" s="61">
        <f t="shared" si="40"/>
        <v>0</v>
      </c>
      <c r="F82" s="60">
        <f t="shared" si="40"/>
        <v>7779</v>
      </c>
      <c r="G82" s="60">
        <f t="shared" si="40"/>
        <v>9464</v>
      </c>
      <c r="H82" s="60">
        <f t="shared" si="40"/>
        <v>13195</v>
      </c>
      <c r="I82" s="60">
        <f t="shared" si="40"/>
        <v>11664</v>
      </c>
      <c r="J82" s="60">
        <f t="shared" si="40"/>
        <v>9815</v>
      </c>
      <c r="K82" s="60">
        <f t="shared" si="40"/>
        <v>15251</v>
      </c>
      <c r="L82" s="60">
        <f t="shared" si="40"/>
        <v>9500</v>
      </c>
      <c r="M82" s="60">
        <f t="shared" si="40"/>
        <v>11655</v>
      </c>
      <c r="N82" s="60">
        <f t="shared" si="40"/>
        <v>10271</v>
      </c>
      <c r="O82" s="53"/>
      <c r="P82" s="43"/>
      <c r="Q82" s="61">
        <f>IFERROR(__xludf.DUMMYFUNCTION("LINEST(FILTER(C82:N82,C82:N82 &gt; 0))"),94.80000000000014)</f>
        <v>94.8</v>
      </c>
      <c r="R82" s="61">
        <f>IFERROR(__xludf.DUMMYFUNCTION("""COMPUTED_VALUE"""),10456.654545454545)</f>
        <v>10456.65455</v>
      </c>
      <c r="S82" s="62" t="str">
        <f>IFS(R85&lt;10,"X",R85&lt;25,"Y",R85&gt;=25,"Z")</f>
        <v>Y</v>
      </c>
      <c r="T82" s="63" t="str">
        <f>IFS(R85&lt;25,"X",R85&lt;50,"Y",R85&gt;=50,"Z")</f>
        <v>X</v>
      </c>
      <c r="U82" s="63" t="str">
        <f>IFS(R85&lt;17.5,"X",R85&lt;42.5,"Y",R85&gt;=42.5,"Z")</f>
        <v>X</v>
      </c>
      <c r="V82" s="43"/>
      <c r="W82" s="43"/>
    </row>
    <row r="83">
      <c r="A83" s="64"/>
      <c r="B83" s="65" t="s">
        <v>98</v>
      </c>
      <c r="C83" s="66">
        <f t="shared" ref="C83:N83" si="41">(C82/($Q82*C$46+$R82))</f>
        <v>0.9629004187</v>
      </c>
      <c r="D83" s="66">
        <f t="shared" si="41"/>
        <v>1.176564016</v>
      </c>
      <c r="E83" s="66">
        <f t="shared" si="41"/>
        <v>0</v>
      </c>
      <c r="F83" s="66">
        <f t="shared" si="41"/>
        <v>0.7178944648</v>
      </c>
      <c r="G83" s="66">
        <f t="shared" si="41"/>
        <v>0.8658218921</v>
      </c>
      <c r="H83" s="66">
        <f t="shared" si="41"/>
        <v>1.196776055</v>
      </c>
      <c r="I83" s="66">
        <f t="shared" si="41"/>
        <v>1.048896853</v>
      </c>
      <c r="J83" s="66">
        <f t="shared" si="41"/>
        <v>0.8751629303</v>
      </c>
      <c r="K83" s="66">
        <f t="shared" si="41"/>
        <v>1.348470039</v>
      </c>
      <c r="L83" s="66">
        <f t="shared" si="41"/>
        <v>0.8329932276</v>
      </c>
      <c r="M83" s="66">
        <f t="shared" si="41"/>
        <v>1.013526333</v>
      </c>
      <c r="N83" s="66">
        <f t="shared" si="41"/>
        <v>0.8858698039</v>
      </c>
      <c r="O83" s="67"/>
      <c r="P83" s="43"/>
      <c r="Q83" s="68" t="s">
        <v>99</v>
      </c>
      <c r="R83" s="66">
        <f>SUM(C83:N83)</f>
        <v>10.92487603</v>
      </c>
      <c r="S83" s="64"/>
      <c r="T83" s="64"/>
      <c r="U83" s="64"/>
      <c r="V83" s="43"/>
      <c r="W83" s="43"/>
    </row>
    <row r="84">
      <c r="A84" s="64"/>
      <c r="B84" s="65" t="s">
        <v>100</v>
      </c>
      <c r="C84" s="66">
        <f t="shared" ref="C84:N84" si="42">C83*12/$R83</f>
        <v>1.057660058</v>
      </c>
      <c r="D84" s="66">
        <f t="shared" si="42"/>
        <v>1.292350425</v>
      </c>
      <c r="E84" s="66">
        <f t="shared" si="42"/>
        <v>0</v>
      </c>
      <c r="F84" s="66">
        <f t="shared" si="42"/>
        <v>0.7885429136</v>
      </c>
      <c r="G84" s="66">
        <f t="shared" si="42"/>
        <v>0.9510279725</v>
      </c>
      <c r="H84" s="66">
        <f t="shared" si="42"/>
        <v>1.314551545</v>
      </c>
      <c r="I84" s="66">
        <f t="shared" si="42"/>
        <v>1.152119457</v>
      </c>
      <c r="J84" s="66">
        <f t="shared" si="42"/>
        <v>0.9612882683</v>
      </c>
      <c r="K84" s="66">
        <f t="shared" si="42"/>
        <v>1.481173829</v>
      </c>
      <c r="L84" s="66">
        <f t="shared" si="42"/>
        <v>0.9149686185</v>
      </c>
      <c r="M84" s="66">
        <f t="shared" si="42"/>
        <v>1.113268101</v>
      </c>
      <c r="N84" s="66">
        <f t="shared" si="42"/>
        <v>0.973048812</v>
      </c>
      <c r="O84" s="66">
        <f>IF(N84&gt;0, N84, M84)</f>
        <v>0.973048812</v>
      </c>
      <c r="P84" s="43"/>
      <c r="Q84" s="68" t="s">
        <v>101</v>
      </c>
      <c r="R84" s="61">
        <f>SQRT(SUM((D85-D82)^2,(E85-E82)^2,(F85-F82)^2,(G85-G82)^2,(H85-H82)^2,(I85-I82)^2,(J85-J82)^2,(K85-K82)^2,(L85-L82)^2,(M85-M82)^2,(N85-N82)^2)/11)</f>
        <v>1975.466596</v>
      </c>
      <c r="S84" s="64"/>
      <c r="T84" s="64"/>
      <c r="U84" s="64"/>
      <c r="V84" s="43"/>
      <c r="W84" s="43"/>
    </row>
    <row r="85">
      <c r="A85" s="64"/>
      <c r="B85" s="65" t="s">
        <v>102</v>
      </c>
      <c r="C85" s="61">
        <f t="shared" ref="C85:N85" si="43">IF(C82&gt;0,$Q82*C$46+$R82,0)</f>
        <v>10551.45455</v>
      </c>
      <c r="D85" s="61">
        <f t="shared" si="43"/>
        <v>10646.25455</v>
      </c>
      <c r="E85" s="61">
        <f t="shared" si="43"/>
        <v>0</v>
      </c>
      <c r="F85" s="61">
        <f t="shared" si="43"/>
        <v>10835.85455</v>
      </c>
      <c r="G85" s="61">
        <f t="shared" si="43"/>
        <v>10930.65455</v>
      </c>
      <c r="H85" s="61">
        <f t="shared" si="43"/>
        <v>11025.45455</v>
      </c>
      <c r="I85" s="61">
        <f t="shared" si="43"/>
        <v>11120.25455</v>
      </c>
      <c r="J85" s="61">
        <f t="shared" si="43"/>
        <v>11215.05455</v>
      </c>
      <c r="K85" s="61">
        <f t="shared" si="43"/>
        <v>11309.85455</v>
      </c>
      <c r="L85" s="61">
        <f t="shared" si="43"/>
        <v>11404.65455</v>
      </c>
      <c r="M85" s="61">
        <f t="shared" si="43"/>
        <v>11499.45455</v>
      </c>
      <c r="N85" s="61">
        <f t="shared" si="43"/>
        <v>11594.25455</v>
      </c>
      <c r="O85" s="61">
        <f>$Q82*O$46+$R82</f>
        <v>11689.05455</v>
      </c>
      <c r="P85" s="43"/>
      <c r="Q85" s="68" t="s">
        <v>103</v>
      </c>
      <c r="R85" s="61">
        <f>100*R84/O86</f>
        <v>17.36823467</v>
      </c>
      <c r="S85" s="64"/>
      <c r="T85" s="64"/>
      <c r="U85" s="64"/>
      <c r="V85" s="43"/>
      <c r="W85" s="43"/>
    </row>
    <row r="86">
      <c r="A86" s="69"/>
      <c r="B86" s="65" t="s">
        <v>104</v>
      </c>
      <c r="C86" s="61">
        <f t="shared" ref="C86:O86" si="44">C85*C84</f>
        <v>11159.85203</v>
      </c>
      <c r="D86" s="61">
        <f t="shared" si="44"/>
        <v>13758.69159</v>
      </c>
      <c r="E86" s="61">
        <f t="shared" si="44"/>
        <v>0</v>
      </c>
      <c r="F86" s="61">
        <f t="shared" si="44"/>
        <v>8544.536314</v>
      </c>
      <c r="G86" s="61">
        <f t="shared" si="44"/>
        <v>10395.35823</v>
      </c>
      <c r="H86" s="61">
        <f t="shared" si="44"/>
        <v>14493.5283</v>
      </c>
      <c r="I86" s="61">
        <f t="shared" si="44"/>
        <v>12811.86162</v>
      </c>
      <c r="J86" s="61">
        <f t="shared" si="44"/>
        <v>10780.90036</v>
      </c>
      <c r="K86" s="61">
        <f t="shared" si="44"/>
        <v>16751.86056</v>
      </c>
      <c r="L86" s="61">
        <f t="shared" si="44"/>
        <v>10434.90101</v>
      </c>
      <c r="M86" s="61">
        <f t="shared" si="44"/>
        <v>12801.97593</v>
      </c>
      <c r="N86" s="61">
        <f t="shared" si="44"/>
        <v>11281.77561</v>
      </c>
      <c r="O86" s="61">
        <f t="shared" si="44"/>
        <v>11374.02064</v>
      </c>
      <c r="P86" s="43"/>
      <c r="Q86" s="53"/>
      <c r="R86" s="53"/>
      <c r="S86" s="69"/>
      <c r="T86" s="69"/>
      <c r="U86" s="69"/>
      <c r="V86" s="43"/>
      <c r="W86" s="43"/>
    </row>
    <row r="87">
      <c r="A87" s="58">
        <v>9.0</v>
      </c>
      <c r="B87" s="59" t="str">
        <f>VLOOKUP(A87, $A$3:$B$45, 2, FALSE)</f>
        <v>Isuzu</v>
      </c>
      <c r="C87" s="60">
        <f t="shared" ref="C87:N87" si="45">IF(AND($R11&lt;C11,C11&lt;$Q11),C11,0)</f>
        <v>4719</v>
      </c>
      <c r="D87" s="60">
        <f t="shared" si="45"/>
        <v>5940</v>
      </c>
      <c r="E87" s="61">
        <f t="shared" si="45"/>
        <v>0</v>
      </c>
      <c r="F87" s="60">
        <f t="shared" si="45"/>
        <v>4008</v>
      </c>
      <c r="G87" s="60">
        <f t="shared" si="45"/>
        <v>4746</v>
      </c>
      <c r="H87" s="60">
        <f t="shared" si="45"/>
        <v>5673</v>
      </c>
      <c r="I87" s="60">
        <f t="shared" si="45"/>
        <v>6084</v>
      </c>
      <c r="J87" s="60">
        <f t="shared" si="45"/>
        <v>6003</v>
      </c>
      <c r="K87" s="60">
        <f t="shared" si="45"/>
        <v>9621</v>
      </c>
      <c r="L87" s="60">
        <f t="shared" si="45"/>
        <v>5222</v>
      </c>
      <c r="M87" s="60">
        <f t="shared" si="45"/>
        <v>6531</v>
      </c>
      <c r="N87" s="60">
        <f t="shared" si="45"/>
        <v>6421</v>
      </c>
      <c r="O87" s="53"/>
      <c r="P87" s="43"/>
      <c r="Q87" s="61">
        <f>IFERROR(__xludf.DUMMYFUNCTION("LINEST(FILTER(C87:N87,C87:N87 &gt; 0))"),223.6)</f>
        <v>223.6</v>
      </c>
      <c r="R87" s="61">
        <f>IFERROR(__xludf.DUMMYFUNCTION("""COMPUTED_VALUE"""),4564.581818181819)</f>
        <v>4564.581818</v>
      </c>
      <c r="S87" s="62" t="str">
        <f>IFS(R90&lt;10,"X",R90&lt;25,"Y",R90&gt;=25,"Z")</f>
        <v>Y</v>
      </c>
      <c r="T87" s="63" t="str">
        <f>IFS(R90&lt;25,"X",R90&lt;50,"Y",R90&gt;=50,"Z")</f>
        <v>X</v>
      </c>
      <c r="U87" s="63" t="str">
        <f>IFS(R90&lt;17.5,"X",R90&lt;42.5,"Y",R90&gt;=42.5,"Z")</f>
        <v>X</v>
      </c>
      <c r="V87" s="43"/>
      <c r="W87" s="43"/>
    </row>
    <row r="88">
      <c r="A88" s="64"/>
      <c r="B88" s="65" t="s">
        <v>98</v>
      </c>
      <c r="C88" s="66">
        <f t="shared" ref="C88:N88" si="46">(C87/($Q87*C$46+$R87))</f>
        <v>0.9855515474</v>
      </c>
      <c r="D88" s="66">
        <f t="shared" si="46"/>
        <v>1.185207221</v>
      </c>
      <c r="E88" s="66">
        <f t="shared" si="46"/>
        <v>0</v>
      </c>
      <c r="F88" s="66">
        <f t="shared" si="46"/>
        <v>0.7342028484</v>
      </c>
      <c r="G88" s="66">
        <f t="shared" si="46"/>
        <v>0.8351837513</v>
      </c>
      <c r="H88" s="66">
        <f t="shared" si="46"/>
        <v>0.9605190248</v>
      </c>
      <c r="I88" s="66">
        <f t="shared" si="46"/>
        <v>0.9925312483</v>
      </c>
      <c r="J88" s="66">
        <f t="shared" si="46"/>
        <v>0.9448511315</v>
      </c>
      <c r="K88" s="66">
        <f t="shared" si="46"/>
        <v>1.46282904</v>
      </c>
      <c r="L88" s="66">
        <f t="shared" si="46"/>
        <v>0.7678754759</v>
      </c>
      <c r="M88" s="66">
        <f t="shared" si="46"/>
        <v>0.9297880051</v>
      </c>
      <c r="N88" s="66">
        <f t="shared" si="46"/>
        <v>0.885926227</v>
      </c>
      <c r="O88" s="67"/>
      <c r="P88" s="43"/>
      <c r="Q88" s="68" t="s">
        <v>99</v>
      </c>
      <c r="R88" s="66">
        <f>SUM(C88:N88)</f>
        <v>10.68446552</v>
      </c>
      <c r="S88" s="64"/>
      <c r="T88" s="64"/>
      <c r="U88" s="64"/>
      <c r="V88" s="43"/>
      <c r="W88" s="43"/>
    </row>
    <row r="89">
      <c r="A89" s="64"/>
      <c r="B89" s="65" t="s">
        <v>100</v>
      </c>
      <c r="C89" s="66">
        <f t="shared" ref="C89:N89" si="47">C88*12/$R88</f>
        <v>1.106898473</v>
      </c>
      <c r="D89" s="66">
        <f t="shared" si="47"/>
        <v>1.331136932</v>
      </c>
      <c r="E89" s="66">
        <f t="shared" si="47"/>
        <v>0</v>
      </c>
      <c r="F89" s="66">
        <f t="shared" si="47"/>
        <v>0.824602238</v>
      </c>
      <c r="G89" s="66">
        <f t="shared" si="47"/>
        <v>0.938016506</v>
      </c>
      <c r="H89" s="66">
        <f t="shared" si="47"/>
        <v>1.078783798</v>
      </c>
      <c r="I89" s="66">
        <f t="shared" si="47"/>
        <v>1.114737556</v>
      </c>
      <c r="J89" s="66">
        <f t="shared" si="47"/>
        <v>1.061186782</v>
      </c>
      <c r="K89" s="66">
        <f t="shared" si="47"/>
        <v>1.642941189</v>
      </c>
      <c r="L89" s="66">
        <f t="shared" si="47"/>
        <v>0.8624208383</v>
      </c>
      <c r="M89" s="66">
        <f t="shared" si="47"/>
        <v>1.044268994</v>
      </c>
      <c r="N89" s="66">
        <f t="shared" si="47"/>
        <v>0.9950066948</v>
      </c>
      <c r="O89" s="66">
        <f>IF(N89&gt;0, N89, M89)</f>
        <v>0.9950066948</v>
      </c>
      <c r="P89" s="43"/>
      <c r="Q89" s="68" t="s">
        <v>101</v>
      </c>
      <c r="R89" s="61">
        <f>SQRT(SUM((D90-D87)^2,(E90-E87)^2,(F90-F87)^2,(G90-G87)^2,(H90-H87)^2,(I90-I87)^2,(J90-J87)^2,(K90-K87)^2,(L90-L87)^2,(M90-M87)^2,(N90-N87)^2)/11)</f>
        <v>1232.444858</v>
      </c>
      <c r="S89" s="64"/>
      <c r="T89" s="64"/>
      <c r="U89" s="64"/>
      <c r="V89" s="43"/>
      <c r="W89" s="43"/>
    </row>
    <row r="90">
      <c r="A90" s="64"/>
      <c r="B90" s="65" t="s">
        <v>102</v>
      </c>
      <c r="C90" s="61">
        <f t="shared" ref="C90:N90" si="48">IF(C87&gt;0,$Q87*C$46+$R87,0)</f>
        <v>4788.181818</v>
      </c>
      <c r="D90" s="61">
        <f t="shared" si="48"/>
        <v>5011.781818</v>
      </c>
      <c r="E90" s="61">
        <f t="shared" si="48"/>
        <v>0</v>
      </c>
      <c r="F90" s="61">
        <f t="shared" si="48"/>
        <v>5458.981818</v>
      </c>
      <c r="G90" s="61">
        <f t="shared" si="48"/>
        <v>5682.581818</v>
      </c>
      <c r="H90" s="61">
        <f t="shared" si="48"/>
        <v>5906.181818</v>
      </c>
      <c r="I90" s="61">
        <f t="shared" si="48"/>
        <v>6129.781818</v>
      </c>
      <c r="J90" s="61">
        <f t="shared" si="48"/>
        <v>6353.381818</v>
      </c>
      <c r="K90" s="61">
        <f t="shared" si="48"/>
        <v>6576.981818</v>
      </c>
      <c r="L90" s="61">
        <f t="shared" si="48"/>
        <v>6800.581818</v>
      </c>
      <c r="M90" s="61">
        <f t="shared" si="48"/>
        <v>7024.181818</v>
      </c>
      <c r="N90" s="61">
        <f t="shared" si="48"/>
        <v>7247.781818</v>
      </c>
      <c r="O90" s="61">
        <f>$Q87*O$46+$R87</f>
        <v>7471.381818</v>
      </c>
      <c r="P90" s="43"/>
      <c r="Q90" s="68" t="s">
        <v>103</v>
      </c>
      <c r="R90" s="61">
        <f>100*R89/O91</f>
        <v>16.57832172</v>
      </c>
      <c r="S90" s="64"/>
      <c r="T90" s="64"/>
      <c r="U90" s="64"/>
      <c r="V90" s="43"/>
      <c r="W90" s="43"/>
    </row>
    <row r="91">
      <c r="A91" s="69"/>
      <c r="B91" s="65" t="s">
        <v>104</v>
      </c>
      <c r="C91" s="61">
        <f t="shared" ref="C91:O91" si="49">C90*C89</f>
        <v>5300.031143</v>
      </c>
      <c r="D91" s="61">
        <f t="shared" si="49"/>
        <v>6671.367872</v>
      </c>
      <c r="E91" s="61">
        <f t="shared" si="49"/>
        <v>0</v>
      </c>
      <c r="F91" s="61">
        <f t="shared" si="49"/>
        <v>4501.488625</v>
      </c>
      <c r="G91" s="61">
        <f t="shared" si="49"/>
        <v>5330.355542</v>
      </c>
      <c r="H91" s="61">
        <f t="shared" si="49"/>
        <v>6371.493255</v>
      </c>
      <c r="I91" s="61">
        <f t="shared" si="49"/>
        <v>6833.098002</v>
      </c>
      <c r="J91" s="61">
        <f t="shared" si="49"/>
        <v>6742.124804</v>
      </c>
      <c r="K91" s="61">
        <f t="shared" si="49"/>
        <v>10805.59433</v>
      </c>
      <c r="L91" s="61">
        <f t="shared" si="49"/>
        <v>5864.963472</v>
      </c>
      <c r="M91" s="61">
        <f t="shared" si="49"/>
        <v>7335.135281</v>
      </c>
      <c r="N91" s="61">
        <f t="shared" si="49"/>
        <v>7211.591432</v>
      </c>
      <c r="O91" s="61">
        <f t="shared" si="49"/>
        <v>7434.074929</v>
      </c>
      <c r="P91" s="43"/>
      <c r="Q91" s="53"/>
      <c r="R91" s="53"/>
      <c r="S91" s="69"/>
      <c r="T91" s="69"/>
      <c r="U91" s="69"/>
      <c r="V91" s="43"/>
      <c r="W91" s="43"/>
    </row>
    <row r="92">
      <c r="A92" s="70">
        <v>10.0</v>
      </c>
      <c r="B92" s="59" t="str">
        <f>VLOOKUP(A92, $A$3:$B$45, 2, FALSE)</f>
        <v>Hino</v>
      </c>
      <c r="C92" s="60">
        <f t="shared" ref="C92:N92" si="50">IF(AND($R12&lt;C12,C12&lt;$Q12),C12,0)</f>
        <v>4448</v>
      </c>
      <c r="D92" s="60">
        <f t="shared" si="50"/>
        <v>5373</v>
      </c>
      <c r="E92" s="61">
        <f t="shared" si="50"/>
        <v>0</v>
      </c>
      <c r="F92" s="60">
        <f t="shared" si="50"/>
        <v>4156</v>
      </c>
      <c r="G92" s="60">
        <f t="shared" si="50"/>
        <v>4716</v>
      </c>
      <c r="H92" s="60">
        <f t="shared" si="50"/>
        <v>5905</v>
      </c>
      <c r="I92" s="60">
        <f t="shared" si="50"/>
        <v>5017</v>
      </c>
      <c r="J92" s="60">
        <f t="shared" si="50"/>
        <v>4908</v>
      </c>
      <c r="K92" s="60">
        <f t="shared" si="50"/>
        <v>7532</v>
      </c>
      <c r="L92" s="60">
        <f t="shared" si="50"/>
        <v>5262</v>
      </c>
      <c r="M92" s="60">
        <f t="shared" si="50"/>
        <v>6233</v>
      </c>
      <c r="N92" s="60">
        <f t="shared" si="50"/>
        <v>5837</v>
      </c>
      <c r="O92" s="53"/>
      <c r="P92" s="43"/>
      <c r="Q92" s="61">
        <f>IFERROR(__xludf.DUMMYFUNCTION("LINEST(FILTER(C92:N92,C92:N92 &gt; 0))"),166.70909090909095)</f>
        <v>166.7090909</v>
      </c>
      <c r="R92" s="61">
        <f>IFERROR(__xludf.DUMMYFUNCTION("""COMPUTED_VALUE"""),4398.563636363636)</f>
        <v>4398.563636</v>
      </c>
      <c r="S92" s="62" t="str">
        <f>IFS(R95&lt;10,"X",R95&lt;25,"Y",R95&gt;=25,"Z")</f>
        <v>Y</v>
      </c>
      <c r="T92" s="63" t="str">
        <f>IFS(R95&lt;25,"X",R95&lt;50,"Y",R95&gt;=50,"Z")</f>
        <v>X</v>
      </c>
      <c r="U92" s="63" t="str">
        <f>IFS(R95&lt;17.5,"X",R95&lt;42.5,"Y",R95&gt;=42.5,"Z")</f>
        <v>X</v>
      </c>
      <c r="V92" s="43"/>
      <c r="W92" s="43"/>
    </row>
    <row r="93">
      <c r="A93" s="64"/>
      <c r="B93" s="65" t="s">
        <v>98</v>
      </c>
      <c r="C93" s="66">
        <f t="shared" ref="C93:N93" si="51">(C92/($Q92*C$46+$R92))</f>
        <v>0.9743119997</v>
      </c>
      <c r="D93" s="66">
        <f t="shared" si="51"/>
        <v>1.135465056</v>
      </c>
      <c r="E93" s="66">
        <f t="shared" si="51"/>
        <v>0</v>
      </c>
      <c r="F93" s="66">
        <f t="shared" si="51"/>
        <v>0.820468275</v>
      </c>
      <c r="G93" s="66">
        <f t="shared" si="51"/>
        <v>0.9013573528</v>
      </c>
      <c r="H93" s="66">
        <f t="shared" si="51"/>
        <v>1.093757893</v>
      </c>
      <c r="I93" s="66">
        <f t="shared" si="51"/>
        <v>0.9014419936</v>
      </c>
      <c r="J93" s="66">
        <f t="shared" si="51"/>
        <v>0.856210332</v>
      </c>
      <c r="K93" s="66">
        <f t="shared" si="51"/>
        <v>1.276838387</v>
      </c>
      <c r="L93" s="66">
        <f t="shared" si="51"/>
        <v>0.8675073664</v>
      </c>
      <c r="M93" s="66">
        <f t="shared" si="51"/>
        <v>1.000102106</v>
      </c>
      <c r="N93" s="66">
        <f t="shared" si="51"/>
        <v>0.91216341</v>
      </c>
      <c r="O93" s="67"/>
      <c r="P93" s="43"/>
      <c r="Q93" s="68" t="s">
        <v>99</v>
      </c>
      <c r="R93" s="66">
        <f>SUM(C93:N93)</f>
        <v>10.73962417</v>
      </c>
      <c r="S93" s="64"/>
      <c r="T93" s="64"/>
      <c r="U93" s="64"/>
      <c r="V93" s="43"/>
      <c r="W93" s="43"/>
    </row>
    <row r="94">
      <c r="A94" s="64"/>
      <c r="B94" s="65" t="s">
        <v>100</v>
      </c>
      <c r="C94" s="66">
        <f t="shared" ref="C94:N94" si="52">C93*12/$R93</f>
        <v>1.088654855</v>
      </c>
      <c r="D94" s="66">
        <f t="shared" si="52"/>
        <v>1.268720437</v>
      </c>
      <c r="E94" s="66">
        <f t="shared" si="52"/>
        <v>0</v>
      </c>
      <c r="F94" s="66">
        <f t="shared" si="52"/>
        <v>0.9167564099</v>
      </c>
      <c r="G94" s="66">
        <f t="shared" si="52"/>
        <v>1.007138431</v>
      </c>
      <c r="H94" s="66">
        <f t="shared" si="52"/>
        <v>1.222118624</v>
      </c>
      <c r="I94" s="66">
        <f t="shared" si="52"/>
        <v>1.007233005</v>
      </c>
      <c r="J94" s="66">
        <f t="shared" si="52"/>
        <v>0.9566930667</v>
      </c>
      <c r="K94" s="66">
        <f t="shared" si="52"/>
        <v>1.426684994</v>
      </c>
      <c r="L94" s="66">
        <f t="shared" si="52"/>
        <v>0.9693158931</v>
      </c>
      <c r="M94" s="66">
        <f t="shared" si="52"/>
        <v>1.117471625</v>
      </c>
      <c r="N94" s="66">
        <f t="shared" si="52"/>
        <v>1.01921266</v>
      </c>
      <c r="O94" s="66">
        <f>IF(N94&gt;0, N94, M94)</f>
        <v>1.01921266</v>
      </c>
      <c r="P94" s="43"/>
      <c r="Q94" s="68" t="s">
        <v>101</v>
      </c>
      <c r="R94" s="61">
        <f>SQRT(SUM((D95-D92)^2,(E95-E92)^2,(F95-F92)^2,(G95-G92)^2,(H95-H92)^2,(I95-I92)^2,(J95-J92)^2,(K95-K92)^2,(L95-L92)^2,(M95-M92)^2,(N95-N92)^2)/11)</f>
        <v>760.9445674</v>
      </c>
      <c r="S94" s="64"/>
      <c r="T94" s="64"/>
      <c r="U94" s="64"/>
      <c r="V94" s="43"/>
      <c r="W94" s="43"/>
    </row>
    <row r="95">
      <c r="A95" s="64"/>
      <c r="B95" s="65" t="s">
        <v>102</v>
      </c>
      <c r="C95" s="61">
        <f t="shared" ref="C95:N95" si="53">IF(C92&gt;0,$Q92*C$46+$R92,0)</f>
        <v>4565.272727</v>
      </c>
      <c r="D95" s="61">
        <f t="shared" si="53"/>
        <v>4731.981818</v>
      </c>
      <c r="E95" s="61">
        <f t="shared" si="53"/>
        <v>0</v>
      </c>
      <c r="F95" s="61">
        <f t="shared" si="53"/>
        <v>5065.4</v>
      </c>
      <c r="G95" s="61">
        <f t="shared" si="53"/>
        <v>5232.109091</v>
      </c>
      <c r="H95" s="61">
        <f t="shared" si="53"/>
        <v>5398.818182</v>
      </c>
      <c r="I95" s="61">
        <f t="shared" si="53"/>
        <v>5565.527273</v>
      </c>
      <c r="J95" s="61">
        <f t="shared" si="53"/>
        <v>5732.236364</v>
      </c>
      <c r="K95" s="61">
        <f t="shared" si="53"/>
        <v>5898.945455</v>
      </c>
      <c r="L95" s="61">
        <f t="shared" si="53"/>
        <v>6065.654545</v>
      </c>
      <c r="M95" s="61">
        <f t="shared" si="53"/>
        <v>6232.363636</v>
      </c>
      <c r="N95" s="61">
        <f t="shared" si="53"/>
        <v>6399.072727</v>
      </c>
      <c r="O95" s="61">
        <f>$Q92*O$46+$R92</f>
        <v>6565.781818</v>
      </c>
      <c r="P95" s="43"/>
      <c r="Q95" s="68" t="s">
        <v>103</v>
      </c>
      <c r="R95" s="61">
        <f>100*R94/O96</f>
        <v>11.37108129</v>
      </c>
      <c r="S95" s="64"/>
      <c r="T95" s="64"/>
      <c r="U95" s="64"/>
      <c r="V95" s="43"/>
      <c r="W95" s="43"/>
    </row>
    <row r="96">
      <c r="A96" s="69"/>
      <c r="B96" s="65" t="s">
        <v>104</v>
      </c>
      <c r="C96" s="61">
        <f t="shared" ref="C96:O96" si="54">C95*C94</f>
        <v>4970.006319</v>
      </c>
      <c r="D96" s="61">
        <f t="shared" si="54"/>
        <v>6003.56204</v>
      </c>
      <c r="E96" s="61">
        <f t="shared" si="54"/>
        <v>0</v>
      </c>
      <c r="F96" s="61">
        <f t="shared" si="54"/>
        <v>4643.737919</v>
      </c>
      <c r="G96" s="61">
        <f t="shared" si="54"/>
        <v>5269.458139</v>
      </c>
      <c r="H96" s="61">
        <f t="shared" si="54"/>
        <v>6597.996249</v>
      </c>
      <c r="I96" s="61">
        <f t="shared" si="54"/>
        <v>5605.782757</v>
      </c>
      <c r="J96" s="61">
        <f t="shared" si="54"/>
        <v>5483.990786</v>
      </c>
      <c r="K96" s="61">
        <f t="shared" si="54"/>
        <v>8415.936959</v>
      </c>
      <c r="L96" s="61">
        <f t="shared" si="54"/>
        <v>5879.535353</v>
      </c>
      <c r="M96" s="61">
        <f t="shared" si="54"/>
        <v>6964.48952</v>
      </c>
      <c r="N96" s="61">
        <f t="shared" si="54"/>
        <v>6522.015936</v>
      </c>
      <c r="O96" s="61">
        <f t="shared" si="54"/>
        <v>6691.927952</v>
      </c>
      <c r="P96" s="43"/>
      <c r="Q96" s="53"/>
      <c r="R96" s="53"/>
      <c r="S96" s="69"/>
      <c r="T96" s="69"/>
      <c r="U96" s="69"/>
      <c r="V96" s="43"/>
      <c r="W96" s="43"/>
    </row>
    <row r="97">
      <c r="A97" s="70">
        <v>11.0</v>
      </c>
      <c r="B97" s="59" t="str">
        <f>VLOOKUP(A97, $A$3:$B$45, 2, FALSE)</f>
        <v>Mercedes-Benz</v>
      </c>
      <c r="C97" s="60">
        <f t="shared" ref="C97:N97" si="55">IF(AND($R13&lt;C13,C13&lt;$Q13),C13,0)</f>
        <v>4267</v>
      </c>
      <c r="D97" s="60">
        <f t="shared" si="55"/>
        <v>5070</v>
      </c>
      <c r="E97" s="60">
        <f t="shared" si="55"/>
        <v>8655</v>
      </c>
      <c r="F97" s="60">
        <f t="shared" si="55"/>
        <v>3614</v>
      </c>
      <c r="G97" s="60">
        <f t="shared" si="55"/>
        <v>4772</v>
      </c>
      <c r="H97" s="60">
        <f t="shared" si="55"/>
        <v>6127</v>
      </c>
      <c r="I97" s="60">
        <f t="shared" si="55"/>
        <v>4672</v>
      </c>
      <c r="J97" s="60">
        <f t="shared" si="55"/>
        <v>4744</v>
      </c>
      <c r="K97" s="60">
        <f t="shared" si="55"/>
        <v>7016</v>
      </c>
      <c r="L97" s="60">
        <f t="shared" si="55"/>
        <v>4637</v>
      </c>
      <c r="M97" s="60">
        <f t="shared" si="55"/>
        <v>5453</v>
      </c>
      <c r="N97" s="60">
        <f t="shared" si="55"/>
        <v>8533</v>
      </c>
      <c r="O97" s="53"/>
      <c r="P97" s="43"/>
      <c r="Q97" s="61">
        <f>IFERROR(__xludf.DUMMYFUNCTION("LINEST(FILTER(C97:N97,C97:N97 &gt; 0))"),131.88111888111877)</f>
        <v>131.8811189</v>
      </c>
      <c r="R97" s="61">
        <f>IFERROR(__xludf.DUMMYFUNCTION("""COMPUTED_VALUE"""),4772.772727272729)</f>
        <v>4772.772727</v>
      </c>
      <c r="S97" s="62" t="str">
        <f>IFS(R100&lt;10,"X",R100&lt;25,"Y",R100&gt;=25,"Z")</f>
        <v>Y</v>
      </c>
      <c r="T97" s="63" t="str">
        <f>IFS(R100&lt;25,"X",R100&lt;50,"Y",R100&gt;=50,"Z")</f>
        <v>X</v>
      </c>
      <c r="U97" s="63" t="str">
        <f>IFS(R100&lt;17.5,"X",R100&lt;42.5,"Y",R100&gt;=42.5,"Z")</f>
        <v>Y</v>
      </c>
      <c r="V97" s="43"/>
      <c r="W97" s="43"/>
    </row>
    <row r="98">
      <c r="A98" s="64"/>
      <c r="B98" s="65" t="s">
        <v>98</v>
      </c>
      <c r="C98" s="66">
        <f t="shared" ref="C98:N98" si="56">(C97/($Q97*C$46+$R97))</f>
        <v>0.8699900409</v>
      </c>
      <c r="D98" s="66">
        <f t="shared" si="56"/>
        <v>1.006644456</v>
      </c>
      <c r="E98" s="66">
        <f t="shared" si="56"/>
        <v>1.674594278</v>
      </c>
      <c r="F98" s="66">
        <f t="shared" si="56"/>
        <v>0.6818485571</v>
      </c>
      <c r="G98" s="66">
        <f t="shared" si="56"/>
        <v>0.8784689525</v>
      </c>
      <c r="H98" s="66">
        <f t="shared" si="56"/>
        <v>1.101174433</v>
      </c>
      <c r="I98" s="66">
        <f t="shared" si="56"/>
        <v>0.8202332786</v>
      </c>
      <c r="J98" s="66">
        <f t="shared" si="56"/>
        <v>0.8140262798</v>
      </c>
      <c r="K98" s="66">
        <f t="shared" si="56"/>
        <v>1.177239913</v>
      </c>
      <c r="L98" s="66">
        <f t="shared" si="56"/>
        <v>0.7612141709</v>
      </c>
      <c r="M98" s="66">
        <f t="shared" si="56"/>
        <v>0.8761999898</v>
      </c>
      <c r="N98" s="66">
        <f t="shared" si="56"/>
        <v>1.342649132</v>
      </c>
      <c r="O98" s="67"/>
      <c r="P98" s="43"/>
      <c r="Q98" s="68" t="s">
        <v>99</v>
      </c>
      <c r="R98" s="66">
        <f>SUM(C98:N98)</f>
        <v>12.00428348</v>
      </c>
      <c r="S98" s="64"/>
      <c r="T98" s="64"/>
      <c r="U98" s="64"/>
      <c r="V98" s="43"/>
      <c r="W98" s="43"/>
    </row>
    <row r="99">
      <c r="A99" s="64"/>
      <c r="B99" s="65" t="s">
        <v>100</v>
      </c>
      <c r="C99" s="66">
        <f t="shared" ref="C99:N99" si="57">C98*12/$R98</f>
        <v>0.8696796028</v>
      </c>
      <c r="D99" s="66">
        <f t="shared" si="57"/>
        <v>1.006285256</v>
      </c>
      <c r="E99" s="66">
        <f t="shared" si="57"/>
        <v>1.673996733</v>
      </c>
      <c r="F99" s="66">
        <f t="shared" si="57"/>
        <v>0.6816052535</v>
      </c>
      <c r="G99" s="66">
        <f t="shared" si="57"/>
        <v>0.8781554889</v>
      </c>
      <c r="H99" s="66">
        <f t="shared" si="57"/>
        <v>1.100781502</v>
      </c>
      <c r="I99" s="66">
        <f t="shared" si="57"/>
        <v>0.8199405953</v>
      </c>
      <c r="J99" s="66">
        <f t="shared" si="57"/>
        <v>0.8137358112</v>
      </c>
      <c r="K99" s="66">
        <f t="shared" si="57"/>
        <v>1.176819839</v>
      </c>
      <c r="L99" s="66">
        <f t="shared" si="57"/>
        <v>0.7609425473</v>
      </c>
      <c r="M99" s="66">
        <f t="shared" si="57"/>
        <v>0.8758873358</v>
      </c>
      <c r="N99" s="66">
        <f t="shared" si="57"/>
        <v>1.342170036</v>
      </c>
      <c r="O99" s="66">
        <f>IF(N99&gt;0, N99, M99)</f>
        <v>1.342170036</v>
      </c>
      <c r="P99" s="43"/>
      <c r="Q99" s="68" t="s">
        <v>101</v>
      </c>
      <c r="R99" s="61">
        <f>SQRT(SUM((D100-D97)^2,(E100-E97)^2,(F100-F97)^2,(G100-G97)^2,(H100-H97)^2,(I100-I97)^2,(J100-J97)^2,(K100-K97)^2,(L100-L97)^2,(M100-M97)^2,(N100-N97)^2)/11)</f>
        <v>1553.419031</v>
      </c>
      <c r="S99" s="64"/>
      <c r="T99" s="64"/>
      <c r="U99" s="64"/>
      <c r="V99" s="43"/>
      <c r="W99" s="43"/>
    </row>
    <row r="100">
      <c r="A100" s="64"/>
      <c r="B100" s="65" t="s">
        <v>102</v>
      </c>
      <c r="C100" s="61">
        <f t="shared" ref="C100:N100" si="58">IF(C97&gt;0,$Q97*C$46+$R97,0)</f>
        <v>4904.653846</v>
      </c>
      <c r="D100" s="61">
        <f t="shared" si="58"/>
        <v>5036.534965</v>
      </c>
      <c r="E100" s="61">
        <f t="shared" si="58"/>
        <v>5168.416084</v>
      </c>
      <c r="F100" s="61">
        <f t="shared" si="58"/>
        <v>5300.297203</v>
      </c>
      <c r="G100" s="61">
        <f t="shared" si="58"/>
        <v>5432.178322</v>
      </c>
      <c r="H100" s="61">
        <f t="shared" si="58"/>
        <v>5564.059441</v>
      </c>
      <c r="I100" s="61">
        <f t="shared" si="58"/>
        <v>5695.940559</v>
      </c>
      <c r="J100" s="61">
        <f t="shared" si="58"/>
        <v>5827.821678</v>
      </c>
      <c r="K100" s="61">
        <f t="shared" si="58"/>
        <v>5959.702797</v>
      </c>
      <c r="L100" s="61">
        <f t="shared" si="58"/>
        <v>6091.583916</v>
      </c>
      <c r="M100" s="61">
        <f t="shared" si="58"/>
        <v>6223.465035</v>
      </c>
      <c r="N100" s="61">
        <f t="shared" si="58"/>
        <v>6355.346154</v>
      </c>
      <c r="O100" s="61">
        <f>$Q97*O$46+$R97</f>
        <v>6487.227273</v>
      </c>
      <c r="P100" s="43"/>
      <c r="Q100" s="68" t="s">
        <v>103</v>
      </c>
      <c r="R100" s="61">
        <f>100*R99/O101</f>
        <v>17.84111405</v>
      </c>
      <c r="S100" s="64"/>
      <c r="T100" s="64"/>
      <c r="U100" s="64"/>
      <c r="V100" s="43"/>
      <c r="W100" s="43"/>
    </row>
    <row r="101">
      <c r="A101" s="69"/>
      <c r="B101" s="65" t="s">
        <v>104</v>
      </c>
      <c r="C101" s="61">
        <f t="shared" ref="C101:O101" si="59">C100*C99</f>
        <v>4265.477409</v>
      </c>
      <c r="D101" s="61">
        <f t="shared" si="59"/>
        <v>5068.190875</v>
      </c>
      <c r="E101" s="61">
        <f t="shared" si="59"/>
        <v>8651.911641</v>
      </c>
      <c r="F101" s="61">
        <f t="shared" si="59"/>
        <v>3612.710418</v>
      </c>
      <c r="G101" s="61">
        <f t="shared" si="59"/>
        <v>4770.29721</v>
      </c>
      <c r="H101" s="61">
        <f t="shared" si="59"/>
        <v>6124.813706</v>
      </c>
      <c r="I101" s="61">
        <f t="shared" si="59"/>
        <v>4670.332893</v>
      </c>
      <c r="J101" s="61">
        <f t="shared" si="59"/>
        <v>4742.307201</v>
      </c>
      <c r="K101" s="61">
        <f t="shared" si="59"/>
        <v>7013.496485</v>
      </c>
      <c r="L101" s="61">
        <f t="shared" si="59"/>
        <v>4635.345382</v>
      </c>
      <c r="M101" s="61">
        <f t="shared" si="59"/>
        <v>5451.054209</v>
      </c>
      <c r="N101" s="61">
        <f t="shared" si="59"/>
        <v>8529.955175</v>
      </c>
      <c r="O101" s="61">
        <f t="shared" si="59"/>
        <v>8706.962061</v>
      </c>
      <c r="P101" s="43"/>
      <c r="Q101" s="53"/>
      <c r="R101" s="53"/>
      <c r="S101" s="69"/>
      <c r="T101" s="69"/>
      <c r="U101" s="69"/>
      <c r="V101" s="43"/>
      <c r="W101" s="43"/>
    </row>
    <row r="102">
      <c r="A102" s="70">
        <v>12.0</v>
      </c>
      <c r="B102" s="59" t="str">
        <f>VLOOKUP(A102, $A$3:$B$45, 2, FALSE)</f>
        <v>Lexus</v>
      </c>
      <c r="C102" s="60">
        <f t="shared" ref="C102:N102" si="60">IF(AND($R14&lt;C14,C14&lt;$Q14),C14,0)</f>
        <v>6448</v>
      </c>
      <c r="D102" s="60">
        <f t="shared" si="60"/>
        <v>6171</v>
      </c>
      <c r="E102" s="61">
        <f t="shared" si="60"/>
        <v>0</v>
      </c>
      <c r="F102" s="60">
        <f t="shared" si="60"/>
        <v>4632</v>
      </c>
      <c r="G102" s="60">
        <f t="shared" si="60"/>
        <v>4116</v>
      </c>
      <c r="H102" s="60">
        <f t="shared" si="60"/>
        <v>3776</v>
      </c>
      <c r="I102" s="60">
        <f t="shared" si="60"/>
        <v>3681</v>
      </c>
      <c r="J102" s="60">
        <f t="shared" si="60"/>
        <v>3019</v>
      </c>
      <c r="K102" s="60">
        <f t="shared" si="60"/>
        <v>3550</v>
      </c>
      <c r="L102" s="60">
        <f t="shared" si="60"/>
        <v>3770</v>
      </c>
      <c r="M102" s="60">
        <f t="shared" si="60"/>
        <v>4136</v>
      </c>
      <c r="N102" s="60">
        <f t="shared" si="60"/>
        <v>4028</v>
      </c>
      <c r="O102" s="53"/>
      <c r="P102" s="43"/>
      <c r="Q102" s="61">
        <f>IFERROR(__xludf.DUMMYFUNCTION("LINEST(FILTER(C102:N102,C102:N102 &gt; 0))"),-224.68181818181816)</f>
        <v>-224.6818182</v>
      </c>
      <c r="R102" s="61">
        <f>IFERROR(__xludf.DUMMYFUNCTION("""COMPUTED_VALUE"""),5650.545454545455)</f>
        <v>5650.545455</v>
      </c>
      <c r="S102" s="62" t="str">
        <f>IFS(R105&lt;10,"X",R105&lt;25,"Y",R105&gt;=25,"Z")</f>
        <v>Y</v>
      </c>
      <c r="T102" s="63" t="str">
        <f>IFS(R105&lt;25,"X",R105&lt;50,"Y",R105&gt;=50,"Z")</f>
        <v>X</v>
      </c>
      <c r="U102" s="63" t="str">
        <f>IFS(R105&lt;17.5,"X",R105&lt;42.5,"Y",R105&gt;=42.5,"Z")</f>
        <v>X</v>
      </c>
      <c r="V102" s="43"/>
      <c r="W102" s="43"/>
    </row>
    <row r="103">
      <c r="A103" s="64"/>
      <c r="B103" s="65" t="s">
        <v>98</v>
      </c>
      <c r="C103" s="66">
        <f t="shared" ref="C103:N103" si="61">(C102/($Q102*C$46+$R102))</f>
        <v>1.188382243</v>
      </c>
      <c r="D103" s="66">
        <f t="shared" si="61"/>
        <v>1.186461119</v>
      </c>
      <c r="E103" s="66">
        <f t="shared" si="61"/>
        <v>0</v>
      </c>
      <c r="F103" s="66">
        <f t="shared" si="61"/>
        <v>0.9747847714</v>
      </c>
      <c r="G103" s="66">
        <f t="shared" si="61"/>
        <v>0.9091840116</v>
      </c>
      <c r="H103" s="66">
        <f t="shared" si="61"/>
        <v>0.8776385573</v>
      </c>
      <c r="I103" s="66">
        <f t="shared" si="61"/>
        <v>0.9026986657</v>
      </c>
      <c r="J103" s="66">
        <f t="shared" si="61"/>
        <v>0.7835268026</v>
      </c>
      <c r="K103" s="66">
        <f t="shared" si="61"/>
        <v>0.9783902286</v>
      </c>
      <c r="L103" s="66">
        <f t="shared" si="61"/>
        <v>1.107609305</v>
      </c>
      <c r="M103" s="66">
        <f t="shared" si="61"/>
        <v>1.30101946</v>
      </c>
      <c r="N103" s="66">
        <f t="shared" si="61"/>
        <v>1.363406979</v>
      </c>
      <c r="O103" s="67"/>
      <c r="P103" s="43"/>
      <c r="Q103" s="68" t="s">
        <v>99</v>
      </c>
      <c r="R103" s="66">
        <f>SUM(C103:N103)</f>
        <v>11.57310214</v>
      </c>
      <c r="S103" s="64"/>
      <c r="T103" s="64"/>
      <c r="U103" s="64"/>
      <c r="V103" s="43"/>
      <c r="W103" s="43"/>
    </row>
    <row r="104">
      <c r="A104" s="64"/>
      <c r="B104" s="65" t="s">
        <v>100</v>
      </c>
      <c r="C104" s="66">
        <f t="shared" ref="C104:N104" si="62">C103*12/$R103</f>
        <v>1.232218185</v>
      </c>
      <c r="D104" s="66">
        <f t="shared" si="62"/>
        <v>1.230226196</v>
      </c>
      <c r="E104" s="66">
        <f t="shared" si="62"/>
        <v>0</v>
      </c>
      <c r="F104" s="66">
        <f t="shared" si="62"/>
        <v>1.010741728</v>
      </c>
      <c r="G104" s="66">
        <f t="shared" si="62"/>
        <v>0.942721148</v>
      </c>
      <c r="H104" s="66">
        <f t="shared" si="62"/>
        <v>0.9100120743</v>
      </c>
      <c r="I104" s="66">
        <f t="shared" si="62"/>
        <v>0.9359965767</v>
      </c>
      <c r="J104" s="66">
        <f t="shared" si="62"/>
        <v>0.8124288125</v>
      </c>
      <c r="K104" s="66">
        <f t="shared" si="62"/>
        <v>1.01448018</v>
      </c>
      <c r="L104" s="66">
        <f t="shared" si="62"/>
        <v>1.14846577</v>
      </c>
      <c r="M104" s="66">
        <f t="shared" si="62"/>
        <v>1.349010259</v>
      </c>
      <c r="N104" s="66">
        <f t="shared" si="62"/>
        <v>1.413699071</v>
      </c>
      <c r="O104" s="66">
        <f>IF(N104&gt;0, N104, M104)</f>
        <v>1.413699071</v>
      </c>
      <c r="P104" s="43"/>
      <c r="Q104" s="68" t="s">
        <v>101</v>
      </c>
      <c r="R104" s="61">
        <f>SQRT(SUM((D105-D102)^2,(E105-E102)^2,(F105-F102)^2,(G105-G102)^2,(H105-H102)^2,(I105-I102)^2,(J105-J102)^2,(K105-K102)^2,(L105-L102)^2,(M105-M102)^2,(N105-N102)^2)/11)</f>
        <v>636.9664028</v>
      </c>
      <c r="S104" s="64"/>
      <c r="T104" s="64"/>
      <c r="U104" s="64"/>
      <c r="V104" s="43"/>
      <c r="W104" s="43"/>
    </row>
    <row r="105">
      <c r="A105" s="64"/>
      <c r="B105" s="65" t="s">
        <v>102</v>
      </c>
      <c r="C105" s="61">
        <f t="shared" ref="C105:N105" si="63">IF(C102&gt;0,$Q102*C$46+$R102,0)</f>
        <v>5425.863636</v>
      </c>
      <c r="D105" s="61">
        <f t="shared" si="63"/>
        <v>5201.181818</v>
      </c>
      <c r="E105" s="61">
        <f t="shared" si="63"/>
        <v>0</v>
      </c>
      <c r="F105" s="61">
        <f t="shared" si="63"/>
        <v>4751.818182</v>
      </c>
      <c r="G105" s="61">
        <f t="shared" si="63"/>
        <v>4527.136364</v>
      </c>
      <c r="H105" s="61">
        <f t="shared" si="63"/>
        <v>4302.454545</v>
      </c>
      <c r="I105" s="61">
        <f t="shared" si="63"/>
        <v>4077.772727</v>
      </c>
      <c r="J105" s="61">
        <f t="shared" si="63"/>
        <v>3853.090909</v>
      </c>
      <c r="K105" s="61">
        <f t="shared" si="63"/>
        <v>3628.409091</v>
      </c>
      <c r="L105" s="61">
        <f t="shared" si="63"/>
        <v>3403.727273</v>
      </c>
      <c r="M105" s="61">
        <f t="shared" si="63"/>
        <v>3179.045455</v>
      </c>
      <c r="N105" s="61">
        <f t="shared" si="63"/>
        <v>2954.363636</v>
      </c>
      <c r="O105" s="61">
        <f>$Q102*O$46+$R102</f>
        <v>2729.681818</v>
      </c>
      <c r="P105" s="43"/>
      <c r="Q105" s="68" t="s">
        <v>103</v>
      </c>
      <c r="R105" s="61">
        <f>100*R104/O106</f>
        <v>16.50621609</v>
      </c>
      <c r="S105" s="64"/>
      <c r="T105" s="64"/>
      <c r="U105" s="64"/>
      <c r="V105" s="43"/>
      <c r="W105" s="43"/>
    </row>
    <row r="106">
      <c r="A106" s="69"/>
      <c r="B106" s="65" t="s">
        <v>104</v>
      </c>
      <c r="C106" s="61">
        <f t="shared" ref="C106:O106" si="64">C105*C104</f>
        <v>6685.847843</v>
      </c>
      <c r="D106" s="61">
        <f t="shared" si="64"/>
        <v>6398.630124</v>
      </c>
      <c r="E106" s="61">
        <f t="shared" si="64"/>
        <v>0</v>
      </c>
      <c r="F106" s="61">
        <f t="shared" si="64"/>
        <v>4802.860919</v>
      </c>
      <c r="G106" s="61">
        <f t="shared" si="64"/>
        <v>4267.82719</v>
      </c>
      <c r="H106" s="61">
        <f t="shared" si="64"/>
        <v>3915.285585</v>
      </c>
      <c r="I106" s="61">
        <f t="shared" si="64"/>
        <v>3816.781313</v>
      </c>
      <c r="J106" s="61">
        <f t="shared" si="64"/>
        <v>3130.362072</v>
      </c>
      <c r="K106" s="61">
        <f t="shared" si="64"/>
        <v>3680.949107</v>
      </c>
      <c r="L106" s="61">
        <f t="shared" si="64"/>
        <v>3909.064263</v>
      </c>
      <c r="M106" s="61">
        <f t="shared" si="64"/>
        <v>4288.564931</v>
      </c>
      <c r="N106" s="61">
        <f t="shared" si="64"/>
        <v>4176.581128</v>
      </c>
      <c r="O106" s="61">
        <f t="shared" si="64"/>
        <v>3858.94865</v>
      </c>
      <c r="P106" s="43"/>
      <c r="Q106" s="53"/>
      <c r="R106" s="53"/>
      <c r="S106" s="69"/>
      <c r="T106" s="69"/>
      <c r="U106" s="69"/>
      <c r="V106" s="43"/>
      <c r="W106" s="43"/>
    </row>
    <row r="107">
      <c r="A107" s="70">
        <v>13.0</v>
      </c>
      <c r="B107" s="59" t="str">
        <f>VLOOKUP(A107, $A$3:$B$45, 2, FALSE)</f>
        <v>Volkswagen</v>
      </c>
      <c r="C107" s="60">
        <f t="shared" ref="C107:N107" si="65">IF(AND($R15&lt;C15,C15&lt;$Q15),C15,0)</f>
        <v>2795</v>
      </c>
      <c r="D107" s="60">
        <f t="shared" si="65"/>
        <v>3945</v>
      </c>
      <c r="E107" s="61">
        <f t="shared" si="65"/>
        <v>0</v>
      </c>
      <c r="F107" s="60">
        <f t="shared" si="65"/>
        <v>2880</v>
      </c>
      <c r="G107" s="60">
        <f t="shared" si="65"/>
        <v>4667</v>
      </c>
      <c r="H107" s="60">
        <f t="shared" si="65"/>
        <v>5336</v>
      </c>
      <c r="I107" s="60">
        <f t="shared" si="65"/>
        <v>3682</v>
      </c>
      <c r="J107" s="60">
        <f t="shared" si="65"/>
        <v>3660</v>
      </c>
      <c r="K107" s="60">
        <f t="shared" si="65"/>
        <v>5067</v>
      </c>
      <c r="L107" s="60">
        <f t="shared" si="65"/>
        <v>3726</v>
      </c>
      <c r="M107" s="60">
        <f t="shared" si="65"/>
        <v>4380</v>
      </c>
      <c r="N107" s="60">
        <f t="shared" si="65"/>
        <v>5368</v>
      </c>
      <c r="O107" s="53"/>
      <c r="P107" s="43"/>
      <c r="Q107" s="61">
        <f>IFERROR(__xludf.DUMMYFUNCTION("LINEST(FILTER(C107:N107,C107:N107 &gt; 0))"),147.88181818181823)</f>
        <v>147.8818182</v>
      </c>
      <c r="R107" s="61">
        <f>IFERROR(__xludf.DUMMYFUNCTION("""COMPUTED_VALUE"""),3249.6181818181813)</f>
        <v>3249.618182</v>
      </c>
      <c r="S107" s="62" t="str">
        <f>IFS(R110&lt;10,"X",R110&lt;25,"Y",R110&gt;=25,"Z")</f>
        <v>Y</v>
      </c>
      <c r="T107" s="63" t="str">
        <f>IFS(R110&lt;25,"X",R110&lt;50,"Y",R110&gt;=50,"Z")</f>
        <v>X</v>
      </c>
      <c r="U107" s="63" t="str">
        <f>IFS(R110&lt;17.5,"X",R110&lt;42.5,"Y",R110&gt;=42.5,"Z")</f>
        <v>X</v>
      </c>
      <c r="V107" s="43"/>
      <c r="W107" s="43"/>
    </row>
    <row r="108">
      <c r="A108" s="64"/>
      <c r="B108" s="65" t="s">
        <v>98</v>
      </c>
      <c r="C108" s="66">
        <f t="shared" ref="C108:N108" si="66">(C107/($Q107*C$46+$R107))</f>
        <v>0.8226637233</v>
      </c>
      <c r="D108" s="66">
        <f t="shared" si="66"/>
        <v>1.112715133</v>
      </c>
      <c r="E108" s="66">
        <f t="shared" si="66"/>
        <v>0</v>
      </c>
      <c r="F108" s="66">
        <f t="shared" si="66"/>
        <v>0.7497763451</v>
      </c>
      <c r="G108" s="66">
        <f t="shared" si="66"/>
        <v>1.169959411</v>
      </c>
      <c r="H108" s="66">
        <f t="shared" si="66"/>
        <v>1.289851888</v>
      </c>
      <c r="I108" s="66">
        <f t="shared" si="66"/>
        <v>0.8593184774</v>
      </c>
      <c r="J108" s="66">
        <f t="shared" si="66"/>
        <v>0.8256869445</v>
      </c>
      <c r="K108" s="66">
        <f t="shared" si="66"/>
        <v>1.10619794</v>
      </c>
      <c r="L108" s="66">
        <f t="shared" si="66"/>
        <v>0.7879983389</v>
      </c>
      <c r="M108" s="66">
        <f t="shared" si="66"/>
        <v>0.8982186635</v>
      </c>
      <c r="N108" s="66">
        <f t="shared" si="66"/>
        <v>1.068428805</v>
      </c>
      <c r="O108" s="67"/>
      <c r="P108" s="43"/>
      <c r="Q108" s="68" t="s">
        <v>99</v>
      </c>
      <c r="R108" s="66">
        <f>SUM(C108:N108)</f>
        <v>10.69081567</v>
      </c>
      <c r="S108" s="64"/>
      <c r="T108" s="64"/>
      <c r="U108" s="64"/>
      <c r="V108" s="43"/>
      <c r="W108" s="43"/>
    </row>
    <row r="109">
      <c r="A109" s="64"/>
      <c r="B109" s="65" t="s">
        <v>100</v>
      </c>
      <c r="C109" s="66">
        <f t="shared" ref="C109:N109" si="67">C108*12/$R108</f>
        <v>0.923406126</v>
      </c>
      <c r="D109" s="66">
        <f t="shared" si="67"/>
        <v>1.248976879</v>
      </c>
      <c r="E109" s="66">
        <f t="shared" si="67"/>
        <v>0</v>
      </c>
      <c r="F109" s="66">
        <f t="shared" si="67"/>
        <v>0.8415930478</v>
      </c>
      <c r="G109" s="66">
        <f t="shared" si="67"/>
        <v>1.313231223</v>
      </c>
      <c r="H109" s="66">
        <f t="shared" si="67"/>
        <v>1.447805587</v>
      </c>
      <c r="I109" s="66">
        <f t="shared" si="67"/>
        <v>0.9645495768</v>
      </c>
      <c r="J109" s="66">
        <f t="shared" si="67"/>
        <v>0.9267995671</v>
      </c>
      <c r="K109" s="66">
        <f t="shared" si="67"/>
        <v>1.241661599</v>
      </c>
      <c r="L109" s="66">
        <f t="shared" si="67"/>
        <v>0.8844956605</v>
      </c>
      <c r="M109" s="66">
        <f t="shared" si="67"/>
        <v>1.008213433</v>
      </c>
      <c r="N109" s="66">
        <f t="shared" si="67"/>
        <v>1.199267301</v>
      </c>
      <c r="O109" s="66">
        <f>IF(N109&gt;0, N109, M109)</f>
        <v>1.199267301</v>
      </c>
      <c r="P109" s="43"/>
      <c r="Q109" s="68" t="s">
        <v>101</v>
      </c>
      <c r="R109" s="61">
        <f>SQRT(SUM((D110-D107)^2,(E110-E107)^2,(F110-F107)^2,(G110-G107)^2,(H110-H107)^2,(I110-I107)^2,(J110-J107)^2,(K110-K107)^2,(L110-L107)^2,(M110-M107)^2,(N110-N107)^2)/11)</f>
        <v>710.14591</v>
      </c>
      <c r="S109" s="64"/>
      <c r="T109" s="64"/>
      <c r="U109" s="64"/>
      <c r="V109" s="43"/>
      <c r="W109" s="43"/>
    </row>
    <row r="110">
      <c r="A110" s="64"/>
      <c r="B110" s="65" t="s">
        <v>102</v>
      </c>
      <c r="C110" s="61">
        <f t="shared" ref="C110:N110" si="68">IF(C107&gt;0,$Q107*C$46+$R107,0)</f>
        <v>3397.5</v>
      </c>
      <c r="D110" s="61">
        <f t="shared" si="68"/>
        <v>3545.381818</v>
      </c>
      <c r="E110" s="61">
        <f t="shared" si="68"/>
        <v>0</v>
      </c>
      <c r="F110" s="61">
        <f t="shared" si="68"/>
        <v>3841.145455</v>
      </c>
      <c r="G110" s="61">
        <f t="shared" si="68"/>
        <v>3989.027273</v>
      </c>
      <c r="H110" s="61">
        <f t="shared" si="68"/>
        <v>4136.909091</v>
      </c>
      <c r="I110" s="61">
        <f t="shared" si="68"/>
        <v>4284.790909</v>
      </c>
      <c r="J110" s="61">
        <f t="shared" si="68"/>
        <v>4432.672727</v>
      </c>
      <c r="K110" s="61">
        <f t="shared" si="68"/>
        <v>4580.554545</v>
      </c>
      <c r="L110" s="61">
        <f t="shared" si="68"/>
        <v>4728.436364</v>
      </c>
      <c r="M110" s="61">
        <f t="shared" si="68"/>
        <v>4876.318182</v>
      </c>
      <c r="N110" s="61">
        <f t="shared" si="68"/>
        <v>5024.2</v>
      </c>
      <c r="O110" s="61">
        <f>$Q107*O$46+$R107</f>
        <v>5172.081818</v>
      </c>
      <c r="P110" s="43"/>
      <c r="Q110" s="68" t="s">
        <v>103</v>
      </c>
      <c r="R110" s="61">
        <f>100*R109/O111</f>
        <v>11.44896456</v>
      </c>
      <c r="S110" s="64"/>
      <c r="T110" s="64"/>
      <c r="U110" s="64"/>
      <c r="V110" s="43"/>
      <c r="W110" s="43"/>
    </row>
    <row r="111">
      <c r="A111" s="69"/>
      <c r="B111" s="65" t="s">
        <v>104</v>
      </c>
      <c r="C111" s="61">
        <f t="shared" ref="C111:O111" si="69">C110*C109</f>
        <v>3137.272313</v>
      </c>
      <c r="D111" s="61">
        <f t="shared" si="69"/>
        <v>4428.099919</v>
      </c>
      <c r="E111" s="61">
        <f t="shared" si="69"/>
        <v>0</v>
      </c>
      <c r="F111" s="61">
        <f t="shared" si="69"/>
        <v>3232.68131</v>
      </c>
      <c r="G111" s="61">
        <f t="shared" si="69"/>
        <v>5238.515165</v>
      </c>
      <c r="H111" s="61">
        <f t="shared" si="69"/>
        <v>5989.440094</v>
      </c>
      <c r="I111" s="61">
        <f t="shared" si="69"/>
        <v>4132.893258</v>
      </c>
      <c r="J111" s="61">
        <f t="shared" si="69"/>
        <v>4108.199165</v>
      </c>
      <c r="K111" s="61">
        <f t="shared" si="69"/>
        <v>5687.49868</v>
      </c>
      <c r="L111" s="61">
        <f t="shared" si="69"/>
        <v>4182.281445</v>
      </c>
      <c r="M111" s="61">
        <f t="shared" si="69"/>
        <v>4916.369492</v>
      </c>
      <c r="N111" s="61">
        <f t="shared" si="69"/>
        <v>6025.358775</v>
      </c>
      <c r="O111" s="61">
        <f t="shared" si="69"/>
        <v>6202.708604</v>
      </c>
      <c r="P111" s="43"/>
      <c r="Q111" s="53"/>
      <c r="R111" s="53"/>
      <c r="S111" s="69"/>
      <c r="T111" s="69"/>
      <c r="U111" s="69"/>
      <c r="V111" s="43"/>
      <c r="W111" s="43"/>
    </row>
    <row r="112">
      <c r="A112" s="70">
        <v>14.0</v>
      </c>
      <c r="B112" s="59" t="str">
        <f>VLOOKUP(A112, $A$3:$B$45, 2, FALSE)</f>
        <v>BMW</v>
      </c>
      <c r="C112" s="60">
        <f t="shared" ref="C112:N112" si="70">IF(AND($R16&lt;C16,C16&lt;$Q16),C16,0)</f>
        <v>2010</v>
      </c>
      <c r="D112" s="60">
        <f t="shared" si="70"/>
        <v>3651</v>
      </c>
      <c r="E112" s="60">
        <f t="shared" si="70"/>
        <v>6299</v>
      </c>
      <c r="F112" s="60">
        <f t="shared" si="70"/>
        <v>2479</v>
      </c>
      <c r="G112" s="60">
        <f t="shared" si="70"/>
        <v>3748</v>
      </c>
      <c r="H112" s="60">
        <f t="shared" si="70"/>
        <v>5411</v>
      </c>
      <c r="I112" s="60">
        <f t="shared" si="70"/>
        <v>3777</v>
      </c>
      <c r="J112" s="60">
        <f t="shared" si="70"/>
        <v>3309</v>
      </c>
      <c r="K112" s="60">
        <f t="shared" si="70"/>
        <v>5861</v>
      </c>
      <c r="L112" s="60">
        <f t="shared" si="70"/>
        <v>3817</v>
      </c>
      <c r="M112" s="60">
        <f t="shared" si="70"/>
        <v>4276</v>
      </c>
      <c r="N112" s="60">
        <f t="shared" si="70"/>
        <v>6597</v>
      </c>
      <c r="O112" s="53"/>
      <c r="P112" s="43"/>
      <c r="Q112" s="61">
        <f>IFERROR(__xludf.DUMMYFUNCTION("LINEST(FILTER(C112:N112,C112:N112 &gt; 0))"),184.1503496503496)</f>
        <v>184.1503497</v>
      </c>
      <c r="R112" s="61">
        <f>IFERROR(__xludf.DUMMYFUNCTION("""COMPUTED_VALUE"""),3072.6060606060623)</f>
        <v>3072.606061</v>
      </c>
      <c r="S112" s="62" t="str">
        <f>IFS(R115&lt;10,"X",R115&lt;25,"Y",R115&gt;=25,"Z")</f>
        <v>Y</v>
      </c>
      <c r="T112" s="63" t="str">
        <f>IFS(R115&lt;25,"X",R115&lt;50,"Y",R115&gt;=50,"Z")</f>
        <v>X</v>
      </c>
      <c r="U112" s="63" t="str">
        <f>IFS(R115&lt;17.5,"X",R115&lt;42.5,"Y",R115&gt;=42.5,"Z")</f>
        <v>Y</v>
      </c>
      <c r="V112" s="43"/>
      <c r="W112" s="43"/>
    </row>
    <row r="113">
      <c r="A113" s="64"/>
      <c r="B113" s="65" t="s">
        <v>98</v>
      </c>
      <c r="C113" s="66">
        <f t="shared" ref="C113:N113" si="71">(C112/($Q112*C$46+$R112))</f>
        <v>0.6171784889</v>
      </c>
      <c r="D113" s="66">
        <f t="shared" si="71"/>
        <v>1.061057522</v>
      </c>
      <c r="E113" s="66">
        <f t="shared" si="71"/>
        <v>1.737627797</v>
      </c>
      <c r="F113" s="66">
        <f t="shared" si="71"/>
        <v>0.650791543</v>
      </c>
      <c r="G113" s="66">
        <f t="shared" si="71"/>
        <v>0.9385585213</v>
      </c>
      <c r="H113" s="66">
        <f t="shared" si="71"/>
        <v>1.295269762</v>
      </c>
      <c r="I113" s="66">
        <f t="shared" si="71"/>
        <v>0.8659550015</v>
      </c>
      <c r="J113" s="66">
        <f t="shared" si="71"/>
        <v>0.7279232593</v>
      </c>
      <c r="K113" s="66">
        <f t="shared" si="71"/>
        <v>1.239122737</v>
      </c>
      <c r="L113" s="66">
        <f t="shared" si="71"/>
        <v>0.7767429594</v>
      </c>
      <c r="M113" s="66">
        <f t="shared" si="71"/>
        <v>0.8387175386</v>
      </c>
      <c r="N113" s="66">
        <f t="shared" si="71"/>
        <v>1.248861728</v>
      </c>
      <c r="O113" s="67"/>
      <c r="P113" s="43"/>
      <c r="Q113" s="68" t="s">
        <v>99</v>
      </c>
      <c r="R113" s="66">
        <f>SUM(C113:N113)</f>
        <v>11.99780686</v>
      </c>
      <c r="S113" s="64"/>
      <c r="T113" s="64"/>
      <c r="U113" s="64"/>
      <c r="V113" s="43"/>
      <c r="W113" s="43"/>
    </row>
    <row r="114">
      <c r="A114" s="64"/>
      <c r="B114" s="65" t="s">
        <v>100</v>
      </c>
      <c r="C114" s="66">
        <f t="shared" ref="C114:N114" si="72">C113*12/$R113</f>
        <v>0.6172913062</v>
      </c>
      <c r="D114" s="66">
        <f t="shared" si="72"/>
        <v>1.061251478</v>
      </c>
      <c r="E114" s="66">
        <f t="shared" si="72"/>
        <v>1.737945427</v>
      </c>
      <c r="F114" s="66">
        <f t="shared" si="72"/>
        <v>0.6509105046</v>
      </c>
      <c r="G114" s="66">
        <f t="shared" si="72"/>
        <v>0.9387300853</v>
      </c>
      <c r="H114" s="66">
        <f t="shared" si="72"/>
        <v>1.295506532</v>
      </c>
      <c r="I114" s="66">
        <f t="shared" si="72"/>
        <v>0.8661132939</v>
      </c>
      <c r="J114" s="66">
        <f t="shared" si="72"/>
        <v>0.7280563202</v>
      </c>
      <c r="K114" s="66">
        <f t="shared" si="72"/>
        <v>1.239349243</v>
      </c>
      <c r="L114" s="66">
        <f t="shared" si="72"/>
        <v>0.7768849442</v>
      </c>
      <c r="M114" s="66">
        <f t="shared" si="72"/>
        <v>0.8388708521</v>
      </c>
      <c r="N114" s="66">
        <f t="shared" si="72"/>
        <v>1.249090014</v>
      </c>
      <c r="O114" s="66">
        <f>IF(N114&gt;0, N114, M114)</f>
        <v>1.249090014</v>
      </c>
      <c r="P114" s="43"/>
      <c r="Q114" s="68" t="s">
        <v>101</v>
      </c>
      <c r="R114" s="61">
        <f>SQRT(SUM((D115-D112)^2,(E115-E112)^2,(F115-F112)^2,(G115-G112)^2,(H115-H112)^2,(I115-I112)^2,(J115-J112)^2,(K115-K112)^2,(L115-L112)^2,(M115-M112)^2,(N115-N112)^2)/11)</f>
        <v>1254.227257</v>
      </c>
      <c r="S114" s="64"/>
      <c r="T114" s="64"/>
      <c r="U114" s="64"/>
      <c r="V114" s="43"/>
      <c r="W114" s="43"/>
    </row>
    <row r="115">
      <c r="A115" s="64"/>
      <c r="B115" s="65" t="s">
        <v>102</v>
      </c>
      <c r="C115" s="61">
        <f t="shared" ref="C115:N115" si="73">IF(C112&gt;0,$Q112*C$46+$R112,0)</f>
        <v>3256.75641</v>
      </c>
      <c r="D115" s="61">
        <f t="shared" si="73"/>
        <v>3440.90676</v>
      </c>
      <c r="E115" s="61">
        <f t="shared" si="73"/>
        <v>3625.05711</v>
      </c>
      <c r="F115" s="61">
        <f t="shared" si="73"/>
        <v>3809.207459</v>
      </c>
      <c r="G115" s="61">
        <f t="shared" si="73"/>
        <v>3993.357809</v>
      </c>
      <c r="H115" s="61">
        <f t="shared" si="73"/>
        <v>4177.508159</v>
      </c>
      <c r="I115" s="61">
        <f t="shared" si="73"/>
        <v>4361.658508</v>
      </c>
      <c r="J115" s="61">
        <f t="shared" si="73"/>
        <v>4545.808858</v>
      </c>
      <c r="K115" s="61">
        <f t="shared" si="73"/>
        <v>4729.959207</v>
      </c>
      <c r="L115" s="61">
        <f t="shared" si="73"/>
        <v>4914.109557</v>
      </c>
      <c r="M115" s="61">
        <f t="shared" si="73"/>
        <v>5098.259907</v>
      </c>
      <c r="N115" s="61">
        <f t="shared" si="73"/>
        <v>5282.410256</v>
      </c>
      <c r="O115" s="61">
        <f>$Q112*O$46+$R112</f>
        <v>5466.560606</v>
      </c>
      <c r="P115" s="43"/>
      <c r="Q115" s="68" t="s">
        <v>103</v>
      </c>
      <c r="R115" s="61">
        <f>100*R114/O116</f>
        <v>18.36827324</v>
      </c>
      <c r="S115" s="64"/>
      <c r="T115" s="64"/>
      <c r="U115" s="64"/>
      <c r="V115" s="43"/>
      <c r="W115" s="43"/>
    </row>
    <row r="116">
      <c r="A116" s="69"/>
      <c r="B116" s="65" t="s">
        <v>104</v>
      </c>
      <c r="C116" s="61">
        <f t="shared" ref="C116:O116" si="74">C115*C114</f>
        <v>2010.367418</v>
      </c>
      <c r="D116" s="61">
        <f t="shared" si="74"/>
        <v>3651.667385</v>
      </c>
      <c r="E116" s="61">
        <f t="shared" si="74"/>
        <v>6300.151427</v>
      </c>
      <c r="F116" s="61">
        <f t="shared" si="74"/>
        <v>2479.453149</v>
      </c>
      <c r="G116" s="61">
        <f t="shared" si="74"/>
        <v>3748.685116</v>
      </c>
      <c r="H116" s="61">
        <f t="shared" si="74"/>
        <v>5411.989105</v>
      </c>
      <c r="I116" s="61">
        <f t="shared" si="74"/>
        <v>3777.690417</v>
      </c>
      <c r="J116" s="61">
        <f t="shared" si="74"/>
        <v>3309.604869</v>
      </c>
      <c r="K116" s="61">
        <f t="shared" si="74"/>
        <v>5862.071363</v>
      </c>
      <c r="L116" s="61">
        <f t="shared" si="74"/>
        <v>3817.697729</v>
      </c>
      <c r="M116" s="61">
        <f t="shared" si="74"/>
        <v>4276.781632</v>
      </c>
      <c r="N116" s="61">
        <f t="shared" si="74"/>
        <v>6598.2059</v>
      </c>
      <c r="O116" s="61">
        <f t="shared" si="74"/>
        <v>6828.226263</v>
      </c>
      <c r="P116" s="43"/>
      <c r="Q116" s="53"/>
      <c r="R116" s="53"/>
      <c r="S116" s="69"/>
      <c r="T116" s="69"/>
      <c r="U116" s="69"/>
      <c r="V116" s="43"/>
      <c r="W116" s="43"/>
    </row>
    <row r="117">
      <c r="A117" s="70">
        <v>15.0</v>
      </c>
      <c r="B117" s="59" t="str">
        <f>VLOOKUP(A117, $A$3:$B$45, 2, FALSE)</f>
        <v>Audi</v>
      </c>
      <c r="C117" s="60">
        <f t="shared" ref="C117:N117" si="75">IF(AND($R17&lt;C17,C17&lt;$Q17),C17,0)</f>
        <v>1506</v>
      </c>
      <c r="D117" s="60">
        <f t="shared" si="75"/>
        <v>2166</v>
      </c>
      <c r="E117" s="60">
        <f t="shared" si="75"/>
        <v>3569</v>
      </c>
      <c r="F117" s="60">
        <f t="shared" si="75"/>
        <v>1467</v>
      </c>
      <c r="G117" s="60">
        <f t="shared" si="75"/>
        <v>2190</v>
      </c>
      <c r="H117" s="60">
        <f t="shared" si="75"/>
        <v>3154</v>
      </c>
      <c r="I117" s="60">
        <f t="shared" si="75"/>
        <v>1503</v>
      </c>
      <c r="J117" s="60">
        <f t="shared" si="75"/>
        <v>2096</v>
      </c>
      <c r="K117" s="60">
        <f t="shared" si="75"/>
        <v>3165</v>
      </c>
      <c r="L117" s="60">
        <f t="shared" si="75"/>
        <v>1504</v>
      </c>
      <c r="M117" s="60">
        <f t="shared" si="75"/>
        <v>1728</v>
      </c>
      <c r="N117" s="60">
        <f t="shared" si="75"/>
        <v>2425</v>
      </c>
      <c r="O117" s="53"/>
      <c r="P117" s="43"/>
      <c r="Q117" s="61">
        <f>IFERROR(__xludf.DUMMYFUNCTION("LINEST(FILTER(C117:N117,C117:N117 &gt; 0))"),-6.052447552447559)</f>
        <v>-6.052447552</v>
      </c>
      <c r="R117" s="61">
        <f>IFERROR(__xludf.DUMMYFUNCTION("""COMPUTED_VALUE"""),2245.424242424243)</f>
        <v>2245.424242</v>
      </c>
      <c r="S117" s="62" t="str">
        <f>IFS(R120&lt;10,"X",R120&lt;25,"Y",R120&gt;=25,"Z")</f>
        <v>Z</v>
      </c>
      <c r="T117" s="63" t="str">
        <f>IFS(R120&lt;25,"X",R120&lt;50,"Y",R120&gt;=50,"Z")</f>
        <v>Y</v>
      </c>
      <c r="U117" s="63" t="str">
        <f>IFS(R120&lt;17.5,"X",R120&lt;42.5,"Y",R120&gt;=42.5,"Z")</f>
        <v>Y</v>
      </c>
      <c r="V117" s="43"/>
      <c r="W117" s="43"/>
    </row>
    <row r="118">
      <c r="A118" s="64"/>
      <c r="B118" s="65" t="s">
        <v>98</v>
      </c>
      <c r="C118" s="66">
        <f t="shared" ref="C118:N118" si="76">(C117/($Q117*C$46+$R117))</f>
        <v>0.6725100331</v>
      </c>
      <c r="D118" s="66">
        <f t="shared" si="76"/>
        <v>0.9698568199</v>
      </c>
      <c r="E118" s="66">
        <f t="shared" si="76"/>
        <v>1.602412356</v>
      </c>
      <c r="F118" s="66">
        <f t="shared" si="76"/>
        <v>0.6604495115</v>
      </c>
      <c r="G118" s="66">
        <f t="shared" si="76"/>
        <v>0.9886410093</v>
      </c>
      <c r="H118" s="66">
        <f t="shared" si="76"/>
        <v>1.427724573</v>
      </c>
      <c r="I118" s="66">
        <f t="shared" si="76"/>
        <v>0.6822337893</v>
      </c>
      <c r="J118" s="66">
        <f t="shared" si="76"/>
        <v>0.9540261959</v>
      </c>
      <c r="K118" s="66">
        <f t="shared" si="76"/>
        <v>1.444577376</v>
      </c>
      <c r="L118" s="66">
        <f t="shared" si="76"/>
        <v>0.6883610968</v>
      </c>
      <c r="M118" s="66">
        <f t="shared" si="76"/>
        <v>0.7930798935</v>
      </c>
      <c r="N118" s="66">
        <f t="shared" si="76"/>
        <v>1.116074063</v>
      </c>
      <c r="O118" s="67"/>
      <c r="P118" s="43"/>
      <c r="Q118" s="68" t="s">
        <v>99</v>
      </c>
      <c r="R118" s="66">
        <f>SUM(C118:N118)</f>
        <v>11.99994672</v>
      </c>
      <c r="S118" s="64"/>
      <c r="T118" s="64"/>
      <c r="U118" s="64"/>
      <c r="V118" s="43"/>
      <c r="W118" s="43"/>
    </row>
    <row r="119">
      <c r="A119" s="64"/>
      <c r="B119" s="65" t="s">
        <v>100</v>
      </c>
      <c r="C119" s="66">
        <f t="shared" ref="C119:N119" si="77">C118*12/$R118</f>
        <v>0.6725130193</v>
      </c>
      <c r="D119" s="66">
        <f t="shared" si="77"/>
        <v>0.9698611263</v>
      </c>
      <c r="E119" s="66">
        <f t="shared" si="77"/>
        <v>1.602419471</v>
      </c>
      <c r="F119" s="66">
        <f t="shared" si="77"/>
        <v>0.6604524441</v>
      </c>
      <c r="G119" s="66">
        <f t="shared" si="77"/>
        <v>0.9886453991</v>
      </c>
      <c r="H119" s="66">
        <f t="shared" si="77"/>
        <v>1.427730913</v>
      </c>
      <c r="I119" s="66">
        <f t="shared" si="77"/>
        <v>0.6822368186</v>
      </c>
      <c r="J119" s="66">
        <f t="shared" si="77"/>
        <v>0.954030432</v>
      </c>
      <c r="K119" s="66">
        <f t="shared" si="77"/>
        <v>1.44458379</v>
      </c>
      <c r="L119" s="66">
        <f t="shared" si="77"/>
        <v>0.6883641533</v>
      </c>
      <c r="M119" s="66">
        <f t="shared" si="77"/>
        <v>0.793083415</v>
      </c>
      <c r="N119" s="66">
        <f t="shared" si="77"/>
        <v>1.116079018</v>
      </c>
      <c r="O119" s="66">
        <f>IF(N119&gt;0, N119, M119)</f>
        <v>1.116079018</v>
      </c>
      <c r="P119" s="43"/>
      <c r="Q119" s="68" t="s">
        <v>101</v>
      </c>
      <c r="R119" s="61">
        <f>SQRT(SUM((D120-D117)^2,(E120-E117)^2,(F120-F117)^2,(G120-G117)^2,(H120-H117)^2,(I120-I117)^2,(J120-J117)^2,(K120-K117)^2,(L120-L117)^2,(M120-M117)^2,(N120-N117)^2)/11)</f>
        <v>703.6667815</v>
      </c>
      <c r="S119" s="64"/>
      <c r="T119" s="64"/>
      <c r="U119" s="64"/>
      <c r="V119" s="43"/>
      <c r="W119" s="43"/>
    </row>
    <row r="120">
      <c r="A120" s="64"/>
      <c r="B120" s="65" t="s">
        <v>102</v>
      </c>
      <c r="C120" s="61">
        <f t="shared" ref="C120:N120" si="78">IF(C117&gt;0,$Q117*C$46+$R117,0)</f>
        <v>2239.371795</v>
      </c>
      <c r="D120" s="61">
        <f t="shared" si="78"/>
        <v>2233.319347</v>
      </c>
      <c r="E120" s="61">
        <f t="shared" si="78"/>
        <v>2227.2669</v>
      </c>
      <c r="F120" s="61">
        <f t="shared" si="78"/>
        <v>2221.214452</v>
      </c>
      <c r="G120" s="61">
        <f t="shared" si="78"/>
        <v>2215.162005</v>
      </c>
      <c r="H120" s="61">
        <f t="shared" si="78"/>
        <v>2209.109557</v>
      </c>
      <c r="I120" s="61">
        <f t="shared" si="78"/>
        <v>2203.05711</v>
      </c>
      <c r="J120" s="61">
        <f t="shared" si="78"/>
        <v>2197.004662</v>
      </c>
      <c r="K120" s="61">
        <f t="shared" si="78"/>
        <v>2190.952214</v>
      </c>
      <c r="L120" s="61">
        <f t="shared" si="78"/>
        <v>2184.899767</v>
      </c>
      <c r="M120" s="61">
        <f t="shared" si="78"/>
        <v>2178.847319</v>
      </c>
      <c r="N120" s="61">
        <f t="shared" si="78"/>
        <v>2172.794872</v>
      </c>
      <c r="O120" s="61">
        <f>$Q117*O$46+$R117</f>
        <v>2166.742424</v>
      </c>
      <c r="P120" s="43"/>
      <c r="Q120" s="68" t="s">
        <v>103</v>
      </c>
      <c r="R120" s="61">
        <f>100*R119/O121</f>
        <v>29.09811252</v>
      </c>
      <c r="S120" s="64"/>
      <c r="T120" s="64"/>
      <c r="U120" s="64"/>
      <c r="V120" s="43"/>
      <c r="W120" s="43"/>
    </row>
    <row r="121">
      <c r="A121" s="69"/>
      <c r="B121" s="65" t="s">
        <v>104</v>
      </c>
      <c r="C121" s="61">
        <f t="shared" ref="C121:O121" si="79">C120*C119</f>
        <v>1506.006687</v>
      </c>
      <c r="D121" s="61">
        <f t="shared" si="79"/>
        <v>2166.009618</v>
      </c>
      <c r="E121" s="61">
        <f t="shared" si="79"/>
        <v>3569.015847</v>
      </c>
      <c r="F121" s="61">
        <f t="shared" si="79"/>
        <v>1467.006514</v>
      </c>
      <c r="G121" s="61">
        <f t="shared" si="79"/>
        <v>2190.009724</v>
      </c>
      <c r="H121" s="61">
        <f t="shared" si="79"/>
        <v>3154.014005</v>
      </c>
      <c r="I121" s="61">
        <f t="shared" si="79"/>
        <v>1503.006674</v>
      </c>
      <c r="J121" s="61">
        <f t="shared" si="79"/>
        <v>2096.009307</v>
      </c>
      <c r="K121" s="61">
        <f t="shared" si="79"/>
        <v>3165.014053</v>
      </c>
      <c r="L121" s="61">
        <f t="shared" si="79"/>
        <v>1504.006678</v>
      </c>
      <c r="M121" s="61">
        <f t="shared" si="79"/>
        <v>1728.007673</v>
      </c>
      <c r="N121" s="61">
        <f t="shared" si="79"/>
        <v>2425.010768</v>
      </c>
      <c r="O121" s="61">
        <f t="shared" si="79"/>
        <v>2418.255758</v>
      </c>
      <c r="P121" s="43"/>
      <c r="Q121" s="53"/>
      <c r="R121" s="53"/>
      <c r="S121" s="69"/>
      <c r="T121" s="69"/>
      <c r="U121" s="69"/>
      <c r="V121" s="43"/>
      <c r="W121" s="43"/>
    </row>
    <row r="122">
      <c r="A122" s="70">
        <v>16.0</v>
      </c>
      <c r="B122" s="59" t="str">
        <f>VLOOKUP(A122, $A$3:$B$45, 2, FALSE)</f>
        <v>Mini</v>
      </c>
      <c r="C122" s="60">
        <f t="shared" ref="C122:N122" si="80">IF(AND($R18&lt;C18,C18&lt;$Q18),C18,0)</f>
        <v>1182</v>
      </c>
      <c r="D122" s="60">
        <f t="shared" si="80"/>
        <v>1952</v>
      </c>
      <c r="E122" s="60">
        <f t="shared" si="80"/>
        <v>3384</v>
      </c>
      <c r="F122" s="60">
        <f t="shared" si="80"/>
        <v>1542</v>
      </c>
      <c r="G122" s="60">
        <f t="shared" si="80"/>
        <v>2141</v>
      </c>
      <c r="H122" s="60">
        <f t="shared" si="80"/>
        <v>2572</v>
      </c>
      <c r="I122" s="60">
        <f t="shared" si="80"/>
        <v>1802</v>
      </c>
      <c r="J122" s="60">
        <f t="shared" si="80"/>
        <v>1774</v>
      </c>
      <c r="K122" s="60">
        <f t="shared" si="80"/>
        <v>2841</v>
      </c>
      <c r="L122" s="60">
        <f t="shared" si="80"/>
        <v>1706</v>
      </c>
      <c r="M122" s="60">
        <f t="shared" si="80"/>
        <v>2173</v>
      </c>
      <c r="N122" s="60">
        <f t="shared" si="80"/>
        <v>2916</v>
      </c>
      <c r="O122" s="53"/>
      <c r="P122" s="43"/>
      <c r="Q122" s="61">
        <f>IFERROR(__xludf.DUMMYFUNCTION("LINEST(FILTER(C122:N122,C122:N122 &gt; 0))"),48.74475524475522)</f>
        <v>48.74475524</v>
      </c>
      <c r="R122" s="61">
        <f>IFERROR(__xludf.DUMMYFUNCTION("""COMPUTED_VALUE"""),1848.575757575758)</f>
        <v>1848.575758</v>
      </c>
      <c r="S122" s="62" t="str">
        <f>IFS(R125&lt;10,"X",R125&lt;25,"Y",R125&gt;=25,"Z")</f>
        <v>Y</v>
      </c>
      <c r="T122" s="63" t="str">
        <f>IFS(R125&lt;25,"X",R125&lt;50,"Y",R125&gt;=50,"Z")</f>
        <v>X</v>
      </c>
      <c r="U122" s="63" t="str">
        <f>IFS(R125&lt;17.5,"X",R125&lt;42.5,"Y",R125&gt;=42.5,"Z")</f>
        <v>Y</v>
      </c>
      <c r="V122" s="43"/>
      <c r="W122" s="43"/>
    </row>
    <row r="123">
      <c r="A123" s="64"/>
      <c r="B123" s="65" t="s">
        <v>98</v>
      </c>
      <c r="C123" s="66">
        <f t="shared" ref="C123:N123" si="81">(C122/($Q122*C$46+$R122))</f>
        <v>0.6229838301</v>
      </c>
      <c r="D123" s="66">
        <f t="shared" si="81"/>
        <v>1.003049606</v>
      </c>
      <c r="E123" s="66">
        <f t="shared" si="81"/>
        <v>1.696402144</v>
      </c>
      <c r="F123" s="66">
        <f t="shared" si="81"/>
        <v>0.75456749</v>
      </c>
      <c r="G123" s="66">
        <f t="shared" si="81"/>
        <v>1.023276049</v>
      </c>
      <c r="H123" s="66">
        <f t="shared" si="81"/>
        <v>1.20128295</v>
      </c>
      <c r="I123" s="66">
        <f t="shared" si="81"/>
        <v>0.8229103186</v>
      </c>
      <c r="J123" s="66">
        <f t="shared" si="81"/>
        <v>0.7924830085</v>
      </c>
      <c r="K123" s="66">
        <f t="shared" si="81"/>
        <v>1.242087455</v>
      </c>
      <c r="L123" s="66">
        <f t="shared" si="81"/>
        <v>0.7303009318</v>
      </c>
      <c r="M123" s="66">
        <f t="shared" si="81"/>
        <v>0.9111997228</v>
      </c>
      <c r="N123" s="66">
        <f t="shared" si="81"/>
        <v>1.198267778</v>
      </c>
      <c r="O123" s="67"/>
      <c r="P123" s="43"/>
      <c r="Q123" s="68" t="s">
        <v>99</v>
      </c>
      <c r="R123" s="66">
        <f>SUM(C123:N123)</f>
        <v>11.99881128</v>
      </c>
      <c r="S123" s="64"/>
      <c r="T123" s="64"/>
      <c r="U123" s="64"/>
      <c r="V123" s="43"/>
      <c r="W123" s="43"/>
    </row>
    <row r="124">
      <c r="A124" s="64"/>
      <c r="B124" s="65" t="s">
        <v>100</v>
      </c>
      <c r="C124" s="66">
        <f t="shared" ref="C124:N124" si="82">C123*12/$R123</f>
        <v>0.6230455488</v>
      </c>
      <c r="D124" s="66">
        <f t="shared" si="82"/>
        <v>1.003148977</v>
      </c>
      <c r="E124" s="66">
        <f t="shared" si="82"/>
        <v>1.696570206</v>
      </c>
      <c r="F124" s="66">
        <f t="shared" si="82"/>
        <v>0.7546422447</v>
      </c>
      <c r="G124" s="66">
        <f t="shared" si="82"/>
        <v>1.023377424</v>
      </c>
      <c r="H124" s="66">
        <f t="shared" si="82"/>
        <v>1.201401961</v>
      </c>
      <c r="I124" s="66">
        <f t="shared" si="82"/>
        <v>0.8229918439</v>
      </c>
      <c r="J124" s="66">
        <f t="shared" si="82"/>
        <v>0.7925615194</v>
      </c>
      <c r="K124" s="66">
        <f t="shared" si="82"/>
        <v>1.242210508</v>
      </c>
      <c r="L124" s="66">
        <f t="shared" si="82"/>
        <v>0.7303732823</v>
      </c>
      <c r="M124" s="66">
        <f t="shared" si="82"/>
        <v>0.9112899949</v>
      </c>
      <c r="N124" s="66">
        <f t="shared" si="82"/>
        <v>1.19838649</v>
      </c>
      <c r="O124" s="66">
        <f>IF(N124&gt;0, N124, M124)</f>
        <v>1.19838649</v>
      </c>
      <c r="P124" s="43"/>
      <c r="Q124" s="68" t="s">
        <v>101</v>
      </c>
      <c r="R124" s="61">
        <f>SQRT(SUM((D125-D122)^2,(E125-E122)^2,(F125-F122)^2,(G125-G122)^2,(H125-H122)^2,(I125-I122)^2,(J125-J122)^2,(K125-K122)^2,(L125-L122)^2,(M125-M122)^2,(N125-N122)^2)/11)</f>
        <v>581.2904269</v>
      </c>
      <c r="S124" s="64"/>
      <c r="T124" s="64"/>
      <c r="U124" s="64"/>
      <c r="V124" s="43"/>
      <c r="W124" s="43"/>
    </row>
    <row r="125">
      <c r="A125" s="64"/>
      <c r="B125" s="65" t="s">
        <v>102</v>
      </c>
      <c r="C125" s="61">
        <f t="shared" ref="C125:N125" si="83">IF(C122&gt;0,$Q122*C$46+$R122,0)</f>
        <v>1897.320513</v>
      </c>
      <c r="D125" s="61">
        <f t="shared" si="83"/>
        <v>1946.065268</v>
      </c>
      <c r="E125" s="61">
        <f t="shared" si="83"/>
        <v>1994.810023</v>
      </c>
      <c r="F125" s="61">
        <f t="shared" si="83"/>
        <v>2043.554779</v>
      </c>
      <c r="G125" s="61">
        <f t="shared" si="83"/>
        <v>2092.299534</v>
      </c>
      <c r="H125" s="61">
        <f t="shared" si="83"/>
        <v>2141.044289</v>
      </c>
      <c r="I125" s="61">
        <f t="shared" si="83"/>
        <v>2189.789044</v>
      </c>
      <c r="J125" s="61">
        <f t="shared" si="83"/>
        <v>2238.5338</v>
      </c>
      <c r="K125" s="61">
        <f t="shared" si="83"/>
        <v>2287.278555</v>
      </c>
      <c r="L125" s="61">
        <f t="shared" si="83"/>
        <v>2336.02331</v>
      </c>
      <c r="M125" s="61">
        <f t="shared" si="83"/>
        <v>2384.768065</v>
      </c>
      <c r="N125" s="61">
        <f t="shared" si="83"/>
        <v>2433.512821</v>
      </c>
      <c r="O125" s="61">
        <f>$Q122*O$46+$R122</f>
        <v>2482.257576</v>
      </c>
      <c r="P125" s="43"/>
      <c r="Q125" s="68" t="s">
        <v>103</v>
      </c>
      <c r="R125" s="61">
        <f>100*R124/O126</f>
        <v>19.54111865</v>
      </c>
      <c r="S125" s="64"/>
      <c r="T125" s="64"/>
      <c r="U125" s="64"/>
      <c r="V125" s="43"/>
      <c r="W125" s="43"/>
    </row>
    <row r="126">
      <c r="A126" s="69"/>
      <c r="B126" s="65" t="s">
        <v>104</v>
      </c>
      <c r="C126" s="61">
        <f t="shared" ref="C126:O126" si="84">C125*C124</f>
        <v>1182.1171</v>
      </c>
      <c r="D126" s="61">
        <f t="shared" si="84"/>
        <v>1952.193384</v>
      </c>
      <c r="E126" s="61">
        <f t="shared" si="84"/>
        <v>3384.335251</v>
      </c>
      <c r="F126" s="61">
        <f t="shared" si="84"/>
        <v>1542.152765</v>
      </c>
      <c r="G126" s="61">
        <f t="shared" si="84"/>
        <v>2141.212108</v>
      </c>
      <c r="H126" s="61">
        <f t="shared" si="84"/>
        <v>2572.254807</v>
      </c>
      <c r="I126" s="61">
        <f t="shared" si="84"/>
        <v>1802.178523</v>
      </c>
      <c r="J126" s="61">
        <f t="shared" si="84"/>
        <v>1774.175749</v>
      </c>
      <c r="K126" s="61">
        <f t="shared" si="84"/>
        <v>2841.281456</v>
      </c>
      <c r="L126" s="61">
        <f t="shared" si="84"/>
        <v>1706.169013</v>
      </c>
      <c r="M126" s="61">
        <f t="shared" si="84"/>
        <v>2173.215278</v>
      </c>
      <c r="N126" s="61">
        <f t="shared" si="84"/>
        <v>2916.288887</v>
      </c>
      <c r="O126" s="61">
        <f t="shared" si="84"/>
        <v>2974.703943</v>
      </c>
      <c r="P126" s="43"/>
      <c r="Q126" s="53"/>
      <c r="R126" s="53"/>
      <c r="S126" s="69"/>
      <c r="T126" s="69"/>
      <c r="U126" s="69"/>
      <c r="V126" s="43"/>
      <c r="W126" s="43"/>
    </row>
    <row r="127">
      <c r="A127" s="70">
        <v>17.0</v>
      </c>
      <c r="B127" s="59" t="str">
        <f>VLOOKUP(A127, $A$3:$B$45, 2, FALSE)</f>
        <v>Volvo</v>
      </c>
      <c r="C127" s="60">
        <f t="shared" ref="C127:N127" si="85">IF(AND($R19&lt;C19,C19&lt;$Q19),C19,0)</f>
        <v>1004</v>
      </c>
      <c r="D127" s="60">
        <f t="shared" si="85"/>
        <v>1303</v>
      </c>
      <c r="E127" s="60">
        <f t="shared" si="85"/>
        <v>1889</v>
      </c>
      <c r="F127" s="60">
        <f t="shared" si="85"/>
        <v>1057</v>
      </c>
      <c r="G127" s="60">
        <f t="shared" si="85"/>
        <v>1518</v>
      </c>
      <c r="H127" s="60">
        <f t="shared" si="85"/>
        <v>1953</v>
      </c>
      <c r="I127" s="60">
        <f t="shared" si="85"/>
        <v>1308</v>
      </c>
      <c r="J127" s="60">
        <f t="shared" si="85"/>
        <v>1297</v>
      </c>
      <c r="K127" s="60">
        <f t="shared" si="85"/>
        <v>1592</v>
      </c>
      <c r="L127" s="60">
        <f t="shared" si="85"/>
        <v>1227</v>
      </c>
      <c r="M127" s="60">
        <f t="shared" si="85"/>
        <v>1645</v>
      </c>
      <c r="N127" s="60">
        <f t="shared" si="85"/>
        <v>2011</v>
      </c>
      <c r="O127" s="53"/>
      <c r="P127" s="43"/>
      <c r="Q127" s="61">
        <f>IFERROR(__xludf.DUMMYFUNCTION("LINEST(FILTER(C127:N127,C127:N127 &gt; 0))"),38.069930069930074)</f>
        <v>38.06993007</v>
      </c>
      <c r="R127" s="61">
        <f>IFERROR(__xludf.DUMMYFUNCTION("""COMPUTED_VALUE"""),1236.2121212121212)</f>
        <v>1236.212121</v>
      </c>
      <c r="S127" s="62" t="str">
        <f>IFS(R130&lt;10,"X",R130&lt;25,"Y",R130&gt;=25,"Z")</f>
        <v>Y</v>
      </c>
      <c r="T127" s="63" t="str">
        <f>IFS(R130&lt;25,"X",R130&lt;50,"Y",R130&gt;=50,"Z")</f>
        <v>X</v>
      </c>
      <c r="U127" s="63" t="str">
        <f>IFS(R130&lt;17.5,"X",R130&lt;42.5,"Y",R130&gt;=42.5,"Z")</f>
        <v>X</v>
      </c>
      <c r="V127" s="43"/>
      <c r="W127" s="43"/>
    </row>
    <row r="128">
      <c r="A128" s="64"/>
      <c r="B128" s="65" t="s">
        <v>98</v>
      </c>
      <c r="C128" s="66">
        <f t="shared" ref="C128:N128" si="86">(C127/($Q127*C$46+$R127))</f>
        <v>0.7878946415</v>
      </c>
      <c r="D128" s="66">
        <f t="shared" si="86"/>
        <v>0.9928738772</v>
      </c>
      <c r="E128" s="66">
        <f t="shared" si="86"/>
        <v>1.39882209</v>
      </c>
      <c r="F128" s="66">
        <f t="shared" si="86"/>
        <v>0.7612576239</v>
      </c>
      <c r="G128" s="66">
        <f t="shared" si="86"/>
        <v>1.064096929</v>
      </c>
      <c r="H128" s="66">
        <f t="shared" si="86"/>
        <v>1.333441027</v>
      </c>
      <c r="I128" s="66">
        <f t="shared" si="86"/>
        <v>0.870432275</v>
      </c>
      <c r="J128" s="66">
        <f t="shared" si="86"/>
        <v>0.8417860455</v>
      </c>
      <c r="K128" s="66">
        <f t="shared" si="86"/>
        <v>1.008334281</v>
      </c>
      <c r="L128" s="66">
        <f t="shared" si="86"/>
        <v>0.7588541854</v>
      </c>
      <c r="M128" s="66">
        <f t="shared" si="86"/>
        <v>0.9939689037</v>
      </c>
      <c r="N128" s="66">
        <f t="shared" si="86"/>
        <v>1.187796271</v>
      </c>
      <c r="O128" s="67"/>
      <c r="P128" s="43"/>
      <c r="Q128" s="68" t="s">
        <v>99</v>
      </c>
      <c r="R128" s="66">
        <f>SUM(C128:N128)</f>
        <v>11.99955815</v>
      </c>
      <c r="S128" s="64"/>
      <c r="T128" s="64"/>
      <c r="U128" s="64"/>
      <c r="V128" s="43"/>
      <c r="W128" s="43"/>
    </row>
    <row r="129">
      <c r="A129" s="64"/>
      <c r="B129" s="65" t="s">
        <v>100</v>
      </c>
      <c r="C129" s="66">
        <f t="shared" ref="C129:N129" si="87">C128*12/$R128</f>
        <v>0.7879236536</v>
      </c>
      <c r="D129" s="66">
        <f t="shared" si="87"/>
        <v>0.992910437</v>
      </c>
      <c r="E129" s="66">
        <f t="shared" si="87"/>
        <v>1.398873597</v>
      </c>
      <c r="F129" s="66">
        <f t="shared" si="87"/>
        <v>0.7612856551</v>
      </c>
      <c r="G129" s="66">
        <f t="shared" si="87"/>
        <v>1.064136111</v>
      </c>
      <c r="H129" s="66">
        <f t="shared" si="87"/>
        <v>1.333490127</v>
      </c>
      <c r="I129" s="66">
        <f t="shared" si="87"/>
        <v>0.8704643263</v>
      </c>
      <c r="J129" s="66">
        <f t="shared" si="87"/>
        <v>0.8418170419</v>
      </c>
      <c r="K129" s="66">
        <f t="shared" si="87"/>
        <v>1.00837141</v>
      </c>
      <c r="L129" s="66">
        <f t="shared" si="87"/>
        <v>0.7588821281</v>
      </c>
      <c r="M129" s="66">
        <f t="shared" si="87"/>
        <v>0.9940055038</v>
      </c>
      <c r="N129" s="66">
        <f t="shared" si="87"/>
        <v>1.187840009</v>
      </c>
      <c r="O129" s="66">
        <f>IF(N129&gt;0, N129, M129)</f>
        <v>1.187840009</v>
      </c>
      <c r="P129" s="43"/>
      <c r="Q129" s="68" t="s">
        <v>101</v>
      </c>
      <c r="R129" s="61">
        <f>SQRT(SUM((D130-D127)^2,(E130-E127)^2,(F130-F127)^2,(G130-G127)^2,(H130-H127)^2,(I130-I127)^2,(J130-J127)^2,(K130-K127)^2,(L130-L127)^2,(M130-M127)^2,(N130-N127)^2)/11)</f>
        <v>301.1543821</v>
      </c>
      <c r="S129" s="64"/>
      <c r="T129" s="64"/>
      <c r="U129" s="64"/>
      <c r="V129" s="43"/>
      <c r="W129" s="43"/>
    </row>
    <row r="130">
      <c r="A130" s="64"/>
      <c r="B130" s="65" t="s">
        <v>102</v>
      </c>
      <c r="C130" s="61">
        <f t="shared" ref="C130:N130" si="88">IF(C127&gt;0,$Q127*C$46+$R127,0)</f>
        <v>1274.282051</v>
      </c>
      <c r="D130" s="61">
        <f t="shared" si="88"/>
        <v>1312.351981</v>
      </c>
      <c r="E130" s="61">
        <f t="shared" si="88"/>
        <v>1350.421911</v>
      </c>
      <c r="F130" s="61">
        <f t="shared" si="88"/>
        <v>1388.491841</v>
      </c>
      <c r="G130" s="61">
        <f t="shared" si="88"/>
        <v>1426.561772</v>
      </c>
      <c r="H130" s="61">
        <f t="shared" si="88"/>
        <v>1464.631702</v>
      </c>
      <c r="I130" s="61">
        <f t="shared" si="88"/>
        <v>1502.701632</v>
      </c>
      <c r="J130" s="61">
        <f t="shared" si="88"/>
        <v>1540.771562</v>
      </c>
      <c r="K130" s="61">
        <f t="shared" si="88"/>
        <v>1578.841492</v>
      </c>
      <c r="L130" s="61">
        <f t="shared" si="88"/>
        <v>1616.911422</v>
      </c>
      <c r="M130" s="61">
        <f t="shared" si="88"/>
        <v>1654.981352</v>
      </c>
      <c r="N130" s="61">
        <f t="shared" si="88"/>
        <v>1693.051282</v>
      </c>
      <c r="O130" s="61">
        <f>$Q127*O$46+$R127</f>
        <v>1731.121212</v>
      </c>
      <c r="P130" s="43"/>
      <c r="Q130" s="68" t="s">
        <v>103</v>
      </c>
      <c r="R130" s="61">
        <f>100*R129/O131</f>
        <v>14.64548505</v>
      </c>
      <c r="S130" s="64"/>
      <c r="T130" s="64"/>
      <c r="U130" s="64"/>
      <c r="V130" s="43"/>
      <c r="W130" s="43"/>
    </row>
    <row r="131">
      <c r="A131" s="69"/>
      <c r="B131" s="65" t="s">
        <v>104</v>
      </c>
      <c r="C131" s="61">
        <f t="shared" ref="C131:O131" si="89">C130*C129</f>
        <v>1004.03697</v>
      </c>
      <c r="D131" s="61">
        <f t="shared" si="89"/>
        <v>1303.047979</v>
      </c>
      <c r="E131" s="61">
        <f t="shared" si="89"/>
        <v>1889.069557</v>
      </c>
      <c r="F131" s="61">
        <f t="shared" si="89"/>
        <v>1057.038921</v>
      </c>
      <c r="G131" s="61">
        <f t="shared" si="89"/>
        <v>1518.055896</v>
      </c>
      <c r="H131" s="61">
        <f t="shared" si="89"/>
        <v>1953.071914</v>
      </c>
      <c r="I131" s="61">
        <f t="shared" si="89"/>
        <v>1308.048163</v>
      </c>
      <c r="J131" s="61">
        <f t="shared" si="89"/>
        <v>1297.047758</v>
      </c>
      <c r="K131" s="61">
        <f t="shared" si="89"/>
        <v>1592.058621</v>
      </c>
      <c r="L131" s="61">
        <f t="shared" si="89"/>
        <v>1227.045181</v>
      </c>
      <c r="M131" s="61">
        <f t="shared" si="89"/>
        <v>1645.060573</v>
      </c>
      <c r="N131" s="61">
        <f t="shared" si="89"/>
        <v>2011.07405</v>
      </c>
      <c r="O131" s="61">
        <f t="shared" si="89"/>
        <v>2056.295036</v>
      </c>
      <c r="P131" s="43"/>
      <c r="Q131" s="53"/>
      <c r="R131" s="53"/>
      <c r="S131" s="69"/>
      <c r="T131" s="69"/>
      <c r="U131" s="69"/>
      <c r="V131" s="43"/>
      <c r="W131" s="43"/>
    </row>
    <row r="132">
      <c r="A132" s="70">
        <v>18.0</v>
      </c>
      <c r="B132" s="59" t="str">
        <f>VLOOKUP(A132, $A$3:$B$45, 2, FALSE)</f>
        <v>Jeep</v>
      </c>
      <c r="C132" s="60">
        <f t="shared" ref="C132:N132" si="90">IF(AND($R20&lt;C20,C20&lt;$Q20),C20,0)</f>
        <v>664</v>
      </c>
      <c r="D132" s="60">
        <f t="shared" si="90"/>
        <v>839</v>
      </c>
      <c r="E132" s="60">
        <f t="shared" si="90"/>
        <v>1319</v>
      </c>
      <c r="F132" s="60">
        <f t="shared" si="90"/>
        <v>655</v>
      </c>
      <c r="G132" s="60">
        <f t="shared" si="90"/>
        <v>900</v>
      </c>
      <c r="H132" s="60">
        <f t="shared" si="90"/>
        <v>1263</v>
      </c>
      <c r="I132" s="60">
        <f t="shared" si="90"/>
        <v>846</v>
      </c>
      <c r="J132" s="60">
        <f t="shared" si="90"/>
        <v>820</v>
      </c>
      <c r="K132" s="60">
        <f t="shared" si="90"/>
        <v>1217</v>
      </c>
      <c r="L132" s="60">
        <f t="shared" si="90"/>
        <v>803</v>
      </c>
      <c r="M132" s="60">
        <f t="shared" si="90"/>
        <v>985</v>
      </c>
      <c r="N132" s="60">
        <f t="shared" si="90"/>
        <v>1127</v>
      </c>
      <c r="O132" s="53"/>
      <c r="P132" s="43"/>
      <c r="Q132" s="61">
        <f>IFERROR(__xludf.DUMMYFUNCTION("LINEST(FILTER(C132:N132,C132:N132 &gt; 0))"),17.300699300699282)</f>
        <v>17.3006993</v>
      </c>
      <c r="R132" s="61">
        <f>IFERROR(__xludf.DUMMYFUNCTION("""COMPUTED_VALUE"""),840.7121212121216)</f>
        <v>840.7121212</v>
      </c>
      <c r="S132" s="62" t="str">
        <f>IFS(R135&lt;10,"X",R135&lt;25,"Y",R135&gt;=25,"Z")</f>
        <v>Y</v>
      </c>
      <c r="T132" s="63" t="str">
        <f>IFS(R135&lt;25,"X",R135&lt;50,"Y",R135&gt;=50,"Z")</f>
        <v>X</v>
      </c>
      <c r="U132" s="63" t="str">
        <f>IFS(R135&lt;17.5,"X",R135&lt;42.5,"Y",R135&gt;=42.5,"Z")</f>
        <v>Y</v>
      </c>
      <c r="V132" s="43"/>
      <c r="W132" s="43"/>
    </row>
    <row r="133">
      <c r="A133" s="64"/>
      <c r="B133" s="65" t="s">
        <v>98</v>
      </c>
      <c r="C133" s="66">
        <f t="shared" ref="C133:N133" si="91">(C132/($Q132*C$46+$R132))</f>
        <v>0.7738812103</v>
      </c>
      <c r="D133" s="66">
        <f t="shared" si="91"/>
        <v>0.9585136994</v>
      </c>
      <c r="E133" s="66">
        <f t="shared" si="91"/>
        <v>1.47768204</v>
      </c>
      <c r="F133" s="66">
        <f t="shared" si="91"/>
        <v>0.7198475228</v>
      </c>
      <c r="G133" s="66">
        <f t="shared" si="91"/>
        <v>0.9706480163</v>
      </c>
      <c r="H133" s="66">
        <f t="shared" si="91"/>
        <v>1.337192357</v>
      </c>
      <c r="I133" s="66">
        <f t="shared" si="91"/>
        <v>0.8795851868</v>
      </c>
      <c r="J133" s="66">
        <f t="shared" si="91"/>
        <v>0.8374886767</v>
      </c>
      <c r="K133" s="66">
        <f t="shared" si="91"/>
        <v>1.221374457</v>
      </c>
      <c r="L133" s="66">
        <f t="shared" si="91"/>
        <v>0.7921326418</v>
      </c>
      <c r="M133" s="66">
        <f t="shared" si="91"/>
        <v>0.9553647632</v>
      </c>
      <c r="N133" s="66">
        <f t="shared" si="91"/>
        <v>1.075052893</v>
      </c>
      <c r="O133" s="67"/>
      <c r="P133" s="43"/>
      <c r="Q133" s="68" t="s">
        <v>99</v>
      </c>
      <c r="R133" s="66">
        <f>SUM(C133:N133)</f>
        <v>11.99876346</v>
      </c>
      <c r="S133" s="64"/>
      <c r="T133" s="64"/>
      <c r="U133" s="64"/>
      <c r="V133" s="43"/>
      <c r="W133" s="43"/>
    </row>
    <row r="134">
      <c r="A134" s="64"/>
      <c r="B134" s="65" t="s">
        <v>100</v>
      </c>
      <c r="C134" s="66">
        <f t="shared" ref="C134:N134" si="92">C133*12/$R133</f>
        <v>0.7739609629</v>
      </c>
      <c r="D134" s="66">
        <f t="shared" si="92"/>
        <v>0.9586124793</v>
      </c>
      <c r="E134" s="66">
        <f t="shared" si="92"/>
        <v>1.477834323</v>
      </c>
      <c r="F134" s="66">
        <f t="shared" si="92"/>
        <v>0.719921707</v>
      </c>
      <c r="G134" s="66">
        <f t="shared" si="92"/>
        <v>0.9707480467</v>
      </c>
      <c r="H134" s="66">
        <f t="shared" si="92"/>
        <v>1.337330162</v>
      </c>
      <c r="I134" s="66">
        <f t="shared" si="92"/>
        <v>0.8796758328</v>
      </c>
      <c r="J134" s="66">
        <f t="shared" si="92"/>
        <v>0.8375749844</v>
      </c>
      <c r="K134" s="66">
        <f t="shared" si="92"/>
        <v>1.221500326</v>
      </c>
      <c r="L134" s="66">
        <f t="shared" si="92"/>
        <v>0.7922142753</v>
      </c>
      <c r="M134" s="66">
        <f t="shared" si="92"/>
        <v>0.9554632186</v>
      </c>
      <c r="N134" s="66">
        <f t="shared" si="92"/>
        <v>1.075163683</v>
      </c>
      <c r="O134" s="66">
        <f>IF(N134&gt;0, N134, M134)</f>
        <v>1.075163683</v>
      </c>
      <c r="P134" s="43"/>
      <c r="Q134" s="68" t="s">
        <v>101</v>
      </c>
      <c r="R134" s="61">
        <f>SQRT(SUM((D135-D132)^2,(E135-E132)^2,(F135-F132)^2,(G135-G132)^2,(H135-H132)^2,(I135-I132)^2,(J135-J132)^2,(K135-K132)^2,(L135-L132)^2,(M135-M132)^2,(N135-N132)^2)/11)</f>
        <v>211.1390671</v>
      </c>
      <c r="S134" s="64"/>
      <c r="T134" s="64"/>
      <c r="U134" s="64"/>
      <c r="V134" s="43"/>
      <c r="W134" s="43"/>
    </row>
    <row r="135">
      <c r="A135" s="64"/>
      <c r="B135" s="65" t="s">
        <v>102</v>
      </c>
      <c r="C135" s="61">
        <f t="shared" ref="C135:N135" si="93">IF(C132&gt;0,$Q132*C$46+$R132,0)</f>
        <v>858.0128205</v>
      </c>
      <c r="D135" s="61">
        <f t="shared" si="93"/>
        <v>875.3135198</v>
      </c>
      <c r="E135" s="61">
        <f t="shared" si="93"/>
        <v>892.6142191</v>
      </c>
      <c r="F135" s="61">
        <f t="shared" si="93"/>
        <v>909.9149184</v>
      </c>
      <c r="G135" s="61">
        <f t="shared" si="93"/>
        <v>927.2156177</v>
      </c>
      <c r="H135" s="61">
        <f t="shared" si="93"/>
        <v>944.516317</v>
      </c>
      <c r="I135" s="61">
        <f t="shared" si="93"/>
        <v>961.8170163</v>
      </c>
      <c r="J135" s="61">
        <f t="shared" si="93"/>
        <v>979.1177156</v>
      </c>
      <c r="K135" s="61">
        <f t="shared" si="93"/>
        <v>996.4184149</v>
      </c>
      <c r="L135" s="61">
        <f t="shared" si="93"/>
        <v>1013.719114</v>
      </c>
      <c r="M135" s="61">
        <f t="shared" si="93"/>
        <v>1031.019814</v>
      </c>
      <c r="N135" s="61">
        <f t="shared" si="93"/>
        <v>1048.320513</v>
      </c>
      <c r="O135" s="61">
        <f>$Q132*O$46+$R132</f>
        <v>1065.621212</v>
      </c>
      <c r="P135" s="43"/>
      <c r="Q135" s="68" t="s">
        <v>103</v>
      </c>
      <c r="R135" s="61">
        <f>100*R134/O136</f>
        <v>18.42854957</v>
      </c>
      <c r="S135" s="64"/>
      <c r="T135" s="64"/>
      <c r="U135" s="64"/>
      <c r="V135" s="43"/>
      <c r="W135" s="43"/>
    </row>
    <row r="136">
      <c r="A136" s="69"/>
      <c r="B136" s="65" t="s">
        <v>104</v>
      </c>
      <c r="C136" s="61">
        <f t="shared" ref="C136:O136" si="94">C135*C134</f>
        <v>664.0684287</v>
      </c>
      <c r="D136" s="61">
        <f t="shared" si="94"/>
        <v>839.0864634</v>
      </c>
      <c r="E136" s="61">
        <f t="shared" si="94"/>
        <v>1319.13593</v>
      </c>
      <c r="F136" s="61">
        <f t="shared" si="94"/>
        <v>655.0675012</v>
      </c>
      <c r="G136" s="61">
        <f t="shared" si="94"/>
        <v>900.0927498</v>
      </c>
      <c r="H136" s="61">
        <f t="shared" si="94"/>
        <v>1263.130159</v>
      </c>
      <c r="I136" s="61">
        <f t="shared" si="94"/>
        <v>846.0871848</v>
      </c>
      <c r="J136" s="61">
        <f t="shared" si="94"/>
        <v>820.0845054</v>
      </c>
      <c r="K136" s="61">
        <f t="shared" si="94"/>
        <v>1217.125418</v>
      </c>
      <c r="L136" s="61">
        <f t="shared" si="94"/>
        <v>803.0827534</v>
      </c>
      <c r="M136" s="61">
        <f t="shared" si="94"/>
        <v>985.1015095</v>
      </c>
      <c r="N136" s="61">
        <f t="shared" si="94"/>
        <v>1127.116143</v>
      </c>
      <c r="O136" s="61">
        <f t="shared" si="94"/>
        <v>1145.717227</v>
      </c>
      <c r="P136" s="43"/>
      <c r="Q136" s="53"/>
      <c r="R136" s="53"/>
      <c r="S136" s="69"/>
      <c r="T136" s="69"/>
      <c r="U136" s="69"/>
      <c r="V136" s="43"/>
      <c r="W136" s="43"/>
    </row>
    <row r="137">
      <c r="A137" s="70">
        <v>19.0</v>
      </c>
      <c r="B137" s="59" t="str">
        <f>VLOOKUP(A137, $A$3:$B$45, 2, FALSE)</f>
        <v>Peugeot</v>
      </c>
      <c r="C137" s="60">
        <f t="shared" ref="C137:N137" si="95">IF(AND($R21&lt;C21,C21&lt;$Q21),C21,0)</f>
        <v>669</v>
      </c>
      <c r="D137" s="60">
        <f t="shared" si="95"/>
        <v>770</v>
      </c>
      <c r="E137" s="61">
        <f t="shared" si="95"/>
        <v>0</v>
      </c>
      <c r="F137" s="60">
        <f t="shared" si="95"/>
        <v>631</v>
      </c>
      <c r="G137" s="60">
        <f t="shared" si="95"/>
        <v>725</v>
      </c>
      <c r="H137" s="60">
        <f t="shared" si="95"/>
        <v>1031</v>
      </c>
      <c r="I137" s="60">
        <f t="shared" si="95"/>
        <v>851</v>
      </c>
      <c r="J137" s="60">
        <f t="shared" si="95"/>
        <v>567</v>
      </c>
      <c r="K137" s="60">
        <f t="shared" si="95"/>
        <v>1047</v>
      </c>
      <c r="L137" s="60">
        <f t="shared" si="95"/>
        <v>578</v>
      </c>
      <c r="M137" s="60">
        <f t="shared" si="95"/>
        <v>784</v>
      </c>
      <c r="N137" s="60">
        <f t="shared" si="95"/>
        <v>823</v>
      </c>
      <c r="O137" s="53"/>
      <c r="P137" s="43"/>
      <c r="Q137" s="61">
        <f>IFERROR(__xludf.DUMMYFUNCTION("LINEST(FILTER(C137:N137,C137:N137 &gt; 0))"),7.699999999999995)</f>
        <v>7.7</v>
      </c>
      <c r="R137" s="61">
        <f>IFERROR(__xludf.DUMMYFUNCTION("""COMPUTED_VALUE"""),724.3454545454547)</f>
        <v>724.3454545</v>
      </c>
      <c r="S137" s="62" t="str">
        <f>IFS(R140&lt;10,"X",R140&lt;25,"Y",R140&gt;=25,"Z")</f>
        <v>Y</v>
      </c>
      <c r="T137" s="63" t="str">
        <f>IFS(R140&lt;25,"X",R140&lt;50,"Y",R140&gt;=50,"Z")</f>
        <v>X</v>
      </c>
      <c r="U137" s="63" t="str">
        <f>IFS(R140&lt;17.5,"X",R140&lt;42.5,"Y",R140&gt;=42.5,"Z")</f>
        <v>X</v>
      </c>
      <c r="V137" s="43"/>
      <c r="W137" s="43"/>
    </row>
    <row r="138">
      <c r="A138" s="64"/>
      <c r="B138" s="65" t="s">
        <v>98</v>
      </c>
      <c r="C138" s="66">
        <f t="shared" ref="C138:N138" si="96">(C137/($Q137*C$46+$R137))</f>
        <v>0.9138776777</v>
      </c>
      <c r="D138" s="66">
        <f t="shared" si="96"/>
        <v>1.040898589</v>
      </c>
      <c r="E138" s="66">
        <f t="shared" si="96"/>
        <v>0</v>
      </c>
      <c r="F138" s="66">
        <f t="shared" si="96"/>
        <v>0.8356006067</v>
      </c>
      <c r="G138" s="66">
        <f t="shared" si="96"/>
        <v>0.9503890935</v>
      </c>
      <c r="H138" s="66">
        <f t="shared" si="96"/>
        <v>1.338013214</v>
      </c>
      <c r="I138" s="66">
        <f t="shared" si="96"/>
        <v>1.093485346</v>
      </c>
      <c r="J138" s="66">
        <f t="shared" si="96"/>
        <v>0.7214241099</v>
      </c>
      <c r="K138" s="66">
        <f t="shared" si="96"/>
        <v>1.319228875</v>
      </c>
      <c r="L138" s="66">
        <f t="shared" si="96"/>
        <v>0.7212869265</v>
      </c>
      <c r="M138" s="66">
        <f t="shared" si="96"/>
        <v>0.9690432047</v>
      </c>
      <c r="N138" s="66">
        <f t="shared" si="96"/>
        <v>1.007657888</v>
      </c>
      <c r="O138" s="67"/>
      <c r="P138" s="43"/>
      <c r="Q138" s="68" t="s">
        <v>99</v>
      </c>
      <c r="R138" s="66">
        <f>SUM(C138:N138)</f>
        <v>10.91090553</v>
      </c>
      <c r="S138" s="64"/>
      <c r="T138" s="64"/>
      <c r="U138" s="64"/>
      <c r="V138" s="43"/>
      <c r="W138" s="43"/>
    </row>
    <row r="139">
      <c r="A139" s="64"/>
      <c r="B139" s="65" t="s">
        <v>100</v>
      </c>
      <c r="C139" s="66">
        <f t="shared" ref="C139:N139" si="97">C138*12/$R138</f>
        <v>1.005098257</v>
      </c>
      <c r="D139" s="66">
        <f t="shared" si="97"/>
        <v>1.144798022</v>
      </c>
      <c r="E139" s="66">
        <f t="shared" si="97"/>
        <v>0</v>
      </c>
      <c r="F139" s="66">
        <f t="shared" si="97"/>
        <v>0.9190077994</v>
      </c>
      <c r="G139" s="66">
        <f t="shared" si="97"/>
        <v>1.045254135</v>
      </c>
      <c r="H139" s="66">
        <f t="shared" si="97"/>
        <v>1.471569754</v>
      </c>
      <c r="I139" s="66">
        <f t="shared" si="97"/>
        <v>1.202633834</v>
      </c>
      <c r="J139" s="66">
        <f t="shared" si="97"/>
        <v>0.7934345408</v>
      </c>
      <c r="K139" s="66">
        <f t="shared" si="97"/>
        <v>1.450910417</v>
      </c>
      <c r="L139" s="66">
        <f t="shared" si="97"/>
        <v>0.7932836641</v>
      </c>
      <c r="M139" s="66">
        <f t="shared" si="97"/>
        <v>1.065770245</v>
      </c>
      <c r="N139" s="66">
        <f t="shared" si="97"/>
        <v>1.108239332</v>
      </c>
      <c r="O139" s="66">
        <f>IF(N139&gt;0, N139, M139)</f>
        <v>1.108239332</v>
      </c>
      <c r="P139" s="43"/>
      <c r="Q139" s="68" t="s">
        <v>101</v>
      </c>
      <c r="R139" s="61">
        <f>SQRT(SUM((D140-D137)^2,(E140-E137)^2,(F140-F137)^2,(G140-G137)^2,(H140-H137)^2,(I140-I137)^2,(J140-J137)^2,(K140-K137)^2,(L140-L137)^2,(M140-M137)^2,(N140-N137)^2)/11)</f>
        <v>151.8266739</v>
      </c>
      <c r="S139" s="64"/>
      <c r="T139" s="64"/>
      <c r="U139" s="64"/>
      <c r="V139" s="43"/>
      <c r="W139" s="43"/>
    </row>
    <row r="140">
      <c r="A140" s="64"/>
      <c r="B140" s="65" t="s">
        <v>102</v>
      </c>
      <c r="C140" s="61">
        <f t="shared" ref="C140:N140" si="98">IF(C137&gt;0,$Q137*C$46+$R137,0)</f>
        <v>732.0454545</v>
      </c>
      <c r="D140" s="61">
        <f t="shared" si="98"/>
        <v>739.7454545</v>
      </c>
      <c r="E140" s="61">
        <f t="shared" si="98"/>
        <v>0</v>
      </c>
      <c r="F140" s="61">
        <f t="shared" si="98"/>
        <v>755.1454545</v>
      </c>
      <c r="G140" s="61">
        <f t="shared" si="98"/>
        <v>762.8454545</v>
      </c>
      <c r="H140" s="61">
        <f t="shared" si="98"/>
        <v>770.5454545</v>
      </c>
      <c r="I140" s="61">
        <f t="shared" si="98"/>
        <v>778.2454545</v>
      </c>
      <c r="J140" s="61">
        <f t="shared" si="98"/>
        <v>785.9454545</v>
      </c>
      <c r="K140" s="61">
        <f t="shared" si="98"/>
        <v>793.6454545</v>
      </c>
      <c r="L140" s="61">
        <f t="shared" si="98"/>
        <v>801.3454545</v>
      </c>
      <c r="M140" s="61">
        <f t="shared" si="98"/>
        <v>809.0454545</v>
      </c>
      <c r="N140" s="61">
        <f t="shared" si="98"/>
        <v>816.7454545</v>
      </c>
      <c r="O140" s="61">
        <f>$Q137*O$46+$R137</f>
        <v>824.4454545</v>
      </c>
      <c r="P140" s="43"/>
      <c r="Q140" s="68" t="s">
        <v>103</v>
      </c>
      <c r="R140" s="61">
        <f>100*R139/O141</f>
        <v>16.61699887</v>
      </c>
      <c r="S140" s="64"/>
      <c r="T140" s="64"/>
      <c r="U140" s="64"/>
      <c r="V140" s="43"/>
      <c r="W140" s="43"/>
    </row>
    <row r="141">
      <c r="A141" s="69"/>
      <c r="B141" s="65" t="s">
        <v>104</v>
      </c>
      <c r="C141" s="61">
        <f t="shared" ref="C141:O141" si="99">C140*C139</f>
        <v>735.7776105</v>
      </c>
      <c r="D141" s="61">
        <f t="shared" si="99"/>
        <v>846.8591332</v>
      </c>
      <c r="E141" s="61">
        <f t="shared" si="99"/>
        <v>0</v>
      </c>
      <c r="F141" s="61">
        <f t="shared" si="99"/>
        <v>693.9845624</v>
      </c>
      <c r="G141" s="61">
        <f t="shared" si="99"/>
        <v>797.3673656</v>
      </c>
      <c r="H141" s="61">
        <f t="shared" si="99"/>
        <v>1133.911385</v>
      </c>
      <c r="I141" s="61">
        <f t="shared" si="99"/>
        <v>935.9443147</v>
      </c>
      <c r="J141" s="61">
        <f t="shared" si="99"/>
        <v>623.5962708</v>
      </c>
      <c r="K141" s="61">
        <f t="shared" si="99"/>
        <v>1151.508458</v>
      </c>
      <c r="L141" s="61">
        <f t="shared" si="99"/>
        <v>635.6942584</v>
      </c>
      <c r="M141" s="61">
        <f t="shared" si="99"/>
        <v>862.2565719</v>
      </c>
      <c r="N141" s="61">
        <f t="shared" si="99"/>
        <v>905.1494371</v>
      </c>
      <c r="O141" s="61">
        <f t="shared" si="99"/>
        <v>913.68288</v>
      </c>
      <c r="P141" s="43"/>
      <c r="Q141" s="53"/>
      <c r="R141" s="53"/>
      <c r="S141" s="69"/>
      <c r="T141" s="69"/>
      <c r="U141" s="69"/>
      <c r="V141" s="43"/>
      <c r="W141" s="43"/>
    </row>
    <row r="142">
      <c r="A142" s="70">
        <v>20.0</v>
      </c>
      <c r="B142" s="59" t="str">
        <f>VLOOKUP(A142, $A$3:$B$45, 2, FALSE)</f>
        <v>Renault</v>
      </c>
      <c r="C142" s="60">
        <f t="shared" ref="C142:N142" si="100">IF(AND($R22&lt;C22,C22&lt;$Q22),C22,0)</f>
        <v>491</v>
      </c>
      <c r="D142" s="60">
        <f t="shared" si="100"/>
        <v>644</v>
      </c>
      <c r="E142" s="61">
        <f t="shared" si="100"/>
        <v>0</v>
      </c>
      <c r="F142" s="60">
        <f t="shared" si="100"/>
        <v>407</v>
      </c>
      <c r="G142" s="60">
        <f t="shared" si="100"/>
        <v>434</v>
      </c>
      <c r="H142" s="60">
        <f t="shared" si="100"/>
        <v>663</v>
      </c>
      <c r="I142" s="60">
        <f t="shared" si="100"/>
        <v>590</v>
      </c>
      <c r="J142" s="60">
        <f t="shared" si="100"/>
        <v>478</v>
      </c>
      <c r="K142" s="60">
        <f t="shared" si="100"/>
        <v>759</v>
      </c>
      <c r="L142" s="60">
        <f t="shared" si="100"/>
        <v>532</v>
      </c>
      <c r="M142" s="60">
        <f t="shared" si="100"/>
        <v>586</v>
      </c>
      <c r="N142" s="60">
        <f t="shared" si="100"/>
        <v>605</v>
      </c>
      <c r="O142" s="53"/>
      <c r="P142" s="43"/>
      <c r="Q142" s="61">
        <f>IFERROR(__xludf.DUMMYFUNCTION("LINEST(FILTER(C142:N142,C142:N142 &gt; 0))"),10.709090909090916)</f>
        <v>10.70909091</v>
      </c>
      <c r="R142" s="61">
        <f>IFERROR(__xludf.DUMMYFUNCTION("""COMPUTED_VALUE"""),498.381818181818)</f>
        <v>498.3818182</v>
      </c>
      <c r="S142" s="62" t="str">
        <f>IFS(R145&lt;10,"X",R145&lt;25,"Y",R145&gt;=25,"Z")</f>
        <v>Y</v>
      </c>
      <c r="T142" s="63" t="str">
        <f>IFS(R145&lt;25,"X",R145&lt;50,"Y",R145&gt;=50,"Z")</f>
        <v>X</v>
      </c>
      <c r="U142" s="63" t="str">
        <f>IFS(R145&lt;17.5,"X",R145&lt;42.5,"Y",R145&gt;=42.5,"Z")</f>
        <v>X</v>
      </c>
      <c r="V142" s="43"/>
      <c r="W142" s="43"/>
    </row>
    <row r="143">
      <c r="A143" s="64"/>
      <c r="B143" s="65" t="s">
        <v>98</v>
      </c>
      <c r="C143" s="66">
        <f t="shared" ref="C143:N143" si="101">(C142/($Q142*C$46+$R142))</f>
        <v>0.9644642857</v>
      </c>
      <c r="D143" s="66">
        <f t="shared" si="101"/>
        <v>1.238938053</v>
      </c>
      <c r="E143" s="66">
        <f t="shared" si="101"/>
        <v>0</v>
      </c>
      <c r="F143" s="66">
        <f t="shared" si="101"/>
        <v>0.7520072564</v>
      </c>
      <c r="G143" s="66">
        <f t="shared" si="101"/>
        <v>0.7863354856</v>
      </c>
      <c r="H143" s="66">
        <f t="shared" si="101"/>
        <v>1.178380999</v>
      </c>
      <c r="I143" s="66">
        <f t="shared" si="101"/>
        <v>1.029048012</v>
      </c>
      <c r="J143" s="66">
        <f t="shared" si="101"/>
        <v>0.8184167108</v>
      </c>
      <c r="K143" s="66">
        <f t="shared" si="101"/>
        <v>1.276137197</v>
      </c>
      <c r="L143" s="66">
        <f t="shared" si="101"/>
        <v>0.8786522927</v>
      </c>
      <c r="M143" s="66">
        <f t="shared" si="101"/>
        <v>0.9510179994</v>
      </c>
      <c r="N143" s="66">
        <f t="shared" si="101"/>
        <v>0.9650801937</v>
      </c>
      <c r="O143" s="67"/>
      <c r="P143" s="43"/>
      <c r="Q143" s="68" t="s">
        <v>99</v>
      </c>
      <c r="R143" s="66">
        <f>SUM(C143:N143)</f>
        <v>10.83847848</v>
      </c>
      <c r="S143" s="64"/>
      <c r="T143" s="64"/>
      <c r="U143" s="64"/>
      <c r="V143" s="43"/>
      <c r="W143" s="43"/>
    </row>
    <row r="144">
      <c r="A144" s="64"/>
      <c r="B144" s="65" t="s">
        <v>100</v>
      </c>
      <c r="C144" s="66">
        <f t="shared" ref="C144:N144" si="102">C143*12/$R143</f>
        <v>1.067822522</v>
      </c>
      <c r="D144" s="66">
        <f t="shared" si="102"/>
        <v>1.371710675</v>
      </c>
      <c r="E144" s="66">
        <f t="shared" si="102"/>
        <v>0</v>
      </c>
      <c r="F144" s="66">
        <f t="shared" si="102"/>
        <v>0.8325972219</v>
      </c>
      <c r="G144" s="66">
        <f t="shared" si="102"/>
        <v>0.8706042864</v>
      </c>
      <c r="H144" s="66">
        <f t="shared" si="102"/>
        <v>1.304663934</v>
      </c>
      <c r="I144" s="66">
        <f t="shared" si="102"/>
        <v>1.139327458</v>
      </c>
      <c r="J144" s="66">
        <f t="shared" si="102"/>
        <v>0.9061235433</v>
      </c>
      <c r="K144" s="66">
        <f t="shared" si="102"/>
        <v>1.41289632</v>
      </c>
      <c r="L144" s="66">
        <f t="shared" si="102"/>
        <v>0.9728143602</v>
      </c>
      <c r="M144" s="66">
        <f t="shared" si="102"/>
        <v>1.052935244</v>
      </c>
      <c r="N144" s="66">
        <f t="shared" si="102"/>
        <v>1.068504435</v>
      </c>
      <c r="O144" s="66">
        <f>IF(N144&gt;0, N144, M144)</f>
        <v>1.068504435</v>
      </c>
      <c r="P144" s="43"/>
      <c r="Q144" s="68" t="s">
        <v>101</v>
      </c>
      <c r="R144" s="61">
        <f>SQRT(SUM((D145-D142)^2,(E145-E142)^2,(F145-F142)^2,(G145-G142)^2,(H145-H142)^2,(I145-I142)^2,(J145-J142)^2,(K145-K142)^2,(L145-L142)^2,(M145-M142)^2,(N145-N142)^2)/11)</f>
        <v>96.62805015</v>
      </c>
      <c r="S144" s="64"/>
      <c r="T144" s="64"/>
      <c r="U144" s="64"/>
      <c r="V144" s="43"/>
      <c r="W144" s="43"/>
    </row>
    <row r="145">
      <c r="A145" s="64"/>
      <c r="B145" s="65" t="s">
        <v>102</v>
      </c>
      <c r="C145" s="61">
        <f t="shared" ref="C145:N145" si="103">IF(C142&gt;0,$Q142*C$46+$R142,0)</f>
        <v>509.0909091</v>
      </c>
      <c r="D145" s="61">
        <f t="shared" si="103"/>
        <v>519.8</v>
      </c>
      <c r="E145" s="61">
        <f t="shared" si="103"/>
        <v>0</v>
      </c>
      <c r="F145" s="61">
        <f t="shared" si="103"/>
        <v>541.2181818</v>
      </c>
      <c r="G145" s="61">
        <f t="shared" si="103"/>
        <v>551.9272727</v>
      </c>
      <c r="H145" s="61">
        <f t="shared" si="103"/>
        <v>562.6363636</v>
      </c>
      <c r="I145" s="61">
        <f t="shared" si="103"/>
        <v>573.3454545</v>
      </c>
      <c r="J145" s="61">
        <f t="shared" si="103"/>
        <v>584.0545455</v>
      </c>
      <c r="K145" s="61">
        <f t="shared" si="103"/>
        <v>594.7636364</v>
      </c>
      <c r="L145" s="61">
        <f t="shared" si="103"/>
        <v>605.4727273</v>
      </c>
      <c r="M145" s="61">
        <f t="shared" si="103"/>
        <v>616.1818182</v>
      </c>
      <c r="N145" s="61">
        <f t="shared" si="103"/>
        <v>626.8909091</v>
      </c>
      <c r="O145" s="61">
        <f>$Q142*O$46+$R142</f>
        <v>637.6</v>
      </c>
      <c r="P145" s="43"/>
      <c r="Q145" s="68" t="s">
        <v>103</v>
      </c>
      <c r="R145" s="61">
        <f>100*R144/O146</f>
        <v>14.18334212</v>
      </c>
      <c r="S145" s="64"/>
      <c r="T145" s="64"/>
      <c r="U145" s="64"/>
      <c r="V145" s="43"/>
      <c r="W145" s="43"/>
    </row>
    <row r="146">
      <c r="A146" s="69"/>
      <c r="B146" s="65" t="s">
        <v>104</v>
      </c>
      <c r="C146" s="61">
        <f t="shared" ref="C146:O146" si="104">C145*C144</f>
        <v>543.6187384</v>
      </c>
      <c r="D146" s="61">
        <f t="shared" si="104"/>
        <v>713.0152088</v>
      </c>
      <c r="E146" s="61">
        <f t="shared" si="104"/>
        <v>0</v>
      </c>
      <c r="F146" s="61">
        <f t="shared" si="104"/>
        <v>450.6167546</v>
      </c>
      <c r="G146" s="61">
        <f t="shared" si="104"/>
        <v>480.5102494</v>
      </c>
      <c r="H146" s="61">
        <f t="shared" si="104"/>
        <v>734.0513718</v>
      </c>
      <c r="I146" s="61">
        <f t="shared" si="104"/>
        <v>653.2282192</v>
      </c>
      <c r="J146" s="61">
        <f t="shared" si="104"/>
        <v>529.2255742</v>
      </c>
      <c r="K146" s="61">
        <f t="shared" si="104"/>
        <v>840.3393532</v>
      </c>
      <c r="L146" s="61">
        <f t="shared" si="104"/>
        <v>589.0125638</v>
      </c>
      <c r="M146" s="61">
        <f t="shared" si="104"/>
        <v>648.7995533</v>
      </c>
      <c r="N146" s="61">
        <f t="shared" si="104"/>
        <v>669.8357163</v>
      </c>
      <c r="O146" s="61">
        <f t="shared" si="104"/>
        <v>681.2784275</v>
      </c>
      <c r="P146" s="43"/>
      <c r="Q146" s="53"/>
      <c r="R146" s="53"/>
      <c r="S146" s="69"/>
      <c r="T146" s="69"/>
      <c r="U146" s="69"/>
      <c r="V146" s="43"/>
      <c r="W146" s="43"/>
    </row>
    <row r="147">
      <c r="A147" s="70">
        <v>21.0</v>
      </c>
      <c r="B147" s="59" t="str">
        <f>VLOOKUP(A147, $A$3:$B$45, 2, FALSE)</f>
        <v>UD Trucks</v>
      </c>
      <c r="C147" s="60">
        <f t="shared" ref="C147:N147" si="105">IF(AND($R23&lt;C23,C23&lt;$Q23),C23,0)</f>
        <v>316</v>
      </c>
      <c r="D147" s="60">
        <f t="shared" si="105"/>
        <v>457</v>
      </c>
      <c r="E147" s="60">
        <f t="shared" si="105"/>
        <v>783</v>
      </c>
      <c r="F147" s="60">
        <f t="shared" si="105"/>
        <v>474</v>
      </c>
      <c r="G147" s="60">
        <f t="shared" si="105"/>
        <v>478</v>
      </c>
      <c r="H147" s="60">
        <f t="shared" si="105"/>
        <v>731</v>
      </c>
      <c r="I147" s="60">
        <f t="shared" si="105"/>
        <v>468</v>
      </c>
      <c r="J147" s="60">
        <f t="shared" si="105"/>
        <v>496</v>
      </c>
      <c r="K147" s="60">
        <f t="shared" si="105"/>
        <v>689</v>
      </c>
      <c r="L147" s="60">
        <f t="shared" si="105"/>
        <v>662</v>
      </c>
      <c r="M147" s="60">
        <f t="shared" si="105"/>
        <v>713</v>
      </c>
      <c r="N147" s="60">
        <f t="shared" si="105"/>
        <v>902</v>
      </c>
      <c r="O147" s="53"/>
      <c r="P147" s="43"/>
      <c r="Q147" s="61">
        <f>IFERROR(__xludf.DUMMYFUNCTION("LINEST(FILTER(C147:N147,C147:N147 &gt; 0))"),30.66083916083916)</f>
        <v>30.66083916</v>
      </c>
      <c r="R147" s="61">
        <f>IFERROR(__xludf.DUMMYFUNCTION("""COMPUTED_VALUE"""),398.12121212121224)</f>
        <v>398.1212121</v>
      </c>
      <c r="S147" s="62" t="str">
        <f>IFS(R150&lt;10,"X",R150&lt;25,"Y",R150&gt;=25,"Z")</f>
        <v>Y</v>
      </c>
      <c r="T147" s="63" t="str">
        <f>IFS(R150&lt;25,"X",R150&lt;50,"Y",R150&gt;=50,"Z")</f>
        <v>X</v>
      </c>
      <c r="U147" s="63" t="str">
        <f>IFS(R150&lt;17.5,"X",R150&lt;42.5,"Y",R150&gt;=42.5,"Z")</f>
        <v>X</v>
      </c>
      <c r="V147" s="43"/>
      <c r="W147" s="43"/>
    </row>
    <row r="148">
      <c r="A148" s="64"/>
      <c r="B148" s="65" t="s">
        <v>98</v>
      </c>
      <c r="C148" s="66">
        <f t="shared" ref="C148:N148" si="106">(C147/($Q147*C$46+$R147))</f>
        <v>0.7369711467</v>
      </c>
      <c r="D148" s="66">
        <f t="shared" si="106"/>
        <v>0.9946829291</v>
      </c>
      <c r="E148" s="66">
        <f t="shared" si="106"/>
        <v>1.597620978</v>
      </c>
      <c r="F148" s="66">
        <f t="shared" si="106"/>
        <v>0.9102001719</v>
      </c>
      <c r="G148" s="66">
        <f t="shared" si="106"/>
        <v>0.8668443513</v>
      </c>
      <c r="H148" s="66">
        <f t="shared" si="106"/>
        <v>1.255827644</v>
      </c>
      <c r="I148" s="66">
        <f t="shared" si="106"/>
        <v>0.7637735217</v>
      </c>
      <c r="J148" s="66">
        <f t="shared" si="106"/>
        <v>0.7708950736</v>
      </c>
      <c r="K148" s="66">
        <f t="shared" si="106"/>
        <v>1.022150908</v>
      </c>
      <c r="L148" s="66">
        <f t="shared" si="106"/>
        <v>0.9393673779</v>
      </c>
      <c r="M148" s="66">
        <f t="shared" si="106"/>
        <v>0.9695529863</v>
      </c>
      <c r="N148" s="66">
        <f t="shared" si="106"/>
        <v>1.177466863</v>
      </c>
      <c r="O148" s="67"/>
      <c r="P148" s="43"/>
      <c r="Q148" s="68" t="s">
        <v>99</v>
      </c>
      <c r="R148" s="66">
        <f>SUM(C148:N148)</f>
        <v>12.00535395</v>
      </c>
      <c r="S148" s="64"/>
      <c r="T148" s="64"/>
      <c r="U148" s="64"/>
      <c r="V148" s="43"/>
      <c r="W148" s="43"/>
    </row>
    <row r="149">
      <c r="A149" s="64"/>
      <c r="B149" s="65" t="s">
        <v>100</v>
      </c>
      <c r="C149" s="66">
        <f t="shared" ref="C149:N149" si="107">C148*12/$R148</f>
        <v>0.7366424843</v>
      </c>
      <c r="D149" s="66">
        <f t="shared" si="107"/>
        <v>0.9942393366</v>
      </c>
      <c r="E149" s="66">
        <f t="shared" si="107"/>
        <v>1.596908497</v>
      </c>
      <c r="F149" s="66">
        <f t="shared" si="107"/>
        <v>0.9097942557</v>
      </c>
      <c r="G149" s="66">
        <f t="shared" si="107"/>
        <v>0.8664577702</v>
      </c>
      <c r="H149" s="66">
        <f t="shared" si="107"/>
        <v>1.25526759</v>
      </c>
      <c r="I149" s="66">
        <f t="shared" si="107"/>
        <v>0.7634329065</v>
      </c>
      <c r="J149" s="66">
        <f t="shared" si="107"/>
        <v>0.7705512824</v>
      </c>
      <c r="K149" s="66">
        <f t="shared" si="107"/>
        <v>1.021695066</v>
      </c>
      <c r="L149" s="66">
        <f t="shared" si="107"/>
        <v>0.9389484542</v>
      </c>
      <c r="M149" s="66">
        <f t="shared" si="107"/>
        <v>0.9691206009</v>
      </c>
      <c r="N149" s="66">
        <f t="shared" si="107"/>
        <v>1.176941756</v>
      </c>
      <c r="O149" s="66">
        <f>IF(N149&gt;0, N149, M149)</f>
        <v>1.176941756</v>
      </c>
      <c r="P149" s="43"/>
      <c r="Q149" s="68" t="s">
        <v>101</v>
      </c>
      <c r="R149" s="61">
        <f>SQRT(SUM((D150-D147)^2,(E150-E147)^2,(F150-F147)^2,(G150-G147)^2,(H150-H147)^2,(I150-I147)^2,(J150-J147)^2,(K150-K147)^2,(L150-L147)^2,(M150-M147)^2,(N150-N147)^2)/11)</f>
        <v>127.6574523</v>
      </c>
      <c r="S149" s="64"/>
      <c r="T149" s="64"/>
      <c r="U149" s="64"/>
      <c r="V149" s="43"/>
      <c r="W149" s="43"/>
    </row>
    <row r="150">
      <c r="A150" s="64"/>
      <c r="B150" s="65" t="s">
        <v>102</v>
      </c>
      <c r="C150" s="61">
        <f t="shared" ref="C150:N150" si="108">IF(C147&gt;0,$Q147*C$46+$R147,0)</f>
        <v>428.7820513</v>
      </c>
      <c r="D150" s="61">
        <f t="shared" si="108"/>
        <v>459.4428904</v>
      </c>
      <c r="E150" s="61">
        <f t="shared" si="108"/>
        <v>490.1037296</v>
      </c>
      <c r="F150" s="61">
        <f t="shared" si="108"/>
        <v>520.7645688</v>
      </c>
      <c r="G150" s="61">
        <f t="shared" si="108"/>
        <v>551.4254079</v>
      </c>
      <c r="H150" s="61">
        <f t="shared" si="108"/>
        <v>582.0862471</v>
      </c>
      <c r="I150" s="61">
        <f t="shared" si="108"/>
        <v>612.7470862</v>
      </c>
      <c r="J150" s="61">
        <f t="shared" si="108"/>
        <v>643.4079254</v>
      </c>
      <c r="K150" s="61">
        <f t="shared" si="108"/>
        <v>674.0687646</v>
      </c>
      <c r="L150" s="61">
        <f t="shared" si="108"/>
        <v>704.7296037</v>
      </c>
      <c r="M150" s="61">
        <f t="shared" si="108"/>
        <v>735.3904429</v>
      </c>
      <c r="N150" s="61">
        <f t="shared" si="108"/>
        <v>766.0512821</v>
      </c>
      <c r="O150" s="61">
        <f>$Q147*O$46+$R147</f>
        <v>796.7121212</v>
      </c>
      <c r="P150" s="43"/>
      <c r="Q150" s="68" t="s">
        <v>103</v>
      </c>
      <c r="R150" s="61">
        <f>100*R149/O151</f>
        <v>13.61412635</v>
      </c>
      <c r="S150" s="64"/>
      <c r="T150" s="64"/>
      <c r="U150" s="64"/>
      <c r="V150" s="43"/>
      <c r="W150" s="43"/>
    </row>
    <row r="151">
      <c r="A151" s="69"/>
      <c r="B151" s="65" t="s">
        <v>104</v>
      </c>
      <c r="C151" s="61">
        <f t="shared" ref="C151:O151" si="109">C150*C149</f>
        <v>315.8590755</v>
      </c>
      <c r="D151" s="61">
        <f t="shared" si="109"/>
        <v>456.7961946</v>
      </c>
      <c r="E151" s="61">
        <f t="shared" si="109"/>
        <v>782.6508104</v>
      </c>
      <c r="F151" s="61">
        <f t="shared" si="109"/>
        <v>473.7886132</v>
      </c>
      <c r="G151" s="61">
        <f t="shared" si="109"/>
        <v>477.7868294</v>
      </c>
      <c r="H151" s="61">
        <f t="shared" si="109"/>
        <v>730.6740006</v>
      </c>
      <c r="I151" s="61">
        <f t="shared" si="109"/>
        <v>467.791289</v>
      </c>
      <c r="J151" s="61">
        <f t="shared" si="109"/>
        <v>495.778802</v>
      </c>
      <c r="K151" s="61">
        <f t="shared" si="109"/>
        <v>688.692731</v>
      </c>
      <c r="L151" s="61">
        <f t="shared" si="109"/>
        <v>661.7047721</v>
      </c>
      <c r="M151" s="61">
        <f t="shared" si="109"/>
        <v>712.6820279</v>
      </c>
      <c r="N151" s="61">
        <f t="shared" si="109"/>
        <v>901.5977408</v>
      </c>
      <c r="O151" s="61">
        <f t="shared" si="109"/>
        <v>937.6837626</v>
      </c>
      <c r="P151" s="43"/>
      <c r="Q151" s="53"/>
      <c r="R151" s="53"/>
      <c r="S151" s="69"/>
      <c r="T151" s="69"/>
      <c r="U151" s="69"/>
      <c r="V151" s="43"/>
      <c r="W151" s="43"/>
    </row>
    <row r="152">
      <c r="A152" s="70">
        <v>22.0</v>
      </c>
      <c r="B152" s="59" t="str">
        <f>VLOOKUP(A152, $A$3:$B$45, 2, FALSE)</f>
        <v>Porsche</v>
      </c>
      <c r="C152" s="60">
        <f t="shared" ref="C152:N152" si="110">IF(AND($R24&lt;C24,C24&lt;$Q24),C24,0)</f>
        <v>490</v>
      </c>
      <c r="D152" s="60">
        <f t="shared" si="110"/>
        <v>461</v>
      </c>
      <c r="E152" s="60">
        <f t="shared" si="110"/>
        <v>974</v>
      </c>
      <c r="F152" s="60">
        <f t="shared" si="110"/>
        <v>445</v>
      </c>
      <c r="G152" s="60">
        <f t="shared" si="110"/>
        <v>410</v>
      </c>
      <c r="H152" s="60">
        <f t="shared" si="110"/>
        <v>773</v>
      </c>
      <c r="I152" s="60">
        <f t="shared" si="110"/>
        <v>392</v>
      </c>
      <c r="J152" s="60">
        <f t="shared" si="110"/>
        <v>482</v>
      </c>
      <c r="K152" s="60">
        <f t="shared" si="110"/>
        <v>836</v>
      </c>
      <c r="L152" s="60">
        <f t="shared" si="110"/>
        <v>479</v>
      </c>
      <c r="M152" s="60">
        <f t="shared" si="110"/>
        <v>549</v>
      </c>
      <c r="N152" s="60">
        <f t="shared" si="110"/>
        <v>875</v>
      </c>
      <c r="O152" s="53"/>
      <c r="P152" s="43"/>
      <c r="Q152" s="61">
        <f>IFERROR(__xludf.DUMMYFUNCTION("LINEST(FILTER(C152:N152,C152:N152 &gt; 0))"),11.720279720279711)</f>
        <v>11.72027972</v>
      </c>
      <c r="R152" s="61">
        <f>IFERROR(__xludf.DUMMYFUNCTION("""COMPUTED_VALUE"""),520.9848484848486)</f>
        <v>520.9848485</v>
      </c>
      <c r="S152" s="62" t="str">
        <f>IFS(R155&lt;10,"X",R155&lt;25,"Y",R155&gt;=25,"Z")</f>
        <v>Y</v>
      </c>
      <c r="T152" s="63" t="str">
        <f>IFS(R155&lt;25,"X",R155&lt;50,"Y",R155&gt;=50,"Z")</f>
        <v>X</v>
      </c>
      <c r="U152" s="63" t="str">
        <f>IFS(R155&lt;17.5,"X",R155&lt;42.5,"Y",R155&gt;=42.5,"Z")</f>
        <v>Y</v>
      </c>
      <c r="V152" s="43"/>
      <c r="W152" s="43"/>
    </row>
    <row r="153">
      <c r="A153" s="64"/>
      <c r="B153" s="65" t="s">
        <v>98</v>
      </c>
      <c r="C153" s="66">
        <f t="shared" ref="C153:N153" si="111">(C152/($Q152*C$46+$R152))</f>
        <v>0.9198334577</v>
      </c>
      <c r="D153" s="66">
        <f t="shared" si="111"/>
        <v>0.846764301</v>
      </c>
      <c r="E153" s="66">
        <f t="shared" si="111"/>
        <v>1.751339661</v>
      </c>
      <c r="F153" s="66">
        <f t="shared" si="111"/>
        <v>0.783635621</v>
      </c>
      <c r="G153" s="66">
        <f t="shared" si="111"/>
        <v>0.7074011885</v>
      </c>
      <c r="H153" s="66">
        <f t="shared" si="111"/>
        <v>1.307274594</v>
      </c>
      <c r="I153" s="66">
        <f t="shared" si="111"/>
        <v>0.6500540204</v>
      </c>
      <c r="J153" s="66">
        <f t="shared" si="111"/>
        <v>0.7840622766</v>
      </c>
      <c r="K153" s="66">
        <f t="shared" si="111"/>
        <v>1.334466958</v>
      </c>
      <c r="L153" s="66">
        <f t="shared" si="111"/>
        <v>0.7505629469</v>
      </c>
      <c r="M153" s="66">
        <f t="shared" si="111"/>
        <v>0.8447350441</v>
      </c>
      <c r="N153" s="66">
        <f t="shared" si="111"/>
        <v>1.32249501</v>
      </c>
      <c r="O153" s="67"/>
      <c r="P153" s="43"/>
      <c r="Q153" s="68" t="s">
        <v>99</v>
      </c>
      <c r="R153" s="66">
        <f>SUM(C153:N153)</f>
        <v>12.00262508</v>
      </c>
      <c r="S153" s="64"/>
      <c r="T153" s="64"/>
      <c r="U153" s="64"/>
      <c r="V153" s="43"/>
      <c r="W153" s="43"/>
    </row>
    <row r="154">
      <c r="A154" s="64"/>
      <c r="B154" s="65" t="s">
        <v>100</v>
      </c>
      <c r="C154" s="66">
        <f t="shared" ref="C154:N154" si="112">C153*12/$R153</f>
        <v>0.919632282</v>
      </c>
      <c r="D154" s="66">
        <f t="shared" si="112"/>
        <v>0.8465791062</v>
      </c>
      <c r="E154" s="66">
        <f t="shared" si="112"/>
        <v>1.750956628</v>
      </c>
      <c r="F154" s="66">
        <f t="shared" si="112"/>
        <v>0.783464233</v>
      </c>
      <c r="G154" s="66">
        <f t="shared" si="112"/>
        <v>0.7072464736</v>
      </c>
      <c r="H154" s="66">
        <f t="shared" si="112"/>
        <v>1.306988682</v>
      </c>
      <c r="I154" s="66">
        <f t="shared" si="112"/>
        <v>0.6499118479</v>
      </c>
      <c r="J154" s="66">
        <f t="shared" si="112"/>
        <v>0.7838907953</v>
      </c>
      <c r="K154" s="66">
        <f t="shared" si="112"/>
        <v>1.334175098</v>
      </c>
      <c r="L154" s="66">
        <f t="shared" si="112"/>
        <v>0.7503987922</v>
      </c>
      <c r="M154" s="66">
        <f t="shared" si="112"/>
        <v>0.8445502931</v>
      </c>
      <c r="N154" s="66">
        <f t="shared" si="112"/>
        <v>1.322205769</v>
      </c>
      <c r="O154" s="66">
        <f>IF(N154&gt;0, N154, M154)</f>
        <v>1.322205769</v>
      </c>
      <c r="P154" s="43"/>
      <c r="Q154" s="68" t="s">
        <v>101</v>
      </c>
      <c r="R154" s="61">
        <f>SQRT(SUM((D155-D152)^2,(E155-E152)^2,(F155-F152)^2,(G155-G152)^2,(H155-H152)^2,(I155-I152)^2,(J155-J152)^2,(K155-K152)^2,(L155-L152)^2,(M155-M152)^2,(N155-N152)^2)/11)</f>
        <v>201.25487</v>
      </c>
      <c r="S154" s="64"/>
      <c r="T154" s="64"/>
      <c r="U154" s="64"/>
      <c r="V154" s="43"/>
      <c r="W154" s="43"/>
    </row>
    <row r="155">
      <c r="A155" s="64"/>
      <c r="B155" s="65" t="s">
        <v>102</v>
      </c>
      <c r="C155" s="61">
        <f t="shared" ref="C155:N155" si="113">IF(C152&gt;0,$Q152*C$46+$R152,0)</f>
        <v>532.7051282</v>
      </c>
      <c r="D155" s="61">
        <f t="shared" si="113"/>
        <v>544.4254079</v>
      </c>
      <c r="E155" s="61">
        <f t="shared" si="113"/>
        <v>556.1456876</v>
      </c>
      <c r="F155" s="61">
        <f t="shared" si="113"/>
        <v>567.8659674</v>
      </c>
      <c r="G155" s="61">
        <f t="shared" si="113"/>
        <v>579.5862471</v>
      </c>
      <c r="H155" s="61">
        <f t="shared" si="113"/>
        <v>591.3065268</v>
      </c>
      <c r="I155" s="61">
        <f t="shared" si="113"/>
        <v>603.0268065</v>
      </c>
      <c r="J155" s="61">
        <f t="shared" si="113"/>
        <v>614.7470862</v>
      </c>
      <c r="K155" s="61">
        <f t="shared" si="113"/>
        <v>626.467366</v>
      </c>
      <c r="L155" s="61">
        <f t="shared" si="113"/>
        <v>638.1876457</v>
      </c>
      <c r="M155" s="61">
        <f t="shared" si="113"/>
        <v>649.9079254</v>
      </c>
      <c r="N155" s="61">
        <f t="shared" si="113"/>
        <v>661.6282051</v>
      </c>
      <c r="O155" s="61">
        <f>$Q152*O$46+$R152</f>
        <v>673.3484848</v>
      </c>
      <c r="P155" s="43"/>
      <c r="Q155" s="68" t="s">
        <v>103</v>
      </c>
      <c r="R155" s="61">
        <f>100*R154/O156</f>
        <v>22.60515365</v>
      </c>
      <c r="S155" s="64"/>
      <c r="T155" s="64"/>
      <c r="U155" s="64"/>
      <c r="V155" s="43"/>
      <c r="W155" s="43"/>
    </row>
    <row r="156">
      <c r="A156" s="69"/>
      <c r="B156" s="65" t="s">
        <v>104</v>
      </c>
      <c r="C156" s="61">
        <f t="shared" ref="C156:O156" si="114">C155*C154</f>
        <v>489.8928327</v>
      </c>
      <c r="D156" s="61">
        <f t="shared" si="114"/>
        <v>460.8991752</v>
      </c>
      <c r="E156" s="61">
        <f t="shared" si="114"/>
        <v>973.7869776</v>
      </c>
      <c r="F156" s="61">
        <f t="shared" si="114"/>
        <v>444.9026746</v>
      </c>
      <c r="G156" s="61">
        <f t="shared" si="114"/>
        <v>409.9103294</v>
      </c>
      <c r="H156" s="61">
        <f t="shared" si="114"/>
        <v>772.8309381</v>
      </c>
      <c r="I156" s="61">
        <f t="shared" si="114"/>
        <v>391.9142662</v>
      </c>
      <c r="J156" s="61">
        <f t="shared" si="114"/>
        <v>481.8945824</v>
      </c>
      <c r="K156" s="61">
        <f t="shared" si="114"/>
        <v>835.8171595</v>
      </c>
      <c r="L156" s="61">
        <f t="shared" si="114"/>
        <v>478.8952385</v>
      </c>
      <c r="M156" s="61">
        <f t="shared" si="114"/>
        <v>548.8799289</v>
      </c>
      <c r="N156" s="61">
        <f t="shared" si="114"/>
        <v>874.8086298</v>
      </c>
      <c r="O156" s="61">
        <f t="shared" si="114"/>
        <v>890.3052513</v>
      </c>
      <c r="P156" s="43"/>
      <c r="Q156" s="53"/>
      <c r="R156" s="53"/>
      <c r="S156" s="69"/>
      <c r="T156" s="69"/>
      <c r="U156" s="69"/>
      <c r="V156" s="43"/>
      <c r="W156" s="43"/>
    </row>
    <row r="157">
      <c r="A157" s="70">
        <v>23.0</v>
      </c>
      <c r="B157" s="59" t="str">
        <f>VLOOKUP(A157, $A$3:$B$45, 2, FALSE)</f>
        <v>Fiat</v>
      </c>
      <c r="C157" s="60">
        <f t="shared" ref="C157:N157" si="115">IF(AND($R25&lt;C25,C25&lt;$Q25),C25,0)</f>
        <v>302</v>
      </c>
      <c r="D157" s="60">
        <f t="shared" si="115"/>
        <v>422</v>
      </c>
      <c r="E157" s="61">
        <f t="shared" si="115"/>
        <v>0</v>
      </c>
      <c r="F157" s="60">
        <f t="shared" si="115"/>
        <v>376</v>
      </c>
      <c r="G157" s="60">
        <f t="shared" si="115"/>
        <v>478</v>
      </c>
      <c r="H157" s="60">
        <f t="shared" si="115"/>
        <v>699</v>
      </c>
      <c r="I157" s="60">
        <f t="shared" si="115"/>
        <v>492</v>
      </c>
      <c r="J157" s="60">
        <f t="shared" si="115"/>
        <v>373</v>
      </c>
      <c r="K157" s="60">
        <f t="shared" si="115"/>
        <v>587</v>
      </c>
      <c r="L157" s="60">
        <f t="shared" si="115"/>
        <v>447</v>
      </c>
      <c r="M157" s="60">
        <f t="shared" si="115"/>
        <v>490</v>
      </c>
      <c r="N157" s="60">
        <f t="shared" si="115"/>
        <v>572</v>
      </c>
      <c r="O157" s="53"/>
      <c r="P157" s="43"/>
      <c r="Q157" s="61">
        <f>IFERROR(__xludf.DUMMYFUNCTION("LINEST(FILTER(C157:N157,C157:N157 &gt; 0))"),15.700000000000003)</f>
        <v>15.7</v>
      </c>
      <c r="R157" s="61">
        <f>IFERROR(__xludf.DUMMYFUNCTION("""COMPUTED_VALUE"""),381.9818181818182)</f>
        <v>381.9818182</v>
      </c>
      <c r="S157" s="62" t="str">
        <f>IFS(R160&lt;10,"X",R160&lt;25,"Y",R160&gt;=25,"Z")</f>
        <v>Y</v>
      </c>
      <c r="T157" s="63" t="str">
        <f>IFS(R160&lt;25,"X",R160&lt;50,"Y",R160&gt;=50,"Z")</f>
        <v>X</v>
      </c>
      <c r="U157" s="63" t="str">
        <f>IFS(R160&lt;17.5,"X",R160&lt;42.5,"Y",R160&gt;=42.5,"Z")</f>
        <v>X</v>
      </c>
      <c r="V157" s="43"/>
      <c r="W157" s="43"/>
    </row>
    <row r="158">
      <c r="A158" s="64"/>
      <c r="B158" s="65" t="s">
        <v>98</v>
      </c>
      <c r="C158" s="66">
        <f t="shared" ref="C158:N158" si="116">(C157/($Q157*C$46+$R157))</f>
        <v>0.7594010744</v>
      </c>
      <c r="D158" s="66">
        <f t="shared" si="116"/>
        <v>1.020847994</v>
      </c>
      <c r="E158" s="66">
        <f t="shared" si="116"/>
        <v>0</v>
      </c>
      <c r="F158" s="66">
        <f t="shared" si="116"/>
        <v>0.8453582962</v>
      </c>
      <c r="G158" s="66">
        <f t="shared" si="116"/>
        <v>1.038043156</v>
      </c>
      <c r="H158" s="66">
        <f t="shared" si="116"/>
        <v>1.46792669</v>
      </c>
      <c r="I158" s="66">
        <f t="shared" si="116"/>
        <v>1.000240265</v>
      </c>
      <c r="J158" s="66">
        <f t="shared" si="116"/>
        <v>0.7348568972</v>
      </c>
      <c r="K158" s="66">
        <f t="shared" si="116"/>
        <v>1.121766474</v>
      </c>
      <c r="L158" s="66">
        <f t="shared" si="116"/>
        <v>0.8293415194</v>
      </c>
      <c r="M158" s="66">
        <f t="shared" si="116"/>
        <v>0.8833893305</v>
      </c>
      <c r="N158" s="66">
        <f t="shared" si="116"/>
        <v>1.002837015</v>
      </c>
      <c r="O158" s="67"/>
      <c r="P158" s="43"/>
      <c r="Q158" s="68" t="s">
        <v>99</v>
      </c>
      <c r="R158" s="66">
        <f>SUM(C158:N158)</f>
        <v>10.70400871</v>
      </c>
      <c r="S158" s="64"/>
      <c r="T158" s="64"/>
      <c r="U158" s="64"/>
      <c r="V158" s="43"/>
      <c r="W158" s="43"/>
    </row>
    <row r="159">
      <c r="A159" s="64"/>
      <c r="B159" s="65" t="s">
        <v>100</v>
      </c>
      <c r="C159" s="66">
        <f t="shared" ref="C159:N159" si="117">C158*12/$R158</f>
        <v>0.8513458031</v>
      </c>
      <c r="D159" s="66">
        <f t="shared" si="117"/>
        <v>1.144447493</v>
      </c>
      <c r="E159" s="66">
        <f t="shared" si="117"/>
        <v>0</v>
      </c>
      <c r="F159" s="66">
        <f t="shared" si="117"/>
        <v>0.9477103231</v>
      </c>
      <c r="G159" s="66">
        <f t="shared" si="117"/>
        <v>1.163724565</v>
      </c>
      <c r="H159" s="66">
        <f t="shared" si="117"/>
        <v>1.645656384</v>
      </c>
      <c r="I159" s="66">
        <f t="shared" si="117"/>
        <v>1.121344676</v>
      </c>
      <c r="J159" s="66">
        <f t="shared" si="117"/>
        <v>0.8238299318</v>
      </c>
      <c r="K159" s="66">
        <f t="shared" si="117"/>
        <v>1.257584709</v>
      </c>
      <c r="L159" s="66">
        <f t="shared" si="117"/>
        <v>0.9297543099</v>
      </c>
      <c r="M159" s="66">
        <f t="shared" si="117"/>
        <v>0.9903459771</v>
      </c>
      <c r="N159" s="66">
        <f t="shared" si="117"/>
        <v>1.124255828</v>
      </c>
      <c r="O159" s="66">
        <f>IF(N159&gt;0, N159, M159)</f>
        <v>1.124255828</v>
      </c>
      <c r="P159" s="43"/>
      <c r="Q159" s="68" t="s">
        <v>101</v>
      </c>
      <c r="R159" s="61">
        <f>SQRT(SUM((D160-D157)^2,(E160-E157)^2,(F160-F157)^2,(G160-G157)^2,(H160-H157)^2,(I160-I157)^2,(J160-J157)^2,(K160-K157)^2,(L160-L157)^2,(M160-M157)^2,(N160-N157)^2)/11)</f>
        <v>90.2417651</v>
      </c>
      <c r="S159" s="64"/>
      <c r="T159" s="64"/>
      <c r="U159" s="64"/>
      <c r="V159" s="43"/>
      <c r="W159" s="43"/>
    </row>
    <row r="160">
      <c r="A160" s="64"/>
      <c r="B160" s="65" t="s">
        <v>102</v>
      </c>
      <c r="C160" s="61">
        <f t="shared" ref="C160:N160" si="118">IF(C157&gt;0,$Q157*C$46+$R157,0)</f>
        <v>397.6818182</v>
      </c>
      <c r="D160" s="61">
        <f t="shared" si="118"/>
        <v>413.3818182</v>
      </c>
      <c r="E160" s="61">
        <f t="shared" si="118"/>
        <v>0</v>
      </c>
      <c r="F160" s="61">
        <f t="shared" si="118"/>
        <v>444.7818182</v>
      </c>
      <c r="G160" s="61">
        <f t="shared" si="118"/>
        <v>460.4818182</v>
      </c>
      <c r="H160" s="61">
        <f t="shared" si="118"/>
        <v>476.1818182</v>
      </c>
      <c r="I160" s="61">
        <f t="shared" si="118"/>
        <v>491.8818182</v>
      </c>
      <c r="J160" s="61">
        <f t="shared" si="118"/>
        <v>507.5818182</v>
      </c>
      <c r="K160" s="61">
        <f t="shared" si="118"/>
        <v>523.2818182</v>
      </c>
      <c r="L160" s="61">
        <f t="shared" si="118"/>
        <v>538.9818182</v>
      </c>
      <c r="M160" s="61">
        <f t="shared" si="118"/>
        <v>554.6818182</v>
      </c>
      <c r="N160" s="61">
        <f t="shared" si="118"/>
        <v>570.3818182</v>
      </c>
      <c r="O160" s="61">
        <f>$Q157*O$46+$R157</f>
        <v>586.0818182</v>
      </c>
      <c r="P160" s="43"/>
      <c r="Q160" s="68" t="s">
        <v>103</v>
      </c>
      <c r="R160" s="61">
        <f>100*R159/O161</f>
        <v>13.69569845</v>
      </c>
      <c r="S160" s="64"/>
      <c r="T160" s="64"/>
      <c r="U160" s="64"/>
      <c r="V160" s="43"/>
      <c r="W160" s="43"/>
    </row>
    <row r="161">
      <c r="A161" s="69"/>
      <c r="B161" s="65" t="s">
        <v>104</v>
      </c>
      <c r="C161" s="61">
        <f t="shared" ref="C161:O161" si="119">C160*C159</f>
        <v>338.5647469</v>
      </c>
      <c r="D161" s="61">
        <f t="shared" si="119"/>
        <v>473.0937854</v>
      </c>
      <c r="E161" s="61">
        <f t="shared" si="119"/>
        <v>0</v>
      </c>
      <c r="F161" s="61">
        <f t="shared" si="119"/>
        <v>421.5243206</v>
      </c>
      <c r="G161" s="61">
        <f t="shared" si="119"/>
        <v>535.8740033</v>
      </c>
      <c r="H161" s="61">
        <f t="shared" si="119"/>
        <v>783.6316492</v>
      </c>
      <c r="I161" s="61">
        <f t="shared" si="119"/>
        <v>551.5690578</v>
      </c>
      <c r="J161" s="61">
        <f t="shared" si="119"/>
        <v>418.1610947</v>
      </c>
      <c r="K161" s="61">
        <f t="shared" si="119"/>
        <v>658.0712133</v>
      </c>
      <c r="L161" s="61">
        <f t="shared" si="119"/>
        <v>501.1206684</v>
      </c>
      <c r="M161" s="61">
        <f t="shared" si="119"/>
        <v>549.3269072</v>
      </c>
      <c r="N161" s="61">
        <f t="shared" si="119"/>
        <v>641.2550835</v>
      </c>
      <c r="O161" s="61">
        <f t="shared" si="119"/>
        <v>658.9059</v>
      </c>
      <c r="P161" s="43"/>
      <c r="Q161" s="53"/>
      <c r="R161" s="53"/>
      <c r="S161" s="69"/>
      <c r="T161" s="69"/>
      <c r="U161" s="69"/>
      <c r="V161" s="43"/>
      <c r="W161" s="43"/>
    </row>
    <row r="162">
      <c r="A162" s="70">
        <v>24.0</v>
      </c>
      <c r="B162" s="59" t="str">
        <f>VLOOKUP(A162, $A$3:$B$45, 2, FALSE)</f>
        <v>Land Rover</v>
      </c>
      <c r="C162" s="60">
        <f t="shared" ref="C162:N162" si="120">IF(AND($R26&lt;C26,C26&lt;$Q26),C26,0)</f>
        <v>142</v>
      </c>
      <c r="D162" s="60">
        <f t="shared" si="120"/>
        <v>293</v>
      </c>
      <c r="E162" s="61">
        <f t="shared" si="120"/>
        <v>0</v>
      </c>
      <c r="F162" s="60">
        <f t="shared" si="120"/>
        <v>222</v>
      </c>
      <c r="G162" s="60">
        <f t="shared" si="120"/>
        <v>267</v>
      </c>
      <c r="H162" s="60">
        <f t="shared" si="120"/>
        <v>332</v>
      </c>
      <c r="I162" s="60">
        <f t="shared" si="120"/>
        <v>303</v>
      </c>
      <c r="J162" s="60">
        <f t="shared" si="120"/>
        <v>213</v>
      </c>
      <c r="K162" s="60">
        <f t="shared" si="120"/>
        <v>442</v>
      </c>
      <c r="L162" s="60">
        <f t="shared" si="120"/>
        <v>183</v>
      </c>
      <c r="M162" s="60">
        <f t="shared" si="120"/>
        <v>367</v>
      </c>
      <c r="N162" s="60">
        <f t="shared" si="120"/>
        <v>457</v>
      </c>
      <c r="O162" s="53"/>
      <c r="P162" s="43"/>
      <c r="Q162" s="61">
        <f>IFERROR(__xludf.DUMMYFUNCTION("LINEST(FILTER(C162:N162,C162:N162 &gt; 0))"),18.045454545454543)</f>
        <v>18.04545455</v>
      </c>
      <c r="R162" s="61">
        <f>IFERROR(__xludf.DUMMYFUNCTION("""COMPUTED_VALUE"""),184.54545454545462)</f>
        <v>184.5454545</v>
      </c>
      <c r="S162" s="62" t="str">
        <f>IFS(R165&lt;10,"X",R165&lt;25,"Y",R165&gt;=25,"Z")</f>
        <v>Y</v>
      </c>
      <c r="T162" s="63" t="str">
        <f>IFS(R165&lt;25,"X",R165&lt;50,"Y",R165&gt;=50,"Z")</f>
        <v>X</v>
      </c>
      <c r="U162" s="63" t="str">
        <f>IFS(R165&lt;17.5,"X",R165&lt;42.5,"Y",R165&gt;=42.5,"Z")</f>
        <v>X</v>
      </c>
      <c r="V162" s="43"/>
      <c r="W162" s="43"/>
    </row>
    <row r="163">
      <c r="A163" s="64"/>
      <c r="B163" s="65" t="s">
        <v>98</v>
      </c>
      <c r="C163" s="66">
        <f t="shared" ref="C163:N163" si="121">(C162/($Q162*C$46+$R162))</f>
        <v>0.7009199013</v>
      </c>
      <c r="D163" s="66">
        <f t="shared" si="121"/>
        <v>1.327976926</v>
      </c>
      <c r="E163" s="66">
        <f t="shared" si="121"/>
        <v>0</v>
      </c>
      <c r="F163" s="66">
        <f t="shared" si="121"/>
        <v>0.8647308782</v>
      </c>
      <c r="G163" s="66">
        <f t="shared" si="121"/>
        <v>0.9717121588</v>
      </c>
      <c r="H163" s="66">
        <f t="shared" si="121"/>
        <v>1.133809376</v>
      </c>
      <c r="I163" s="66">
        <f t="shared" si="121"/>
        <v>0.9747039041</v>
      </c>
      <c r="J163" s="66">
        <f t="shared" si="121"/>
        <v>0.6475953566</v>
      </c>
      <c r="K163" s="66">
        <f t="shared" si="121"/>
        <v>1.273942094</v>
      </c>
      <c r="L163" s="66">
        <f t="shared" si="121"/>
        <v>0.501369863</v>
      </c>
      <c r="M163" s="66">
        <f t="shared" si="121"/>
        <v>0.9581108342</v>
      </c>
      <c r="N163" s="66">
        <f t="shared" si="121"/>
        <v>1.139392566</v>
      </c>
      <c r="O163" s="67"/>
      <c r="P163" s="43"/>
      <c r="Q163" s="68" t="s">
        <v>99</v>
      </c>
      <c r="R163" s="66">
        <f>SUM(C163:N163)</f>
        <v>10.49426386</v>
      </c>
      <c r="S163" s="64"/>
      <c r="T163" s="64"/>
      <c r="U163" s="64"/>
      <c r="V163" s="43"/>
      <c r="W163" s="43"/>
    </row>
    <row r="164">
      <c r="A164" s="64"/>
      <c r="B164" s="65" t="s">
        <v>100</v>
      </c>
      <c r="C164" s="66">
        <f t="shared" ref="C164:N164" si="122">C163*12/$R163</f>
        <v>0.8014891687</v>
      </c>
      <c r="D164" s="66">
        <f t="shared" si="122"/>
        <v>1.518517481</v>
      </c>
      <c r="E164" s="66">
        <f t="shared" si="122"/>
        <v>0</v>
      </c>
      <c r="F164" s="66">
        <f t="shared" si="122"/>
        <v>0.9888040437</v>
      </c>
      <c r="G164" s="66">
        <f t="shared" si="122"/>
        <v>1.111135194</v>
      </c>
      <c r="H164" s="66">
        <f t="shared" si="122"/>
        <v>1.296490416</v>
      </c>
      <c r="I164" s="66">
        <f t="shared" si="122"/>
        <v>1.1145562</v>
      </c>
      <c r="J164" s="66">
        <f t="shared" si="122"/>
        <v>0.7405135209</v>
      </c>
      <c r="K164" s="66">
        <f t="shared" si="122"/>
        <v>1.456729632</v>
      </c>
      <c r="L164" s="66">
        <f t="shared" si="122"/>
        <v>0.5733073265</v>
      </c>
      <c r="M164" s="66">
        <f t="shared" si="122"/>
        <v>1.095582326</v>
      </c>
      <c r="N164" s="66">
        <f t="shared" si="122"/>
        <v>1.302874692</v>
      </c>
      <c r="O164" s="66">
        <f>IF(N164&gt;0, N164, M164)</f>
        <v>1.302874692</v>
      </c>
      <c r="P164" s="43"/>
      <c r="Q164" s="68" t="s">
        <v>101</v>
      </c>
      <c r="R164" s="61">
        <f>SQRT(SUM((D165-D162)^2,(E165-E162)^2,(F165-F162)^2,(G165-G162)^2,(H165-H162)^2,(I165-I162)^2,(J165-J162)^2,(K165-K162)^2,(L165-L162)^2,(M165-M162)^2,(N165-N162)^2)/11)</f>
        <v>78.08840277</v>
      </c>
      <c r="S164" s="64"/>
      <c r="T164" s="64"/>
      <c r="U164" s="64"/>
      <c r="V164" s="43"/>
      <c r="W164" s="43"/>
    </row>
    <row r="165">
      <c r="A165" s="64"/>
      <c r="B165" s="65" t="s">
        <v>102</v>
      </c>
      <c r="C165" s="61">
        <f t="shared" ref="C165:N165" si="123">IF(C162&gt;0,$Q162*C$46+$R162,0)</f>
        <v>202.5909091</v>
      </c>
      <c r="D165" s="61">
        <f t="shared" si="123"/>
        <v>220.6363636</v>
      </c>
      <c r="E165" s="61">
        <f t="shared" si="123"/>
        <v>0</v>
      </c>
      <c r="F165" s="61">
        <f t="shared" si="123"/>
        <v>256.7272727</v>
      </c>
      <c r="G165" s="61">
        <f t="shared" si="123"/>
        <v>274.7727273</v>
      </c>
      <c r="H165" s="61">
        <f t="shared" si="123"/>
        <v>292.8181818</v>
      </c>
      <c r="I165" s="61">
        <f t="shared" si="123"/>
        <v>310.8636364</v>
      </c>
      <c r="J165" s="61">
        <f t="shared" si="123"/>
        <v>328.9090909</v>
      </c>
      <c r="K165" s="61">
        <f t="shared" si="123"/>
        <v>346.9545455</v>
      </c>
      <c r="L165" s="61">
        <f t="shared" si="123"/>
        <v>365</v>
      </c>
      <c r="M165" s="61">
        <f t="shared" si="123"/>
        <v>383.0454545</v>
      </c>
      <c r="N165" s="61">
        <f t="shared" si="123"/>
        <v>401.0909091</v>
      </c>
      <c r="O165" s="61">
        <f>$Q162*O$46+$R162</f>
        <v>419.1363636</v>
      </c>
      <c r="P165" s="43"/>
      <c r="Q165" s="68" t="s">
        <v>103</v>
      </c>
      <c r="R165" s="61">
        <f>100*R164/O166</f>
        <v>14.29975348</v>
      </c>
      <c r="S165" s="64"/>
      <c r="T165" s="64"/>
      <c r="U165" s="64"/>
      <c r="V165" s="43"/>
      <c r="W165" s="43"/>
    </row>
    <row r="166">
      <c r="A166" s="69"/>
      <c r="B166" s="65" t="s">
        <v>104</v>
      </c>
      <c r="C166" s="61">
        <f t="shared" ref="C166:O166" si="124">C165*C164</f>
        <v>162.3744193</v>
      </c>
      <c r="D166" s="61">
        <f t="shared" si="124"/>
        <v>335.0401751</v>
      </c>
      <c r="E166" s="61">
        <f t="shared" si="124"/>
        <v>0</v>
      </c>
      <c r="F166" s="61">
        <f t="shared" si="124"/>
        <v>253.8529654</v>
      </c>
      <c r="G166" s="61">
        <f t="shared" si="124"/>
        <v>305.3096476</v>
      </c>
      <c r="H166" s="61">
        <f t="shared" si="124"/>
        <v>379.6359663</v>
      </c>
      <c r="I166" s="61">
        <f t="shared" si="124"/>
        <v>346.4749933</v>
      </c>
      <c r="J166" s="61">
        <f t="shared" si="124"/>
        <v>243.561629</v>
      </c>
      <c r="K166" s="61">
        <f t="shared" si="124"/>
        <v>505.4189672</v>
      </c>
      <c r="L166" s="61">
        <f t="shared" si="124"/>
        <v>209.2571742</v>
      </c>
      <c r="M166" s="61">
        <f t="shared" si="124"/>
        <v>419.6578302</v>
      </c>
      <c r="N166" s="61">
        <f t="shared" si="124"/>
        <v>522.5711945</v>
      </c>
      <c r="O166" s="61">
        <f t="shared" si="124"/>
        <v>546.0821606</v>
      </c>
      <c r="P166" s="43"/>
      <c r="Q166" s="53"/>
      <c r="R166" s="53"/>
      <c r="S166" s="69"/>
      <c r="T166" s="69"/>
      <c r="U166" s="69"/>
      <c r="V166" s="43"/>
      <c r="W166" s="43"/>
    </row>
    <row r="167">
      <c r="A167" s="70">
        <v>25.0</v>
      </c>
      <c r="B167" s="59" t="str">
        <f>VLOOKUP(A167, $A$3:$B$45, 2, FALSE)</f>
        <v>Citroen</v>
      </c>
      <c r="C167" s="60">
        <f t="shared" ref="C167:N167" si="125">IF(AND($R27&lt;C27,C27&lt;$Q27),C27,0)</f>
        <v>152</v>
      </c>
      <c r="D167" s="60">
        <f t="shared" si="125"/>
        <v>156</v>
      </c>
      <c r="E167" s="60">
        <f t="shared" si="125"/>
        <v>447</v>
      </c>
      <c r="F167" s="60">
        <f t="shared" si="125"/>
        <v>378</v>
      </c>
      <c r="G167" s="60">
        <f t="shared" si="125"/>
        <v>215</v>
      </c>
      <c r="H167" s="60">
        <f t="shared" si="125"/>
        <v>375</v>
      </c>
      <c r="I167" s="60">
        <f t="shared" si="125"/>
        <v>328</v>
      </c>
      <c r="J167" s="60">
        <f t="shared" si="125"/>
        <v>193</v>
      </c>
      <c r="K167" s="60">
        <f t="shared" si="125"/>
        <v>470</v>
      </c>
      <c r="L167" s="60">
        <f t="shared" si="125"/>
        <v>287</v>
      </c>
      <c r="M167" s="60">
        <f t="shared" si="125"/>
        <v>240</v>
      </c>
      <c r="N167" s="60">
        <f t="shared" si="125"/>
        <v>323</v>
      </c>
      <c r="O167" s="53"/>
      <c r="P167" s="43"/>
      <c r="Q167" s="61">
        <f>IFERROR(__xludf.DUMMYFUNCTION("LINEST(FILTER(C167:N167,C167:N167 &gt; 0))"),6.517482517482519)</f>
        <v>6.517482517</v>
      </c>
      <c r="R167" s="61">
        <f>IFERROR(__xludf.DUMMYFUNCTION("""COMPUTED_VALUE"""),254.63636363636365)</f>
        <v>254.6363636</v>
      </c>
      <c r="S167" s="62" t="str">
        <f>IFS(R170&lt;10,"X",R170&lt;25,"Y",R170&gt;=25,"Z")</f>
        <v>Z</v>
      </c>
      <c r="T167" s="63" t="str">
        <f>IFS(R170&lt;25,"X",R170&lt;50,"Y",R170&gt;=50,"Z")</f>
        <v>Y</v>
      </c>
      <c r="U167" s="63" t="str">
        <f>IFS(R170&lt;17.5,"X",R170&lt;42.5,"Y",R170&gt;=42.5,"Z")</f>
        <v>Y</v>
      </c>
      <c r="V167" s="43"/>
      <c r="W167" s="43"/>
    </row>
    <row r="168">
      <c r="A168" s="64"/>
      <c r="B168" s="65" t="s">
        <v>98</v>
      </c>
      <c r="C168" s="66">
        <f t="shared" ref="C168:N168" si="126">(C167/($Q167*C$46+$R167))</f>
        <v>0.5820324006</v>
      </c>
      <c r="D168" s="66">
        <f t="shared" si="126"/>
        <v>0.582804295</v>
      </c>
      <c r="E168" s="66">
        <f t="shared" si="126"/>
        <v>1.63026346</v>
      </c>
      <c r="F168" s="66">
        <f t="shared" si="126"/>
        <v>1.346603224</v>
      </c>
      <c r="G168" s="66">
        <f t="shared" si="126"/>
        <v>0.7485452731</v>
      </c>
      <c r="H168" s="66">
        <f t="shared" si="126"/>
        <v>1.276633734</v>
      </c>
      <c r="I168" s="66">
        <f t="shared" si="126"/>
        <v>1.092391178</v>
      </c>
      <c r="J168" s="66">
        <f t="shared" si="126"/>
        <v>0.629123071</v>
      </c>
      <c r="K168" s="66">
        <f t="shared" si="126"/>
        <v>1.500189728</v>
      </c>
      <c r="L168" s="66">
        <f t="shared" si="126"/>
        <v>0.8974045</v>
      </c>
      <c r="M168" s="66">
        <f t="shared" si="126"/>
        <v>0.7354548377</v>
      </c>
      <c r="N168" s="66">
        <f t="shared" si="126"/>
        <v>0.9704183037</v>
      </c>
      <c r="O168" s="67"/>
      <c r="P168" s="43"/>
      <c r="Q168" s="68" t="s">
        <v>99</v>
      </c>
      <c r="R168" s="66">
        <f>SUM(C168:N168)</f>
        <v>11.991864</v>
      </c>
      <c r="S168" s="64"/>
      <c r="T168" s="64"/>
      <c r="U168" s="64"/>
      <c r="V168" s="43"/>
      <c r="W168" s="43"/>
    </row>
    <row r="169">
      <c r="A169" s="64"/>
      <c r="B169" s="65" t="s">
        <v>100</v>
      </c>
      <c r="C169" s="66">
        <f t="shared" ref="C169:N169" si="127">C168*12/$R168</f>
        <v>0.5824272861</v>
      </c>
      <c r="D169" s="66">
        <f t="shared" si="127"/>
        <v>0.5831997042</v>
      </c>
      <c r="E169" s="66">
        <f t="shared" si="127"/>
        <v>1.631369528</v>
      </c>
      <c r="F169" s="66">
        <f t="shared" si="127"/>
        <v>1.34751684</v>
      </c>
      <c r="G169" s="66">
        <f t="shared" si="127"/>
        <v>0.7490531308</v>
      </c>
      <c r="H169" s="66">
        <f t="shared" si="127"/>
        <v>1.277499879</v>
      </c>
      <c r="I169" s="66">
        <f t="shared" si="127"/>
        <v>1.093132321</v>
      </c>
      <c r="J169" s="66">
        <f t="shared" si="127"/>
        <v>0.6295499056</v>
      </c>
      <c r="K169" s="66">
        <f t="shared" si="127"/>
        <v>1.501207546</v>
      </c>
      <c r="L169" s="66">
        <f t="shared" si="127"/>
        <v>0.8980133528</v>
      </c>
      <c r="M169" s="66">
        <f t="shared" si="127"/>
        <v>0.7359538141</v>
      </c>
      <c r="N169" s="66">
        <f t="shared" si="127"/>
        <v>0.9710766933</v>
      </c>
      <c r="O169" s="66">
        <f>IF(N169&gt;0, N169, M169)</f>
        <v>0.9710766933</v>
      </c>
      <c r="P169" s="43"/>
      <c r="Q169" s="68" t="s">
        <v>101</v>
      </c>
      <c r="R169" s="61">
        <f>SQRT(SUM((D170-D167)^2,(E170-E167)^2,(F170-F167)^2,(G170-G167)^2,(H170-H167)^2,(I170-I167)^2,(J170-J167)^2,(K170-K167)^2,(L170-L167)^2,(M170-M167)^2,(N170-N167)^2)/11)</f>
        <v>100.2347899</v>
      </c>
      <c r="S169" s="64"/>
      <c r="T169" s="64"/>
      <c r="U169" s="64"/>
      <c r="V169" s="43"/>
      <c r="W169" s="43"/>
    </row>
    <row r="170">
      <c r="A170" s="64"/>
      <c r="B170" s="65" t="s">
        <v>102</v>
      </c>
      <c r="C170" s="61">
        <f t="shared" ref="C170:N170" si="128">IF(C167&gt;0,$Q167*C$46+$R167,0)</f>
        <v>261.1538462</v>
      </c>
      <c r="D170" s="61">
        <f t="shared" si="128"/>
        <v>267.6713287</v>
      </c>
      <c r="E170" s="61">
        <f t="shared" si="128"/>
        <v>274.1888112</v>
      </c>
      <c r="F170" s="61">
        <f t="shared" si="128"/>
        <v>280.7062937</v>
      </c>
      <c r="G170" s="61">
        <f t="shared" si="128"/>
        <v>287.2237762</v>
      </c>
      <c r="H170" s="61">
        <f t="shared" si="128"/>
        <v>293.7412587</v>
      </c>
      <c r="I170" s="61">
        <f t="shared" si="128"/>
        <v>300.2587413</v>
      </c>
      <c r="J170" s="61">
        <f t="shared" si="128"/>
        <v>306.7762238</v>
      </c>
      <c r="K170" s="61">
        <f t="shared" si="128"/>
        <v>313.2937063</v>
      </c>
      <c r="L170" s="61">
        <f t="shared" si="128"/>
        <v>319.8111888</v>
      </c>
      <c r="M170" s="61">
        <f t="shared" si="128"/>
        <v>326.3286713</v>
      </c>
      <c r="N170" s="61">
        <f t="shared" si="128"/>
        <v>332.8461538</v>
      </c>
      <c r="O170" s="61">
        <f>$Q167*O$46+$R167</f>
        <v>339.3636364</v>
      </c>
      <c r="P170" s="43"/>
      <c r="Q170" s="68" t="s">
        <v>103</v>
      </c>
      <c r="R170" s="61">
        <f>100*R169/O171</f>
        <v>30.41582836</v>
      </c>
      <c r="S170" s="64"/>
      <c r="T170" s="64"/>
      <c r="U170" s="64"/>
      <c r="V170" s="43"/>
      <c r="W170" s="43"/>
    </row>
    <row r="171">
      <c r="A171" s="69"/>
      <c r="B171" s="65" t="s">
        <v>104</v>
      </c>
      <c r="C171" s="61">
        <f t="shared" ref="C171:O171" si="129">C170*C169</f>
        <v>152.1031259</v>
      </c>
      <c r="D171" s="61">
        <f t="shared" si="129"/>
        <v>156.1058397</v>
      </c>
      <c r="E171" s="61">
        <f t="shared" si="129"/>
        <v>447.3032715</v>
      </c>
      <c r="F171" s="61">
        <f t="shared" si="129"/>
        <v>378.2564577</v>
      </c>
      <c r="G171" s="61">
        <f t="shared" si="129"/>
        <v>215.1458688</v>
      </c>
      <c r="H171" s="61">
        <f t="shared" si="129"/>
        <v>375.2544224</v>
      </c>
      <c r="I171" s="61">
        <f t="shared" si="129"/>
        <v>328.2225348</v>
      </c>
      <c r="J171" s="61">
        <f t="shared" si="129"/>
        <v>193.1309427</v>
      </c>
      <c r="K171" s="61">
        <f t="shared" si="129"/>
        <v>470.318876</v>
      </c>
      <c r="L171" s="61">
        <f t="shared" si="129"/>
        <v>287.1947179</v>
      </c>
      <c r="M171" s="61">
        <f t="shared" si="129"/>
        <v>240.1628303</v>
      </c>
      <c r="N171" s="61">
        <f t="shared" si="129"/>
        <v>323.2191425</v>
      </c>
      <c r="O171" s="61">
        <f t="shared" si="129"/>
        <v>329.5481178</v>
      </c>
      <c r="P171" s="43"/>
      <c r="Q171" s="53"/>
      <c r="R171" s="53"/>
      <c r="S171" s="69"/>
      <c r="T171" s="69"/>
      <c r="U171" s="69"/>
      <c r="V171" s="43"/>
      <c r="W171" s="43"/>
    </row>
    <row r="172">
      <c r="A172" s="70">
        <v>26.0</v>
      </c>
      <c r="B172" s="59" t="str">
        <f>VLOOKUP(A172, $A$3:$B$45, 2, FALSE)</f>
        <v>Jaguar</v>
      </c>
      <c r="C172" s="60">
        <f t="shared" ref="C172:N172" si="130">IF(AND($R28&lt;C28,C28&lt;$Q28),C28,0)</f>
        <v>59</v>
      </c>
      <c r="D172" s="60">
        <f t="shared" si="130"/>
        <v>181</v>
      </c>
      <c r="E172" s="60">
        <f t="shared" si="130"/>
        <v>539</v>
      </c>
      <c r="F172" s="60">
        <f t="shared" si="130"/>
        <v>125</v>
      </c>
      <c r="G172" s="60">
        <f t="shared" si="130"/>
        <v>270</v>
      </c>
      <c r="H172" s="60">
        <f t="shared" si="130"/>
        <v>424</v>
      </c>
      <c r="I172" s="60">
        <f t="shared" si="130"/>
        <v>121</v>
      </c>
      <c r="J172" s="60">
        <f t="shared" si="130"/>
        <v>230</v>
      </c>
      <c r="K172" s="60">
        <f t="shared" si="130"/>
        <v>497</v>
      </c>
      <c r="L172" s="60">
        <f t="shared" si="130"/>
        <v>121</v>
      </c>
      <c r="M172" s="60">
        <f t="shared" si="130"/>
        <v>252</v>
      </c>
      <c r="N172" s="60">
        <f t="shared" si="130"/>
        <v>441</v>
      </c>
      <c r="O172" s="53"/>
      <c r="P172" s="43"/>
      <c r="Q172" s="61">
        <f>IFERROR(__xludf.DUMMYFUNCTION("LINEST(FILTER(C172:N172,C172:N172 &gt; 0))"),11.720279720279718)</f>
        <v>11.72027972</v>
      </c>
      <c r="R172" s="61">
        <f>IFERROR(__xludf.DUMMYFUNCTION("""COMPUTED_VALUE"""),195.48484848484853)</f>
        <v>195.4848485</v>
      </c>
      <c r="S172" s="62" t="str">
        <f>IFS(R175&lt;10,"X",R175&lt;25,"Y",R175&gt;=25,"Z")</f>
        <v>Z</v>
      </c>
      <c r="T172" s="63" t="str">
        <f>IFS(R175&lt;25,"X",R175&lt;50,"Y",R175&gt;=50,"Z")</f>
        <v>Y</v>
      </c>
      <c r="U172" s="63" t="str">
        <f>IFS(R175&lt;17.5,"X",R175&lt;42.5,"Y",R175&gt;=42.5,"Z")</f>
        <v>Y</v>
      </c>
      <c r="V172" s="43"/>
      <c r="W172" s="43"/>
    </row>
    <row r="173">
      <c r="A173" s="64"/>
      <c r="B173" s="65" t="s">
        <v>98</v>
      </c>
      <c r="C173" s="66">
        <f t="shared" ref="C173:N173" si="131">(C172/($Q172*C$46+$R172))</f>
        <v>0.2847419874</v>
      </c>
      <c r="D173" s="66">
        <f t="shared" si="131"/>
        <v>0.8267656172</v>
      </c>
      <c r="E173" s="66">
        <f t="shared" si="131"/>
        <v>2.336917744</v>
      </c>
      <c r="F173" s="66">
        <f t="shared" si="131"/>
        <v>0.5157489781</v>
      </c>
      <c r="G173" s="66">
        <f t="shared" si="131"/>
        <v>1.062631304</v>
      </c>
      <c r="H173" s="66">
        <f t="shared" si="131"/>
        <v>1.59514518</v>
      </c>
      <c r="I173" s="66">
        <f t="shared" si="131"/>
        <v>0.435993919</v>
      </c>
      <c r="J173" s="66">
        <f t="shared" si="131"/>
        <v>0.7951679064</v>
      </c>
      <c r="K173" s="66">
        <f t="shared" si="131"/>
        <v>1.651341827</v>
      </c>
      <c r="L173" s="66">
        <f t="shared" si="131"/>
        <v>0.386967639</v>
      </c>
      <c r="M173" s="66">
        <f t="shared" si="131"/>
        <v>0.7767997643</v>
      </c>
      <c r="N173" s="66">
        <f t="shared" si="131"/>
        <v>1.31199939</v>
      </c>
      <c r="O173" s="67"/>
      <c r="P173" s="43"/>
      <c r="Q173" s="68" t="s">
        <v>99</v>
      </c>
      <c r="R173" s="66">
        <f>SUM(C173:N173)</f>
        <v>11.98022126</v>
      </c>
      <c r="S173" s="64"/>
      <c r="T173" s="64"/>
      <c r="U173" s="64"/>
      <c r="V173" s="43"/>
      <c r="W173" s="43"/>
    </row>
    <row r="174">
      <c r="A174" s="64"/>
      <c r="B174" s="65" t="s">
        <v>100</v>
      </c>
      <c r="C174" s="66">
        <f t="shared" ref="C174:N174" si="132">C173*12/$R173</f>
        <v>0.2852120821</v>
      </c>
      <c r="D174" s="66">
        <f t="shared" si="132"/>
        <v>0.8281305657</v>
      </c>
      <c r="E174" s="66">
        <f t="shared" si="132"/>
        <v>2.340775878</v>
      </c>
      <c r="F174" s="66">
        <f t="shared" si="132"/>
        <v>0.5166004538</v>
      </c>
      <c r="G174" s="66">
        <f t="shared" si="132"/>
        <v>1.064385655</v>
      </c>
      <c r="H174" s="66">
        <f t="shared" si="132"/>
        <v>1.597778685</v>
      </c>
      <c r="I174" s="66">
        <f t="shared" si="132"/>
        <v>0.4367137231</v>
      </c>
      <c r="J174" s="66">
        <f t="shared" si="132"/>
        <v>0.7964806887</v>
      </c>
      <c r="K174" s="66">
        <f t="shared" si="132"/>
        <v>1.65406811</v>
      </c>
      <c r="L174" s="66">
        <f t="shared" si="132"/>
        <v>0.3876065032</v>
      </c>
      <c r="M174" s="66">
        <f t="shared" si="132"/>
        <v>0.7780822218</v>
      </c>
      <c r="N174" s="66">
        <f t="shared" si="132"/>
        <v>1.314165435</v>
      </c>
      <c r="O174" s="66">
        <f>IF(N174&gt;0, N174, M174)</f>
        <v>1.314165435</v>
      </c>
      <c r="P174" s="43"/>
      <c r="Q174" s="68" t="s">
        <v>101</v>
      </c>
      <c r="R174" s="61">
        <f>SQRT(SUM((D175-D172)^2,(E175-E172)^2,(F175-F172)^2,(G175-G172)^2,(H175-H172)^2,(I175-I172)^2,(J175-J172)^2,(K175-K172)^2,(L175-L172)^2,(M175-M172)^2,(N175-N172)^2)/11)</f>
        <v>152.2553829</v>
      </c>
      <c r="S174" s="64"/>
      <c r="T174" s="64"/>
      <c r="U174" s="64"/>
      <c r="V174" s="43"/>
      <c r="W174" s="43"/>
    </row>
    <row r="175">
      <c r="A175" s="64"/>
      <c r="B175" s="65" t="s">
        <v>102</v>
      </c>
      <c r="C175" s="61">
        <f t="shared" ref="C175:N175" si="133">IF(C172&gt;0,$Q172*C$46+$R172,0)</f>
        <v>207.2051282</v>
      </c>
      <c r="D175" s="61">
        <f t="shared" si="133"/>
        <v>218.9254079</v>
      </c>
      <c r="E175" s="61">
        <f t="shared" si="133"/>
        <v>230.6456876</v>
      </c>
      <c r="F175" s="61">
        <f t="shared" si="133"/>
        <v>242.3659674</v>
      </c>
      <c r="G175" s="61">
        <f t="shared" si="133"/>
        <v>254.0862471</v>
      </c>
      <c r="H175" s="61">
        <f t="shared" si="133"/>
        <v>265.8065268</v>
      </c>
      <c r="I175" s="61">
        <f t="shared" si="133"/>
        <v>277.5268065</v>
      </c>
      <c r="J175" s="61">
        <f t="shared" si="133"/>
        <v>289.2470862</v>
      </c>
      <c r="K175" s="61">
        <f t="shared" si="133"/>
        <v>300.967366</v>
      </c>
      <c r="L175" s="61">
        <f t="shared" si="133"/>
        <v>312.6876457</v>
      </c>
      <c r="M175" s="61">
        <f t="shared" si="133"/>
        <v>324.4079254</v>
      </c>
      <c r="N175" s="61">
        <f t="shared" si="133"/>
        <v>336.1282051</v>
      </c>
      <c r="O175" s="61">
        <f>$Q172*O$46+$R172</f>
        <v>347.8484848</v>
      </c>
      <c r="P175" s="43"/>
      <c r="Q175" s="68" t="s">
        <v>103</v>
      </c>
      <c r="R175" s="61">
        <f>100*R174/O176</f>
        <v>33.30676858</v>
      </c>
      <c r="S175" s="64"/>
      <c r="T175" s="64"/>
      <c r="U175" s="64"/>
      <c r="V175" s="43"/>
      <c r="W175" s="43"/>
    </row>
    <row r="176">
      <c r="A176" s="69"/>
      <c r="B176" s="65" t="s">
        <v>104</v>
      </c>
      <c r="C176" s="61">
        <f t="shared" ref="C176:O176" si="134">C175*C174</f>
        <v>59.09740604</v>
      </c>
      <c r="D176" s="61">
        <f t="shared" si="134"/>
        <v>181.2988219</v>
      </c>
      <c r="E176" s="61">
        <f t="shared" si="134"/>
        <v>539.889862</v>
      </c>
      <c r="F176" s="61">
        <f t="shared" si="134"/>
        <v>125.2063687</v>
      </c>
      <c r="G176" s="61">
        <f t="shared" si="134"/>
        <v>270.4457565</v>
      </c>
      <c r="H176" s="61">
        <f t="shared" si="134"/>
        <v>424.7000027</v>
      </c>
      <c r="I176" s="61">
        <f t="shared" si="134"/>
        <v>121.1997649</v>
      </c>
      <c r="J176" s="61">
        <f t="shared" si="134"/>
        <v>230.3797185</v>
      </c>
      <c r="K176" s="61">
        <f t="shared" si="134"/>
        <v>497.8205221</v>
      </c>
      <c r="L176" s="61">
        <f t="shared" si="134"/>
        <v>121.1997649</v>
      </c>
      <c r="M176" s="61">
        <f t="shared" si="134"/>
        <v>252.4160394</v>
      </c>
      <c r="N176" s="61">
        <f t="shared" si="134"/>
        <v>441.7280689</v>
      </c>
      <c r="O176" s="61">
        <f t="shared" si="134"/>
        <v>457.1304554</v>
      </c>
      <c r="P176" s="43"/>
      <c r="Q176" s="53"/>
      <c r="R176" s="53"/>
      <c r="S176" s="69"/>
      <c r="T176" s="69"/>
      <c r="U176" s="69"/>
      <c r="V176" s="43"/>
      <c r="W176" s="43"/>
    </row>
    <row r="177">
      <c r="A177" s="70">
        <v>27.0</v>
      </c>
      <c r="B177" s="59" t="str">
        <f>VLOOKUP(A177, $A$3:$B$45, 2, FALSE)</f>
        <v>Abarth</v>
      </c>
      <c r="C177" s="60">
        <f t="shared" ref="C177:N177" si="135">IF(AND($R29&lt;C29,C29&lt;$Q29),C29,0)</f>
        <v>186</v>
      </c>
      <c r="D177" s="60">
        <f t="shared" si="135"/>
        <v>190</v>
      </c>
      <c r="E177" s="60">
        <f t="shared" si="135"/>
        <v>355</v>
      </c>
      <c r="F177" s="60">
        <f t="shared" si="135"/>
        <v>207</v>
      </c>
      <c r="G177" s="60">
        <f t="shared" si="135"/>
        <v>279</v>
      </c>
      <c r="H177" s="60">
        <f t="shared" si="135"/>
        <v>314</v>
      </c>
      <c r="I177" s="60">
        <f t="shared" si="135"/>
        <v>201</v>
      </c>
      <c r="J177" s="60">
        <f t="shared" si="135"/>
        <v>202</v>
      </c>
      <c r="K177" s="60">
        <f t="shared" si="135"/>
        <v>358</v>
      </c>
      <c r="L177" s="60">
        <f t="shared" si="135"/>
        <v>173</v>
      </c>
      <c r="M177" s="60">
        <f t="shared" si="135"/>
        <v>178</v>
      </c>
      <c r="N177" s="60">
        <f t="shared" si="135"/>
        <v>247</v>
      </c>
      <c r="O177" s="53"/>
      <c r="P177" s="43"/>
      <c r="Q177" s="61">
        <f>IFERROR(__xludf.DUMMYFUNCTION("LINEST(FILTER(C177:N177,C177:N177 &gt; 0))"),-1.0489510489510498)</f>
        <v>-1.048951049</v>
      </c>
      <c r="R177" s="61">
        <f>IFERROR(__xludf.DUMMYFUNCTION("""COMPUTED_VALUE"""),247.65151515151518)</f>
        <v>247.6515152</v>
      </c>
      <c r="S177" s="62" t="str">
        <f>IFS(R180&lt;10,"X",R180&lt;25,"Y",R180&gt;=25,"Z")</f>
        <v>Z</v>
      </c>
      <c r="T177" s="63" t="str">
        <f>IFS(R180&lt;25,"X",R180&lt;50,"Y",R180&gt;=50,"Z")</f>
        <v>Y</v>
      </c>
      <c r="U177" s="63" t="str">
        <f>IFS(R180&lt;17.5,"X",R180&lt;42.5,"Y",R180&gt;=42.5,"Z")</f>
        <v>Y</v>
      </c>
      <c r="V177" s="43"/>
      <c r="W177" s="43"/>
    </row>
    <row r="178">
      <c r="A178" s="64"/>
      <c r="B178" s="65" t="s">
        <v>98</v>
      </c>
      <c r="C178" s="66">
        <f t="shared" ref="C178:N178" si="136">(C177/($Q177*C$46+$R177))</f>
        <v>0.754250065</v>
      </c>
      <c r="D178" s="66">
        <f t="shared" si="136"/>
        <v>0.7737617771</v>
      </c>
      <c r="E178" s="66">
        <f t="shared" si="136"/>
        <v>1.451915056</v>
      </c>
      <c r="F178" s="66">
        <f t="shared" si="136"/>
        <v>0.8502573186</v>
      </c>
      <c r="G178" s="66">
        <f t="shared" si="136"/>
        <v>1.150958002</v>
      </c>
      <c r="H178" s="66">
        <f t="shared" si="136"/>
        <v>1.30097303</v>
      </c>
      <c r="I178" s="66">
        <f t="shared" si="136"/>
        <v>0.8364236002</v>
      </c>
      <c r="J178" s="66">
        <f t="shared" si="136"/>
        <v>0.844270161</v>
      </c>
      <c r="K178" s="66">
        <f t="shared" si="136"/>
        <v>1.502869584</v>
      </c>
      <c r="L178" s="66">
        <f t="shared" si="136"/>
        <v>0.7294591739</v>
      </c>
      <c r="M178" s="66">
        <f t="shared" si="136"/>
        <v>0.7538761508</v>
      </c>
      <c r="N178" s="66">
        <f t="shared" si="136"/>
        <v>1.050777202</v>
      </c>
      <c r="O178" s="67"/>
      <c r="P178" s="43"/>
      <c r="Q178" s="68" t="s">
        <v>99</v>
      </c>
      <c r="R178" s="66">
        <f>SUM(C178:N178)</f>
        <v>11.99979112</v>
      </c>
      <c r="S178" s="64"/>
      <c r="T178" s="64"/>
      <c r="U178" s="64"/>
      <c r="V178" s="43"/>
      <c r="W178" s="43"/>
    </row>
    <row r="179">
      <c r="A179" s="64"/>
      <c r="B179" s="65" t="s">
        <v>100</v>
      </c>
      <c r="C179" s="66">
        <f t="shared" ref="C179:N179" si="137">C178*12/$R178</f>
        <v>0.7542631941</v>
      </c>
      <c r="D179" s="66">
        <f t="shared" si="137"/>
        <v>0.7737752458</v>
      </c>
      <c r="E179" s="66">
        <f t="shared" si="137"/>
        <v>1.451940329</v>
      </c>
      <c r="F179" s="66">
        <f t="shared" si="137"/>
        <v>0.850272119</v>
      </c>
      <c r="G179" s="66">
        <f t="shared" si="137"/>
        <v>1.150978036</v>
      </c>
      <c r="H179" s="66">
        <f t="shared" si="137"/>
        <v>1.300995676</v>
      </c>
      <c r="I179" s="66">
        <f t="shared" si="137"/>
        <v>0.8364381597</v>
      </c>
      <c r="J179" s="66">
        <f t="shared" si="137"/>
        <v>0.8442848571</v>
      </c>
      <c r="K179" s="66">
        <f t="shared" si="137"/>
        <v>1.502895745</v>
      </c>
      <c r="L179" s="66">
        <f t="shared" si="137"/>
        <v>0.7294718715</v>
      </c>
      <c r="M179" s="66">
        <f t="shared" si="137"/>
        <v>0.7538892734</v>
      </c>
      <c r="N179" s="66">
        <f t="shared" si="137"/>
        <v>1.050795493</v>
      </c>
      <c r="O179" s="66">
        <f>IF(N179&gt;0, N179, M179)</f>
        <v>1.050795493</v>
      </c>
      <c r="P179" s="43"/>
      <c r="Q179" s="68" t="s">
        <v>101</v>
      </c>
      <c r="R179" s="61">
        <f>SQRT(SUM((D180-D177)^2,(E180-E177)^2,(F180-F177)^2,(G180-G177)^2,(H180-H177)^2,(I180-I177)^2,(J180-J177)^2,(K180-K177)^2,(L180-L177)^2,(M180-M177)^2,(N180-N177)^2)/11)</f>
        <v>66.16759248</v>
      </c>
      <c r="S179" s="64"/>
      <c r="T179" s="64"/>
      <c r="U179" s="64"/>
      <c r="V179" s="43"/>
      <c r="W179" s="43"/>
    </row>
    <row r="180">
      <c r="A180" s="64"/>
      <c r="B180" s="65" t="s">
        <v>102</v>
      </c>
      <c r="C180" s="61">
        <f t="shared" ref="C180:N180" si="138">IF(C177&gt;0,$Q177*C$46+$R177,0)</f>
        <v>246.6025641</v>
      </c>
      <c r="D180" s="61">
        <f t="shared" si="138"/>
        <v>245.5536131</v>
      </c>
      <c r="E180" s="61">
        <f t="shared" si="138"/>
        <v>244.504662</v>
      </c>
      <c r="F180" s="61">
        <f t="shared" si="138"/>
        <v>243.455711</v>
      </c>
      <c r="G180" s="61">
        <f t="shared" si="138"/>
        <v>242.4067599</v>
      </c>
      <c r="H180" s="61">
        <f t="shared" si="138"/>
        <v>241.3578089</v>
      </c>
      <c r="I180" s="61">
        <f t="shared" si="138"/>
        <v>240.3088578</v>
      </c>
      <c r="J180" s="61">
        <f t="shared" si="138"/>
        <v>239.2599068</v>
      </c>
      <c r="K180" s="61">
        <f t="shared" si="138"/>
        <v>238.2109557</v>
      </c>
      <c r="L180" s="61">
        <f t="shared" si="138"/>
        <v>237.1620047</v>
      </c>
      <c r="M180" s="61">
        <f t="shared" si="138"/>
        <v>236.1130536</v>
      </c>
      <c r="N180" s="61">
        <f t="shared" si="138"/>
        <v>235.0641026</v>
      </c>
      <c r="O180" s="61">
        <f>$Q177*O$46+$R177</f>
        <v>234.0151515</v>
      </c>
      <c r="P180" s="43"/>
      <c r="Q180" s="68" t="s">
        <v>103</v>
      </c>
      <c r="R180" s="61">
        <f>100*R179/O181</f>
        <v>26.90810753</v>
      </c>
      <c r="S180" s="64"/>
      <c r="T180" s="64"/>
      <c r="U180" s="64"/>
      <c r="V180" s="43"/>
      <c r="W180" s="43"/>
    </row>
    <row r="181">
      <c r="A181" s="69"/>
      <c r="B181" s="65" t="s">
        <v>104</v>
      </c>
      <c r="C181" s="61">
        <f t="shared" ref="C181:O181" si="139">C180*C179</f>
        <v>186.0032377</v>
      </c>
      <c r="D181" s="61">
        <f t="shared" si="139"/>
        <v>190.0033073</v>
      </c>
      <c r="E181" s="61">
        <f t="shared" si="139"/>
        <v>355.0061794</v>
      </c>
      <c r="F181" s="61">
        <f t="shared" si="139"/>
        <v>207.0036032</v>
      </c>
      <c r="G181" s="61">
        <f t="shared" si="139"/>
        <v>279.0048565</v>
      </c>
      <c r="H181" s="61">
        <f t="shared" si="139"/>
        <v>314.0054658</v>
      </c>
      <c r="I181" s="61">
        <f t="shared" si="139"/>
        <v>201.0034988</v>
      </c>
      <c r="J181" s="61">
        <f t="shared" si="139"/>
        <v>202.0035162</v>
      </c>
      <c r="K181" s="61">
        <f t="shared" si="139"/>
        <v>358.0062317</v>
      </c>
      <c r="L181" s="61">
        <f t="shared" si="139"/>
        <v>173.0030114</v>
      </c>
      <c r="M181" s="61">
        <f t="shared" si="139"/>
        <v>178.0030984</v>
      </c>
      <c r="N181" s="61">
        <f t="shared" si="139"/>
        <v>247.0042995</v>
      </c>
      <c r="O181" s="61">
        <f t="shared" si="139"/>
        <v>245.9020665</v>
      </c>
      <c r="P181" s="43"/>
      <c r="Q181" s="53"/>
      <c r="R181" s="53"/>
      <c r="S181" s="69"/>
      <c r="T181" s="69"/>
      <c r="U181" s="69"/>
      <c r="V181" s="43"/>
      <c r="W181" s="43"/>
    </row>
    <row r="182">
      <c r="A182" s="70">
        <v>28.0</v>
      </c>
      <c r="B182" s="59" t="str">
        <f>VLOOKUP(A182, $A$3:$B$45, 2, FALSE)</f>
        <v>Alfa Romeo</v>
      </c>
      <c r="C182" s="60">
        <f t="shared" ref="C182:N182" si="140">IF(AND($R30&lt;C30,C30&lt;$Q30),C30,0)</f>
        <v>128</v>
      </c>
      <c r="D182" s="60">
        <f t="shared" si="140"/>
        <v>189</v>
      </c>
      <c r="E182" s="60">
        <f t="shared" si="140"/>
        <v>280</v>
      </c>
      <c r="F182" s="60">
        <f t="shared" si="140"/>
        <v>158</v>
      </c>
      <c r="G182" s="60">
        <f t="shared" si="140"/>
        <v>157</v>
      </c>
      <c r="H182" s="60">
        <f t="shared" si="140"/>
        <v>259</v>
      </c>
      <c r="I182" s="60">
        <f t="shared" si="140"/>
        <v>227</v>
      </c>
      <c r="J182" s="60">
        <f t="shared" si="140"/>
        <v>208</v>
      </c>
      <c r="K182" s="60">
        <f t="shared" si="140"/>
        <v>280</v>
      </c>
      <c r="L182" s="60">
        <f t="shared" si="140"/>
        <v>171</v>
      </c>
      <c r="M182" s="60">
        <f t="shared" si="140"/>
        <v>179</v>
      </c>
      <c r="N182" s="60">
        <f t="shared" si="140"/>
        <v>274</v>
      </c>
      <c r="O182" s="53"/>
      <c r="P182" s="43"/>
      <c r="Q182" s="61">
        <f>IFERROR(__xludf.DUMMYFUNCTION("LINEST(FILTER(C182:N182,C182:N182 &gt; 0))"),5.188811188811188)</f>
        <v>5.188811189</v>
      </c>
      <c r="R182" s="61">
        <f>IFERROR(__xludf.DUMMYFUNCTION("""COMPUTED_VALUE"""),175.43939393939394)</f>
        <v>175.4393939</v>
      </c>
      <c r="S182" s="62" t="str">
        <f>IFS(R185&lt;10,"X",R185&lt;25,"Y",R185&gt;=25,"Z")</f>
        <v>Y</v>
      </c>
      <c r="T182" s="63" t="str">
        <f>IFS(R185&lt;25,"X",R185&lt;50,"Y",R185&gt;=50,"Z")</f>
        <v>X</v>
      </c>
      <c r="U182" s="63" t="str">
        <f>IFS(R185&lt;17.5,"X",R185&lt;42.5,"Y",R185&gt;=42.5,"Z")</f>
        <v>X</v>
      </c>
      <c r="V182" s="43"/>
      <c r="W182" s="43"/>
    </row>
    <row r="183">
      <c r="A183" s="64"/>
      <c r="B183" s="65" t="s">
        <v>98</v>
      </c>
      <c r="C183" s="66">
        <f t="shared" ref="C183:N183" si="141">(C182/($Q182*C$46+$R182))</f>
        <v>0.7086379445</v>
      </c>
      <c r="D183" s="66">
        <f t="shared" si="141"/>
        <v>1.017129667</v>
      </c>
      <c r="E183" s="66">
        <f t="shared" si="141"/>
        <v>1.46592386</v>
      </c>
      <c r="F183" s="66">
        <f t="shared" si="141"/>
        <v>0.8053227196</v>
      </c>
      <c r="G183" s="66">
        <f t="shared" si="141"/>
        <v>0.7796072621</v>
      </c>
      <c r="H183" s="66">
        <f t="shared" si="141"/>
        <v>1.253798543</v>
      </c>
      <c r="I183" s="66">
        <f t="shared" si="141"/>
        <v>1.071962838</v>
      </c>
      <c r="J183" s="66">
        <f t="shared" si="141"/>
        <v>0.95874677</v>
      </c>
      <c r="K183" s="66">
        <f t="shared" si="141"/>
        <v>1.260473779</v>
      </c>
      <c r="L183" s="66">
        <f t="shared" si="141"/>
        <v>0.752218696</v>
      </c>
      <c r="M183" s="66">
        <f t="shared" si="141"/>
        <v>0.7698384453</v>
      </c>
      <c r="N183" s="66">
        <f t="shared" si="141"/>
        <v>1.152688636</v>
      </c>
      <c r="O183" s="67"/>
      <c r="P183" s="43"/>
      <c r="Q183" s="68" t="s">
        <v>99</v>
      </c>
      <c r="R183" s="66">
        <f>SUM(C183:N183)</f>
        <v>11.99634916</v>
      </c>
      <c r="S183" s="64"/>
      <c r="T183" s="64"/>
      <c r="U183" s="64"/>
      <c r="V183" s="43"/>
      <c r="W183" s="43"/>
    </row>
    <row r="184">
      <c r="A184" s="64"/>
      <c r="B184" s="65" t="s">
        <v>100</v>
      </c>
      <c r="C184" s="66">
        <f t="shared" ref="C184:N184" si="142">C183*12/$R183</f>
        <v>0.7088536036</v>
      </c>
      <c r="D184" s="66">
        <f t="shared" si="142"/>
        <v>1.01743921</v>
      </c>
      <c r="E184" s="66">
        <f t="shared" si="142"/>
        <v>1.466369984</v>
      </c>
      <c r="F184" s="66">
        <f t="shared" si="142"/>
        <v>0.8055678027</v>
      </c>
      <c r="G184" s="66">
        <f t="shared" si="142"/>
        <v>0.7798445193</v>
      </c>
      <c r="H184" s="66">
        <f t="shared" si="142"/>
        <v>1.254180111</v>
      </c>
      <c r="I184" s="66">
        <f t="shared" si="142"/>
        <v>1.072289067</v>
      </c>
      <c r="J184" s="66">
        <f t="shared" si="142"/>
        <v>0.9590385445</v>
      </c>
      <c r="K184" s="66">
        <f t="shared" si="142"/>
        <v>1.260857378</v>
      </c>
      <c r="L184" s="66">
        <f t="shared" si="142"/>
        <v>0.752447618</v>
      </c>
      <c r="M184" s="66">
        <f t="shared" si="142"/>
        <v>0.7700727295</v>
      </c>
      <c r="N184" s="66">
        <f t="shared" si="142"/>
        <v>1.153039433</v>
      </c>
      <c r="O184" s="66">
        <f>IF(N184&gt;0, N184, M184)</f>
        <v>1.153039433</v>
      </c>
      <c r="P184" s="43"/>
      <c r="Q184" s="68" t="s">
        <v>101</v>
      </c>
      <c r="R184" s="61">
        <f>SQRT(SUM((D185-D182)^2,(E185-E182)^2,(F185-F182)^2,(G185-G182)^2,(H185-H182)^2,(I185-I182)^2,(J185-J182)^2,(K185-K182)^2,(L185-L182)^2,(M185-M182)^2,(N185-N182)^2)/11)</f>
        <v>47.7891589</v>
      </c>
      <c r="S184" s="64"/>
      <c r="T184" s="64"/>
      <c r="U184" s="64"/>
      <c r="V184" s="43"/>
      <c r="W184" s="43"/>
    </row>
    <row r="185">
      <c r="A185" s="64"/>
      <c r="B185" s="65" t="s">
        <v>102</v>
      </c>
      <c r="C185" s="61">
        <f t="shared" ref="C185:N185" si="143">IF(C182&gt;0,$Q182*C$46+$R182,0)</f>
        <v>180.6282051</v>
      </c>
      <c r="D185" s="61">
        <f t="shared" si="143"/>
        <v>185.8170163</v>
      </c>
      <c r="E185" s="61">
        <f t="shared" si="143"/>
        <v>191.0058275</v>
      </c>
      <c r="F185" s="61">
        <f t="shared" si="143"/>
        <v>196.1946387</v>
      </c>
      <c r="G185" s="61">
        <f t="shared" si="143"/>
        <v>201.3834499</v>
      </c>
      <c r="H185" s="61">
        <f t="shared" si="143"/>
        <v>206.5722611</v>
      </c>
      <c r="I185" s="61">
        <f t="shared" si="143"/>
        <v>211.7610723</v>
      </c>
      <c r="J185" s="61">
        <f t="shared" si="143"/>
        <v>216.9498834</v>
      </c>
      <c r="K185" s="61">
        <f t="shared" si="143"/>
        <v>222.1386946</v>
      </c>
      <c r="L185" s="61">
        <f t="shared" si="143"/>
        <v>227.3275058</v>
      </c>
      <c r="M185" s="61">
        <f t="shared" si="143"/>
        <v>232.516317</v>
      </c>
      <c r="N185" s="61">
        <f t="shared" si="143"/>
        <v>237.7051282</v>
      </c>
      <c r="O185" s="61">
        <f>$Q182*O$46+$R182</f>
        <v>242.8939394</v>
      </c>
      <c r="P185" s="43"/>
      <c r="Q185" s="68" t="s">
        <v>103</v>
      </c>
      <c r="R185" s="61">
        <f>100*R184/O186</f>
        <v>17.06351696</v>
      </c>
      <c r="S185" s="64"/>
      <c r="T185" s="64"/>
      <c r="U185" s="64"/>
      <c r="V185" s="43"/>
      <c r="W185" s="43"/>
    </row>
    <row r="186">
      <c r="A186" s="69"/>
      <c r="B186" s="65" t="s">
        <v>104</v>
      </c>
      <c r="C186" s="61">
        <f t="shared" ref="C186:O186" si="144">C185*C184</f>
        <v>128.0389541</v>
      </c>
      <c r="D186" s="61">
        <f t="shared" si="144"/>
        <v>189.0575182</v>
      </c>
      <c r="E186" s="61">
        <f t="shared" si="144"/>
        <v>280.0852121</v>
      </c>
      <c r="F186" s="61">
        <f t="shared" si="144"/>
        <v>158.048084</v>
      </c>
      <c r="G186" s="61">
        <f t="shared" si="144"/>
        <v>157.0477797</v>
      </c>
      <c r="H186" s="61">
        <f t="shared" si="144"/>
        <v>259.0788212</v>
      </c>
      <c r="I186" s="61">
        <f t="shared" si="144"/>
        <v>227.0690827</v>
      </c>
      <c r="J186" s="61">
        <f t="shared" si="144"/>
        <v>208.0633005</v>
      </c>
      <c r="K186" s="61">
        <f t="shared" si="144"/>
        <v>280.0852121</v>
      </c>
      <c r="L186" s="61">
        <f t="shared" si="144"/>
        <v>171.0520403</v>
      </c>
      <c r="M186" s="61">
        <f t="shared" si="144"/>
        <v>179.0544749</v>
      </c>
      <c r="N186" s="61">
        <f t="shared" si="144"/>
        <v>274.0833862</v>
      </c>
      <c r="O186" s="61">
        <f t="shared" si="144"/>
        <v>280.0662901</v>
      </c>
      <c r="P186" s="43"/>
      <c r="Q186" s="53"/>
      <c r="R186" s="53"/>
      <c r="S186" s="69"/>
      <c r="T186" s="69"/>
      <c r="U186" s="69"/>
      <c r="V186" s="43"/>
      <c r="W186" s="43"/>
    </row>
    <row r="187">
      <c r="A187" s="70">
        <v>29.0</v>
      </c>
      <c r="B187" s="59" t="str">
        <f>VLOOKUP(A187, $A$3:$B$45, 2, FALSE)</f>
        <v>Smart</v>
      </c>
      <c r="C187" s="60">
        <f t="shared" ref="C187:N187" si="145">IF(AND($R31&lt;C31,C31&lt;$Q31),C31,0)</f>
        <v>124</v>
      </c>
      <c r="D187" s="60">
        <f t="shared" si="145"/>
        <v>64</v>
      </c>
      <c r="E187" s="60">
        <f t="shared" si="145"/>
        <v>50</v>
      </c>
      <c r="F187" s="60">
        <f t="shared" si="145"/>
        <v>206</v>
      </c>
      <c r="G187" s="60">
        <f t="shared" si="145"/>
        <v>379</v>
      </c>
      <c r="H187" s="60">
        <f t="shared" si="145"/>
        <v>319</v>
      </c>
      <c r="I187" s="60">
        <f t="shared" si="145"/>
        <v>158</v>
      </c>
      <c r="J187" s="60">
        <f t="shared" si="145"/>
        <v>194</v>
      </c>
      <c r="K187" s="60">
        <f t="shared" si="145"/>
        <v>262</v>
      </c>
      <c r="L187" s="60">
        <f t="shared" si="145"/>
        <v>183</v>
      </c>
      <c r="M187" s="60">
        <f t="shared" si="145"/>
        <v>255</v>
      </c>
      <c r="N187" s="60">
        <f t="shared" si="145"/>
        <v>271</v>
      </c>
      <c r="O187" s="53"/>
      <c r="P187" s="43"/>
      <c r="Q187" s="61">
        <f>IFERROR(__xludf.DUMMYFUNCTION("LINEST(FILTER(C187:N187,C187:N187 &gt; 0))"),13.395104895104893)</f>
        <v>13.3951049</v>
      </c>
      <c r="R187" s="61">
        <f>IFERROR(__xludf.DUMMYFUNCTION("""COMPUTED_VALUE"""),118.34848484848482)</f>
        <v>118.3484848</v>
      </c>
      <c r="S187" s="62" t="str">
        <f>IFS(R190&lt;10,"X",R190&lt;25,"Y",R190&gt;=25,"Z")</f>
        <v>Z</v>
      </c>
      <c r="T187" s="63" t="str">
        <f>IFS(R190&lt;25,"X",R190&lt;50,"Y",R190&gt;=50,"Z")</f>
        <v>Y</v>
      </c>
      <c r="U187" s="63" t="str">
        <f>IFS(R190&lt;17.5,"X",R190&lt;42.5,"Y",R190&gt;=42.5,"Z")</f>
        <v>Y</v>
      </c>
      <c r="V187" s="43"/>
      <c r="W187" s="43"/>
    </row>
    <row r="188">
      <c r="A188" s="64"/>
      <c r="B188" s="65" t="s">
        <v>98</v>
      </c>
      <c r="C188" s="66">
        <f t="shared" ref="C188:N188" si="146">(C187/($Q187*C$46+$R187))</f>
        <v>0.9412222655</v>
      </c>
      <c r="D188" s="66">
        <f t="shared" si="146"/>
        <v>0.440957528</v>
      </c>
      <c r="E188" s="66">
        <f t="shared" si="146"/>
        <v>0.3153901575</v>
      </c>
      <c r="F188" s="66">
        <f t="shared" si="146"/>
        <v>1.198169678</v>
      </c>
      <c r="G188" s="66">
        <f t="shared" si="146"/>
        <v>2.045066915</v>
      </c>
      <c r="H188" s="66">
        <f t="shared" si="146"/>
        <v>1.605280907</v>
      </c>
      <c r="I188" s="66">
        <f t="shared" si="146"/>
        <v>0.7448816994</v>
      </c>
      <c r="J188" s="66">
        <f t="shared" si="146"/>
        <v>0.8602748505</v>
      </c>
      <c r="K188" s="66">
        <f t="shared" si="146"/>
        <v>1.096672846</v>
      </c>
      <c r="L188" s="66">
        <f t="shared" si="146"/>
        <v>0.7253283319</v>
      </c>
      <c r="M188" s="66">
        <f t="shared" si="146"/>
        <v>0.9597483835</v>
      </c>
      <c r="N188" s="66">
        <f t="shared" si="146"/>
        <v>0.971013827</v>
      </c>
      <c r="O188" s="67"/>
      <c r="P188" s="43"/>
      <c r="Q188" s="68" t="s">
        <v>99</v>
      </c>
      <c r="R188" s="66">
        <f>SUM(C188:N188)</f>
        <v>11.90400739</v>
      </c>
      <c r="S188" s="64"/>
      <c r="T188" s="64"/>
      <c r="U188" s="64"/>
      <c r="V188" s="43"/>
      <c r="W188" s="43"/>
    </row>
    <row r="189">
      <c r="A189" s="64"/>
      <c r="B189" s="65" t="s">
        <v>100</v>
      </c>
      <c r="C189" s="66">
        <f t="shared" ref="C189:N189" si="147">C188*12/$R188</f>
        <v>0.9488121786</v>
      </c>
      <c r="D189" s="66">
        <f t="shared" si="147"/>
        <v>0.4445133611</v>
      </c>
      <c r="E189" s="66">
        <f t="shared" si="147"/>
        <v>0.3179334291</v>
      </c>
      <c r="F189" s="66">
        <f t="shared" si="147"/>
        <v>1.207831587</v>
      </c>
      <c r="G189" s="66">
        <f t="shared" si="147"/>
        <v>2.06155811</v>
      </c>
      <c r="H189" s="66">
        <f t="shared" si="147"/>
        <v>1.618225717</v>
      </c>
      <c r="I189" s="66">
        <f t="shared" si="147"/>
        <v>0.7508883438</v>
      </c>
      <c r="J189" s="66">
        <f t="shared" si="147"/>
        <v>0.8672120126</v>
      </c>
      <c r="K189" s="66">
        <f t="shared" si="147"/>
        <v>1.105516296</v>
      </c>
      <c r="L189" s="66">
        <f t="shared" si="147"/>
        <v>0.7311773001</v>
      </c>
      <c r="M189" s="66">
        <f t="shared" si="147"/>
        <v>0.9674876893</v>
      </c>
      <c r="N189" s="66">
        <f t="shared" si="147"/>
        <v>0.9788439761</v>
      </c>
      <c r="O189" s="66">
        <f>IF(N189&gt;0, N189, M189)</f>
        <v>0.9788439761</v>
      </c>
      <c r="P189" s="43"/>
      <c r="Q189" s="68" t="s">
        <v>101</v>
      </c>
      <c r="R189" s="61">
        <f>SQRT(SUM((D190-D187)^2,(E190-E187)^2,(F190-F187)^2,(G190-G187)^2,(H190-H187)^2,(I190-I187)^2,(J190-J187)^2,(K190-K187)^2,(L190-L187)^2,(M190-M187)^2,(N190-N187)^2)/11)</f>
        <v>85.77911913</v>
      </c>
      <c r="S189" s="64"/>
      <c r="T189" s="64"/>
      <c r="U189" s="64"/>
      <c r="V189" s="43"/>
      <c r="W189" s="43"/>
    </row>
    <row r="190">
      <c r="A190" s="64"/>
      <c r="B190" s="65" t="s">
        <v>102</v>
      </c>
      <c r="C190" s="61">
        <f t="shared" ref="C190:N190" si="148">IF(C187&gt;0,$Q187*C$46+$R187,0)</f>
        <v>131.7435897</v>
      </c>
      <c r="D190" s="61">
        <f t="shared" si="148"/>
        <v>145.1386946</v>
      </c>
      <c r="E190" s="61">
        <f t="shared" si="148"/>
        <v>158.5337995</v>
      </c>
      <c r="F190" s="61">
        <f t="shared" si="148"/>
        <v>171.9289044</v>
      </c>
      <c r="G190" s="61">
        <f t="shared" si="148"/>
        <v>185.3240093</v>
      </c>
      <c r="H190" s="61">
        <f t="shared" si="148"/>
        <v>198.7191142</v>
      </c>
      <c r="I190" s="61">
        <f t="shared" si="148"/>
        <v>212.1142191</v>
      </c>
      <c r="J190" s="61">
        <f t="shared" si="148"/>
        <v>225.509324</v>
      </c>
      <c r="K190" s="61">
        <f t="shared" si="148"/>
        <v>238.9044289</v>
      </c>
      <c r="L190" s="61">
        <f t="shared" si="148"/>
        <v>252.2995338</v>
      </c>
      <c r="M190" s="61">
        <f t="shared" si="148"/>
        <v>265.6946387</v>
      </c>
      <c r="N190" s="61">
        <f t="shared" si="148"/>
        <v>279.0897436</v>
      </c>
      <c r="O190" s="61">
        <f>$Q187*O$46+$R187</f>
        <v>292.4848485</v>
      </c>
      <c r="P190" s="43"/>
      <c r="Q190" s="68" t="s">
        <v>103</v>
      </c>
      <c r="R190" s="61">
        <f>100*R189/O191</f>
        <v>29.96158169</v>
      </c>
      <c r="S190" s="64"/>
      <c r="T190" s="64"/>
      <c r="U190" s="64"/>
      <c r="V190" s="43"/>
      <c r="W190" s="43"/>
    </row>
    <row r="191">
      <c r="A191" s="69"/>
      <c r="B191" s="65" t="s">
        <v>104</v>
      </c>
      <c r="C191" s="61">
        <f t="shared" ref="C191:O191" si="149">C190*C189</f>
        <v>124.9999224</v>
      </c>
      <c r="D191" s="61">
        <f t="shared" si="149"/>
        <v>64.51608898</v>
      </c>
      <c r="E191" s="61">
        <f t="shared" si="149"/>
        <v>50.40319452</v>
      </c>
      <c r="F191" s="61">
        <f t="shared" si="149"/>
        <v>207.6611614</v>
      </c>
      <c r="G191" s="61">
        <f t="shared" si="149"/>
        <v>382.0562145</v>
      </c>
      <c r="H191" s="61">
        <f t="shared" si="149"/>
        <v>321.572381</v>
      </c>
      <c r="I191" s="61">
        <f t="shared" si="149"/>
        <v>159.2740947</v>
      </c>
      <c r="J191" s="61">
        <f t="shared" si="149"/>
        <v>195.5643947</v>
      </c>
      <c r="K191" s="61">
        <f t="shared" si="149"/>
        <v>264.1127393</v>
      </c>
      <c r="L191" s="61">
        <f t="shared" si="149"/>
        <v>184.4756919</v>
      </c>
      <c r="M191" s="61">
        <f t="shared" si="149"/>
        <v>257.056292</v>
      </c>
      <c r="N191" s="61">
        <f t="shared" si="149"/>
        <v>273.1853143</v>
      </c>
      <c r="O191" s="61">
        <f t="shared" si="149"/>
        <v>286.297032</v>
      </c>
      <c r="P191" s="43"/>
      <c r="Q191" s="53"/>
      <c r="R191" s="53"/>
      <c r="S191" s="69"/>
      <c r="T191" s="69"/>
      <c r="U191" s="69"/>
      <c r="V191" s="43"/>
      <c r="W191" s="43"/>
    </row>
    <row r="192">
      <c r="A192" s="70">
        <v>30.0</v>
      </c>
      <c r="B192" s="59" t="str">
        <f>VLOOKUP(A192, $A$3:$B$45, 2, FALSE)</f>
        <v>Maserati</v>
      </c>
      <c r="C192" s="60">
        <f t="shared" ref="C192:N192" si="150">IF(AND($R32&lt;C32,C32&lt;$Q32),C32,0)</f>
        <v>66</v>
      </c>
      <c r="D192" s="60">
        <f t="shared" si="150"/>
        <v>92</v>
      </c>
      <c r="E192" s="60">
        <f t="shared" si="150"/>
        <v>158</v>
      </c>
      <c r="F192" s="60">
        <f t="shared" si="150"/>
        <v>88</v>
      </c>
      <c r="G192" s="60">
        <f t="shared" si="150"/>
        <v>96</v>
      </c>
      <c r="H192" s="60">
        <f t="shared" si="150"/>
        <v>187</v>
      </c>
      <c r="I192" s="60">
        <f t="shared" si="150"/>
        <v>96</v>
      </c>
      <c r="J192" s="60">
        <f t="shared" si="150"/>
        <v>74</v>
      </c>
      <c r="K192" s="60">
        <f t="shared" si="150"/>
        <v>150</v>
      </c>
      <c r="L192" s="60">
        <f t="shared" si="150"/>
        <v>109</v>
      </c>
      <c r="M192" s="60">
        <f t="shared" si="150"/>
        <v>119</v>
      </c>
      <c r="N192" s="61">
        <f t="shared" si="150"/>
        <v>0</v>
      </c>
      <c r="O192" s="53"/>
      <c r="P192" s="43"/>
      <c r="Q192" s="61">
        <f>IFERROR(__xludf.DUMMYFUNCTION("LINEST(FILTER(C192:N192,C192:N192 &gt; 0))"),2.554545454545453)</f>
        <v>2.554545455</v>
      </c>
      <c r="R192" s="61">
        <f>IFERROR(__xludf.DUMMYFUNCTION("""COMPUTED_VALUE"""),96.94545454545457)</f>
        <v>96.94545455</v>
      </c>
      <c r="S192" s="62" t="str">
        <f>IFS(R195&lt;10,"X",R195&lt;25,"Y",R195&gt;=25,"Z")</f>
        <v>Y</v>
      </c>
      <c r="T192" s="63" t="str">
        <f>IFS(R195&lt;25,"X",R195&lt;50,"Y",R195&gt;=50,"Z")</f>
        <v>X</v>
      </c>
      <c r="U192" s="63" t="str">
        <f>IFS(R195&lt;17.5,"X",R195&lt;42.5,"Y",R195&gt;=42.5,"Z")</f>
        <v>Y</v>
      </c>
      <c r="V192" s="43"/>
      <c r="W192" s="43"/>
    </row>
    <row r="193">
      <c r="A193" s="64"/>
      <c r="B193" s="65" t="s">
        <v>98</v>
      </c>
      <c r="C193" s="66">
        <f t="shared" ref="C193:N193" si="151">(C192/($Q192*C$46+$R192))</f>
        <v>0.6633165829</v>
      </c>
      <c r="D193" s="66">
        <f t="shared" si="151"/>
        <v>0.9014787101</v>
      </c>
      <c r="E193" s="66">
        <f t="shared" si="151"/>
        <v>1.510384983</v>
      </c>
      <c r="F193" s="66">
        <f t="shared" si="151"/>
        <v>0.8211740753</v>
      </c>
      <c r="G193" s="66">
        <f t="shared" si="151"/>
        <v>0.8749689287</v>
      </c>
      <c r="H193" s="66">
        <f t="shared" si="151"/>
        <v>1.665587045</v>
      </c>
      <c r="I193" s="66">
        <f t="shared" si="151"/>
        <v>0.8360383184</v>
      </c>
      <c r="J193" s="66">
        <f t="shared" si="151"/>
        <v>0.6304213135</v>
      </c>
      <c r="K193" s="66">
        <f t="shared" si="151"/>
        <v>1.250663231</v>
      </c>
      <c r="L193" s="66">
        <f t="shared" si="151"/>
        <v>0.8898619564</v>
      </c>
      <c r="M193" s="66">
        <f t="shared" si="151"/>
        <v>0.951653944</v>
      </c>
      <c r="N193" s="66">
        <f t="shared" si="151"/>
        <v>0</v>
      </c>
      <c r="O193" s="67"/>
      <c r="P193" s="43"/>
      <c r="Q193" s="68" t="s">
        <v>99</v>
      </c>
      <c r="R193" s="66">
        <f>SUM(C193:N193)</f>
        <v>10.99554909</v>
      </c>
      <c r="S193" s="64"/>
      <c r="T193" s="64"/>
      <c r="U193" s="64"/>
      <c r="V193" s="43"/>
      <c r="W193" s="43"/>
    </row>
    <row r="194">
      <c r="A194" s="64"/>
      <c r="B194" s="65" t="s">
        <v>100</v>
      </c>
      <c r="C194" s="66">
        <f t="shared" ref="C194:N194" si="152">C193*12/$R193</f>
        <v>0.7239110054</v>
      </c>
      <c r="D194" s="66">
        <f t="shared" si="152"/>
        <v>0.9838294055</v>
      </c>
      <c r="E194" s="66">
        <f t="shared" si="152"/>
        <v>1.648359682</v>
      </c>
      <c r="F194" s="66">
        <f t="shared" si="152"/>
        <v>0.8961888875</v>
      </c>
      <c r="G194" s="66">
        <f t="shared" si="152"/>
        <v>0.9548979374</v>
      </c>
      <c r="H194" s="66">
        <f t="shared" si="152"/>
        <v>1.817739558</v>
      </c>
      <c r="I194" s="66">
        <f t="shared" si="152"/>
        <v>0.9124109893</v>
      </c>
      <c r="J194" s="66">
        <f t="shared" si="152"/>
        <v>0.6880107307</v>
      </c>
      <c r="K194" s="66">
        <f t="shared" si="152"/>
        <v>1.36491217</v>
      </c>
      <c r="L194" s="66">
        <f t="shared" si="152"/>
        <v>0.9711514533</v>
      </c>
      <c r="M194" s="66">
        <f t="shared" si="152"/>
        <v>1.038588181</v>
      </c>
      <c r="N194" s="66">
        <f t="shared" si="152"/>
        <v>0</v>
      </c>
      <c r="O194" s="66">
        <f>IF(N194&gt;0, N194, M194)</f>
        <v>1.038588181</v>
      </c>
      <c r="P194" s="43"/>
      <c r="Q194" s="68" t="s">
        <v>101</v>
      </c>
      <c r="R194" s="61">
        <f>SQRT(SUM((D195-D192)^2,(E195-E192)^2,(F195-F192)^2,(G195-G192)^2,(H195-H192)^2,(I195-I192)^2,(J195-J192)^2,(K195-K192)^2,(L195-L192)^2,(M195-M192)^2,(N195-N192)^2)/11)</f>
        <v>33.64264683</v>
      </c>
      <c r="S194" s="64"/>
      <c r="T194" s="64"/>
      <c r="U194" s="64"/>
      <c r="V194" s="43"/>
      <c r="W194" s="43"/>
    </row>
    <row r="195">
      <c r="A195" s="64"/>
      <c r="B195" s="65" t="s">
        <v>102</v>
      </c>
      <c r="C195" s="61">
        <f t="shared" ref="C195:N195" si="153">IF(C192&gt;0,$Q192*C$46+$R192,0)</f>
        <v>99.5</v>
      </c>
      <c r="D195" s="61">
        <f t="shared" si="153"/>
        <v>102.0545455</v>
      </c>
      <c r="E195" s="61">
        <f t="shared" si="153"/>
        <v>104.6090909</v>
      </c>
      <c r="F195" s="61">
        <f t="shared" si="153"/>
        <v>107.1636364</v>
      </c>
      <c r="G195" s="61">
        <f t="shared" si="153"/>
        <v>109.7181818</v>
      </c>
      <c r="H195" s="61">
        <f t="shared" si="153"/>
        <v>112.2727273</v>
      </c>
      <c r="I195" s="61">
        <f t="shared" si="153"/>
        <v>114.8272727</v>
      </c>
      <c r="J195" s="61">
        <f t="shared" si="153"/>
        <v>117.3818182</v>
      </c>
      <c r="K195" s="61">
        <f t="shared" si="153"/>
        <v>119.9363636</v>
      </c>
      <c r="L195" s="61">
        <f t="shared" si="153"/>
        <v>122.4909091</v>
      </c>
      <c r="M195" s="61">
        <f t="shared" si="153"/>
        <v>125.0454545</v>
      </c>
      <c r="N195" s="61">
        <f t="shared" si="153"/>
        <v>0</v>
      </c>
      <c r="O195" s="61">
        <f>$Q192*O$46+$R192</f>
        <v>130.1545455</v>
      </c>
      <c r="P195" s="43"/>
      <c r="Q195" s="68" t="s">
        <v>103</v>
      </c>
      <c r="R195" s="61">
        <f>100*R194/O196</f>
        <v>24.88785344</v>
      </c>
      <c r="S195" s="64"/>
      <c r="T195" s="64"/>
      <c r="U195" s="64"/>
      <c r="V195" s="43"/>
      <c r="W195" s="43"/>
    </row>
    <row r="196">
      <c r="A196" s="69"/>
      <c r="B196" s="65" t="s">
        <v>104</v>
      </c>
      <c r="C196" s="61">
        <f t="shared" ref="C196:O196" si="154">C195*C194</f>
        <v>72.02914504</v>
      </c>
      <c r="D196" s="61">
        <f t="shared" si="154"/>
        <v>100.4042628</v>
      </c>
      <c r="E196" s="61">
        <f t="shared" si="154"/>
        <v>172.4334078</v>
      </c>
      <c r="F196" s="61">
        <f t="shared" si="154"/>
        <v>96.03886005</v>
      </c>
      <c r="G196" s="61">
        <f t="shared" si="154"/>
        <v>104.7696655</v>
      </c>
      <c r="H196" s="61">
        <f t="shared" si="154"/>
        <v>204.0825776</v>
      </c>
      <c r="I196" s="61">
        <f t="shared" si="154"/>
        <v>104.7696655</v>
      </c>
      <c r="J196" s="61">
        <f t="shared" si="154"/>
        <v>80.7599505</v>
      </c>
      <c r="K196" s="61">
        <f t="shared" si="154"/>
        <v>163.7026024</v>
      </c>
      <c r="L196" s="61">
        <f t="shared" si="154"/>
        <v>118.9572244</v>
      </c>
      <c r="M196" s="61">
        <f t="shared" si="154"/>
        <v>129.8707312</v>
      </c>
      <c r="N196" s="61">
        <f t="shared" si="154"/>
        <v>0</v>
      </c>
      <c r="O196" s="61">
        <f t="shared" si="154"/>
        <v>135.1769726</v>
      </c>
      <c r="P196" s="43"/>
      <c r="Q196" s="53"/>
      <c r="R196" s="53"/>
      <c r="S196" s="69"/>
      <c r="T196" s="69"/>
      <c r="U196" s="69"/>
      <c r="V196" s="43"/>
      <c r="W196" s="43"/>
    </row>
    <row r="197">
      <c r="A197" s="70">
        <v>31.0</v>
      </c>
      <c r="B197" s="59" t="str">
        <f>VLOOKUP(A197, $A$3:$B$45, 2, FALSE)</f>
        <v>Chevrolet</v>
      </c>
      <c r="C197" s="60">
        <f t="shared" ref="C197:N197" si="155">IF(AND($R33&lt;C33,C33&lt;$Q33),C33,0)</f>
        <v>51</v>
      </c>
      <c r="D197" s="60">
        <f t="shared" si="155"/>
        <v>65</v>
      </c>
      <c r="E197" s="61">
        <f t="shared" si="155"/>
        <v>0</v>
      </c>
      <c r="F197" s="60">
        <f t="shared" si="155"/>
        <v>54</v>
      </c>
      <c r="G197" s="60">
        <f t="shared" si="155"/>
        <v>74</v>
      </c>
      <c r="H197" s="60">
        <f t="shared" si="155"/>
        <v>84</v>
      </c>
      <c r="I197" s="60">
        <f t="shared" si="155"/>
        <v>75</v>
      </c>
      <c r="J197" s="60">
        <f t="shared" si="155"/>
        <v>76</v>
      </c>
      <c r="K197" s="60">
        <f t="shared" si="155"/>
        <v>78</v>
      </c>
      <c r="L197" s="60">
        <f t="shared" si="155"/>
        <v>66</v>
      </c>
      <c r="M197" s="60">
        <f t="shared" si="155"/>
        <v>80</v>
      </c>
      <c r="N197" s="60">
        <f t="shared" si="155"/>
        <v>77</v>
      </c>
      <c r="O197" s="53"/>
      <c r="P197" s="43"/>
      <c r="Q197" s="61">
        <f>IFERROR(__xludf.DUMMYFUNCTION("LINEST(FILTER(C197:N197,C197:N197 &gt; 0))"),2.0545454545454542)</f>
        <v>2.054545455</v>
      </c>
      <c r="R197" s="61">
        <f>IFERROR(__xludf.DUMMYFUNCTION("""COMPUTED_VALUE"""),58.58181818181819)</f>
        <v>58.58181818</v>
      </c>
      <c r="S197" s="62" t="str">
        <f>IFS(R200&lt;10,"X",R200&lt;25,"Y",R200&gt;=25,"Z")</f>
        <v>X</v>
      </c>
      <c r="T197" s="63" t="str">
        <f>IFS(R200&lt;25,"X",R200&lt;50,"Y",R200&gt;=50,"Z")</f>
        <v>X</v>
      </c>
      <c r="U197" s="63" t="str">
        <f>IFS(R200&lt;17.5,"X",R200&lt;42.5,"Y",R200&gt;=42.5,"Z")</f>
        <v>X</v>
      </c>
      <c r="V197" s="43"/>
      <c r="W197" s="43"/>
    </row>
    <row r="198">
      <c r="A198" s="64"/>
      <c r="B198" s="65" t="s">
        <v>98</v>
      </c>
      <c r="C198" s="66">
        <f t="shared" ref="C198:N198" si="156">(C197/($Q197*C$46+$R197))</f>
        <v>0.8410794603</v>
      </c>
      <c r="D198" s="66">
        <f t="shared" si="156"/>
        <v>1.036832947</v>
      </c>
      <c r="E198" s="66">
        <f t="shared" si="156"/>
        <v>0</v>
      </c>
      <c r="F198" s="66">
        <f t="shared" si="156"/>
        <v>0.8083832335</v>
      </c>
      <c r="G198" s="66">
        <f t="shared" si="156"/>
        <v>1.074729337</v>
      </c>
      <c r="H198" s="66">
        <f t="shared" si="156"/>
        <v>1.184615385</v>
      </c>
      <c r="I198" s="66">
        <f t="shared" si="156"/>
        <v>1.027909295</v>
      </c>
      <c r="J198" s="66">
        <f t="shared" si="156"/>
        <v>1.013087736</v>
      </c>
      <c r="K198" s="66">
        <f t="shared" si="156"/>
        <v>1.012031139</v>
      </c>
      <c r="L198" s="66">
        <f t="shared" si="156"/>
        <v>0.8340992647</v>
      </c>
      <c r="M198" s="66">
        <f t="shared" si="156"/>
        <v>0.9854423292</v>
      </c>
      <c r="N198" s="66">
        <f t="shared" si="156"/>
        <v>0.9250764526</v>
      </c>
      <c r="O198" s="67"/>
      <c r="P198" s="43"/>
      <c r="Q198" s="68" t="s">
        <v>99</v>
      </c>
      <c r="R198" s="66">
        <f>SUM(C198:N198)</f>
        <v>10.74328658</v>
      </c>
      <c r="S198" s="64"/>
      <c r="T198" s="64"/>
      <c r="U198" s="64"/>
      <c r="V198" s="43"/>
      <c r="W198" s="43"/>
    </row>
    <row r="199">
      <c r="A199" s="64"/>
      <c r="B199" s="65" t="s">
        <v>100</v>
      </c>
      <c r="C199" s="66">
        <f t="shared" ref="C199:N199" si="157">C198*12/$R198</f>
        <v>0.9394660981</v>
      </c>
      <c r="D199" s="66">
        <f t="shared" si="157"/>
        <v>1.158118167</v>
      </c>
      <c r="E199" s="66">
        <f t="shared" si="157"/>
        <v>0</v>
      </c>
      <c r="F199" s="66">
        <f t="shared" si="157"/>
        <v>0.902945177</v>
      </c>
      <c r="G199" s="66">
        <f t="shared" si="157"/>
        <v>1.200447549</v>
      </c>
      <c r="H199" s="66">
        <f t="shared" si="157"/>
        <v>1.323187696</v>
      </c>
      <c r="I199" s="66">
        <f t="shared" si="157"/>
        <v>1.148150656</v>
      </c>
      <c r="J199" s="66">
        <f t="shared" si="157"/>
        <v>1.131595322</v>
      </c>
      <c r="K199" s="66">
        <f t="shared" si="157"/>
        <v>1.130415128</v>
      </c>
      <c r="L199" s="66">
        <f t="shared" si="157"/>
        <v>0.9316693828</v>
      </c>
      <c r="M199" s="66">
        <f t="shared" si="157"/>
        <v>1.100716048</v>
      </c>
      <c r="N199" s="66">
        <f t="shared" si="157"/>
        <v>1.033288775</v>
      </c>
      <c r="O199" s="66">
        <f>IF(N199&gt;0, N199, M199)</f>
        <v>1.033288775</v>
      </c>
      <c r="P199" s="43"/>
      <c r="Q199" s="68" t="s">
        <v>101</v>
      </c>
      <c r="R199" s="61">
        <f>SQRT(SUM((D200-D197)^2,(E200-E197)^2,(F200-F197)^2,(G200-G197)^2,(H200-H197)^2,(I200-I197)^2,(J200-J197)^2,(K200-K197)^2,(L200-L197)^2,(M200-M197)^2,(N200-N197)^2)/11)</f>
        <v>7.296352124</v>
      </c>
      <c r="S199" s="64"/>
      <c r="T199" s="64"/>
      <c r="U199" s="64"/>
      <c r="V199" s="43"/>
      <c r="W199" s="43"/>
    </row>
    <row r="200">
      <c r="A200" s="64"/>
      <c r="B200" s="65" t="s">
        <v>102</v>
      </c>
      <c r="C200" s="61">
        <f t="shared" ref="C200:N200" si="158">IF(C197&gt;0,$Q197*C$46+$R197,0)</f>
        <v>60.63636364</v>
      </c>
      <c r="D200" s="61">
        <f t="shared" si="158"/>
        <v>62.69090909</v>
      </c>
      <c r="E200" s="61">
        <f t="shared" si="158"/>
        <v>0</v>
      </c>
      <c r="F200" s="61">
        <f t="shared" si="158"/>
        <v>66.8</v>
      </c>
      <c r="G200" s="61">
        <f t="shared" si="158"/>
        <v>68.85454545</v>
      </c>
      <c r="H200" s="61">
        <f t="shared" si="158"/>
        <v>70.90909091</v>
      </c>
      <c r="I200" s="61">
        <f t="shared" si="158"/>
        <v>72.96363636</v>
      </c>
      <c r="J200" s="61">
        <f t="shared" si="158"/>
        <v>75.01818182</v>
      </c>
      <c r="K200" s="61">
        <f t="shared" si="158"/>
        <v>77.07272727</v>
      </c>
      <c r="L200" s="61">
        <f t="shared" si="158"/>
        <v>79.12727273</v>
      </c>
      <c r="M200" s="61">
        <f t="shared" si="158"/>
        <v>81.18181818</v>
      </c>
      <c r="N200" s="61">
        <f t="shared" si="158"/>
        <v>83.23636364</v>
      </c>
      <c r="O200" s="61">
        <f>$Q197*O$46+$R197</f>
        <v>85.29090909</v>
      </c>
      <c r="P200" s="43"/>
      <c r="Q200" s="68" t="s">
        <v>103</v>
      </c>
      <c r="R200" s="61">
        <f>100*R199/O201</f>
        <v>8.279065718</v>
      </c>
      <c r="S200" s="64"/>
      <c r="T200" s="64"/>
      <c r="U200" s="64"/>
      <c r="V200" s="43"/>
      <c r="W200" s="43"/>
    </row>
    <row r="201">
      <c r="A201" s="69"/>
      <c r="B201" s="65" t="s">
        <v>104</v>
      </c>
      <c r="C201" s="61">
        <f t="shared" ref="C201:O201" si="159">C200*C199</f>
        <v>56.96580795</v>
      </c>
      <c r="D201" s="61">
        <f t="shared" si="159"/>
        <v>72.60348072</v>
      </c>
      <c r="E201" s="61">
        <f t="shared" si="159"/>
        <v>0</v>
      </c>
      <c r="F201" s="61">
        <f t="shared" si="159"/>
        <v>60.31673783</v>
      </c>
      <c r="G201" s="61">
        <f t="shared" si="159"/>
        <v>82.65627035</v>
      </c>
      <c r="H201" s="61">
        <f t="shared" si="159"/>
        <v>93.82603662</v>
      </c>
      <c r="I201" s="61">
        <f t="shared" si="159"/>
        <v>83.77324698</v>
      </c>
      <c r="J201" s="61">
        <f t="shared" si="159"/>
        <v>84.89022361</v>
      </c>
      <c r="K201" s="61">
        <f t="shared" si="159"/>
        <v>87.12417686</v>
      </c>
      <c r="L201" s="61">
        <f t="shared" si="159"/>
        <v>73.72045734</v>
      </c>
      <c r="M201" s="61">
        <f t="shared" si="159"/>
        <v>89.35813011</v>
      </c>
      <c r="N201" s="61">
        <f t="shared" si="159"/>
        <v>86.00720023</v>
      </c>
      <c r="O201" s="61">
        <f t="shared" si="159"/>
        <v>88.13013899</v>
      </c>
      <c r="P201" s="43"/>
      <c r="Q201" s="53"/>
      <c r="R201" s="53"/>
      <c r="S201" s="69"/>
      <c r="T201" s="69"/>
      <c r="U201" s="69"/>
      <c r="V201" s="43"/>
      <c r="W201" s="43"/>
    </row>
    <row r="202">
      <c r="A202" s="70">
        <v>32.0</v>
      </c>
      <c r="B202" s="59" t="str">
        <f>VLOOKUP(A202, $A$3:$B$45, 2, FALSE)</f>
        <v>Ferrari</v>
      </c>
      <c r="C202" s="60">
        <f t="shared" ref="C202:N202" si="160">IF(AND($R34&lt;C34,C34&lt;$Q34),C34,0)</f>
        <v>65</v>
      </c>
      <c r="D202" s="60">
        <f t="shared" si="160"/>
        <v>61</v>
      </c>
      <c r="E202" s="60">
        <f t="shared" si="160"/>
        <v>51</v>
      </c>
      <c r="F202" s="60">
        <f t="shared" si="160"/>
        <v>74</v>
      </c>
      <c r="G202" s="60">
        <f t="shared" si="160"/>
        <v>80</v>
      </c>
      <c r="H202" s="60">
        <f t="shared" si="160"/>
        <v>61</v>
      </c>
      <c r="I202" s="61">
        <f t="shared" si="160"/>
        <v>0</v>
      </c>
      <c r="J202" s="60">
        <f t="shared" si="160"/>
        <v>59</v>
      </c>
      <c r="K202" s="61">
        <f t="shared" si="160"/>
        <v>0</v>
      </c>
      <c r="L202" s="60">
        <f t="shared" si="160"/>
        <v>67</v>
      </c>
      <c r="M202" s="60">
        <f t="shared" si="160"/>
        <v>61</v>
      </c>
      <c r="N202" s="60">
        <f t="shared" si="160"/>
        <v>61</v>
      </c>
      <c r="O202" s="53"/>
      <c r="P202" s="43"/>
      <c r="Q202" s="61">
        <f>IFERROR(__xludf.DUMMYFUNCTION("LINEST(FILTER(C202:N202,C202:N202 &gt; 0))"),-0.12121212121212022)</f>
        <v>-0.1212121212</v>
      </c>
      <c r="R202" s="61">
        <f>IFERROR(__xludf.DUMMYFUNCTION("""COMPUTED_VALUE"""),64.66666666666667)</f>
        <v>64.66666667</v>
      </c>
      <c r="S202" s="62" t="str">
        <f>IFS(R205&lt;10,"X",R205&lt;25,"Y",R205&gt;=25,"Z")</f>
        <v>Y</v>
      </c>
      <c r="T202" s="63" t="str">
        <f>IFS(R205&lt;25,"X",R205&lt;50,"Y",R205&gt;=50,"Z")</f>
        <v>X</v>
      </c>
      <c r="U202" s="63" t="str">
        <f>IFS(R205&lt;17.5,"X",R205&lt;42.5,"Y",R205&gt;=42.5,"Z")</f>
        <v>X</v>
      </c>
      <c r="V202" s="43"/>
      <c r="W202" s="43"/>
    </row>
    <row r="203">
      <c r="A203" s="64"/>
      <c r="B203" s="65" t="s">
        <v>98</v>
      </c>
      <c r="C203" s="66">
        <f t="shared" ref="C203:N203" si="161">(C202/($Q202*C$46+$R202))</f>
        <v>1.007042254</v>
      </c>
      <c r="D203" s="66">
        <f t="shared" si="161"/>
        <v>0.9468485419</v>
      </c>
      <c r="E203" s="66">
        <f t="shared" si="161"/>
        <v>0.7931196984</v>
      </c>
      <c r="F203" s="66">
        <f t="shared" si="161"/>
        <v>1.152974504</v>
      </c>
      <c r="G203" s="66">
        <f t="shared" si="161"/>
        <v>1.248817408</v>
      </c>
      <c r="H203" s="66">
        <f t="shared" si="161"/>
        <v>0.954028436</v>
      </c>
      <c r="I203" s="66">
        <f t="shared" si="161"/>
        <v>0</v>
      </c>
      <c r="J203" s="66">
        <f t="shared" si="161"/>
        <v>0.9262607041</v>
      </c>
      <c r="K203" s="66">
        <f t="shared" si="161"/>
        <v>0</v>
      </c>
      <c r="L203" s="66">
        <f t="shared" si="161"/>
        <v>1.055873926</v>
      </c>
      <c r="M203" s="66">
        <f t="shared" si="161"/>
        <v>0.9631578947</v>
      </c>
      <c r="N203" s="66">
        <f t="shared" si="161"/>
        <v>0.9650047939</v>
      </c>
      <c r="O203" s="67"/>
      <c r="P203" s="43"/>
      <c r="Q203" s="68" t="s">
        <v>99</v>
      </c>
      <c r="R203" s="66">
        <f>SUM(C203:N203)</f>
        <v>10.01312816</v>
      </c>
      <c r="S203" s="64"/>
      <c r="T203" s="64"/>
      <c r="U203" s="64"/>
      <c r="V203" s="43"/>
      <c r="W203" s="43"/>
    </row>
    <row r="204">
      <c r="A204" s="64"/>
      <c r="B204" s="65" t="s">
        <v>100</v>
      </c>
      <c r="C204" s="66">
        <f t="shared" ref="C204:N204" si="162">C203*12/$R203</f>
        <v>1.206866311</v>
      </c>
      <c r="D204" s="66">
        <f t="shared" si="162"/>
        <v>1.13472856</v>
      </c>
      <c r="E204" s="66">
        <f t="shared" si="162"/>
        <v>0.950495812</v>
      </c>
      <c r="F204" s="66">
        <f t="shared" si="162"/>
        <v>1.381755414</v>
      </c>
      <c r="G204" s="66">
        <f t="shared" si="162"/>
        <v>1.496616108</v>
      </c>
      <c r="H204" s="66">
        <f t="shared" si="162"/>
        <v>1.143333137</v>
      </c>
      <c r="I204" s="66">
        <f t="shared" si="162"/>
        <v>0</v>
      </c>
      <c r="J204" s="66">
        <f t="shared" si="162"/>
        <v>1.110055546</v>
      </c>
      <c r="K204" s="66">
        <f t="shared" si="162"/>
        <v>0</v>
      </c>
      <c r="L204" s="66">
        <f t="shared" si="162"/>
        <v>1.26538749</v>
      </c>
      <c r="M204" s="66">
        <f t="shared" si="162"/>
        <v>1.154274124</v>
      </c>
      <c r="N204" s="66">
        <f t="shared" si="162"/>
        <v>1.156487497</v>
      </c>
      <c r="O204" s="66">
        <f>IF(N204&gt;0, N204, M204)</f>
        <v>1.156487497</v>
      </c>
      <c r="P204" s="43"/>
      <c r="Q204" s="68" t="s">
        <v>101</v>
      </c>
      <c r="R204" s="61">
        <f>SQRT(SUM((D205-D202)^2,(E205-E202)^2,(F205-F202)^2,(G205-G202)^2,(H205-H202)^2,(I205-I202)^2,(J205-J202)^2,(K205-K202)^2,(L205-L202)^2,(M205-M202)^2,(N205-N202)^2)/11)</f>
        <v>7.340836951</v>
      </c>
      <c r="S204" s="64"/>
      <c r="T204" s="64"/>
      <c r="U204" s="64"/>
      <c r="V204" s="43"/>
      <c r="W204" s="43"/>
    </row>
    <row r="205">
      <c r="A205" s="64"/>
      <c r="B205" s="65" t="s">
        <v>102</v>
      </c>
      <c r="C205" s="61">
        <f t="shared" ref="C205:N205" si="163">IF(C202&gt;0,$Q202*C$46+$R202,0)</f>
        <v>64.54545455</v>
      </c>
      <c r="D205" s="61">
        <f t="shared" si="163"/>
        <v>64.42424242</v>
      </c>
      <c r="E205" s="61">
        <f t="shared" si="163"/>
        <v>64.3030303</v>
      </c>
      <c r="F205" s="61">
        <f t="shared" si="163"/>
        <v>64.18181818</v>
      </c>
      <c r="G205" s="61">
        <f t="shared" si="163"/>
        <v>64.06060606</v>
      </c>
      <c r="H205" s="61">
        <f t="shared" si="163"/>
        <v>63.93939394</v>
      </c>
      <c r="I205" s="61">
        <f t="shared" si="163"/>
        <v>0</v>
      </c>
      <c r="J205" s="61">
        <f t="shared" si="163"/>
        <v>63.6969697</v>
      </c>
      <c r="K205" s="61">
        <f t="shared" si="163"/>
        <v>0</v>
      </c>
      <c r="L205" s="61">
        <f t="shared" si="163"/>
        <v>63.45454545</v>
      </c>
      <c r="M205" s="61">
        <f t="shared" si="163"/>
        <v>63.33333333</v>
      </c>
      <c r="N205" s="61">
        <f t="shared" si="163"/>
        <v>63.21212121</v>
      </c>
      <c r="O205" s="61">
        <f>$Q202*O$46+$R202</f>
        <v>63.09090909</v>
      </c>
      <c r="P205" s="43"/>
      <c r="Q205" s="68" t="s">
        <v>103</v>
      </c>
      <c r="R205" s="61">
        <f>100*R204/O206</f>
        <v>10.06092359</v>
      </c>
      <c r="S205" s="64"/>
      <c r="T205" s="64"/>
      <c r="U205" s="64"/>
      <c r="V205" s="43"/>
      <c r="W205" s="43"/>
    </row>
    <row r="206">
      <c r="A206" s="69"/>
      <c r="B206" s="65" t="s">
        <v>104</v>
      </c>
      <c r="C206" s="61">
        <f t="shared" ref="C206:O206" si="164">C205*C204</f>
        <v>77.89773461</v>
      </c>
      <c r="D206" s="61">
        <f t="shared" si="164"/>
        <v>73.10402786</v>
      </c>
      <c r="E206" s="61">
        <f t="shared" si="164"/>
        <v>61.119761</v>
      </c>
      <c r="F206" s="61">
        <f t="shared" si="164"/>
        <v>88.68357478</v>
      </c>
      <c r="G206" s="61">
        <f t="shared" si="164"/>
        <v>95.8741349</v>
      </c>
      <c r="H206" s="61">
        <f t="shared" si="164"/>
        <v>73.10402786</v>
      </c>
      <c r="I206" s="61">
        <f t="shared" si="164"/>
        <v>0</v>
      </c>
      <c r="J206" s="61">
        <f t="shared" si="164"/>
        <v>70.70717449</v>
      </c>
      <c r="K206" s="61">
        <f t="shared" si="164"/>
        <v>0</v>
      </c>
      <c r="L206" s="61">
        <f t="shared" si="164"/>
        <v>80.29458798</v>
      </c>
      <c r="M206" s="61">
        <f t="shared" si="164"/>
        <v>73.10402786</v>
      </c>
      <c r="N206" s="61">
        <f t="shared" si="164"/>
        <v>73.10402786</v>
      </c>
      <c r="O206" s="61">
        <f t="shared" si="164"/>
        <v>72.96384756</v>
      </c>
      <c r="P206" s="43"/>
      <c r="Q206" s="53"/>
      <c r="R206" s="53"/>
      <c r="S206" s="69"/>
      <c r="T206" s="69"/>
      <c r="U206" s="69"/>
      <c r="V206" s="43"/>
      <c r="W206" s="43"/>
    </row>
    <row r="207">
      <c r="A207" s="70">
        <v>33.0</v>
      </c>
      <c r="B207" s="59" t="str">
        <f>VLOOKUP(A207, $A$3:$B$45, 2, FALSE)</f>
        <v>DS</v>
      </c>
      <c r="C207" s="60">
        <f t="shared" ref="C207:N207" si="165">IF(AND($R35&lt;C35,C35&lt;$Q35),C35,0)</f>
        <v>22</v>
      </c>
      <c r="D207" s="60">
        <f t="shared" si="165"/>
        <v>36</v>
      </c>
      <c r="E207" s="60">
        <f t="shared" si="165"/>
        <v>87</v>
      </c>
      <c r="F207" s="60">
        <f t="shared" si="165"/>
        <v>34</v>
      </c>
      <c r="G207" s="60">
        <f t="shared" si="165"/>
        <v>38</v>
      </c>
      <c r="H207" s="60">
        <f t="shared" si="165"/>
        <v>55</v>
      </c>
      <c r="I207" s="60">
        <f t="shared" si="165"/>
        <v>88</v>
      </c>
      <c r="J207" s="60">
        <f t="shared" si="165"/>
        <v>52</v>
      </c>
      <c r="K207" s="60">
        <f t="shared" si="165"/>
        <v>117</v>
      </c>
      <c r="L207" s="60">
        <f t="shared" si="165"/>
        <v>58</v>
      </c>
      <c r="M207" s="60">
        <f t="shared" si="165"/>
        <v>68</v>
      </c>
      <c r="N207" s="60">
        <f t="shared" si="165"/>
        <v>94</v>
      </c>
      <c r="O207" s="53"/>
      <c r="P207" s="43"/>
      <c r="Q207" s="61">
        <f>IFERROR(__xludf.DUMMYFUNCTION("LINEST(FILTER(C207:N207,C207:N207 &gt; 0))"),4.779720279720281)</f>
        <v>4.77972028</v>
      </c>
      <c r="R207" s="61">
        <f>IFERROR(__xludf.DUMMYFUNCTION("""COMPUTED_VALUE"""),31.348484848484837)</f>
        <v>31.34848485</v>
      </c>
      <c r="S207" s="62" t="str">
        <f>IFS(R210&lt;10,"X",R210&lt;25,"Y",R210&gt;=25,"Z")</f>
        <v>Y</v>
      </c>
      <c r="T207" s="63" t="str">
        <f>IFS(R210&lt;25,"X",R210&lt;50,"Y",R210&gt;=50,"Z")</f>
        <v>X</v>
      </c>
      <c r="U207" s="63" t="str">
        <f>IFS(R210&lt;17.5,"X",R210&lt;42.5,"Y",R210&gt;=42.5,"Z")</f>
        <v>Y</v>
      </c>
      <c r="V207" s="43"/>
      <c r="W207" s="43"/>
    </row>
    <row r="208">
      <c r="A208" s="64"/>
      <c r="B208" s="65" t="s">
        <v>98</v>
      </c>
      <c r="C208" s="66">
        <f t="shared" ref="C208:N208" si="166">(C207/($Q207*C$46+$R207))</f>
        <v>0.6089425124</v>
      </c>
      <c r="D208" s="66">
        <f t="shared" si="166"/>
        <v>0.8800250719</v>
      </c>
      <c r="E208" s="66">
        <f t="shared" si="166"/>
        <v>1.904234694</v>
      </c>
      <c r="F208" s="66">
        <f t="shared" si="166"/>
        <v>0.6737026859</v>
      </c>
      <c r="G208" s="66">
        <f t="shared" si="166"/>
        <v>0.6878190794</v>
      </c>
      <c r="H208" s="66">
        <f t="shared" si="166"/>
        <v>0.9162573054</v>
      </c>
      <c r="I208" s="66">
        <f t="shared" si="166"/>
        <v>1.357887922</v>
      </c>
      <c r="J208" s="66">
        <f t="shared" si="166"/>
        <v>0.7472740976</v>
      </c>
      <c r="K208" s="66">
        <f t="shared" si="166"/>
        <v>1.573300317</v>
      </c>
      <c r="L208" s="66">
        <f t="shared" si="166"/>
        <v>0.7328257764</v>
      </c>
      <c r="M208" s="66">
        <f t="shared" si="166"/>
        <v>0.8102433063</v>
      </c>
      <c r="N208" s="66">
        <f t="shared" si="166"/>
        <v>1.059690707</v>
      </c>
      <c r="O208" s="67"/>
      <c r="P208" s="43"/>
      <c r="Q208" s="68" t="s">
        <v>99</v>
      </c>
      <c r="R208" s="66">
        <f>SUM(C208:N208)</f>
        <v>11.95220347</v>
      </c>
      <c r="S208" s="64"/>
      <c r="T208" s="64"/>
      <c r="U208" s="64"/>
      <c r="V208" s="43"/>
      <c r="W208" s="43"/>
    </row>
    <row r="209">
      <c r="A209" s="64"/>
      <c r="B209" s="65" t="s">
        <v>100</v>
      </c>
      <c r="C209" s="66">
        <f t="shared" ref="C209:N209" si="167">C208*12/$R208</f>
        <v>0.6113776564</v>
      </c>
      <c r="D209" s="66">
        <f t="shared" si="167"/>
        <v>0.8835442675</v>
      </c>
      <c r="E209" s="66">
        <f t="shared" si="167"/>
        <v>1.911849675</v>
      </c>
      <c r="F209" s="66">
        <f t="shared" si="167"/>
        <v>0.676396804</v>
      </c>
      <c r="G209" s="66">
        <f t="shared" si="167"/>
        <v>0.6905696485</v>
      </c>
      <c r="H209" s="66">
        <f t="shared" si="167"/>
        <v>0.9199213926</v>
      </c>
      <c r="I209" s="66">
        <f t="shared" si="167"/>
        <v>1.363318077</v>
      </c>
      <c r="J209" s="66">
        <f t="shared" si="167"/>
        <v>0.7502624258</v>
      </c>
      <c r="K209" s="66">
        <f t="shared" si="167"/>
        <v>1.5795919</v>
      </c>
      <c r="L209" s="66">
        <f t="shared" si="167"/>
        <v>0.7357563261</v>
      </c>
      <c r="M209" s="66">
        <f t="shared" si="167"/>
        <v>0.8134834465</v>
      </c>
      <c r="N209" s="66">
        <f t="shared" si="167"/>
        <v>1.06392838</v>
      </c>
      <c r="O209" s="66">
        <f>IF(N209&gt;0, N209, M209)</f>
        <v>1.06392838</v>
      </c>
      <c r="P209" s="43"/>
      <c r="Q209" s="68" t="s">
        <v>101</v>
      </c>
      <c r="R209" s="61">
        <f>SQRT(SUM((D210-D207)^2,(E210-E207)^2,(F210-F207)^2,(G210-G207)^2,(H210-H207)^2,(I210-I207)^2,(J210-J207)^2,(K210-K207)^2,(L210-L207)^2,(M210-M207)^2,(N210-N207)^2)/11)</f>
        <v>22.80026251</v>
      </c>
      <c r="S209" s="64"/>
      <c r="T209" s="64"/>
      <c r="U209" s="64"/>
      <c r="V209" s="43"/>
      <c r="W209" s="43"/>
    </row>
    <row r="210">
      <c r="A210" s="64"/>
      <c r="B210" s="65" t="s">
        <v>102</v>
      </c>
      <c r="C210" s="61">
        <f t="shared" ref="C210:N210" si="168">IF(C207&gt;0,$Q207*C$46+$R207,0)</f>
        <v>36.12820513</v>
      </c>
      <c r="D210" s="61">
        <f t="shared" si="168"/>
        <v>40.90792541</v>
      </c>
      <c r="E210" s="61">
        <f t="shared" si="168"/>
        <v>45.68764569</v>
      </c>
      <c r="F210" s="61">
        <f t="shared" si="168"/>
        <v>50.46736597</v>
      </c>
      <c r="G210" s="61">
        <f t="shared" si="168"/>
        <v>55.24708625</v>
      </c>
      <c r="H210" s="61">
        <f t="shared" si="168"/>
        <v>60.02680653</v>
      </c>
      <c r="I210" s="61">
        <f t="shared" si="168"/>
        <v>64.80652681</v>
      </c>
      <c r="J210" s="61">
        <f t="shared" si="168"/>
        <v>69.58624709</v>
      </c>
      <c r="K210" s="61">
        <f t="shared" si="168"/>
        <v>74.36596737</v>
      </c>
      <c r="L210" s="61">
        <f t="shared" si="168"/>
        <v>79.14568765</v>
      </c>
      <c r="M210" s="61">
        <f t="shared" si="168"/>
        <v>83.92540793</v>
      </c>
      <c r="N210" s="61">
        <f t="shared" si="168"/>
        <v>88.70512821</v>
      </c>
      <c r="O210" s="61">
        <f>$Q207*O$46+$R207</f>
        <v>93.48484848</v>
      </c>
      <c r="P210" s="43"/>
      <c r="Q210" s="68" t="s">
        <v>103</v>
      </c>
      <c r="R210" s="61">
        <f>100*R209/O211</f>
        <v>22.92377964</v>
      </c>
      <c r="S210" s="64"/>
      <c r="T210" s="64"/>
      <c r="U210" s="64"/>
      <c r="V210" s="43"/>
      <c r="W210" s="43"/>
    </row>
    <row r="211">
      <c r="A211" s="69"/>
      <c r="B211" s="65" t="s">
        <v>104</v>
      </c>
      <c r="C211" s="61">
        <f t="shared" ref="C211:O211" si="169">C210*C209</f>
        <v>22.08797738</v>
      </c>
      <c r="D211" s="61">
        <f t="shared" si="169"/>
        <v>36.14396299</v>
      </c>
      <c r="E211" s="61">
        <f t="shared" si="169"/>
        <v>87.34791055</v>
      </c>
      <c r="F211" s="61">
        <f t="shared" si="169"/>
        <v>34.13596504</v>
      </c>
      <c r="G211" s="61">
        <f t="shared" si="169"/>
        <v>38.15196093</v>
      </c>
      <c r="H211" s="61">
        <f t="shared" si="169"/>
        <v>55.21994345</v>
      </c>
      <c r="I211" s="61">
        <f t="shared" si="169"/>
        <v>88.35190953</v>
      </c>
      <c r="J211" s="61">
        <f t="shared" si="169"/>
        <v>52.20794654</v>
      </c>
      <c r="K211" s="61">
        <f t="shared" si="169"/>
        <v>117.4678797</v>
      </c>
      <c r="L211" s="61">
        <f t="shared" si="169"/>
        <v>58.23194037</v>
      </c>
      <c r="M211" s="61">
        <f t="shared" si="169"/>
        <v>68.27193009</v>
      </c>
      <c r="N211" s="61">
        <f t="shared" si="169"/>
        <v>94.37590336</v>
      </c>
      <c r="O211" s="61">
        <f t="shared" si="169"/>
        <v>99.46118341</v>
      </c>
      <c r="P211" s="43"/>
      <c r="Q211" s="53"/>
      <c r="R211" s="53"/>
      <c r="S211" s="69"/>
      <c r="T211" s="69"/>
      <c r="U211" s="69"/>
      <c r="V211" s="43"/>
      <c r="W211" s="43"/>
    </row>
    <row r="212">
      <c r="A212" s="70">
        <v>34.0</v>
      </c>
      <c r="B212" s="59" t="str">
        <f>VLOOKUP(A212, $A$3:$B$45, 2, FALSE)</f>
        <v>Cadillac</v>
      </c>
      <c r="C212" s="60">
        <f t="shared" ref="C212:N212" si="170">IF(AND($R36&lt;C36,C36&lt;$Q36),C36,0)</f>
        <v>32</v>
      </c>
      <c r="D212" s="60">
        <f t="shared" si="170"/>
        <v>46</v>
      </c>
      <c r="E212" s="61">
        <f t="shared" si="170"/>
        <v>0</v>
      </c>
      <c r="F212" s="60">
        <f t="shared" si="170"/>
        <v>34</v>
      </c>
      <c r="G212" s="60">
        <f t="shared" si="170"/>
        <v>36</v>
      </c>
      <c r="H212" s="60">
        <f t="shared" si="170"/>
        <v>55</v>
      </c>
      <c r="I212" s="60">
        <f t="shared" si="170"/>
        <v>35</v>
      </c>
      <c r="J212" s="60">
        <f t="shared" si="170"/>
        <v>26</v>
      </c>
      <c r="K212" s="60">
        <f t="shared" si="170"/>
        <v>76</v>
      </c>
      <c r="L212" s="60">
        <f t="shared" si="170"/>
        <v>47</v>
      </c>
      <c r="M212" s="60">
        <f t="shared" si="170"/>
        <v>55</v>
      </c>
      <c r="N212" s="60">
        <f t="shared" si="170"/>
        <v>77</v>
      </c>
      <c r="O212" s="53"/>
      <c r="P212" s="43"/>
      <c r="Q212" s="61">
        <f>IFERROR(__xludf.DUMMYFUNCTION("LINEST(FILTER(C212:N212,C212:N212 &gt; 0))"),3.1909090909090905)</f>
        <v>3.190909091</v>
      </c>
      <c r="R212" s="61">
        <f>IFERROR(__xludf.DUMMYFUNCTION("""COMPUTED_VALUE"""),28.036363636363635)</f>
        <v>28.03636364</v>
      </c>
      <c r="S212" s="62" t="str">
        <f>IFS(R215&lt;10,"X",R215&lt;25,"Y",R215&gt;=25,"Z")</f>
        <v>Y</v>
      </c>
      <c r="T212" s="63" t="str">
        <f>IFS(R215&lt;25,"X",R215&lt;50,"Y",R215&gt;=50,"Z")</f>
        <v>X</v>
      </c>
      <c r="U212" s="63" t="str">
        <f>IFS(R215&lt;17.5,"X",R215&lt;42.5,"Y",R215&gt;=42.5,"Z")</f>
        <v>X</v>
      </c>
      <c r="V212" s="43"/>
      <c r="W212" s="43"/>
    </row>
    <row r="213">
      <c r="A213" s="64"/>
      <c r="B213" s="65" t="s">
        <v>98</v>
      </c>
      <c r="C213" s="66">
        <f t="shared" ref="C213:N213" si="171">(C212/($Q212*C$46+$R212))</f>
        <v>1.024745269</v>
      </c>
      <c r="D213" s="66">
        <f t="shared" si="171"/>
        <v>1.336502905</v>
      </c>
      <c r="E213" s="66">
        <f t="shared" si="171"/>
        <v>0</v>
      </c>
      <c r="F213" s="66">
        <f t="shared" si="171"/>
        <v>0.8333333333</v>
      </c>
      <c r="G213" s="66">
        <f t="shared" si="171"/>
        <v>0.8183508989</v>
      </c>
      <c r="H213" s="66">
        <f t="shared" si="171"/>
        <v>1.165703276</v>
      </c>
      <c r="I213" s="66">
        <f t="shared" si="171"/>
        <v>0.6948204295</v>
      </c>
      <c r="J213" s="66">
        <f t="shared" si="171"/>
        <v>0.4854039375</v>
      </c>
      <c r="K213" s="66">
        <f t="shared" si="171"/>
        <v>1.339099792</v>
      </c>
      <c r="L213" s="66">
        <f t="shared" si="171"/>
        <v>0.7840461025</v>
      </c>
      <c r="M213" s="66">
        <f t="shared" si="171"/>
        <v>0.8711303096</v>
      </c>
      <c r="N213" s="66">
        <f t="shared" si="171"/>
        <v>1.160910088</v>
      </c>
      <c r="O213" s="67"/>
      <c r="P213" s="43"/>
      <c r="Q213" s="68" t="s">
        <v>99</v>
      </c>
      <c r="R213" s="66">
        <f>SUM(C213:N213)</f>
        <v>10.51404634</v>
      </c>
      <c r="S213" s="64"/>
      <c r="T213" s="64"/>
      <c r="U213" s="64"/>
      <c r="V213" s="43"/>
      <c r="W213" s="43"/>
    </row>
    <row r="214">
      <c r="A214" s="64"/>
      <c r="B214" s="65" t="s">
        <v>100</v>
      </c>
      <c r="C214" s="66">
        <f t="shared" ref="C214:N214" si="172">C213*12/$R213</f>
        <v>1.169572858</v>
      </c>
      <c r="D214" s="66">
        <f t="shared" si="172"/>
        <v>1.525391305</v>
      </c>
      <c r="E214" s="66">
        <f t="shared" si="172"/>
        <v>0</v>
      </c>
      <c r="F214" s="66">
        <f t="shared" si="172"/>
        <v>0.9511086099</v>
      </c>
      <c r="G214" s="66">
        <f t="shared" si="172"/>
        <v>0.9340087031</v>
      </c>
      <c r="H214" s="66">
        <f t="shared" si="172"/>
        <v>1.330452506</v>
      </c>
      <c r="I214" s="66">
        <f t="shared" si="172"/>
        <v>0.7930196314</v>
      </c>
      <c r="J214" s="66">
        <f t="shared" si="172"/>
        <v>0.5540062371</v>
      </c>
      <c r="K214" s="66">
        <f t="shared" si="172"/>
        <v>1.52835521</v>
      </c>
      <c r="L214" s="66">
        <f t="shared" si="172"/>
        <v>0.8948555984</v>
      </c>
      <c r="M214" s="66">
        <f t="shared" si="172"/>
        <v>0.9942474453</v>
      </c>
      <c r="N214" s="66">
        <f t="shared" si="172"/>
        <v>1.324981896</v>
      </c>
      <c r="O214" s="66">
        <f>IF(N214&gt;0, N214, M214)</f>
        <v>1.324981896</v>
      </c>
      <c r="P214" s="43"/>
      <c r="Q214" s="68" t="s">
        <v>101</v>
      </c>
      <c r="R214" s="61">
        <f>SQRT(SUM((D215-D212)^2,(E215-E212)^2,(F215-F212)^2,(G215-G212)^2,(H215-H212)^2,(I215-I212)^2,(J215-J212)^2,(K215-K212)^2,(L215-L212)^2,(M215-M212)^2,(N215-N212)^2)/11)</f>
        <v>13.54961165</v>
      </c>
      <c r="S214" s="64"/>
      <c r="T214" s="64"/>
      <c r="U214" s="64"/>
      <c r="V214" s="43"/>
      <c r="W214" s="43"/>
    </row>
    <row r="215">
      <c r="A215" s="64"/>
      <c r="B215" s="65" t="s">
        <v>102</v>
      </c>
      <c r="C215" s="61">
        <f t="shared" ref="C215:N215" si="173">IF(C212&gt;0,$Q212*C$46+$R212,0)</f>
        <v>31.22727273</v>
      </c>
      <c r="D215" s="61">
        <f t="shared" si="173"/>
        <v>34.41818182</v>
      </c>
      <c r="E215" s="61">
        <f t="shared" si="173"/>
        <v>0</v>
      </c>
      <c r="F215" s="61">
        <f t="shared" si="173"/>
        <v>40.8</v>
      </c>
      <c r="G215" s="61">
        <f t="shared" si="173"/>
        <v>43.99090909</v>
      </c>
      <c r="H215" s="61">
        <f t="shared" si="173"/>
        <v>47.18181818</v>
      </c>
      <c r="I215" s="61">
        <f t="shared" si="173"/>
        <v>50.37272727</v>
      </c>
      <c r="J215" s="61">
        <f t="shared" si="173"/>
        <v>53.56363636</v>
      </c>
      <c r="K215" s="61">
        <f t="shared" si="173"/>
        <v>56.75454545</v>
      </c>
      <c r="L215" s="61">
        <f t="shared" si="173"/>
        <v>59.94545455</v>
      </c>
      <c r="M215" s="61">
        <f t="shared" si="173"/>
        <v>63.13636364</v>
      </c>
      <c r="N215" s="61">
        <f t="shared" si="173"/>
        <v>66.32727273</v>
      </c>
      <c r="O215" s="61">
        <f>$Q212*O$46+$R212</f>
        <v>69.51818182</v>
      </c>
      <c r="P215" s="43"/>
      <c r="Q215" s="68" t="s">
        <v>103</v>
      </c>
      <c r="R215" s="61">
        <f>100*R214/O216</f>
        <v>14.71019734</v>
      </c>
      <c r="S215" s="64"/>
      <c r="T215" s="64"/>
      <c r="U215" s="64"/>
      <c r="V215" s="43"/>
      <c r="W215" s="43"/>
    </row>
    <row r="216">
      <c r="A216" s="69"/>
      <c r="B216" s="65" t="s">
        <v>104</v>
      </c>
      <c r="C216" s="61">
        <f t="shared" ref="C216:O216" si="174">C215*C214</f>
        <v>36.52257062</v>
      </c>
      <c r="D216" s="61">
        <f t="shared" si="174"/>
        <v>52.50119527</v>
      </c>
      <c r="E216" s="61">
        <f t="shared" si="174"/>
        <v>0</v>
      </c>
      <c r="F216" s="61">
        <f t="shared" si="174"/>
        <v>38.80523128</v>
      </c>
      <c r="G216" s="61">
        <f t="shared" si="174"/>
        <v>41.08789195</v>
      </c>
      <c r="H216" s="61">
        <f t="shared" si="174"/>
        <v>62.77316825</v>
      </c>
      <c r="I216" s="61">
        <f t="shared" si="174"/>
        <v>39.94656162</v>
      </c>
      <c r="J216" s="61">
        <f t="shared" si="174"/>
        <v>29.67458863</v>
      </c>
      <c r="K216" s="61">
        <f t="shared" si="174"/>
        <v>86.74110522</v>
      </c>
      <c r="L216" s="61">
        <f t="shared" si="174"/>
        <v>53.6425256</v>
      </c>
      <c r="M216" s="61">
        <f t="shared" si="174"/>
        <v>62.77316825</v>
      </c>
      <c r="N216" s="61">
        <f t="shared" si="174"/>
        <v>87.88243555</v>
      </c>
      <c r="O216" s="61">
        <f t="shared" si="174"/>
        <v>92.11033233</v>
      </c>
      <c r="P216" s="43"/>
      <c r="Q216" s="53"/>
      <c r="R216" s="53"/>
      <c r="S216" s="69"/>
      <c r="T216" s="69"/>
      <c r="U216" s="69"/>
      <c r="V216" s="43"/>
      <c r="W216" s="43"/>
    </row>
    <row r="217">
      <c r="A217" s="70">
        <v>35.0</v>
      </c>
      <c r="B217" s="59" t="str">
        <f>VLOOKUP(A217, $A$3:$B$45, 2, FALSE)</f>
        <v>Lamborghini</v>
      </c>
      <c r="C217" s="60">
        <f t="shared" ref="C217:N217" si="175">IF(AND($R37&lt;C37,C37&lt;$Q37),C37,0)</f>
        <v>32</v>
      </c>
      <c r="D217" s="60">
        <f t="shared" si="175"/>
        <v>61</v>
      </c>
      <c r="E217" s="60">
        <f t="shared" si="175"/>
        <v>67</v>
      </c>
      <c r="F217" s="60">
        <f t="shared" si="175"/>
        <v>64</v>
      </c>
      <c r="G217" s="60">
        <f t="shared" si="175"/>
        <v>38</v>
      </c>
      <c r="H217" s="60">
        <f t="shared" si="175"/>
        <v>57</v>
      </c>
      <c r="I217" s="60">
        <f t="shared" si="175"/>
        <v>40</v>
      </c>
      <c r="J217" s="60">
        <f t="shared" si="175"/>
        <v>36</v>
      </c>
      <c r="K217" s="60">
        <f t="shared" si="175"/>
        <v>37</v>
      </c>
      <c r="L217" s="60">
        <f t="shared" si="175"/>
        <v>52</v>
      </c>
      <c r="M217" s="60">
        <f t="shared" si="175"/>
        <v>38</v>
      </c>
      <c r="N217" s="60">
        <f t="shared" si="175"/>
        <v>21</v>
      </c>
      <c r="O217" s="53"/>
      <c r="P217" s="43"/>
      <c r="Q217" s="61">
        <f>IFERROR(__xludf.DUMMYFUNCTION("LINEST(FILTER(C217:N217,C217:N217 &gt; 0))"),-2.0664335664335662)</f>
        <v>-2.066433566</v>
      </c>
      <c r="R217" s="61">
        <f>IFERROR(__xludf.DUMMYFUNCTION("""COMPUTED_VALUE"""),58.68181818181818)</f>
        <v>58.68181818</v>
      </c>
      <c r="S217" s="62" t="str">
        <f>IFS(R220&lt;10,"X",R220&lt;25,"Y",R220&gt;=25,"Z")</f>
        <v>Z</v>
      </c>
      <c r="T217" s="63" t="str">
        <f>IFS(R220&lt;25,"X",R220&lt;50,"Y",R220&gt;=50,"Z")</f>
        <v>Z</v>
      </c>
      <c r="U217" s="63" t="str">
        <f>IFS(R220&lt;17.5,"X",R220&lt;42.5,"Y",R220&gt;=42.5,"Z")</f>
        <v>Z</v>
      </c>
      <c r="V217" s="43"/>
      <c r="W217" s="43"/>
    </row>
    <row r="218">
      <c r="A218" s="64"/>
      <c r="B218" s="65" t="s">
        <v>98</v>
      </c>
      <c r="C218" s="66">
        <f t="shared" ref="C218:N218" si="176">(C217/($Q217*C$46+$R217))</f>
        <v>0.5652173913</v>
      </c>
      <c r="D218" s="66">
        <f t="shared" si="176"/>
        <v>1.11826165</v>
      </c>
      <c r="E218" s="66">
        <f t="shared" si="176"/>
        <v>1.27661559</v>
      </c>
      <c r="F218" s="66">
        <f t="shared" si="176"/>
        <v>1.269436161</v>
      </c>
      <c r="G218" s="66">
        <f t="shared" si="176"/>
        <v>0.7859415678</v>
      </c>
      <c r="H218" s="66">
        <f t="shared" si="176"/>
        <v>1.231547934</v>
      </c>
      <c r="I218" s="66">
        <f t="shared" si="176"/>
        <v>0.9046338763</v>
      </c>
      <c r="J218" s="66">
        <f t="shared" si="176"/>
        <v>0.8540854417</v>
      </c>
      <c r="K218" s="66">
        <f t="shared" si="176"/>
        <v>0.9230635031</v>
      </c>
      <c r="L218" s="66">
        <f t="shared" si="176"/>
        <v>1.367791778</v>
      </c>
      <c r="M218" s="66">
        <f t="shared" si="176"/>
        <v>1.056992803</v>
      </c>
      <c r="N218" s="66">
        <f t="shared" si="176"/>
        <v>0.6197502838</v>
      </c>
      <c r="O218" s="67"/>
      <c r="P218" s="43"/>
      <c r="Q218" s="68" t="s">
        <v>99</v>
      </c>
      <c r="R218" s="66">
        <f>SUM(C218:N218)</f>
        <v>11.97333798</v>
      </c>
      <c r="S218" s="64"/>
      <c r="T218" s="64"/>
      <c r="U218" s="64"/>
      <c r="V218" s="43"/>
      <c r="W218" s="43"/>
    </row>
    <row r="219">
      <c r="A219" s="64"/>
      <c r="B219" s="65" t="s">
        <v>100</v>
      </c>
      <c r="C219" s="66">
        <f t="shared" ref="C219:N219" si="177">C218*12/$R218</f>
        <v>0.5664760076</v>
      </c>
      <c r="D219" s="66">
        <f t="shared" si="177"/>
        <v>1.120751776</v>
      </c>
      <c r="E219" s="66">
        <f t="shared" si="177"/>
        <v>1.279458335</v>
      </c>
      <c r="F219" s="66">
        <f t="shared" si="177"/>
        <v>1.272262919</v>
      </c>
      <c r="G219" s="66">
        <f t="shared" si="177"/>
        <v>0.7876916889</v>
      </c>
      <c r="H219" s="66">
        <f t="shared" si="177"/>
        <v>1.234290323</v>
      </c>
      <c r="I219" s="66">
        <f t="shared" si="177"/>
        <v>0.9066482993</v>
      </c>
      <c r="J219" s="66">
        <f t="shared" si="177"/>
        <v>0.8559873044</v>
      </c>
      <c r="K219" s="66">
        <f t="shared" si="177"/>
        <v>0.9251189649</v>
      </c>
      <c r="L219" s="66">
        <f t="shared" si="177"/>
        <v>1.370837553</v>
      </c>
      <c r="M219" s="66">
        <f t="shared" si="177"/>
        <v>1.059346496</v>
      </c>
      <c r="N219" s="66">
        <f t="shared" si="177"/>
        <v>0.6211303329</v>
      </c>
      <c r="O219" s="66">
        <f>IF(N219&gt;0, N219, M219)</f>
        <v>0.6211303329</v>
      </c>
      <c r="P219" s="43"/>
      <c r="Q219" s="68" t="s">
        <v>101</v>
      </c>
      <c r="R219" s="61">
        <f>SQRT(SUM((D220-D217)^2,(E220-E217)^2,(F220-F217)^2,(G220-G217)^2,(H220-H217)^2,(I220-I217)^2,(J220-J217)^2,(K220-K217)^2,(L220-L217)^2,(M220-M217)^2,(N220-N217)^2)/11)</f>
        <v>9.953079566</v>
      </c>
      <c r="S219" s="64"/>
      <c r="T219" s="64"/>
      <c r="U219" s="64"/>
      <c r="V219" s="43"/>
      <c r="W219" s="43"/>
    </row>
    <row r="220">
      <c r="A220" s="64"/>
      <c r="B220" s="65" t="s">
        <v>102</v>
      </c>
      <c r="C220" s="61">
        <f t="shared" ref="C220:N220" si="178">IF(C217&gt;0,$Q217*C$46+$R217,0)</f>
        <v>56.61538462</v>
      </c>
      <c r="D220" s="61">
        <f t="shared" si="178"/>
        <v>54.54895105</v>
      </c>
      <c r="E220" s="61">
        <f t="shared" si="178"/>
        <v>52.48251748</v>
      </c>
      <c r="F220" s="61">
        <f t="shared" si="178"/>
        <v>50.41608392</v>
      </c>
      <c r="G220" s="61">
        <f t="shared" si="178"/>
        <v>48.34965035</v>
      </c>
      <c r="H220" s="61">
        <f t="shared" si="178"/>
        <v>46.28321678</v>
      </c>
      <c r="I220" s="61">
        <f t="shared" si="178"/>
        <v>44.21678322</v>
      </c>
      <c r="J220" s="61">
        <f t="shared" si="178"/>
        <v>42.15034965</v>
      </c>
      <c r="K220" s="61">
        <f t="shared" si="178"/>
        <v>40.08391608</v>
      </c>
      <c r="L220" s="61">
        <f t="shared" si="178"/>
        <v>38.01748252</v>
      </c>
      <c r="M220" s="61">
        <f t="shared" si="178"/>
        <v>35.95104895</v>
      </c>
      <c r="N220" s="61">
        <f t="shared" si="178"/>
        <v>33.88461538</v>
      </c>
      <c r="O220" s="61">
        <f>$Q217*O$46+$R217</f>
        <v>31.81818182</v>
      </c>
      <c r="P220" s="43"/>
      <c r="Q220" s="68" t="s">
        <v>103</v>
      </c>
      <c r="R220" s="61">
        <f>100*R219/O221</f>
        <v>50.36158363</v>
      </c>
      <c r="S220" s="64"/>
      <c r="T220" s="64"/>
      <c r="U220" s="64"/>
      <c r="V220" s="43"/>
      <c r="W220" s="43"/>
    </row>
    <row r="221">
      <c r="A221" s="69"/>
      <c r="B221" s="65" t="s">
        <v>104</v>
      </c>
      <c r="C221" s="61">
        <f t="shared" ref="C221:O221" si="179">C220*C219</f>
        <v>32.07125704</v>
      </c>
      <c r="D221" s="61">
        <f t="shared" si="179"/>
        <v>61.13583374</v>
      </c>
      <c r="E221" s="61">
        <f t="shared" si="179"/>
        <v>67.14919444</v>
      </c>
      <c r="F221" s="61">
        <f t="shared" si="179"/>
        <v>64.14251409</v>
      </c>
      <c r="G221" s="61">
        <f t="shared" si="179"/>
        <v>38.08461774</v>
      </c>
      <c r="H221" s="61">
        <f t="shared" si="179"/>
        <v>57.12692661</v>
      </c>
      <c r="I221" s="61">
        <f t="shared" si="179"/>
        <v>40.08907131</v>
      </c>
      <c r="J221" s="61">
        <f t="shared" si="179"/>
        <v>36.08016418</v>
      </c>
      <c r="K221" s="61">
        <f t="shared" si="179"/>
        <v>37.08239096</v>
      </c>
      <c r="L221" s="61">
        <f t="shared" si="179"/>
        <v>52.1157927</v>
      </c>
      <c r="M221" s="61">
        <f t="shared" si="179"/>
        <v>38.08461774</v>
      </c>
      <c r="N221" s="61">
        <f t="shared" si="179"/>
        <v>21.04676244</v>
      </c>
      <c r="O221" s="61">
        <f t="shared" si="179"/>
        <v>19.76323787</v>
      </c>
      <c r="P221" s="43"/>
      <c r="Q221" s="53"/>
      <c r="R221" s="53"/>
      <c r="S221" s="69"/>
      <c r="T221" s="69"/>
      <c r="U221" s="69"/>
      <c r="V221" s="43"/>
      <c r="W221" s="43"/>
    </row>
    <row r="222">
      <c r="A222" s="70">
        <v>36.0</v>
      </c>
      <c r="B222" s="59" t="str">
        <f>VLOOKUP(A222, $A$3:$B$45, 2, FALSE)</f>
        <v>Ford</v>
      </c>
      <c r="C222" s="60">
        <f t="shared" ref="C222:N222" si="180">IF(AND($R38&lt;C38,C38&lt;$Q38),C38,0)</f>
        <v>33</v>
      </c>
      <c r="D222" s="60">
        <f t="shared" si="180"/>
        <v>32</v>
      </c>
      <c r="E222" s="60">
        <f t="shared" si="180"/>
        <v>38</v>
      </c>
      <c r="F222" s="60">
        <f t="shared" si="180"/>
        <v>46</v>
      </c>
      <c r="G222" s="60">
        <f t="shared" si="180"/>
        <v>31</v>
      </c>
      <c r="H222" s="60">
        <f t="shared" si="180"/>
        <v>47</v>
      </c>
      <c r="I222" s="60">
        <f t="shared" si="180"/>
        <v>43</v>
      </c>
      <c r="J222" s="60">
        <f t="shared" si="180"/>
        <v>46</v>
      </c>
      <c r="K222" s="60">
        <f t="shared" si="180"/>
        <v>41</v>
      </c>
      <c r="L222" s="60">
        <f t="shared" si="180"/>
        <v>34</v>
      </c>
      <c r="M222" s="60">
        <f t="shared" si="180"/>
        <v>28</v>
      </c>
      <c r="N222" s="61">
        <f t="shared" si="180"/>
        <v>0</v>
      </c>
      <c r="O222" s="53"/>
      <c r="P222" s="43"/>
      <c r="Q222" s="61">
        <f>IFERROR(__xludf.DUMMYFUNCTION("LINEST(FILTER(C222:N222,C222:N222 &gt; 0))"),0.036363636363636216)</f>
        <v>0.03636363636</v>
      </c>
      <c r="R222" s="61">
        <f>IFERROR(__xludf.DUMMYFUNCTION("""COMPUTED_VALUE"""),37.872727272727275)</f>
        <v>37.87272727</v>
      </c>
      <c r="S222" s="62" t="str">
        <f>IFS(R225&lt;10,"X",R225&lt;25,"Y",R225&gt;=25,"Z")</f>
        <v>Y</v>
      </c>
      <c r="T222" s="63" t="str">
        <f>IFS(R225&lt;25,"X",R225&lt;50,"Y",R225&gt;=50,"Z")</f>
        <v>X</v>
      </c>
      <c r="U222" s="63" t="str">
        <f>IFS(R225&lt;17.5,"X",R225&lt;42.5,"Y",R225&gt;=42.5,"Z")</f>
        <v>Y</v>
      </c>
      <c r="V222" s="43"/>
      <c r="W222" s="43"/>
    </row>
    <row r="223">
      <c r="A223" s="64"/>
      <c r="B223" s="65" t="s">
        <v>98</v>
      </c>
      <c r="C223" s="66">
        <f t="shared" ref="C223:N223" si="181">(C222/($Q222*C$46+$R222))</f>
        <v>0.8705035971</v>
      </c>
      <c r="D223" s="66">
        <f t="shared" si="181"/>
        <v>0.8433157643</v>
      </c>
      <c r="E223" s="66">
        <f t="shared" si="181"/>
        <v>1.000478698</v>
      </c>
      <c r="F223" s="66">
        <f t="shared" si="181"/>
        <v>1.209947394</v>
      </c>
      <c r="G223" s="66">
        <f t="shared" si="181"/>
        <v>0.8146201624</v>
      </c>
      <c r="H223" s="66">
        <f t="shared" si="181"/>
        <v>1.233890215</v>
      </c>
      <c r="I223" s="66">
        <f t="shared" si="181"/>
        <v>1.127801621</v>
      </c>
      <c r="J223" s="66">
        <f t="shared" si="181"/>
        <v>1.205335874</v>
      </c>
      <c r="K223" s="66">
        <f t="shared" si="181"/>
        <v>1.073298429</v>
      </c>
      <c r="L223" s="66">
        <f t="shared" si="181"/>
        <v>0.8892058963</v>
      </c>
      <c r="M223" s="66">
        <f t="shared" si="181"/>
        <v>0.7315914489</v>
      </c>
      <c r="N223" s="66">
        <f t="shared" si="181"/>
        <v>0</v>
      </c>
      <c r="O223" s="67"/>
      <c r="P223" s="43"/>
      <c r="Q223" s="68" t="s">
        <v>99</v>
      </c>
      <c r="R223" s="66">
        <f>SUM(C223:N223)</f>
        <v>10.9999891</v>
      </c>
      <c r="S223" s="64"/>
      <c r="T223" s="64"/>
      <c r="U223" s="64"/>
      <c r="V223" s="43"/>
      <c r="W223" s="43"/>
    </row>
    <row r="224">
      <c r="A224" s="64"/>
      <c r="B224" s="65" t="s">
        <v>100</v>
      </c>
      <c r="C224" s="66">
        <f t="shared" ref="C224:N224" si="182">C223*12/$R223</f>
        <v>0.9496412287</v>
      </c>
      <c r="D224" s="66">
        <f t="shared" si="182"/>
        <v>0.9199817453</v>
      </c>
      <c r="E224" s="66">
        <f t="shared" si="182"/>
        <v>1.091432388</v>
      </c>
      <c r="F224" s="66">
        <f t="shared" si="182"/>
        <v>1.319943919</v>
      </c>
      <c r="G224" s="66">
        <f t="shared" si="182"/>
        <v>0.8886774214</v>
      </c>
      <c r="H224" s="66">
        <f t="shared" si="182"/>
        <v>1.346063386</v>
      </c>
      <c r="I224" s="66">
        <f t="shared" si="182"/>
        <v>1.230330261</v>
      </c>
      <c r="J224" s="66">
        <f t="shared" si="182"/>
        <v>1.314913166</v>
      </c>
      <c r="K224" s="66">
        <f t="shared" si="182"/>
        <v>1.170872174</v>
      </c>
      <c r="L224" s="66">
        <f t="shared" si="182"/>
        <v>0.9700437572</v>
      </c>
      <c r="M224" s="66">
        <f t="shared" si="182"/>
        <v>0.7981005533</v>
      </c>
      <c r="N224" s="66">
        <f t="shared" si="182"/>
        <v>0</v>
      </c>
      <c r="O224" s="66">
        <f>IF(N224&gt;0, N224, M224)</f>
        <v>0.7981005533</v>
      </c>
      <c r="P224" s="43"/>
      <c r="Q224" s="68" t="s">
        <v>101</v>
      </c>
      <c r="R224" s="61">
        <f>SQRT(SUM((D225-D222)^2,(E225-E222)^2,(F225-F222)^2,(G225-G222)^2,(H225-H222)^2,(I225-I222)^2,(J225-J222)^2,(K225-K222)^2,(L225-L222)^2,(M225-M222)^2,(N225-N222)^2)/11)</f>
        <v>6.357990412</v>
      </c>
      <c r="S224" s="64"/>
      <c r="T224" s="64"/>
      <c r="U224" s="64"/>
      <c r="V224" s="43"/>
      <c r="W224" s="43"/>
    </row>
    <row r="225">
      <c r="A225" s="64"/>
      <c r="B225" s="65" t="s">
        <v>102</v>
      </c>
      <c r="C225" s="61">
        <f t="shared" ref="C225:N225" si="183">IF(C222&gt;0,$Q222*C$46+$R222,0)</f>
        <v>37.90909091</v>
      </c>
      <c r="D225" s="61">
        <f t="shared" si="183"/>
        <v>37.94545455</v>
      </c>
      <c r="E225" s="61">
        <f t="shared" si="183"/>
        <v>37.98181818</v>
      </c>
      <c r="F225" s="61">
        <f t="shared" si="183"/>
        <v>38.01818182</v>
      </c>
      <c r="G225" s="61">
        <f t="shared" si="183"/>
        <v>38.05454545</v>
      </c>
      <c r="H225" s="61">
        <f t="shared" si="183"/>
        <v>38.09090909</v>
      </c>
      <c r="I225" s="61">
        <f t="shared" si="183"/>
        <v>38.12727273</v>
      </c>
      <c r="J225" s="61">
        <f t="shared" si="183"/>
        <v>38.16363636</v>
      </c>
      <c r="K225" s="61">
        <f t="shared" si="183"/>
        <v>38.2</v>
      </c>
      <c r="L225" s="61">
        <f t="shared" si="183"/>
        <v>38.23636364</v>
      </c>
      <c r="M225" s="61">
        <f t="shared" si="183"/>
        <v>38.27272727</v>
      </c>
      <c r="N225" s="61">
        <f t="shared" si="183"/>
        <v>0</v>
      </c>
      <c r="O225" s="61">
        <f>$Q222*O$46+$R222</f>
        <v>38.34545455</v>
      </c>
      <c r="P225" s="43"/>
      <c r="Q225" s="68" t="s">
        <v>103</v>
      </c>
      <c r="R225" s="61">
        <f>100*R224/O226</f>
        <v>20.77535084</v>
      </c>
      <c r="S225" s="64"/>
      <c r="T225" s="64"/>
      <c r="U225" s="64"/>
      <c r="V225" s="43"/>
      <c r="W225" s="43"/>
    </row>
    <row r="226">
      <c r="A226" s="69"/>
      <c r="B226" s="65" t="s">
        <v>104</v>
      </c>
      <c r="C226" s="61">
        <f t="shared" ref="C226:O226" si="184">C225*C224</f>
        <v>36.00003567</v>
      </c>
      <c r="D226" s="61">
        <f t="shared" si="184"/>
        <v>34.9091255</v>
      </c>
      <c r="E226" s="61">
        <f t="shared" si="184"/>
        <v>41.45458653</v>
      </c>
      <c r="F226" s="61">
        <f t="shared" si="184"/>
        <v>50.18186791</v>
      </c>
      <c r="G226" s="61">
        <f t="shared" si="184"/>
        <v>33.81821533</v>
      </c>
      <c r="H226" s="61">
        <f t="shared" si="184"/>
        <v>51.27277808</v>
      </c>
      <c r="I226" s="61">
        <f t="shared" si="184"/>
        <v>46.90913739</v>
      </c>
      <c r="J226" s="61">
        <f t="shared" si="184"/>
        <v>50.18186791</v>
      </c>
      <c r="K226" s="61">
        <f t="shared" si="184"/>
        <v>44.72731705</v>
      </c>
      <c r="L226" s="61">
        <f t="shared" si="184"/>
        <v>37.09094584</v>
      </c>
      <c r="M226" s="61">
        <f t="shared" si="184"/>
        <v>30.54548481</v>
      </c>
      <c r="N226" s="61">
        <f t="shared" si="184"/>
        <v>0</v>
      </c>
      <c r="O226" s="61">
        <f t="shared" si="184"/>
        <v>30.60352849</v>
      </c>
      <c r="P226" s="43"/>
      <c r="Q226" s="53"/>
      <c r="R226" s="53"/>
      <c r="S226" s="69"/>
      <c r="T226" s="69"/>
      <c r="U226" s="69"/>
      <c r="V226" s="43"/>
      <c r="W226" s="43"/>
    </row>
    <row r="227">
      <c r="A227" s="70">
        <v>37.0</v>
      </c>
      <c r="B227" s="59" t="str">
        <f>VLOOKUP(A227, $A$3:$B$45, 2, FALSE)</f>
        <v>Bentley</v>
      </c>
      <c r="C227" s="60">
        <f t="shared" ref="C227:N227" si="185">IF(AND($R39&lt;C39,C39&lt;$Q39),C39,0)</f>
        <v>17</v>
      </c>
      <c r="D227" s="60">
        <f t="shared" si="185"/>
        <v>16</v>
      </c>
      <c r="E227" s="60">
        <f t="shared" si="185"/>
        <v>30</v>
      </c>
      <c r="F227" s="60">
        <f t="shared" si="185"/>
        <v>18</v>
      </c>
      <c r="G227" s="60">
        <f t="shared" si="185"/>
        <v>21</v>
      </c>
      <c r="H227" s="60">
        <f t="shared" si="185"/>
        <v>24</v>
      </c>
      <c r="I227" s="60">
        <f t="shared" si="185"/>
        <v>26</v>
      </c>
      <c r="J227" s="60">
        <f t="shared" si="185"/>
        <v>24</v>
      </c>
      <c r="K227" s="60">
        <f t="shared" si="185"/>
        <v>35</v>
      </c>
      <c r="L227" s="61">
        <f t="shared" si="185"/>
        <v>0</v>
      </c>
      <c r="M227" s="60">
        <f t="shared" si="185"/>
        <v>68</v>
      </c>
      <c r="N227" s="60">
        <f t="shared" si="185"/>
        <v>61</v>
      </c>
      <c r="O227" s="53"/>
      <c r="P227" s="43"/>
      <c r="Q227" s="61">
        <f>IFERROR(__xludf.DUMMYFUNCTION("LINEST(FILTER(C227:N227,C227:N227 &gt; 0))"),4.181818181818182)</f>
        <v>4.181818182</v>
      </c>
      <c r="R227" s="61">
        <f>IFERROR(__xludf.DUMMYFUNCTION("""COMPUTED_VALUE"""),5.81818181818182)</f>
        <v>5.818181818</v>
      </c>
      <c r="S227" s="62" t="str">
        <f>IFS(R230&lt;10,"X",R230&lt;25,"Y",R230&gt;=25,"Z")</f>
        <v>Y</v>
      </c>
      <c r="T227" s="63" t="str">
        <f>IFS(R230&lt;25,"X",R230&lt;50,"Y",R230&gt;=50,"Z")</f>
        <v>X</v>
      </c>
      <c r="U227" s="63" t="str">
        <f>IFS(R230&lt;17.5,"X",R230&lt;42.5,"Y",R230&gt;=42.5,"Z")</f>
        <v>X</v>
      </c>
      <c r="V227" s="43"/>
      <c r="W227" s="43"/>
    </row>
    <row r="228">
      <c r="A228" s="64"/>
      <c r="B228" s="65" t="s">
        <v>98</v>
      </c>
      <c r="C228" s="66">
        <f t="shared" ref="C228:N228" si="186">(C227/($Q227*C$46+$R227))</f>
        <v>1.7</v>
      </c>
      <c r="D228" s="66">
        <f t="shared" si="186"/>
        <v>1.128205128</v>
      </c>
      <c r="E228" s="66">
        <f t="shared" si="186"/>
        <v>1.633663366</v>
      </c>
      <c r="F228" s="66">
        <f t="shared" si="186"/>
        <v>0.7983870968</v>
      </c>
      <c r="G228" s="66">
        <f t="shared" si="186"/>
        <v>0.7857142857</v>
      </c>
      <c r="H228" s="66">
        <f t="shared" si="186"/>
        <v>0.7764705882</v>
      </c>
      <c r="I228" s="66">
        <f t="shared" si="186"/>
        <v>0.7409326425</v>
      </c>
      <c r="J228" s="66">
        <f t="shared" si="186"/>
        <v>0.6111111111</v>
      </c>
      <c r="K228" s="66">
        <f t="shared" si="186"/>
        <v>0.8054393305</v>
      </c>
      <c r="L228" s="66">
        <f t="shared" si="186"/>
        <v>0</v>
      </c>
      <c r="M228" s="66">
        <f t="shared" si="186"/>
        <v>1.312280702</v>
      </c>
      <c r="N228" s="66">
        <f t="shared" si="186"/>
        <v>1.089285714</v>
      </c>
      <c r="O228" s="67"/>
      <c r="P228" s="43"/>
      <c r="Q228" s="68" t="s">
        <v>99</v>
      </c>
      <c r="R228" s="66">
        <f>SUM(C228:N228)</f>
        <v>11.38148997</v>
      </c>
      <c r="S228" s="64"/>
      <c r="T228" s="64"/>
      <c r="U228" s="64"/>
      <c r="V228" s="43"/>
      <c r="W228" s="43"/>
    </row>
    <row r="229">
      <c r="A229" s="64"/>
      <c r="B229" s="65" t="s">
        <v>100</v>
      </c>
      <c r="C229" s="66">
        <f t="shared" ref="C229:N229" si="187">C228*12/$R228</f>
        <v>1.792383955</v>
      </c>
      <c r="D229" s="66">
        <f t="shared" si="187"/>
        <v>1.189515747</v>
      </c>
      <c r="E229" s="66">
        <f t="shared" si="187"/>
        <v>1.722442356</v>
      </c>
      <c r="F229" s="66">
        <f t="shared" si="187"/>
        <v>0.8417742484</v>
      </c>
      <c r="G229" s="66">
        <f t="shared" si="187"/>
        <v>0.8284127524</v>
      </c>
      <c r="H229" s="66">
        <f t="shared" si="187"/>
        <v>0.81866672</v>
      </c>
      <c r="I229" s="66">
        <f t="shared" si="187"/>
        <v>0.7811975178</v>
      </c>
      <c r="J229" s="66">
        <f t="shared" si="187"/>
        <v>0.6443210296</v>
      </c>
      <c r="K229" s="66">
        <f t="shared" si="187"/>
        <v>0.8492097253</v>
      </c>
      <c r="L229" s="66">
        <f t="shared" si="187"/>
        <v>0</v>
      </c>
      <c r="M229" s="66">
        <f t="shared" si="187"/>
        <v>1.383594632</v>
      </c>
      <c r="N229" s="66">
        <f t="shared" si="187"/>
        <v>1.148481316</v>
      </c>
      <c r="O229" s="66">
        <f>IF(N229&gt;0, N229, M229)</f>
        <v>1.148481316</v>
      </c>
      <c r="P229" s="43"/>
      <c r="Q229" s="68" t="s">
        <v>101</v>
      </c>
      <c r="R229" s="61">
        <f>SQRT(SUM((D230-D227)^2,(E230-E227)^2,(F230-F227)^2,(G230-G227)^2,(H230-H227)^2,(I230-I227)^2,(J230-J227)^2,(K230-K227)^2,(L230-L227)^2,(M230-M227)^2,(N230-N227)^2)/11)</f>
        <v>9.116122062</v>
      </c>
      <c r="S229" s="64"/>
      <c r="T229" s="64"/>
      <c r="U229" s="64"/>
      <c r="V229" s="43"/>
      <c r="W229" s="43"/>
    </row>
    <row r="230">
      <c r="A230" s="64"/>
      <c r="B230" s="65" t="s">
        <v>102</v>
      </c>
      <c r="C230" s="61">
        <f t="shared" ref="C230:N230" si="188">IF(C227&gt;0,$Q227*C$46+$R227,0)</f>
        <v>10</v>
      </c>
      <c r="D230" s="61">
        <f t="shared" si="188"/>
        <v>14.18181818</v>
      </c>
      <c r="E230" s="61">
        <f t="shared" si="188"/>
        <v>18.36363636</v>
      </c>
      <c r="F230" s="61">
        <f t="shared" si="188"/>
        <v>22.54545455</v>
      </c>
      <c r="G230" s="61">
        <f t="shared" si="188"/>
        <v>26.72727273</v>
      </c>
      <c r="H230" s="61">
        <f t="shared" si="188"/>
        <v>30.90909091</v>
      </c>
      <c r="I230" s="61">
        <f t="shared" si="188"/>
        <v>35.09090909</v>
      </c>
      <c r="J230" s="61">
        <f t="shared" si="188"/>
        <v>39.27272727</v>
      </c>
      <c r="K230" s="61">
        <f t="shared" si="188"/>
        <v>43.45454545</v>
      </c>
      <c r="L230" s="61">
        <f t="shared" si="188"/>
        <v>0</v>
      </c>
      <c r="M230" s="61">
        <f t="shared" si="188"/>
        <v>51.81818182</v>
      </c>
      <c r="N230" s="61">
        <f t="shared" si="188"/>
        <v>56</v>
      </c>
      <c r="O230" s="61">
        <f>$Q227*O$46+$R227</f>
        <v>60.18181818</v>
      </c>
      <c r="P230" s="43"/>
      <c r="Q230" s="68" t="s">
        <v>103</v>
      </c>
      <c r="R230" s="61">
        <f>100*R229/O231</f>
        <v>13.18927408</v>
      </c>
      <c r="S230" s="64"/>
      <c r="T230" s="64"/>
      <c r="U230" s="64"/>
      <c r="V230" s="43"/>
      <c r="W230" s="43"/>
    </row>
    <row r="231">
      <c r="A231" s="69"/>
      <c r="B231" s="65" t="s">
        <v>104</v>
      </c>
      <c r="C231" s="61">
        <f t="shared" ref="C231:O231" si="189">C230*C229</f>
        <v>17.92383955</v>
      </c>
      <c r="D231" s="61">
        <f t="shared" si="189"/>
        <v>16.86949605</v>
      </c>
      <c r="E231" s="61">
        <f t="shared" si="189"/>
        <v>31.63030509</v>
      </c>
      <c r="F231" s="61">
        <f t="shared" si="189"/>
        <v>18.97818305</v>
      </c>
      <c r="G231" s="61">
        <f t="shared" si="189"/>
        <v>22.14121356</v>
      </c>
      <c r="H231" s="61">
        <f t="shared" si="189"/>
        <v>25.30424407</v>
      </c>
      <c r="I231" s="61">
        <f t="shared" si="189"/>
        <v>27.41293108</v>
      </c>
      <c r="J231" s="61">
        <f t="shared" si="189"/>
        <v>25.30424407</v>
      </c>
      <c r="K231" s="61">
        <f t="shared" si="189"/>
        <v>36.90202261</v>
      </c>
      <c r="L231" s="61">
        <f t="shared" si="189"/>
        <v>0</v>
      </c>
      <c r="M231" s="61">
        <f t="shared" si="189"/>
        <v>71.69535821</v>
      </c>
      <c r="N231" s="61">
        <f t="shared" si="189"/>
        <v>64.31495369</v>
      </c>
      <c r="O231" s="61">
        <f t="shared" si="189"/>
        <v>69.11769373</v>
      </c>
      <c r="P231" s="43"/>
      <c r="Q231" s="53"/>
      <c r="R231" s="53"/>
      <c r="S231" s="69"/>
      <c r="T231" s="69"/>
      <c r="U231" s="69"/>
      <c r="V231" s="43"/>
      <c r="W231" s="43"/>
    </row>
    <row r="232">
      <c r="A232" s="70">
        <v>38.0</v>
      </c>
      <c r="B232" s="59" t="str">
        <f>VLOOKUP(A232, $A$3:$B$45, 2, FALSE)</f>
        <v>Dodge</v>
      </c>
      <c r="C232" s="60">
        <f t="shared" ref="C232:N232" si="190">IF(AND($R40&lt;C40,C40&lt;$Q40),C40,0)</f>
        <v>16</v>
      </c>
      <c r="D232" s="60">
        <f t="shared" si="190"/>
        <v>24</v>
      </c>
      <c r="E232" s="60">
        <f t="shared" si="190"/>
        <v>27</v>
      </c>
      <c r="F232" s="60">
        <f t="shared" si="190"/>
        <v>21</v>
      </c>
      <c r="G232" s="60">
        <f t="shared" si="190"/>
        <v>43</v>
      </c>
      <c r="H232" s="60">
        <f t="shared" si="190"/>
        <v>49</v>
      </c>
      <c r="I232" s="60">
        <f t="shared" si="190"/>
        <v>36</v>
      </c>
      <c r="J232" s="60">
        <f t="shared" si="190"/>
        <v>37</v>
      </c>
      <c r="K232" s="60">
        <f t="shared" si="190"/>
        <v>35</v>
      </c>
      <c r="L232" s="60">
        <f t="shared" si="190"/>
        <v>37</v>
      </c>
      <c r="M232" s="60">
        <f t="shared" si="190"/>
        <v>36</v>
      </c>
      <c r="N232" s="60">
        <f t="shared" si="190"/>
        <v>38</v>
      </c>
      <c r="O232" s="53"/>
      <c r="P232" s="43"/>
      <c r="Q232" s="61">
        <f>IFERROR(__xludf.DUMMYFUNCTION("LINEST(FILTER(C232:N232,C232:N232 &gt; 0))"),1.6048951048951046)</f>
        <v>1.604895105</v>
      </c>
      <c r="R232" s="61">
        <f>IFERROR(__xludf.DUMMYFUNCTION("""COMPUTED_VALUE"""),22.818181818181827)</f>
        <v>22.81818182</v>
      </c>
      <c r="S232" s="62" t="str">
        <f>IFS(R235&lt;10,"X",R235&lt;25,"Y",R235&gt;=25,"Z")</f>
        <v>Y</v>
      </c>
      <c r="T232" s="63" t="str">
        <f>IFS(R235&lt;25,"X",R235&lt;50,"Y",R235&gt;=50,"Z")</f>
        <v>X</v>
      </c>
      <c r="U232" s="63" t="str">
        <f>IFS(R235&lt;17.5,"X",R235&lt;42.5,"Y",R235&gt;=42.5,"Z")</f>
        <v>Y</v>
      </c>
      <c r="V232" s="43"/>
      <c r="W232" s="43"/>
    </row>
    <row r="233">
      <c r="A233" s="64"/>
      <c r="B233" s="65" t="s">
        <v>98</v>
      </c>
      <c r="C233" s="66">
        <f t="shared" ref="C233:N233" si="191">(C232/($Q232*C$46+$R232))</f>
        <v>0.6551181102</v>
      </c>
      <c r="D233" s="66">
        <f t="shared" si="191"/>
        <v>0.9220849006</v>
      </c>
      <c r="E233" s="66">
        <f t="shared" si="191"/>
        <v>0.9770973048</v>
      </c>
      <c r="F233" s="66">
        <f t="shared" si="191"/>
        <v>0.7182492227</v>
      </c>
      <c r="G233" s="66">
        <f t="shared" si="191"/>
        <v>1.394172996</v>
      </c>
      <c r="H233" s="66">
        <f t="shared" si="191"/>
        <v>1.51012931</v>
      </c>
      <c r="I233" s="66">
        <f t="shared" si="191"/>
        <v>1.05719273</v>
      </c>
      <c r="J233" s="66">
        <f t="shared" si="191"/>
        <v>1.037654442</v>
      </c>
      <c r="K233" s="66">
        <f t="shared" si="191"/>
        <v>0.9392887304</v>
      </c>
      <c r="L233" s="66">
        <f t="shared" si="191"/>
        <v>0.9519611371</v>
      </c>
      <c r="M233" s="66">
        <f t="shared" si="191"/>
        <v>0.8895032397</v>
      </c>
      <c r="N233" s="66">
        <f t="shared" si="191"/>
        <v>0.9031078611</v>
      </c>
      <c r="O233" s="67"/>
      <c r="P233" s="43"/>
      <c r="Q233" s="68" t="s">
        <v>99</v>
      </c>
      <c r="R233" s="66">
        <f>SUM(C233:N233)</f>
        <v>11.95555999</v>
      </c>
      <c r="S233" s="64"/>
      <c r="T233" s="64"/>
      <c r="U233" s="64"/>
      <c r="V233" s="43"/>
      <c r="W233" s="43"/>
    </row>
    <row r="234">
      <c r="A234" s="64"/>
      <c r="B234" s="65" t="s">
        <v>100</v>
      </c>
      <c r="C234" s="66">
        <f t="shared" ref="C234:N234" si="192">C233*12/$R233</f>
        <v>0.6575532499</v>
      </c>
      <c r="D234" s="66">
        <f t="shared" si="192"/>
        <v>0.9255123826</v>
      </c>
      <c r="E234" s="66">
        <f t="shared" si="192"/>
        <v>0.9807292734</v>
      </c>
      <c r="F234" s="66">
        <f t="shared" si="192"/>
        <v>0.720919027</v>
      </c>
      <c r="G234" s="66">
        <f t="shared" si="192"/>
        <v>1.399355277</v>
      </c>
      <c r="H234" s="66">
        <f t="shared" si="192"/>
        <v>1.515742612</v>
      </c>
      <c r="I234" s="66">
        <f t="shared" si="192"/>
        <v>1.061122422</v>
      </c>
      <c r="J234" s="66">
        <f t="shared" si="192"/>
        <v>1.041511508</v>
      </c>
      <c r="K234" s="66">
        <f t="shared" si="192"/>
        <v>0.9427801607</v>
      </c>
      <c r="L234" s="66">
        <f t="shared" si="192"/>
        <v>0.955499672</v>
      </c>
      <c r="M234" s="66">
        <f t="shared" si="192"/>
        <v>0.8928096124</v>
      </c>
      <c r="N234" s="66">
        <f t="shared" si="192"/>
        <v>0.9064648035</v>
      </c>
      <c r="O234" s="66">
        <f>IF(N234&gt;0, N234, M234)</f>
        <v>0.9064648035</v>
      </c>
      <c r="P234" s="43"/>
      <c r="Q234" s="68" t="s">
        <v>101</v>
      </c>
      <c r="R234" s="61">
        <f>SQRT(SUM((D235-D232)^2,(E235-E232)^2,(F235-F232)^2,(G235-G232)^2,(H235-H232)^2,(I235-I232)^2,(J235-J232)^2,(K235-K232)^2,(L235-L232)^2,(M235-M232)^2,(N235-N232)^2)/11)</f>
        <v>7.038713393</v>
      </c>
      <c r="S234" s="64"/>
      <c r="T234" s="64"/>
      <c r="U234" s="64"/>
      <c r="V234" s="43"/>
      <c r="W234" s="43"/>
    </row>
    <row r="235">
      <c r="A235" s="64"/>
      <c r="B235" s="65" t="s">
        <v>102</v>
      </c>
      <c r="C235" s="61">
        <f t="shared" ref="C235:N235" si="193">IF(C232&gt;0,$Q232*C$46+$R232,0)</f>
        <v>24.42307692</v>
      </c>
      <c r="D235" s="61">
        <f t="shared" si="193"/>
        <v>26.02797203</v>
      </c>
      <c r="E235" s="61">
        <f t="shared" si="193"/>
        <v>27.63286713</v>
      </c>
      <c r="F235" s="61">
        <f t="shared" si="193"/>
        <v>29.23776224</v>
      </c>
      <c r="G235" s="61">
        <f t="shared" si="193"/>
        <v>30.84265734</v>
      </c>
      <c r="H235" s="61">
        <f t="shared" si="193"/>
        <v>32.44755245</v>
      </c>
      <c r="I235" s="61">
        <f t="shared" si="193"/>
        <v>34.05244755</v>
      </c>
      <c r="J235" s="61">
        <f t="shared" si="193"/>
        <v>35.65734266</v>
      </c>
      <c r="K235" s="61">
        <f t="shared" si="193"/>
        <v>37.26223776</v>
      </c>
      <c r="L235" s="61">
        <f t="shared" si="193"/>
        <v>38.86713287</v>
      </c>
      <c r="M235" s="61">
        <f t="shared" si="193"/>
        <v>40.47202797</v>
      </c>
      <c r="N235" s="61">
        <f t="shared" si="193"/>
        <v>42.07692308</v>
      </c>
      <c r="O235" s="61">
        <f>$Q232*O$46+$R232</f>
        <v>43.68181818</v>
      </c>
      <c r="P235" s="43"/>
      <c r="Q235" s="68" t="s">
        <v>103</v>
      </c>
      <c r="R235" s="61">
        <f>100*R234/O236</f>
        <v>17.77631056</v>
      </c>
      <c r="S235" s="64"/>
      <c r="T235" s="64"/>
      <c r="U235" s="64"/>
      <c r="V235" s="43"/>
      <c r="W235" s="43"/>
    </row>
    <row r="236">
      <c r="A236" s="69"/>
      <c r="B236" s="65" t="s">
        <v>104</v>
      </c>
      <c r="C236" s="61">
        <f t="shared" ref="C236:O236" si="194">C235*C234</f>
        <v>16.0594736</v>
      </c>
      <c r="D236" s="61">
        <f t="shared" si="194"/>
        <v>24.0892104</v>
      </c>
      <c r="E236" s="61">
        <f t="shared" si="194"/>
        <v>27.10036171</v>
      </c>
      <c r="F236" s="61">
        <f t="shared" si="194"/>
        <v>21.0780591</v>
      </c>
      <c r="G236" s="61">
        <f t="shared" si="194"/>
        <v>43.15983531</v>
      </c>
      <c r="H236" s="61">
        <f t="shared" si="194"/>
        <v>49.18213791</v>
      </c>
      <c r="I236" s="61">
        <f t="shared" si="194"/>
        <v>36.13381561</v>
      </c>
      <c r="J236" s="61">
        <f t="shared" si="194"/>
        <v>37.13753271</v>
      </c>
      <c r="K236" s="61">
        <f t="shared" si="194"/>
        <v>35.13009851</v>
      </c>
      <c r="L236" s="61">
        <f t="shared" si="194"/>
        <v>37.13753271</v>
      </c>
      <c r="M236" s="61">
        <f t="shared" si="194"/>
        <v>36.13381561</v>
      </c>
      <c r="N236" s="61">
        <f t="shared" si="194"/>
        <v>38.14124981</v>
      </c>
      <c r="O236" s="61">
        <f t="shared" si="194"/>
        <v>39.59603073</v>
      </c>
      <c r="P236" s="43"/>
      <c r="Q236" s="53"/>
      <c r="R236" s="53"/>
      <c r="S236" s="69"/>
      <c r="T236" s="69"/>
      <c r="U236" s="69"/>
      <c r="V236" s="43"/>
      <c r="W236" s="43"/>
    </row>
    <row r="237">
      <c r="A237" s="70">
        <v>39.0</v>
      </c>
      <c r="B237" s="59" t="str">
        <f>VLOOKUP(A237, $A$3:$B$45, 2, FALSE)</f>
        <v>Aston Martin</v>
      </c>
      <c r="C237" s="60">
        <f t="shared" ref="C237:N237" si="195">IF(AND($R41&lt;C41,C41&lt;$Q41),C41,0)</f>
        <v>25</v>
      </c>
      <c r="D237" s="60">
        <f t="shared" si="195"/>
        <v>19</v>
      </c>
      <c r="E237" s="60">
        <f t="shared" si="195"/>
        <v>25</v>
      </c>
      <c r="F237" s="60">
        <f t="shared" si="195"/>
        <v>24</v>
      </c>
      <c r="G237" s="60">
        <f t="shared" si="195"/>
        <v>15</v>
      </c>
      <c r="H237" s="60">
        <f t="shared" si="195"/>
        <v>27</v>
      </c>
      <c r="I237" s="60">
        <f t="shared" si="195"/>
        <v>18</v>
      </c>
      <c r="J237" s="60">
        <f t="shared" si="195"/>
        <v>27</v>
      </c>
      <c r="K237" s="60">
        <f t="shared" si="195"/>
        <v>20</v>
      </c>
      <c r="L237" s="60">
        <f t="shared" si="195"/>
        <v>23</v>
      </c>
      <c r="M237" s="60">
        <f t="shared" si="195"/>
        <v>14</v>
      </c>
      <c r="N237" s="61">
        <f t="shared" si="195"/>
        <v>0</v>
      </c>
      <c r="O237" s="53"/>
      <c r="P237" s="43"/>
      <c r="Q237" s="61">
        <f>IFERROR(__xludf.DUMMYFUNCTION("LINEST(FILTER(C237:N237,C237:N237 &gt; 0))"),-0.4090909090909088)</f>
        <v>-0.4090909091</v>
      </c>
      <c r="R237" s="61">
        <f>IFERROR(__xludf.DUMMYFUNCTION("""COMPUTED_VALUE"""),23.999999999999996)</f>
        <v>24</v>
      </c>
      <c r="S237" s="62" t="str">
        <f>IFS(R240&lt;10,"X",R240&lt;25,"Y",R240&gt;=25,"Z")</f>
        <v>Z</v>
      </c>
      <c r="T237" s="63" t="str">
        <f>IFS(R240&lt;25,"X",R240&lt;50,"Y",R240&gt;=50,"Z")</f>
        <v>Y</v>
      </c>
      <c r="U237" s="63" t="str">
        <f>IFS(R240&lt;17.5,"X",R240&lt;42.5,"Y",R240&gt;=42.5,"Z")</f>
        <v>Y</v>
      </c>
      <c r="V237" s="43"/>
      <c r="W237" s="43"/>
    </row>
    <row r="238">
      <c r="A238" s="64"/>
      <c r="B238" s="65" t="s">
        <v>98</v>
      </c>
      <c r="C238" s="66">
        <f t="shared" ref="C238:N238" si="196">(C237/($Q237*C$46+$R237))</f>
        <v>1.05973025</v>
      </c>
      <c r="D238" s="66">
        <f t="shared" si="196"/>
        <v>0.8196078431</v>
      </c>
      <c r="E238" s="66">
        <f t="shared" si="196"/>
        <v>1.097804391</v>
      </c>
      <c r="F238" s="66">
        <f t="shared" si="196"/>
        <v>1.073170732</v>
      </c>
      <c r="G238" s="66">
        <f t="shared" si="196"/>
        <v>0.6832298137</v>
      </c>
      <c r="H238" s="66">
        <f t="shared" si="196"/>
        <v>1.253164557</v>
      </c>
      <c r="I238" s="66">
        <f t="shared" si="196"/>
        <v>0.8516129032</v>
      </c>
      <c r="J238" s="66">
        <f t="shared" si="196"/>
        <v>1.302631579</v>
      </c>
      <c r="K238" s="66">
        <f t="shared" si="196"/>
        <v>0.9843400447</v>
      </c>
      <c r="L238" s="66">
        <f t="shared" si="196"/>
        <v>1.155251142</v>
      </c>
      <c r="M238" s="66">
        <f t="shared" si="196"/>
        <v>0.7179487179</v>
      </c>
      <c r="N238" s="66">
        <f t="shared" si="196"/>
        <v>0</v>
      </c>
      <c r="O238" s="67"/>
      <c r="P238" s="43"/>
      <c r="Q238" s="68" t="s">
        <v>99</v>
      </c>
      <c r="R238" s="66">
        <f>SUM(C238:N238)</f>
        <v>10.99849197</v>
      </c>
      <c r="S238" s="64"/>
      <c r="T238" s="64"/>
      <c r="U238" s="64"/>
      <c r="V238" s="43"/>
      <c r="W238" s="43"/>
    </row>
    <row r="239">
      <c r="A239" s="64"/>
      <c r="B239" s="65" t="s">
        <v>100</v>
      </c>
      <c r="C239" s="66">
        <f t="shared" ref="C239:N239" si="197">C238*12/$R238</f>
        <v>1.156227875</v>
      </c>
      <c r="D239" s="66">
        <f t="shared" si="197"/>
        <v>0.8942402414</v>
      </c>
      <c r="E239" s="66">
        <f t="shared" si="197"/>
        <v>1.197768997</v>
      </c>
      <c r="F239" s="66">
        <f t="shared" si="197"/>
        <v>1.170892229</v>
      </c>
      <c r="G239" s="66">
        <f t="shared" si="197"/>
        <v>0.7454438103</v>
      </c>
      <c r="H239" s="66">
        <f t="shared" si="197"/>
        <v>1.367276052</v>
      </c>
      <c r="I239" s="66">
        <f t="shared" si="197"/>
        <v>0.9291596396</v>
      </c>
      <c r="J239" s="66">
        <f t="shared" si="197"/>
        <v>1.421247475</v>
      </c>
      <c r="K239" s="66">
        <f t="shared" si="197"/>
        <v>1.073972738</v>
      </c>
      <c r="L239" s="66">
        <f t="shared" si="197"/>
        <v>1.260446771</v>
      </c>
      <c r="M239" s="66">
        <f t="shared" si="197"/>
        <v>0.7833241717</v>
      </c>
      <c r="N239" s="66">
        <f t="shared" si="197"/>
        <v>0</v>
      </c>
      <c r="O239" s="66">
        <f>IF(N239&gt;0, N239, M239)</f>
        <v>0.7833241717</v>
      </c>
      <c r="P239" s="43"/>
      <c r="Q239" s="68" t="s">
        <v>101</v>
      </c>
      <c r="R239" s="61">
        <f>SQRT(SUM((D240-D237)^2,(E240-E237)^2,(F240-F237)^2,(G240-G237)^2,(H240-H237)^2,(I240-I237)^2,(J240-J237)^2,(K240-K237)^2,(L240-L237)^2,(M240-M237)^2,(N240-N237)^2)/11)</f>
        <v>4.181481302</v>
      </c>
      <c r="S239" s="64"/>
      <c r="T239" s="64"/>
      <c r="U239" s="64"/>
      <c r="V239" s="43"/>
      <c r="W239" s="43"/>
    </row>
    <row r="240">
      <c r="A240" s="64"/>
      <c r="B240" s="65" t="s">
        <v>102</v>
      </c>
      <c r="C240" s="61">
        <f t="shared" ref="C240:N240" si="198">IF(C237&gt;0,$Q237*C$46+$R237,0)</f>
        <v>23.59090909</v>
      </c>
      <c r="D240" s="61">
        <f t="shared" si="198"/>
        <v>23.18181818</v>
      </c>
      <c r="E240" s="61">
        <f t="shared" si="198"/>
        <v>22.77272727</v>
      </c>
      <c r="F240" s="61">
        <f t="shared" si="198"/>
        <v>22.36363636</v>
      </c>
      <c r="G240" s="61">
        <f t="shared" si="198"/>
        <v>21.95454545</v>
      </c>
      <c r="H240" s="61">
        <f t="shared" si="198"/>
        <v>21.54545455</v>
      </c>
      <c r="I240" s="61">
        <f t="shared" si="198"/>
        <v>21.13636364</v>
      </c>
      <c r="J240" s="61">
        <f t="shared" si="198"/>
        <v>20.72727273</v>
      </c>
      <c r="K240" s="61">
        <f t="shared" si="198"/>
        <v>20.31818182</v>
      </c>
      <c r="L240" s="61">
        <f t="shared" si="198"/>
        <v>19.90909091</v>
      </c>
      <c r="M240" s="61">
        <f t="shared" si="198"/>
        <v>19.5</v>
      </c>
      <c r="N240" s="61">
        <f t="shared" si="198"/>
        <v>0</v>
      </c>
      <c r="O240" s="61">
        <f>$Q237*O$46+$R237</f>
        <v>18.68181818</v>
      </c>
      <c r="P240" s="43"/>
      <c r="Q240" s="68" t="s">
        <v>103</v>
      </c>
      <c r="R240" s="61">
        <f>100*R239/O241</f>
        <v>28.57389798</v>
      </c>
      <c r="S240" s="64"/>
      <c r="T240" s="64"/>
      <c r="U240" s="64"/>
      <c r="V240" s="43"/>
      <c r="W240" s="43"/>
    </row>
    <row r="241">
      <c r="A241" s="69"/>
      <c r="B241" s="65" t="s">
        <v>104</v>
      </c>
      <c r="C241" s="61">
        <f t="shared" ref="C241:O241" si="199">C240*C239</f>
        <v>27.27646669</v>
      </c>
      <c r="D241" s="61">
        <f t="shared" si="199"/>
        <v>20.73011469</v>
      </c>
      <c r="E241" s="61">
        <f t="shared" si="199"/>
        <v>27.27646669</v>
      </c>
      <c r="F241" s="61">
        <f t="shared" si="199"/>
        <v>26.18540803</v>
      </c>
      <c r="G241" s="61">
        <f t="shared" si="199"/>
        <v>16.36588002</v>
      </c>
      <c r="H241" s="61">
        <f t="shared" si="199"/>
        <v>29.45858403</v>
      </c>
      <c r="I241" s="61">
        <f t="shared" si="199"/>
        <v>19.63905602</v>
      </c>
      <c r="J241" s="61">
        <f t="shared" si="199"/>
        <v>29.45858403</v>
      </c>
      <c r="K241" s="61">
        <f t="shared" si="199"/>
        <v>21.82117336</v>
      </c>
      <c r="L241" s="61">
        <f t="shared" si="199"/>
        <v>25.09434936</v>
      </c>
      <c r="M241" s="61">
        <f t="shared" si="199"/>
        <v>15.27482135</v>
      </c>
      <c r="N241" s="61">
        <f t="shared" si="199"/>
        <v>0</v>
      </c>
      <c r="O241" s="61">
        <f t="shared" si="199"/>
        <v>14.63391975</v>
      </c>
      <c r="P241" s="43"/>
      <c r="Q241" s="53"/>
      <c r="R241" s="53"/>
      <c r="S241" s="69"/>
      <c r="T241" s="69"/>
      <c r="U241" s="69"/>
      <c r="V241" s="43"/>
      <c r="W241" s="43"/>
    </row>
    <row r="242">
      <c r="A242" s="70">
        <v>40.0</v>
      </c>
      <c r="B242" s="59" t="str">
        <f>VLOOKUP(A242, $A$3:$B$45, 2, FALSE)</f>
        <v>Scania</v>
      </c>
      <c r="C242" s="60">
        <f t="shared" ref="C242:N242" si="200">IF(AND($R42&lt;C42,C42&lt;$Q42),C42,0)</f>
        <v>12</v>
      </c>
      <c r="D242" s="60">
        <f t="shared" si="200"/>
        <v>5</v>
      </c>
      <c r="E242" s="60">
        <f t="shared" si="200"/>
        <v>24</v>
      </c>
      <c r="F242" s="60">
        <f t="shared" si="200"/>
        <v>18</v>
      </c>
      <c r="G242" s="60">
        <f t="shared" si="200"/>
        <v>13</v>
      </c>
      <c r="H242" s="60">
        <f t="shared" si="200"/>
        <v>29</v>
      </c>
      <c r="I242" s="60">
        <f t="shared" si="200"/>
        <v>17</v>
      </c>
      <c r="J242" s="60">
        <f t="shared" si="200"/>
        <v>24</v>
      </c>
      <c r="K242" s="60">
        <f t="shared" si="200"/>
        <v>19</v>
      </c>
      <c r="L242" s="60">
        <f t="shared" si="200"/>
        <v>20</v>
      </c>
      <c r="M242" s="60">
        <f t="shared" si="200"/>
        <v>28</v>
      </c>
      <c r="N242" s="61">
        <f t="shared" si="200"/>
        <v>0</v>
      </c>
      <c r="O242" s="53"/>
      <c r="P242" s="43"/>
      <c r="Q242" s="61">
        <f>IFERROR(__xludf.DUMMYFUNCTION("LINEST(FILTER(C242:N242,C242:N242 &gt; 0))"),1.2818181818181813)</f>
        <v>1.281818182</v>
      </c>
      <c r="R242" s="61">
        <f>IFERROR(__xludf.DUMMYFUNCTION("""COMPUTED_VALUE"""),11.309090909090914)</f>
        <v>11.30909091</v>
      </c>
      <c r="S242" s="62" t="str">
        <f>IFS(R245&lt;10,"X",R245&lt;25,"Y",R245&gt;=25,"Z")</f>
        <v>Y</v>
      </c>
      <c r="T242" s="63" t="str">
        <f>IFS(R245&lt;25,"X",R245&lt;50,"Y",R245&gt;=50,"Z")</f>
        <v>X</v>
      </c>
      <c r="U242" s="63" t="str">
        <f>IFS(R245&lt;17.5,"X",R245&lt;42.5,"Y",R245&gt;=42.5,"Z")</f>
        <v>X</v>
      </c>
      <c r="V242" s="43"/>
      <c r="W242" s="43"/>
    </row>
    <row r="243">
      <c r="A243" s="64"/>
      <c r="B243" s="65" t="s">
        <v>98</v>
      </c>
      <c r="C243" s="66">
        <f t="shared" ref="C243:N243" si="201">(C242/($Q242*C$46+$R242))</f>
        <v>0.9530685921</v>
      </c>
      <c r="D243" s="66">
        <f t="shared" si="201"/>
        <v>0.3604193971</v>
      </c>
      <c r="E243" s="66">
        <f t="shared" si="201"/>
        <v>1.583683263</v>
      </c>
      <c r="F243" s="66">
        <f t="shared" si="201"/>
        <v>1.095132743</v>
      </c>
      <c r="G243" s="66">
        <f t="shared" si="201"/>
        <v>0.7337095947</v>
      </c>
      <c r="H243" s="66">
        <f t="shared" si="201"/>
        <v>1.526315789</v>
      </c>
      <c r="I243" s="66">
        <f t="shared" si="201"/>
        <v>0.8381891528</v>
      </c>
      <c r="J243" s="66">
        <f t="shared" si="201"/>
        <v>1.112984823</v>
      </c>
      <c r="K243" s="66">
        <f t="shared" si="201"/>
        <v>0.8316752885</v>
      </c>
      <c r="L243" s="66">
        <f t="shared" si="201"/>
        <v>0.8289374529</v>
      </c>
      <c r="M243" s="66">
        <f t="shared" si="201"/>
        <v>1.1019678</v>
      </c>
      <c r="N243" s="66">
        <f t="shared" si="201"/>
        <v>0</v>
      </c>
      <c r="O243" s="67"/>
      <c r="P243" s="43"/>
      <c r="Q243" s="68" t="s">
        <v>99</v>
      </c>
      <c r="R243" s="66">
        <f>SUM(C243:N243)</f>
        <v>10.9660839</v>
      </c>
      <c r="S243" s="64"/>
      <c r="T243" s="64"/>
      <c r="U243" s="64"/>
      <c r="V243" s="43"/>
      <c r="W243" s="43"/>
    </row>
    <row r="244">
      <c r="A244" s="64"/>
      <c r="B244" s="65" t="s">
        <v>100</v>
      </c>
      <c r="C244" s="66">
        <f t="shared" ref="C244:N244" si="202">C243*12/$R243</f>
        <v>1.042926829</v>
      </c>
      <c r="D244" s="66">
        <f t="shared" si="202"/>
        <v>0.3944008459</v>
      </c>
      <c r="E244" s="66">
        <f t="shared" si="202"/>
        <v>1.73299779</v>
      </c>
      <c r="F244" s="66">
        <f t="shared" si="202"/>
        <v>1.198385225</v>
      </c>
      <c r="G244" s="66">
        <f t="shared" si="202"/>
        <v>0.8028859909</v>
      </c>
      <c r="H244" s="66">
        <f t="shared" si="202"/>
        <v>1.670221535</v>
      </c>
      <c r="I244" s="66">
        <f t="shared" si="202"/>
        <v>0.917216203</v>
      </c>
      <c r="J244" s="66">
        <f t="shared" si="202"/>
        <v>1.217920454</v>
      </c>
      <c r="K244" s="66">
        <f t="shared" si="202"/>
        <v>0.9100881915</v>
      </c>
      <c r="L244" s="66">
        <f t="shared" si="202"/>
        <v>0.9070922244</v>
      </c>
      <c r="M244" s="66">
        <f t="shared" si="202"/>
        <v>1.205864712</v>
      </c>
      <c r="N244" s="66">
        <f t="shared" si="202"/>
        <v>0</v>
      </c>
      <c r="O244" s="66">
        <f>IF(N244&gt;0, N244, M244)</f>
        <v>1.205864712</v>
      </c>
      <c r="P244" s="43"/>
      <c r="Q244" s="68" t="s">
        <v>101</v>
      </c>
      <c r="R244" s="61">
        <f>SQRT(SUM((D245-D242)^2,(E245-E242)^2,(F245-F242)^2,(G245-G242)^2,(H245-H242)^2,(I245-I242)^2,(J245-J242)^2,(K245-K242)^2,(L245-L242)^2,(M245-M242)^2,(N245-N242)^2)/11)</f>
        <v>5.534310032</v>
      </c>
      <c r="S244" s="64"/>
      <c r="T244" s="64"/>
      <c r="U244" s="64"/>
      <c r="V244" s="43"/>
      <c r="W244" s="43"/>
    </row>
    <row r="245">
      <c r="A245" s="64"/>
      <c r="B245" s="65" t="s">
        <v>102</v>
      </c>
      <c r="C245" s="61">
        <f t="shared" ref="C245:N245" si="203">IF(C242&gt;0,$Q242*C$46+$R242,0)</f>
        <v>12.59090909</v>
      </c>
      <c r="D245" s="61">
        <f t="shared" si="203"/>
        <v>13.87272727</v>
      </c>
      <c r="E245" s="61">
        <f t="shared" si="203"/>
        <v>15.15454545</v>
      </c>
      <c r="F245" s="61">
        <f t="shared" si="203"/>
        <v>16.43636364</v>
      </c>
      <c r="G245" s="61">
        <f t="shared" si="203"/>
        <v>17.71818182</v>
      </c>
      <c r="H245" s="61">
        <f t="shared" si="203"/>
        <v>19</v>
      </c>
      <c r="I245" s="61">
        <f t="shared" si="203"/>
        <v>20.28181818</v>
      </c>
      <c r="J245" s="61">
        <f t="shared" si="203"/>
        <v>21.56363636</v>
      </c>
      <c r="K245" s="61">
        <f t="shared" si="203"/>
        <v>22.84545455</v>
      </c>
      <c r="L245" s="61">
        <f t="shared" si="203"/>
        <v>24.12727273</v>
      </c>
      <c r="M245" s="61">
        <f t="shared" si="203"/>
        <v>25.40909091</v>
      </c>
      <c r="N245" s="61">
        <f t="shared" si="203"/>
        <v>0</v>
      </c>
      <c r="O245" s="61">
        <f>$Q242*O$46+$R242</f>
        <v>27.97272727</v>
      </c>
      <c r="P245" s="43"/>
      <c r="Q245" s="68" t="s">
        <v>103</v>
      </c>
      <c r="R245" s="61">
        <f>100*R244/O246</f>
        <v>16.40703435</v>
      </c>
      <c r="S245" s="64"/>
      <c r="T245" s="64"/>
      <c r="U245" s="64"/>
      <c r="V245" s="43"/>
      <c r="W245" s="43"/>
    </row>
    <row r="246">
      <c r="A246" s="69"/>
      <c r="B246" s="65" t="s">
        <v>104</v>
      </c>
      <c r="C246" s="61">
        <f t="shared" ref="C246:O246" si="204">C245*C244</f>
        <v>13.13139689</v>
      </c>
      <c r="D246" s="61">
        <f t="shared" si="204"/>
        <v>5.471415372</v>
      </c>
      <c r="E246" s="61">
        <f t="shared" si="204"/>
        <v>26.26279378</v>
      </c>
      <c r="F246" s="61">
        <f t="shared" si="204"/>
        <v>19.69709534</v>
      </c>
      <c r="G246" s="61">
        <f t="shared" si="204"/>
        <v>14.22567997</v>
      </c>
      <c r="H246" s="61">
        <f t="shared" si="204"/>
        <v>31.73420916</v>
      </c>
      <c r="I246" s="61">
        <f t="shared" si="204"/>
        <v>18.60281226</v>
      </c>
      <c r="J246" s="61">
        <f t="shared" si="204"/>
        <v>26.26279378</v>
      </c>
      <c r="K246" s="61">
        <f t="shared" si="204"/>
        <v>20.79137841</v>
      </c>
      <c r="L246" s="61">
        <f t="shared" si="204"/>
        <v>21.88566149</v>
      </c>
      <c r="M246" s="61">
        <f t="shared" si="204"/>
        <v>30.63992608</v>
      </c>
      <c r="N246" s="61">
        <f t="shared" si="204"/>
        <v>0</v>
      </c>
      <c r="O246" s="61">
        <f t="shared" si="204"/>
        <v>33.73132471</v>
      </c>
      <c r="P246" s="43"/>
      <c r="Q246" s="53"/>
      <c r="R246" s="53"/>
      <c r="S246" s="69"/>
      <c r="T246" s="69"/>
      <c r="U246" s="69"/>
      <c r="V246" s="43"/>
      <c r="W246" s="43"/>
    </row>
    <row r="247">
      <c r="A247" s="71">
        <v>41.0</v>
      </c>
      <c r="B247" s="59" t="str">
        <f>VLOOKUP(A247, $A$3:$B$45, 2, FALSE)</f>
        <v>Rolls-Royce</v>
      </c>
      <c r="C247" s="60">
        <f t="shared" ref="C247:N247" si="205">IF(AND($R43&lt;C43,C43&lt;$Q43),C43,0)</f>
        <v>19</v>
      </c>
      <c r="D247" s="60">
        <f t="shared" si="205"/>
        <v>14</v>
      </c>
      <c r="E247" s="60">
        <f t="shared" si="205"/>
        <v>17</v>
      </c>
      <c r="F247" s="60">
        <f t="shared" si="205"/>
        <v>20</v>
      </c>
      <c r="G247" s="60">
        <f t="shared" si="205"/>
        <v>21</v>
      </c>
      <c r="H247" s="60">
        <f t="shared" si="205"/>
        <v>16</v>
      </c>
      <c r="I247" s="60">
        <f t="shared" si="205"/>
        <v>9</v>
      </c>
      <c r="J247" s="60">
        <f t="shared" si="205"/>
        <v>18</v>
      </c>
      <c r="K247" s="60">
        <f t="shared" si="205"/>
        <v>17</v>
      </c>
      <c r="L247" s="60">
        <f t="shared" si="205"/>
        <v>18</v>
      </c>
      <c r="M247" s="60">
        <f t="shared" si="205"/>
        <v>25</v>
      </c>
      <c r="N247" s="61">
        <f t="shared" si="205"/>
        <v>0</v>
      </c>
      <c r="O247" s="61"/>
      <c r="P247" s="43"/>
      <c r="Q247" s="72">
        <f>IFERROR(__xludf.DUMMYFUNCTION("LINEST(FILTER(C247:N247,C247:N247 &gt; 0))"),0.2727272727272727)</f>
        <v>0.2727272727</v>
      </c>
      <c r="R247" s="53">
        <f>IFERROR(__xludf.DUMMYFUNCTION("""COMPUTED_VALUE"""),16.000000000000004)</f>
        <v>16</v>
      </c>
      <c r="S247" s="62" t="str">
        <f>IFS(R250&lt;10,"X",R250&lt;25,"Y",R250&gt;=25,"Z")</f>
        <v>Y</v>
      </c>
      <c r="T247" s="63" t="str">
        <f>IFS(R250&lt;25,"X",R250&lt;50,"Y",R250&gt;=50,"Z")</f>
        <v>X</v>
      </c>
      <c r="U247" s="63" t="str">
        <f>IFS(R250&lt;17.5,"X",R250&lt;42.5,"Y",R250&gt;=42.5,"Z")</f>
        <v>X</v>
      </c>
      <c r="V247" s="43"/>
      <c r="W247" s="43"/>
    </row>
    <row r="248">
      <c r="A248" s="64"/>
      <c r="B248" s="65" t="s">
        <v>98</v>
      </c>
      <c r="C248" s="66">
        <f t="shared" ref="C248:N248" si="206">(C247/($Q247*C$46+$R247))</f>
        <v>1.167597765</v>
      </c>
      <c r="D248" s="66">
        <f t="shared" si="206"/>
        <v>0.8461538462</v>
      </c>
      <c r="E248" s="66">
        <f t="shared" si="206"/>
        <v>1.010810811</v>
      </c>
      <c r="F248" s="66">
        <f t="shared" si="206"/>
        <v>1.170212766</v>
      </c>
      <c r="G248" s="66">
        <f t="shared" si="206"/>
        <v>1.209424084</v>
      </c>
      <c r="H248" s="66">
        <f t="shared" si="206"/>
        <v>0.9072164948</v>
      </c>
      <c r="I248" s="66">
        <f t="shared" si="206"/>
        <v>0.5025380711</v>
      </c>
      <c r="J248" s="66">
        <f t="shared" si="206"/>
        <v>0.99</v>
      </c>
      <c r="K248" s="66">
        <f t="shared" si="206"/>
        <v>0.921182266</v>
      </c>
      <c r="L248" s="66">
        <f t="shared" si="206"/>
        <v>0.9611650485</v>
      </c>
      <c r="M248" s="66">
        <f t="shared" si="206"/>
        <v>1.315789474</v>
      </c>
      <c r="N248" s="66">
        <f t="shared" si="206"/>
        <v>0</v>
      </c>
      <c r="O248" s="53"/>
      <c r="P248" s="43"/>
      <c r="Q248" s="68" t="s">
        <v>99</v>
      </c>
      <c r="R248" s="66">
        <f>SUM(C248:N248)</f>
        <v>11.00209063</v>
      </c>
      <c r="S248" s="64"/>
      <c r="T248" s="64"/>
      <c r="U248" s="64"/>
      <c r="V248" s="43"/>
      <c r="W248" s="43"/>
    </row>
    <row r="249">
      <c r="A249" s="64"/>
      <c r="B249" s="65" t="s">
        <v>100</v>
      </c>
      <c r="C249" s="66">
        <f t="shared" ref="C249:N249" si="207">C248*12/$R248</f>
        <v>1.273500979</v>
      </c>
      <c r="D249" s="66">
        <f t="shared" si="207"/>
        <v>0.9229015192</v>
      </c>
      <c r="E249" s="66">
        <f t="shared" si="207"/>
        <v>1.102493166</v>
      </c>
      <c r="F249" s="66">
        <f t="shared" si="207"/>
        <v>1.276353165</v>
      </c>
      <c r="G249" s="66">
        <f t="shared" si="207"/>
        <v>1.31912102</v>
      </c>
      <c r="H249" s="66">
        <f t="shared" si="207"/>
        <v>0.9895026598</v>
      </c>
      <c r="I249" s="66">
        <f t="shared" si="207"/>
        <v>0.5481191764</v>
      </c>
      <c r="J249" s="66">
        <f t="shared" si="207"/>
        <v>1.079794778</v>
      </c>
      <c r="K249" s="66">
        <f t="shared" si="207"/>
        <v>1.004735151</v>
      </c>
      <c r="L249" s="66">
        <f t="shared" si="207"/>
        <v>1.048344444</v>
      </c>
      <c r="M249" s="66">
        <f t="shared" si="207"/>
        <v>1.435133941</v>
      </c>
      <c r="N249" s="66">
        <f t="shared" si="207"/>
        <v>0</v>
      </c>
      <c r="O249" s="66">
        <f>IF(N249&gt;0, N249, M249)</f>
        <v>1.435133941</v>
      </c>
      <c r="P249" s="43"/>
      <c r="Q249" s="68" t="s">
        <v>101</v>
      </c>
      <c r="R249" s="61">
        <f>SQRT(SUM((D250-D247)^2,(E250-E247)^2,(F250-F247)^2,(G250-G247)^2,(H250-H247)^2,(I250-I247)^2,(J250-J247)^2,(K250-K247)^2,(L250-L247)^2,(M250-M247)^2,(N250-N247)^2)/11)</f>
        <v>3.679496258</v>
      </c>
      <c r="S249" s="64"/>
      <c r="T249" s="64"/>
      <c r="U249" s="64"/>
      <c r="V249" s="43"/>
      <c r="W249" s="43"/>
    </row>
    <row r="250">
      <c r="A250" s="64"/>
      <c r="B250" s="65" t="s">
        <v>102</v>
      </c>
      <c r="C250" s="61">
        <f t="shared" ref="C250:N250" si="208">IF(C247&gt;0,$Q247*C$46+$R247,0)</f>
        <v>16.27272727</v>
      </c>
      <c r="D250" s="61">
        <f t="shared" si="208"/>
        <v>16.54545455</v>
      </c>
      <c r="E250" s="61">
        <f t="shared" si="208"/>
        <v>16.81818182</v>
      </c>
      <c r="F250" s="61">
        <f t="shared" si="208"/>
        <v>17.09090909</v>
      </c>
      <c r="G250" s="61">
        <f t="shared" si="208"/>
        <v>17.36363636</v>
      </c>
      <c r="H250" s="61">
        <f t="shared" si="208"/>
        <v>17.63636364</v>
      </c>
      <c r="I250" s="61">
        <f t="shared" si="208"/>
        <v>17.90909091</v>
      </c>
      <c r="J250" s="61">
        <f t="shared" si="208"/>
        <v>18.18181818</v>
      </c>
      <c r="K250" s="61">
        <f t="shared" si="208"/>
        <v>18.45454545</v>
      </c>
      <c r="L250" s="61">
        <f t="shared" si="208"/>
        <v>18.72727273</v>
      </c>
      <c r="M250" s="61">
        <f t="shared" si="208"/>
        <v>19</v>
      </c>
      <c r="N250" s="61">
        <f t="shared" si="208"/>
        <v>0</v>
      </c>
      <c r="O250" s="61">
        <f>$Q247*O$46+$R247</f>
        <v>19.54545455</v>
      </c>
      <c r="P250" s="43"/>
      <c r="Q250" s="68" t="s">
        <v>103</v>
      </c>
      <c r="R250" s="61">
        <f>100*R249/O251</f>
        <v>13.11747228</v>
      </c>
      <c r="S250" s="64"/>
      <c r="T250" s="64"/>
      <c r="U250" s="64"/>
      <c r="V250" s="43"/>
      <c r="W250" s="43"/>
    </row>
    <row r="251">
      <c r="A251" s="69"/>
      <c r="B251" s="65" t="s">
        <v>104</v>
      </c>
      <c r="C251" s="61">
        <f t="shared" ref="C251:O251" si="209">C250*C249</f>
        <v>20.72333411</v>
      </c>
      <c r="D251" s="61">
        <f t="shared" si="209"/>
        <v>15.26982514</v>
      </c>
      <c r="E251" s="61">
        <f t="shared" si="209"/>
        <v>18.54193052</v>
      </c>
      <c r="F251" s="61">
        <f t="shared" si="209"/>
        <v>21.81403591</v>
      </c>
      <c r="G251" s="61">
        <f t="shared" si="209"/>
        <v>22.90473771</v>
      </c>
      <c r="H251" s="61">
        <f t="shared" si="209"/>
        <v>17.45122873</v>
      </c>
      <c r="I251" s="61">
        <f t="shared" si="209"/>
        <v>9.816316159</v>
      </c>
      <c r="J251" s="61">
        <f t="shared" si="209"/>
        <v>19.63263232</v>
      </c>
      <c r="K251" s="61">
        <f t="shared" si="209"/>
        <v>18.54193052</v>
      </c>
      <c r="L251" s="61">
        <f t="shared" si="209"/>
        <v>19.63263232</v>
      </c>
      <c r="M251" s="61">
        <f t="shared" si="209"/>
        <v>27.26754489</v>
      </c>
      <c r="N251" s="61">
        <f t="shared" si="209"/>
        <v>0</v>
      </c>
      <c r="O251" s="61">
        <f t="shared" si="209"/>
        <v>28.05034522</v>
      </c>
      <c r="P251" s="43"/>
      <c r="Q251" s="53"/>
      <c r="R251" s="68"/>
      <c r="S251" s="69"/>
      <c r="T251" s="69"/>
      <c r="U251" s="69"/>
      <c r="V251" s="43"/>
      <c r="W251" s="43"/>
    </row>
    <row r="252">
      <c r="A252" s="71">
        <v>42.0</v>
      </c>
      <c r="B252" s="59" t="str">
        <f>VLOOKUP(A252, $A$3:$B$45, 2, FALSE)</f>
        <v>Lotus</v>
      </c>
      <c r="C252" s="60">
        <f t="shared" ref="C252:N252" si="210">IF(AND($R44&lt;C44,C44&lt;$Q44),C44,0)</f>
        <v>19</v>
      </c>
      <c r="D252" s="60">
        <f t="shared" si="210"/>
        <v>18</v>
      </c>
      <c r="E252" s="60">
        <f t="shared" si="210"/>
        <v>32</v>
      </c>
      <c r="F252" s="60">
        <f t="shared" si="210"/>
        <v>31</v>
      </c>
      <c r="G252" s="60">
        <f t="shared" si="210"/>
        <v>21</v>
      </c>
      <c r="H252" s="60">
        <f t="shared" si="210"/>
        <v>18</v>
      </c>
      <c r="I252" s="60">
        <f t="shared" si="210"/>
        <v>20</v>
      </c>
      <c r="J252" s="60">
        <f t="shared" si="210"/>
        <v>15</v>
      </c>
      <c r="K252" s="60">
        <f t="shared" si="210"/>
        <v>15</v>
      </c>
      <c r="L252" s="60">
        <f t="shared" si="210"/>
        <v>13</v>
      </c>
      <c r="M252" s="60">
        <f t="shared" si="210"/>
        <v>7</v>
      </c>
      <c r="N252" s="60">
        <f t="shared" si="210"/>
        <v>15</v>
      </c>
      <c r="O252" s="53"/>
      <c r="P252" s="43"/>
      <c r="Q252" s="61">
        <f>IFERROR(__xludf.DUMMYFUNCTION("LINEST(FILTER(C252:N252,C252:N252 &gt; 0))"),-1.3006993006993008)</f>
        <v>-1.300699301</v>
      </c>
      <c r="R252" s="68">
        <f>IFERROR(__xludf.DUMMYFUNCTION("""COMPUTED_VALUE"""),27.121212121212125)</f>
        <v>27.12121212</v>
      </c>
      <c r="S252" s="62" t="str">
        <f>IFS(R255&lt;10,"X",R255&lt;25,"Y",R255&gt;=25,"Z")</f>
        <v>Z</v>
      </c>
      <c r="T252" s="63" t="str">
        <f>IFS(R255&lt;25,"X",R255&lt;50,"Y",R255&gt;=50,"Z")</f>
        <v>Y</v>
      </c>
      <c r="U252" s="63" t="str">
        <f>IFS(R255&lt;17.5,"X",R255&lt;42.5,"Y",R255&gt;=42.5,"Z")</f>
        <v>Y</v>
      </c>
      <c r="V252" s="43"/>
      <c r="W252" s="43"/>
    </row>
    <row r="253">
      <c r="A253" s="64"/>
      <c r="B253" s="65" t="s">
        <v>98</v>
      </c>
      <c r="C253" s="66">
        <f t="shared" ref="C253:N253" si="211">(C252/($Q252*C$46+$R252))</f>
        <v>0.7358490566</v>
      </c>
      <c r="D253" s="66">
        <f t="shared" si="211"/>
        <v>0.7341001996</v>
      </c>
      <c r="E253" s="66">
        <f t="shared" si="211"/>
        <v>1.378174882</v>
      </c>
      <c r="F253" s="66">
        <f t="shared" si="211"/>
        <v>1.41433585</v>
      </c>
      <c r="G253" s="66">
        <f t="shared" si="211"/>
        <v>1.018541549</v>
      </c>
      <c r="H253" s="66">
        <f t="shared" si="211"/>
        <v>0.9318209243</v>
      </c>
      <c r="I253" s="66">
        <f t="shared" si="211"/>
        <v>1.1101048</v>
      </c>
      <c r="J253" s="66">
        <f t="shared" si="211"/>
        <v>0.8973643843</v>
      </c>
      <c r="K253" s="66">
        <f t="shared" si="211"/>
        <v>0.9730833207</v>
      </c>
      <c r="L253" s="66">
        <f t="shared" si="211"/>
        <v>0.9210569777</v>
      </c>
      <c r="M253" s="66">
        <f t="shared" si="211"/>
        <v>0.5462979807</v>
      </c>
      <c r="N253" s="66">
        <f t="shared" si="211"/>
        <v>1.302895323</v>
      </c>
      <c r="O253" s="53"/>
      <c r="P253" s="43"/>
      <c r="Q253" s="68" t="s">
        <v>99</v>
      </c>
      <c r="R253" s="66">
        <f>SUM(C253:N253)</f>
        <v>11.96362525</v>
      </c>
      <c r="S253" s="64"/>
      <c r="T253" s="64"/>
      <c r="U253" s="64"/>
      <c r="V253" s="43"/>
      <c r="W253" s="43"/>
    </row>
    <row r="254">
      <c r="A254" s="64"/>
      <c r="B254" s="65" t="s">
        <v>100</v>
      </c>
      <c r="C254" s="66">
        <f t="shared" ref="C254:N254" si="212">C253*12/$R253</f>
        <v>0.7380863656</v>
      </c>
      <c r="D254" s="66">
        <f t="shared" si="212"/>
        <v>0.7363321914</v>
      </c>
      <c r="E254" s="66">
        <f t="shared" si="212"/>
        <v>1.382365148</v>
      </c>
      <c r="F254" s="66">
        <f t="shared" si="212"/>
        <v>1.418636061</v>
      </c>
      <c r="G254" s="66">
        <f t="shared" si="212"/>
        <v>1.021638369</v>
      </c>
      <c r="H254" s="66">
        <f t="shared" si="212"/>
        <v>0.9346540752</v>
      </c>
      <c r="I254" s="66">
        <f t="shared" si="212"/>
        <v>1.113480013</v>
      </c>
      <c r="J254" s="66">
        <f t="shared" si="212"/>
        <v>0.9000927719</v>
      </c>
      <c r="K254" s="66">
        <f t="shared" si="212"/>
        <v>0.9760419276</v>
      </c>
      <c r="L254" s="66">
        <f t="shared" si="212"/>
        <v>0.9238574013</v>
      </c>
      <c r="M254" s="66">
        <f t="shared" si="212"/>
        <v>0.54795897</v>
      </c>
      <c r="N254" s="66">
        <f t="shared" si="212"/>
        <v>1.306856705</v>
      </c>
      <c r="O254" s="66">
        <f>IF(N254&gt;0, N254, M254)</f>
        <v>1.306856705</v>
      </c>
      <c r="P254" s="43"/>
      <c r="Q254" s="68" t="s">
        <v>101</v>
      </c>
      <c r="R254" s="61">
        <f>SQRT(SUM((D255-D252)^2,(E255-E252)^2,(F255-F252)^2,(G255-G252)^2,(H255-H252)^2,(I255-I252)^2,(J255-J252)^2,(K255-K252)^2,(L255-L252)^2,(M255-M252)^2,(N255-N252)^2)/11)</f>
        <v>4.845027457</v>
      </c>
      <c r="S254" s="64"/>
      <c r="T254" s="64"/>
      <c r="U254" s="64"/>
      <c r="V254" s="43"/>
      <c r="W254" s="43"/>
    </row>
    <row r="255">
      <c r="A255" s="64"/>
      <c r="B255" s="65" t="s">
        <v>102</v>
      </c>
      <c r="C255" s="61">
        <f t="shared" ref="C255:N255" si="213">IF(C252&gt;0,$Q252*C$46+$R252,0)</f>
        <v>25.82051282</v>
      </c>
      <c r="D255" s="61">
        <f t="shared" si="213"/>
        <v>24.51981352</v>
      </c>
      <c r="E255" s="61">
        <f t="shared" si="213"/>
        <v>23.21911422</v>
      </c>
      <c r="F255" s="61">
        <f t="shared" si="213"/>
        <v>21.91841492</v>
      </c>
      <c r="G255" s="61">
        <f t="shared" si="213"/>
        <v>20.61771562</v>
      </c>
      <c r="H255" s="61">
        <f t="shared" si="213"/>
        <v>19.31701632</v>
      </c>
      <c r="I255" s="61">
        <f t="shared" si="213"/>
        <v>18.01631702</v>
      </c>
      <c r="J255" s="61">
        <f t="shared" si="213"/>
        <v>16.71561772</v>
      </c>
      <c r="K255" s="61">
        <f t="shared" si="213"/>
        <v>15.41491841</v>
      </c>
      <c r="L255" s="61">
        <f t="shared" si="213"/>
        <v>14.11421911</v>
      </c>
      <c r="M255" s="61">
        <f t="shared" si="213"/>
        <v>12.81351981</v>
      </c>
      <c r="N255" s="61">
        <f t="shared" si="213"/>
        <v>11.51282051</v>
      </c>
      <c r="O255" s="61">
        <f>$Q252*O$46+$R252</f>
        <v>10.21212121</v>
      </c>
      <c r="P255" s="43"/>
      <c r="Q255" s="68" t="s">
        <v>103</v>
      </c>
      <c r="R255" s="61">
        <f>100*R254/O256</f>
        <v>36.30381881</v>
      </c>
      <c r="S255" s="64"/>
      <c r="T255" s="64"/>
      <c r="U255" s="64"/>
      <c r="V255" s="43"/>
      <c r="W255" s="43"/>
    </row>
    <row r="256">
      <c r="A256" s="69"/>
      <c r="B256" s="65" t="s">
        <v>104</v>
      </c>
      <c r="C256" s="61">
        <f t="shared" ref="C256:O256" si="214">C255*C254</f>
        <v>19.05776847</v>
      </c>
      <c r="D256" s="61">
        <f t="shared" si="214"/>
        <v>18.05472802</v>
      </c>
      <c r="E256" s="61">
        <f t="shared" si="214"/>
        <v>32.09729426</v>
      </c>
      <c r="F256" s="61">
        <f t="shared" si="214"/>
        <v>31.09425381</v>
      </c>
      <c r="G256" s="61">
        <f t="shared" si="214"/>
        <v>21.06384936</v>
      </c>
      <c r="H256" s="61">
        <f t="shared" si="214"/>
        <v>18.05472802</v>
      </c>
      <c r="I256" s="61">
        <f t="shared" si="214"/>
        <v>20.06080891</v>
      </c>
      <c r="J256" s="61">
        <f t="shared" si="214"/>
        <v>15.04560668</v>
      </c>
      <c r="K256" s="61">
        <f t="shared" si="214"/>
        <v>15.04560668</v>
      </c>
      <c r="L256" s="61">
        <f t="shared" si="214"/>
        <v>13.03952579</v>
      </c>
      <c r="M256" s="61">
        <f t="shared" si="214"/>
        <v>7.021283119</v>
      </c>
      <c r="N256" s="61">
        <f t="shared" si="214"/>
        <v>15.04560668</v>
      </c>
      <c r="O256" s="61">
        <f t="shared" si="214"/>
        <v>13.34577908</v>
      </c>
      <c r="P256" s="43"/>
      <c r="Q256" s="53"/>
      <c r="R256" s="53"/>
      <c r="S256" s="69"/>
      <c r="T256" s="69"/>
      <c r="U256" s="69"/>
      <c r="V256" s="43"/>
      <c r="W256" s="43"/>
    </row>
    <row r="257">
      <c r="A257" s="71">
        <v>43.0</v>
      </c>
      <c r="B257" s="59" t="str">
        <f>VLOOKUP(A257, $A$3:$B$45, 2, FALSE)</f>
        <v>McLaren</v>
      </c>
      <c r="C257" s="73">
        <f t="shared" ref="C257:N257" si="215">IF(AND($R45&lt;C45,C45&lt;$Q45),C45,0)</f>
        <v>20</v>
      </c>
      <c r="D257" s="73">
        <f t="shared" si="215"/>
        <v>13</v>
      </c>
      <c r="E257" s="73">
        <f t="shared" si="215"/>
        <v>26</v>
      </c>
      <c r="F257" s="73">
        <f t="shared" si="215"/>
        <v>19</v>
      </c>
      <c r="G257" s="73">
        <f t="shared" si="215"/>
        <v>17</v>
      </c>
      <c r="H257" s="73">
        <f t="shared" si="215"/>
        <v>21</v>
      </c>
      <c r="I257" s="73">
        <f t="shared" si="215"/>
        <v>18</v>
      </c>
      <c r="J257" s="73">
        <f t="shared" si="215"/>
        <v>11</v>
      </c>
      <c r="K257" s="73">
        <f t="shared" si="215"/>
        <v>14</v>
      </c>
      <c r="L257" s="73">
        <f t="shared" si="215"/>
        <v>27</v>
      </c>
      <c r="M257" s="73">
        <f t="shared" si="215"/>
        <v>15</v>
      </c>
      <c r="N257" s="73">
        <f t="shared" si="215"/>
        <v>21</v>
      </c>
      <c r="O257" s="53"/>
      <c r="P257" s="43"/>
      <c r="Q257" s="61">
        <f>IFERROR(__xludf.DUMMYFUNCTION("LINEST(FILTER(C257:N257,C257:N257 &gt; 0))"),-0.034965034965034884)</f>
        <v>-0.03496503497</v>
      </c>
      <c r="R257" s="53">
        <f>IFERROR(__xludf.DUMMYFUNCTION("""COMPUTED_VALUE"""),18.727272727272723)</f>
        <v>18.72727273</v>
      </c>
      <c r="S257" s="62" t="str">
        <f>IFS(R260&lt;10,"X",R260&lt;25,"Y",R260&gt;=25,"Z")</f>
        <v>Y</v>
      </c>
      <c r="T257" s="63" t="str">
        <f>IFS(R260&lt;25,"X",R260&lt;50,"Y",R260&gt;=50,"Z")</f>
        <v>X</v>
      </c>
      <c r="U257" s="63" t="str">
        <f>IFS(R260&lt;17.5,"X",R260&lt;42.5,"Y",R260&gt;=42.5,"Z")</f>
        <v>Y</v>
      </c>
      <c r="V257" s="43"/>
      <c r="W257" s="43"/>
    </row>
    <row r="258">
      <c r="A258" s="64"/>
      <c r="B258" s="65" t="s">
        <v>98</v>
      </c>
      <c r="C258" s="66">
        <f t="shared" ref="C258:N258" si="216">(C257/($Q257*C$46+$R257))</f>
        <v>1.069958848</v>
      </c>
      <c r="D258" s="66">
        <f t="shared" si="216"/>
        <v>0.6967766117</v>
      </c>
      <c r="E258" s="66">
        <f t="shared" si="216"/>
        <v>1.396169733</v>
      </c>
      <c r="F258" s="66">
        <f t="shared" si="216"/>
        <v>1.022197141</v>
      </c>
      <c r="G258" s="66">
        <f t="shared" si="216"/>
        <v>0.9163211459</v>
      </c>
      <c r="H258" s="66">
        <f t="shared" si="216"/>
        <v>1.134063444</v>
      </c>
      <c r="I258" s="66">
        <f t="shared" si="216"/>
        <v>0.9738933031</v>
      </c>
      <c r="J258" s="66">
        <f t="shared" si="216"/>
        <v>0.5962850644</v>
      </c>
      <c r="K258" s="66">
        <f t="shared" si="216"/>
        <v>0.7603494113</v>
      </c>
      <c r="L258" s="66">
        <f t="shared" si="216"/>
        <v>1.469178082</v>
      </c>
      <c r="M258" s="66">
        <f t="shared" si="216"/>
        <v>0.8177659169</v>
      </c>
      <c r="N258" s="66">
        <f t="shared" si="216"/>
        <v>1.147058824</v>
      </c>
      <c r="O258" s="53"/>
      <c r="P258" s="43"/>
      <c r="Q258" s="68" t="s">
        <v>99</v>
      </c>
      <c r="R258" s="66">
        <f>SUM(C258:N258)</f>
        <v>12.00001752</v>
      </c>
      <c r="S258" s="64"/>
      <c r="T258" s="64"/>
      <c r="U258" s="64"/>
      <c r="V258" s="43"/>
      <c r="W258" s="43"/>
    </row>
    <row r="259">
      <c r="A259" s="64"/>
      <c r="B259" s="65" t="s">
        <v>100</v>
      </c>
      <c r="C259" s="66">
        <f t="shared" ref="C259:N259" si="217">C258*12/$R258</f>
        <v>1.069957285</v>
      </c>
      <c r="D259" s="66">
        <f t="shared" si="217"/>
        <v>0.6967755941</v>
      </c>
      <c r="E259" s="66">
        <f t="shared" si="217"/>
        <v>1.396167694</v>
      </c>
      <c r="F259" s="66">
        <f t="shared" si="217"/>
        <v>1.022195648</v>
      </c>
      <c r="G259" s="66">
        <f t="shared" si="217"/>
        <v>0.9163198077</v>
      </c>
      <c r="H259" s="66">
        <f t="shared" si="217"/>
        <v>1.134061788</v>
      </c>
      <c r="I259" s="66">
        <f t="shared" si="217"/>
        <v>0.9738918808</v>
      </c>
      <c r="J259" s="66">
        <f t="shared" si="217"/>
        <v>0.5962841936</v>
      </c>
      <c r="K259" s="66">
        <f t="shared" si="217"/>
        <v>0.7603483009</v>
      </c>
      <c r="L259" s="66">
        <f t="shared" si="217"/>
        <v>1.469175937</v>
      </c>
      <c r="M259" s="66">
        <f t="shared" si="217"/>
        <v>0.8177647226</v>
      </c>
      <c r="N259" s="66">
        <f t="shared" si="217"/>
        <v>1.147057148</v>
      </c>
      <c r="O259" s="66">
        <f>IF(N259&gt;0, N259, M259)</f>
        <v>1.147057148</v>
      </c>
      <c r="P259" s="43"/>
      <c r="Q259" s="68" t="s">
        <v>101</v>
      </c>
      <c r="R259" s="61">
        <f>SQRT(SUM((D260-D257)^2,(E260-E257)^2,(F260-F257)^2,(G260-G257)^2,(H260-H257)^2,(I260-I257)^2,(J260-J257)^2,(K260-K257)^2,(L260-L257)^2,(M260-M257)^2,(N260-N257)^2)/11)</f>
        <v>4.89076231</v>
      </c>
      <c r="S259" s="64"/>
      <c r="T259" s="64"/>
      <c r="U259" s="64"/>
      <c r="V259" s="43"/>
      <c r="W259" s="43"/>
    </row>
    <row r="260">
      <c r="A260" s="64"/>
      <c r="B260" s="65" t="s">
        <v>102</v>
      </c>
      <c r="C260" s="61">
        <f t="shared" ref="C260:N260" si="218">IF(C257&gt;0,$Q257*C$46+$R257,0)</f>
        <v>18.69230769</v>
      </c>
      <c r="D260" s="61">
        <f t="shared" si="218"/>
        <v>18.65734266</v>
      </c>
      <c r="E260" s="61">
        <f t="shared" si="218"/>
        <v>18.62237762</v>
      </c>
      <c r="F260" s="61">
        <f t="shared" si="218"/>
        <v>18.58741259</v>
      </c>
      <c r="G260" s="61">
        <f t="shared" si="218"/>
        <v>18.55244755</v>
      </c>
      <c r="H260" s="61">
        <f t="shared" si="218"/>
        <v>18.51748252</v>
      </c>
      <c r="I260" s="61">
        <f t="shared" si="218"/>
        <v>18.48251748</v>
      </c>
      <c r="J260" s="61">
        <f t="shared" si="218"/>
        <v>18.44755245</v>
      </c>
      <c r="K260" s="61">
        <f t="shared" si="218"/>
        <v>18.41258741</v>
      </c>
      <c r="L260" s="61">
        <f t="shared" si="218"/>
        <v>18.37762238</v>
      </c>
      <c r="M260" s="61">
        <f t="shared" si="218"/>
        <v>18.34265734</v>
      </c>
      <c r="N260" s="61">
        <f t="shared" si="218"/>
        <v>18.30769231</v>
      </c>
      <c r="O260" s="61">
        <f>$Q257*O$46+$R257</f>
        <v>18.27272727</v>
      </c>
      <c r="P260" s="43"/>
      <c r="Q260" s="68" t="s">
        <v>103</v>
      </c>
      <c r="R260" s="61">
        <f>100*R259/O261</f>
        <v>23.33394279</v>
      </c>
      <c r="S260" s="64"/>
      <c r="T260" s="64"/>
      <c r="U260" s="64"/>
      <c r="V260" s="43"/>
      <c r="W260" s="43"/>
    </row>
    <row r="261">
      <c r="A261" s="69"/>
      <c r="B261" s="65" t="s">
        <v>104</v>
      </c>
      <c r="C261" s="61">
        <f t="shared" ref="C261:O261" si="219">C260*C259</f>
        <v>19.99997079</v>
      </c>
      <c r="D261" s="61">
        <f t="shared" si="219"/>
        <v>12.99998101</v>
      </c>
      <c r="E261" s="61">
        <f t="shared" si="219"/>
        <v>25.99996203</v>
      </c>
      <c r="F261" s="61">
        <f t="shared" si="219"/>
        <v>18.99997225</v>
      </c>
      <c r="G261" s="61">
        <f t="shared" si="219"/>
        <v>16.99997517</v>
      </c>
      <c r="H261" s="61">
        <f t="shared" si="219"/>
        <v>20.99996933</v>
      </c>
      <c r="I261" s="61">
        <f t="shared" si="219"/>
        <v>17.99997371</v>
      </c>
      <c r="J261" s="61">
        <f t="shared" si="219"/>
        <v>10.99998394</v>
      </c>
      <c r="K261" s="61">
        <f t="shared" si="219"/>
        <v>13.99997955</v>
      </c>
      <c r="L261" s="61">
        <f t="shared" si="219"/>
        <v>26.99996057</v>
      </c>
      <c r="M261" s="61">
        <f t="shared" si="219"/>
        <v>14.99997809</v>
      </c>
      <c r="N261" s="61">
        <f t="shared" si="219"/>
        <v>20.99996933</v>
      </c>
      <c r="O261" s="61">
        <f t="shared" si="219"/>
        <v>20.95986244</v>
      </c>
      <c r="P261" s="43"/>
      <c r="Q261" s="53"/>
      <c r="R261" s="53"/>
      <c r="S261" s="69"/>
      <c r="T261" s="69"/>
      <c r="U261" s="69"/>
      <c r="V261" s="43"/>
      <c r="W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7" t="s">
        <v>105</v>
      </c>
      <c r="S263" s="74">
        <f>COUNTIF(S$47:S$261,"X")</f>
        <v>4</v>
      </c>
      <c r="T263" s="74">
        <f t="shared" ref="T263:U263" si="220">COUNTIF(T47:T261,"X")</f>
        <v>35</v>
      </c>
      <c r="U263" s="74">
        <f t="shared" si="220"/>
        <v>23</v>
      </c>
      <c r="V263" s="43"/>
      <c r="W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7" t="s">
        <v>106</v>
      </c>
      <c r="S264" s="74">
        <f t="shared" ref="S264:T264" si="221">COUNTIF(S$47:S$261,"Y")</f>
        <v>31</v>
      </c>
      <c r="T264" s="74">
        <f t="shared" si="221"/>
        <v>7</v>
      </c>
      <c r="U264" s="74">
        <f>COUNTIF(U$47:U$246,"Y")</f>
        <v>17</v>
      </c>
      <c r="V264" s="43"/>
      <c r="W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7" t="s">
        <v>107</v>
      </c>
      <c r="S265" s="74">
        <f t="shared" ref="S265:U265" si="222">COUNTIF(S$47:S$261,"Z")</f>
        <v>8</v>
      </c>
      <c r="T265" s="74">
        <f t="shared" si="222"/>
        <v>1</v>
      </c>
      <c r="U265" s="74">
        <f t="shared" si="222"/>
        <v>1</v>
      </c>
      <c r="V265" s="43"/>
      <c r="W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7" t="s">
        <v>108</v>
      </c>
      <c r="S266" s="75">
        <f t="shared" ref="S266:U266" si="223">S263/43</f>
        <v>0.09302325581</v>
      </c>
      <c r="T266" s="75">
        <f t="shared" si="223"/>
        <v>0.8139534884</v>
      </c>
      <c r="U266" s="75">
        <f t="shared" si="223"/>
        <v>0.5348837209</v>
      </c>
      <c r="V266" s="43"/>
      <c r="W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7" t="s">
        <v>109</v>
      </c>
      <c r="S267" s="75">
        <f t="shared" ref="S267:U267" si="224">S264/43</f>
        <v>0.7209302326</v>
      </c>
      <c r="T267" s="75">
        <f t="shared" si="224"/>
        <v>0.1627906977</v>
      </c>
      <c r="U267" s="75">
        <f t="shared" si="224"/>
        <v>0.3953488372</v>
      </c>
      <c r="V267" s="43"/>
      <c r="W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7" t="s">
        <v>110</v>
      </c>
      <c r="S268" s="75">
        <f t="shared" ref="S268:U268" si="225">S265/43</f>
        <v>0.1860465116</v>
      </c>
      <c r="T268" s="75">
        <f t="shared" si="225"/>
        <v>0.02325581395</v>
      </c>
      <c r="U268" s="75">
        <f t="shared" si="225"/>
        <v>0.02325581395</v>
      </c>
      <c r="V268" s="43"/>
      <c r="W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</row>
  </sheetData>
  <mergeCells count="172">
    <mergeCell ref="T227:T231"/>
    <mergeCell ref="U227:U231"/>
    <mergeCell ref="S217:S221"/>
    <mergeCell ref="T217:T221"/>
    <mergeCell ref="U217:U221"/>
    <mergeCell ref="S222:S226"/>
    <mergeCell ref="T222:T226"/>
    <mergeCell ref="U222:U226"/>
    <mergeCell ref="S227:S231"/>
    <mergeCell ref="T112:T116"/>
    <mergeCell ref="U112:U116"/>
    <mergeCell ref="S102:S106"/>
    <mergeCell ref="T102:T106"/>
    <mergeCell ref="U102:U106"/>
    <mergeCell ref="S107:S111"/>
    <mergeCell ref="T107:T111"/>
    <mergeCell ref="U107:U111"/>
    <mergeCell ref="S112:S116"/>
    <mergeCell ref="T137:T141"/>
    <mergeCell ref="U137:U141"/>
    <mergeCell ref="S127:S131"/>
    <mergeCell ref="T127:T131"/>
    <mergeCell ref="U127:U131"/>
    <mergeCell ref="S132:S136"/>
    <mergeCell ref="T132:T136"/>
    <mergeCell ref="U132:U136"/>
    <mergeCell ref="S137:S141"/>
    <mergeCell ref="T152:T156"/>
    <mergeCell ref="U152:U156"/>
    <mergeCell ref="S142:S146"/>
    <mergeCell ref="T142:T146"/>
    <mergeCell ref="U142:U146"/>
    <mergeCell ref="S147:S151"/>
    <mergeCell ref="T147:T151"/>
    <mergeCell ref="U147:U151"/>
    <mergeCell ref="S152:S156"/>
    <mergeCell ref="S232:S236"/>
    <mergeCell ref="T232:T236"/>
    <mergeCell ref="U232:U236"/>
    <mergeCell ref="T97:T101"/>
    <mergeCell ref="U97:U101"/>
    <mergeCell ref="S87:S91"/>
    <mergeCell ref="T87:T91"/>
    <mergeCell ref="U87:U91"/>
    <mergeCell ref="S92:S96"/>
    <mergeCell ref="T92:T96"/>
    <mergeCell ref="U92:U96"/>
    <mergeCell ref="S97:S101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227:A231"/>
    <mergeCell ref="A232:A236"/>
    <mergeCell ref="A237:A241"/>
    <mergeCell ref="A242:A246"/>
    <mergeCell ref="A247:A251"/>
    <mergeCell ref="A252:A256"/>
    <mergeCell ref="A257:A261"/>
    <mergeCell ref="A192:A196"/>
    <mergeCell ref="A197:A201"/>
    <mergeCell ref="A202:A206"/>
    <mergeCell ref="A207:A211"/>
    <mergeCell ref="A212:A216"/>
    <mergeCell ref="A217:A221"/>
    <mergeCell ref="A222:A226"/>
    <mergeCell ref="A47:A51"/>
    <mergeCell ref="S47:S51"/>
    <mergeCell ref="T47:T51"/>
    <mergeCell ref="U47:U51"/>
    <mergeCell ref="S52:S56"/>
    <mergeCell ref="T52:T56"/>
    <mergeCell ref="U52:U56"/>
    <mergeCell ref="T67:T71"/>
    <mergeCell ref="U67:U71"/>
    <mergeCell ref="S57:S61"/>
    <mergeCell ref="T57:T61"/>
    <mergeCell ref="U57:U61"/>
    <mergeCell ref="S62:S66"/>
    <mergeCell ref="T62:T66"/>
    <mergeCell ref="U62:U66"/>
    <mergeCell ref="S67:S71"/>
    <mergeCell ref="T82:T86"/>
    <mergeCell ref="U82:U86"/>
    <mergeCell ref="A52:A56"/>
    <mergeCell ref="A57:A61"/>
    <mergeCell ref="A62:A66"/>
    <mergeCell ref="A67:A71"/>
    <mergeCell ref="A72:A76"/>
    <mergeCell ref="A77:A81"/>
    <mergeCell ref="A82:A86"/>
    <mergeCell ref="S117:S121"/>
    <mergeCell ref="T117:T121"/>
    <mergeCell ref="U117:U121"/>
    <mergeCell ref="S122:S126"/>
    <mergeCell ref="T122:T126"/>
    <mergeCell ref="U122:U126"/>
    <mergeCell ref="S72:S76"/>
    <mergeCell ref="T72:T76"/>
    <mergeCell ref="U72:U76"/>
    <mergeCell ref="S77:S81"/>
    <mergeCell ref="T77:T81"/>
    <mergeCell ref="U77:U81"/>
    <mergeCell ref="S82:S86"/>
    <mergeCell ref="T167:T171"/>
    <mergeCell ref="U167:U171"/>
    <mergeCell ref="S157:S161"/>
    <mergeCell ref="T157:T161"/>
    <mergeCell ref="U157:U161"/>
    <mergeCell ref="S162:S166"/>
    <mergeCell ref="T162:T166"/>
    <mergeCell ref="U162:U166"/>
    <mergeCell ref="S167:S171"/>
    <mergeCell ref="T182:T186"/>
    <mergeCell ref="U182:U186"/>
    <mergeCell ref="S172:S176"/>
    <mergeCell ref="T172:T176"/>
    <mergeCell ref="U172:U176"/>
    <mergeCell ref="S177:S181"/>
    <mergeCell ref="T177:T181"/>
    <mergeCell ref="U177:U181"/>
    <mergeCell ref="S182:S186"/>
    <mergeCell ref="T197:T201"/>
    <mergeCell ref="U197:U201"/>
    <mergeCell ref="S187:S191"/>
    <mergeCell ref="T187:T191"/>
    <mergeCell ref="U187:U191"/>
    <mergeCell ref="S192:S196"/>
    <mergeCell ref="T192:T196"/>
    <mergeCell ref="U192:U196"/>
    <mergeCell ref="S197:S201"/>
    <mergeCell ref="T212:T216"/>
    <mergeCell ref="U212:U216"/>
    <mergeCell ref="S202:S206"/>
    <mergeCell ref="T202:T206"/>
    <mergeCell ref="U202:U206"/>
    <mergeCell ref="S207:S211"/>
    <mergeCell ref="T207:T211"/>
    <mergeCell ref="U207:U211"/>
    <mergeCell ref="S212:S216"/>
    <mergeCell ref="T247:T251"/>
    <mergeCell ref="U247:U251"/>
    <mergeCell ref="S252:S256"/>
    <mergeCell ref="T252:T256"/>
    <mergeCell ref="U252:U256"/>
    <mergeCell ref="S257:S261"/>
    <mergeCell ref="T257:T261"/>
    <mergeCell ref="U257:U261"/>
    <mergeCell ref="S237:S241"/>
    <mergeCell ref="T237:T241"/>
    <mergeCell ref="U237:U241"/>
    <mergeCell ref="S242:S246"/>
    <mergeCell ref="T242:T246"/>
    <mergeCell ref="U242:U246"/>
    <mergeCell ref="S247:S251"/>
  </mergeCells>
  <conditionalFormatting sqref="S47:U261">
    <cfRule type="cellIs" dxfId="0" priority="1" operator="equal">
      <formula>"X"</formula>
    </cfRule>
  </conditionalFormatting>
  <conditionalFormatting sqref="S47:U261">
    <cfRule type="cellIs" dxfId="1" priority="2" operator="equal">
      <formula>"Y"</formula>
    </cfRule>
  </conditionalFormatting>
  <conditionalFormatting sqref="S47:U261">
    <cfRule type="cellIs" dxfId="2" priority="3" operator="equal">
      <formula>"Z"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</hyperlinks>
  <drawing r:id="rId4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6"/>
      <c r="B1" s="77" t="s">
        <v>71</v>
      </c>
      <c r="C1" s="77" t="s">
        <v>72</v>
      </c>
      <c r="D1" s="77" t="s">
        <v>73</v>
      </c>
    </row>
    <row r="2">
      <c r="A2" s="77" t="s">
        <v>111</v>
      </c>
      <c r="B2" s="27">
        <f>'Mod XYZ'!S266*'Аналитический способ'!$E$14</f>
        <v>0.02595997837</v>
      </c>
      <c r="C2" s="27">
        <f>'Mod XYZ'!S266*('Аналитический способ'!$E$28-'Аналитический способ'!$E$14)</f>
        <v>0.03028664143</v>
      </c>
      <c r="D2" s="27">
        <f>'Mod XYZ'!S266*('Аналитический способ'!$E$45-'Аналитический способ'!$E$28)</f>
        <v>0.03677663602</v>
      </c>
    </row>
    <row r="3">
      <c r="A3" s="77" t="s">
        <v>112</v>
      </c>
      <c r="B3" s="27">
        <f>'Mod XYZ'!S267*'Аналитический способ'!$E$14</f>
        <v>0.2011898323</v>
      </c>
      <c r="C3" s="27">
        <f>'Mod XYZ'!S267*('Аналитический способ'!$E$28-'Аналитический способ'!$E$14)</f>
        <v>0.2347214711</v>
      </c>
      <c r="D3" s="27">
        <f>'Mod XYZ'!S267*('Аналитический способ'!$E$45-'Аналитический способ'!$E$28)</f>
        <v>0.2850189292</v>
      </c>
    </row>
    <row r="4">
      <c r="A4" s="77" t="s">
        <v>113</v>
      </c>
      <c r="B4" s="27">
        <f>'Mod XYZ'!S268*'Аналитический способ'!$E$14</f>
        <v>0.05191995673</v>
      </c>
      <c r="C4" s="27">
        <f>'Mod XYZ'!S268*('Аналитический способ'!$E$28-'Аналитический способ'!$E$14)</f>
        <v>0.06057328286</v>
      </c>
      <c r="D4" s="27">
        <f>'Mod XYZ'!S268*('Аналитический способ'!$E$45-'Аналитический способ'!$E$28)</f>
        <v>0.07355327204</v>
      </c>
    </row>
    <row r="6">
      <c r="A6" s="21" t="s">
        <v>114</v>
      </c>
    </row>
    <row r="7">
      <c r="A7" s="21" t="s">
        <v>99</v>
      </c>
      <c r="B7" s="27">
        <f>SUM(B2:D4)</f>
        <v>1</v>
      </c>
    </row>
  </sheetData>
  <drawing r:id="rId1"/>
</worksheet>
</file>