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mbeddings/oleObject1.bin" ContentType="application/vnd.openxmlformats-officedocument.oleObject"/>
  <Override PartName="/xl/drawings/drawing5.xml" ContentType="application/vnd.openxmlformats-officedocument.drawing+xml"/>
  <Override PartName="/xl/drawings/drawing6.xml" ContentType="application/vnd.openxmlformats-officedocument.drawing+xml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1925" windowHeight="8850" firstSheet="1" activeTab="5"/>
  </bookViews>
  <sheets>
    <sheet name="Табл1-1  1-2" sheetId="1" r:id="rId1"/>
    <sheet name="Вар1. Длинна" sheetId="2" r:id="rId2"/>
    <sheet name="Вар2. Длинна" sheetId="5" r:id="rId3"/>
    <sheet name="мережа зовнішньго електр." sheetId="7" r:id="rId4"/>
    <sheet name="Таблиця 1-3" sheetId="3" r:id="rId5"/>
    <sheet name="трансформ + компенс" sheetId="12" r:id="rId6"/>
    <sheet name="Потокорозподіл" sheetId="4" r:id="rId7"/>
    <sheet name="Таблиця 1-4" sheetId="6" r:id="rId8"/>
    <sheet name="Fрозр" sheetId="8" r:id="rId9"/>
    <sheet name="мех міцн" sheetId="9" r:id="rId10"/>
    <sheet name="нагрів" sheetId="10" r:id="rId11"/>
    <sheet name="падіння напруги" sheetId="11" r:id="rId12"/>
  </sheets>
  <calcPr calcId="162913"/>
</workbook>
</file>

<file path=xl/calcChain.xml><?xml version="1.0" encoding="utf-8"?>
<calcChain xmlns="http://schemas.openxmlformats.org/spreadsheetml/2006/main">
  <c r="J44" i="12" l="1"/>
  <c r="J45" i="12"/>
  <c r="J46" i="12"/>
  <c r="I45" i="12"/>
  <c r="I46" i="12"/>
  <c r="I44" i="12"/>
  <c r="G44" i="12"/>
  <c r="F44" i="12"/>
  <c r="H31" i="12"/>
  <c r="H32" i="12"/>
  <c r="F45" i="12" s="1"/>
  <c r="H33" i="12"/>
  <c r="F46" i="12" s="1"/>
  <c r="H34" i="12"/>
  <c r="H35" i="12"/>
  <c r="H30" i="12"/>
  <c r="G31" i="12"/>
  <c r="G32" i="12"/>
  <c r="G33" i="12"/>
  <c r="G34" i="12"/>
  <c r="G35" i="12"/>
  <c r="G30" i="12"/>
  <c r="K28" i="12"/>
  <c r="J41" i="12" s="1"/>
  <c r="J28" i="12"/>
  <c r="I41" i="12" s="1"/>
  <c r="I28" i="12"/>
  <c r="K21" i="12"/>
  <c r="E34" i="12" s="1"/>
  <c r="K20" i="12"/>
  <c r="E33" i="12" s="1"/>
  <c r="K19" i="12"/>
  <c r="E32" i="12" s="1"/>
  <c r="K18" i="12"/>
  <c r="E31" i="12" s="1"/>
  <c r="K17" i="12"/>
  <c r="K22" i="12"/>
  <c r="E35" i="12" s="1"/>
  <c r="J22" i="12"/>
  <c r="I18" i="12"/>
  <c r="I19" i="12"/>
  <c r="I20" i="12"/>
  <c r="I21" i="12"/>
  <c r="I22" i="12"/>
  <c r="I17" i="12"/>
  <c r="B18" i="12"/>
  <c r="E18" i="12" s="1"/>
  <c r="B19" i="12"/>
  <c r="E19" i="12" s="1"/>
  <c r="B20" i="12"/>
  <c r="E20" i="12" s="1"/>
  <c r="B21" i="12"/>
  <c r="E21" i="12" s="1"/>
  <c r="B22" i="12"/>
  <c r="E22" i="12" s="1"/>
  <c r="A18" i="12"/>
  <c r="D18" i="12" s="1"/>
  <c r="A19" i="12"/>
  <c r="D19" i="12" s="1"/>
  <c r="A20" i="12"/>
  <c r="D20" i="12" s="1"/>
  <c r="A21" i="12"/>
  <c r="D21" i="12" s="1"/>
  <c r="A22" i="12"/>
  <c r="D22" i="12" s="1"/>
  <c r="B17" i="12"/>
  <c r="E17" i="12" s="1"/>
  <c r="A17" i="12"/>
  <c r="D17" i="12" s="1"/>
  <c r="F21" i="12" l="1"/>
  <c r="F19" i="12"/>
  <c r="E30" i="12"/>
  <c r="F17" i="12"/>
  <c r="G17" i="12" s="1"/>
  <c r="G21" i="12"/>
  <c r="G19" i="12"/>
  <c r="F22" i="12"/>
  <c r="G22" i="12" s="1"/>
  <c r="F20" i="12"/>
  <c r="G20" i="12" s="1"/>
  <c r="F18" i="12"/>
  <c r="G18" i="12" s="1"/>
  <c r="K23" i="12"/>
  <c r="B5" i="12"/>
  <c r="A5" i="12"/>
  <c r="A30" i="12" s="1"/>
  <c r="C6" i="12"/>
  <c r="C18" i="12" s="1"/>
  <c r="C31" i="12" s="1"/>
  <c r="C7" i="12"/>
  <c r="C19" i="12" s="1"/>
  <c r="C32" i="12" s="1"/>
  <c r="C8" i="12"/>
  <c r="C20" i="12" s="1"/>
  <c r="C33" i="12" s="1"/>
  <c r="C9" i="12"/>
  <c r="C21" i="12" s="1"/>
  <c r="C34" i="12" s="1"/>
  <c r="C10" i="12"/>
  <c r="C22" i="12" s="1"/>
  <c r="C35" i="12" s="1"/>
  <c r="C5" i="12"/>
  <c r="C17" i="12" s="1"/>
  <c r="C30" i="12" s="1"/>
  <c r="B6" i="12"/>
  <c r="B31" i="12" s="1"/>
  <c r="B7" i="12"/>
  <c r="B32" i="12" s="1"/>
  <c r="F32" i="12" s="1"/>
  <c r="B8" i="12"/>
  <c r="B33" i="12" s="1"/>
  <c r="B9" i="12"/>
  <c r="B34" i="12" s="1"/>
  <c r="F34" i="12" s="1"/>
  <c r="J34" i="12" s="1"/>
  <c r="B10" i="12"/>
  <c r="B35" i="12" s="1"/>
  <c r="A6" i="12"/>
  <c r="A31" i="12" s="1"/>
  <c r="A7" i="12"/>
  <c r="A32" i="12" s="1"/>
  <c r="A8" i="12"/>
  <c r="A33" i="12" s="1"/>
  <c r="A9" i="12"/>
  <c r="A34" i="12" s="1"/>
  <c r="A10" i="12"/>
  <c r="A35" i="12" s="1"/>
  <c r="G23" i="12" l="1"/>
  <c r="D45" i="12"/>
  <c r="E45" i="12" s="1"/>
  <c r="J32" i="12"/>
  <c r="E10" i="12"/>
  <c r="E8" i="12"/>
  <c r="E6" i="12"/>
  <c r="E5" i="12"/>
  <c r="B30" i="12"/>
  <c r="F30" i="12" s="1"/>
  <c r="J30" i="12" s="1"/>
  <c r="F35" i="12"/>
  <c r="J35" i="12" s="1"/>
  <c r="F33" i="12"/>
  <c r="F31" i="12"/>
  <c r="E9" i="12"/>
  <c r="E7" i="12"/>
  <c r="L23" i="12"/>
  <c r="E14" i="10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J33" i="12" l="1"/>
  <c r="D46" i="12"/>
  <c r="E46" i="12" s="1"/>
  <c r="D34" i="12"/>
  <c r="K34" i="12" s="1"/>
  <c r="F9" i="12"/>
  <c r="D31" i="12"/>
  <c r="K31" i="12" s="1"/>
  <c r="F6" i="12"/>
  <c r="D35" i="12"/>
  <c r="K35" i="12" s="1"/>
  <c r="F10" i="12"/>
  <c r="D32" i="12"/>
  <c r="K32" i="12" s="1"/>
  <c r="F7" i="12"/>
  <c r="D44" i="12"/>
  <c r="E44" i="12" s="1"/>
  <c r="J31" i="12"/>
  <c r="D30" i="12"/>
  <c r="K30" i="12" s="1"/>
  <c r="F5" i="12"/>
  <c r="D33" i="12"/>
  <c r="K33" i="12" s="1"/>
  <c r="F8" i="12"/>
  <c r="L7" i="11"/>
  <c r="L6" i="11"/>
  <c r="E6" i="10"/>
  <c r="E16" i="10"/>
  <c r="E13" i="10"/>
  <c r="E5" i="10"/>
  <c r="Q13" i="4"/>
  <c r="Q12" i="4"/>
  <c r="Q2" i="4"/>
  <c r="J5" i="4"/>
  <c r="K5" i="4"/>
  <c r="K10" i="4"/>
  <c r="K8" i="12" l="1"/>
  <c r="J8" i="12"/>
  <c r="G8" i="12"/>
  <c r="G5" i="12"/>
  <c r="K5" i="12"/>
  <c r="J5" i="12"/>
  <c r="J7" i="12"/>
  <c r="K7" i="12"/>
  <c r="G7" i="12"/>
  <c r="K10" i="12"/>
  <c r="G10" i="12"/>
  <c r="J10" i="12"/>
  <c r="K6" i="12"/>
  <c r="J6" i="12"/>
  <c r="G6" i="12"/>
  <c r="K9" i="12"/>
  <c r="J9" i="12"/>
  <c r="G9" i="12"/>
  <c r="L6" i="3"/>
  <c r="M6" i="3"/>
  <c r="K6" i="3"/>
  <c r="J6" i="3"/>
  <c r="H23" i="5" l="1"/>
  <c r="G23" i="5"/>
  <c r="H25" i="5"/>
  <c r="G25" i="5"/>
  <c r="G5" i="5"/>
  <c r="H7" i="5"/>
  <c r="H6" i="3"/>
  <c r="G6" i="3"/>
  <c r="F6" i="3"/>
  <c r="P19" i="2"/>
  <c r="P20" i="2"/>
  <c r="P18" i="2"/>
  <c r="Q18" i="2"/>
  <c r="E6" i="3"/>
  <c r="D6" i="3"/>
  <c r="H5" i="2"/>
  <c r="I5" i="2"/>
  <c r="P5" i="4" l="1"/>
  <c r="K29" i="11" l="1"/>
  <c r="J31" i="11"/>
  <c r="J29" i="11"/>
  <c r="H30" i="11"/>
  <c r="J30" i="11" s="1"/>
  <c r="I31" i="11"/>
  <c r="K31" i="11" s="1"/>
  <c r="I30" i="11"/>
  <c r="K30" i="11" s="1"/>
  <c r="I24" i="11"/>
  <c r="H24" i="11"/>
  <c r="F30" i="11"/>
  <c r="F31" i="11"/>
  <c r="F29" i="11"/>
  <c r="F33" i="4" l="1"/>
  <c r="F31" i="4"/>
  <c r="F25" i="4"/>
  <c r="F27" i="4"/>
  <c r="F26" i="4"/>
  <c r="G25" i="4"/>
  <c r="B26" i="1"/>
  <c r="A26" i="1"/>
  <c r="C26" i="1"/>
  <c r="D26" i="1" s="1"/>
  <c r="A29" i="1" s="1"/>
  <c r="A32" i="1" s="1"/>
  <c r="K22" i="11"/>
  <c r="J22" i="11"/>
  <c r="H25" i="11"/>
  <c r="H13" i="11"/>
  <c r="F25" i="11"/>
  <c r="F26" i="11"/>
  <c r="F24" i="11"/>
  <c r="I18" i="11"/>
  <c r="K18" i="11" s="1"/>
  <c r="I17" i="11"/>
  <c r="K17" i="11" s="1"/>
  <c r="H18" i="11"/>
  <c r="H26" i="11" s="1"/>
  <c r="H17" i="11"/>
  <c r="J17" i="11" s="1"/>
  <c r="G21" i="11"/>
  <c r="K21" i="11" s="1"/>
  <c r="L22" i="11"/>
  <c r="F22" i="11"/>
  <c r="F21" i="11"/>
  <c r="E22" i="11"/>
  <c r="E21" i="11"/>
  <c r="F18" i="11"/>
  <c r="F17" i="11"/>
  <c r="L18" i="11"/>
  <c r="L17" i="11"/>
  <c r="E18" i="11"/>
  <c r="E17" i="11"/>
  <c r="I14" i="11"/>
  <c r="H14" i="11"/>
  <c r="F14" i="11"/>
  <c r="F13" i="11"/>
  <c r="I13" i="11"/>
  <c r="H4" i="8"/>
  <c r="F8" i="4"/>
  <c r="E8" i="4"/>
  <c r="D8" i="4"/>
  <c r="G13" i="11" s="1"/>
  <c r="J13" i="11" s="1"/>
  <c r="E9" i="4"/>
  <c r="E9" i="11"/>
  <c r="F11" i="11"/>
  <c r="F10" i="11"/>
  <c r="E11" i="11"/>
  <c r="E10" i="11"/>
  <c r="E6" i="11"/>
  <c r="F7" i="11"/>
  <c r="F6" i="11"/>
  <c r="E7" i="11"/>
  <c r="M22" i="11" l="1"/>
  <c r="K13" i="11"/>
  <c r="J18" i="11"/>
  <c r="M18" i="11" s="1"/>
  <c r="I26" i="11"/>
  <c r="J21" i="11"/>
  <c r="H17" i="10"/>
  <c r="E17" i="10"/>
  <c r="G20" i="10"/>
  <c r="H8" i="8"/>
  <c r="H9" i="8"/>
  <c r="H10" i="8"/>
  <c r="H11" i="8"/>
  <c r="H12" i="8"/>
  <c r="H13" i="8"/>
  <c r="H14" i="8"/>
  <c r="H7" i="8"/>
  <c r="H6" i="8"/>
  <c r="H5" i="8"/>
  <c r="E14" i="4"/>
  <c r="O10" i="4"/>
  <c r="N10" i="4"/>
  <c r="F16" i="10" l="1"/>
  <c r="H16" i="10" s="1"/>
  <c r="L21" i="11"/>
  <c r="M21" i="11" s="1"/>
  <c r="M23" i="11" s="1"/>
  <c r="E8" i="10"/>
  <c r="A12" i="8"/>
  <c r="B8" i="8"/>
  <c r="B7" i="8"/>
  <c r="A8" i="8"/>
  <c r="G8" i="8" s="1"/>
  <c r="J8" i="8" s="1"/>
  <c r="K8" i="8" s="1"/>
  <c r="F12" i="6"/>
  <c r="A13" i="8" s="1"/>
  <c r="F13" i="6"/>
  <c r="F11" i="6"/>
  <c r="F7" i="6"/>
  <c r="F14" i="6"/>
  <c r="F16" i="6"/>
  <c r="C8" i="4"/>
  <c r="C9" i="4"/>
  <c r="D9" i="4"/>
  <c r="G14" i="11" s="1"/>
  <c r="K14" i="11" l="1"/>
  <c r="J14" i="11"/>
  <c r="E11" i="10"/>
  <c r="D7" i="4"/>
  <c r="L10" i="4"/>
  <c r="L11" i="11" l="1"/>
  <c r="L14" i="11"/>
  <c r="I9" i="10"/>
  <c r="H9" i="10"/>
  <c r="F17" i="10"/>
  <c r="F14" i="10"/>
  <c r="H14" i="10" s="1"/>
  <c r="F13" i="10"/>
  <c r="H13" i="10" s="1"/>
  <c r="F6" i="10"/>
  <c r="H6" i="10" s="1"/>
  <c r="E9" i="10"/>
  <c r="F9" i="10" s="1"/>
  <c r="F8" i="10"/>
  <c r="H8" i="10" s="1"/>
  <c r="G21" i="10"/>
  <c r="G22" i="10"/>
  <c r="G23" i="10"/>
  <c r="F10" i="9"/>
  <c r="B13" i="8"/>
  <c r="B14" i="8"/>
  <c r="E19" i="10" l="1"/>
  <c r="L25" i="11" s="1"/>
  <c r="G13" i="8"/>
  <c r="M17" i="11"/>
  <c r="M19" i="11" s="1"/>
  <c r="M14" i="11"/>
  <c r="F5" i="10"/>
  <c r="H5" i="10" s="1"/>
  <c r="F6" i="9"/>
  <c r="F7" i="9"/>
  <c r="F8" i="9"/>
  <c r="F9" i="9"/>
  <c r="F5" i="9"/>
  <c r="F19" i="10" l="1"/>
  <c r="J13" i="8"/>
  <c r="K13" i="8" s="1"/>
  <c r="Q26" i="5"/>
  <c r="Q25" i="5"/>
  <c r="P26" i="5"/>
  <c r="P25" i="5"/>
  <c r="H6" i="5"/>
  <c r="G6" i="5" s="1"/>
  <c r="P23" i="5" s="1"/>
  <c r="Q24" i="5"/>
  <c r="P24" i="5" s="1"/>
  <c r="H17" i="8"/>
  <c r="H16" i="8"/>
  <c r="H15" i="8"/>
  <c r="A14" i="8"/>
  <c r="E20" i="10" l="1"/>
  <c r="L26" i="11" s="1"/>
  <c r="G14" i="8"/>
  <c r="G27" i="4"/>
  <c r="B17" i="8" s="1"/>
  <c r="B15" i="8"/>
  <c r="J14" i="8" l="1"/>
  <c r="K14" i="8" s="1"/>
  <c r="G26" i="4"/>
  <c r="A15" i="8"/>
  <c r="G15" i="8" s="1"/>
  <c r="A17" i="8"/>
  <c r="G17" i="8" s="1"/>
  <c r="J17" i="8" l="1"/>
  <c r="K17" i="8" s="1"/>
  <c r="J15" i="8"/>
  <c r="K15" i="8" s="1"/>
  <c r="B16" i="8"/>
  <c r="A16" i="8"/>
  <c r="G16" i="8" s="1"/>
  <c r="F15" i="6"/>
  <c r="K7" i="3"/>
  <c r="J16" i="8" l="1"/>
  <c r="K16" i="8" s="1"/>
  <c r="F34" i="4"/>
  <c r="F22" i="1"/>
  <c r="J16" i="1"/>
  <c r="K16" i="1"/>
  <c r="K19" i="1" s="1"/>
  <c r="I4" i="8" l="1"/>
  <c r="I5" i="8" l="1"/>
  <c r="I6" i="8"/>
  <c r="I7" i="8"/>
  <c r="I8" i="8"/>
  <c r="I9" i="8"/>
  <c r="I10" i="8"/>
  <c r="I11" i="8"/>
  <c r="I12" i="8"/>
  <c r="I13" i="8"/>
  <c r="I14" i="8"/>
  <c r="I15" i="8"/>
  <c r="I16" i="8"/>
  <c r="I17" i="8"/>
  <c r="E23" i="10" l="1"/>
  <c r="L31" i="11" s="1"/>
  <c r="M31" i="11" s="1"/>
  <c r="E21" i="10"/>
  <c r="L29" i="11" s="1"/>
  <c r="M29" i="11" s="1"/>
  <c r="K20" i="4"/>
  <c r="M33" i="11" l="1"/>
  <c r="E22" i="10"/>
  <c r="L30" i="11" s="1"/>
  <c r="M30" i="11" s="1"/>
  <c r="M32" i="11" s="1"/>
  <c r="F21" i="10" l="1"/>
  <c r="H21" i="10" s="1"/>
  <c r="F23" i="10"/>
  <c r="H23" i="10" s="1"/>
  <c r="D16" i="6"/>
  <c r="D23" i="10" s="1"/>
  <c r="D15" i="6"/>
  <c r="D22" i="10" s="1"/>
  <c r="D14" i="6"/>
  <c r="D21" i="10" s="1"/>
  <c r="H5" i="5"/>
  <c r="E8" i="6" s="1"/>
  <c r="J4" i="7"/>
  <c r="J5" i="7"/>
  <c r="J6" i="7"/>
  <c r="J7" i="7"/>
  <c r="J8" i="7"/>
  <c r="J9" i="7"/>
  <c r="J10" i="7"/>
  <c r="J3" i="7"/>
  <c r="K4" i="7"/>
  <c r="L4" i="7"/>
  <c r="K5" i="7"/>
  <c r="L5" i="7"/>
  <c r="K6" i="7"/>
  <c r="L6" i="7"/>
  <c r="K7" i="7"/>
  <c r="L7" i="7"/>
  <c r="K8" i="7"/>
  <c r="L8" i="7"/>
  <c r="K9" i="7"/>
  <c r="L9" i="7"/>
  <c r="K10" i="7"/>
  <c r="L10" i="7"/>
  <c r="K11" i="7"/>
  <c r="L11" i="7"/>
  <c r="L3" i="7"/>
  <c r="K3" i="7"/>
  <c r="H3" i="7"/>
  <c r="I3" i="7"/>
  <c r="G3" i="7"/>
  <c r="E9" i="6"/>
  <c r="D12" i="6"/>
  <c r="E13" i="8" s="1"/>
  <c r="D19" i="10" s="1"/>
  <c r="E25" i="11" s="1"/>
  <c r="D13" i="6"/>
  <c r="E14" i="8" s="1"/>
  <c r="D20" i="10" s="1"/>
  <c r="E26" i="11" s="1"/>
  <c r="D11" i="6"/>
  <c r="E12" i="8" s="1"/>
  <c r="D18" i="10" s="1"/>
  <c r="E24" i="11" s="1"/>
  <c r="D9" i="6"/>
  <c r="E10" i="8" s="1"/>
  <c r="D10" i="6"/>
  <c r="E11" i="8" s="1"/>
  <c r="D8" i="6"/>
  <c r="E9" i="8" s="1"/>
  <c r="I4" i="7" l="1"/>
  <c r="H4" i="7" s="1"/>
  <c r="I6" i="7"/>
  <c r="H6" i="7" s="1"/>
  <c r="E16" i="6" s="1"/>
  <c r="H16" i="6" s="1"/>
  <c r="I5" i="7"/>
  <c r="H5" i="7" s="1"/>
  <c r="E15" i="6" s="1"/>
  <c r="E26" i="4" s="1"/>
  <c r="E14" i="6"/>
  <c r="E25" i="4" s="1"/>
  <c r="F22" i="10"/>
  <c r="H22" i="10" s="1"/>
  <c r="E16" i="8"/>
  <c r="D26" i="4"/>
  <c r="H14" i="6"/>
  <c r="H15" i="6"/>
  <c r="E15" i="8"/>
  <c r="D25" i="4"/>
  <c r="E17" i="8"/>
  <c r="D27" i="4"/>
  <c r="E27" i="4"/>
  <c r="H7" i="7" l="1"/>
  <c r="F11" i="10"/>
  <c r="H11" i="10" s="1"/>
  <c r="H19" i="10"/>
  <c r="F20" i="10"/>
  <c r="H20" i="10" s="1"/>
  <c r="F14" i="4" l="1"/>
  <c r="B12" i="8" s="1"/>
  <c r="E18" i="10" l="1"/>
  <c r="L24" i="11" s="1"/>
  <c r="G12" i="8"/>
  <c r="C13" i="4"/>
  <c r="C15" i="4"/>
  <c r="C16" i="4"/>
  <c r="C14" i="4"/>
  <c r="D12" i="4"/>
  <c r="D11" i="4"/>
  <c r="J17" i="4" s="1"/>
  <c r="C12" i="4"/>
  <c r="C11" i="4"/>
  <c r="E7" i="6"/>
  <c r="H7" i="6" s="1"/>
  <c r="E6" i="6"/>
  <c r="D7" i="6"/>
  <c r="D6" i="6"/>
  <c r="C6" i="4"/>
  <c r="D4" i="6" s="1"/>
  <c r="E5" i="8" s="1"/>
  <c r="C7" i="4"/>
  <c r="D5" i="6" s="1"/>
  <c r="E6" i="8" s="1"/>
  <c r="C5" i="4"/>
  <c r="D3" i="6" s="1"/>
  <c r="E4" i="8" s="1"/>
  <c r="D6" i="4"/>
  <c r="E4" i="6" s="1"/>
  <c r="E5" i="6"/>
  <c r="D5" i="4"/>
  <c r="E3" i="6" s="1"/>
  <c r="G10" i="11" s="1"/>
  <c r="F18" i="10" l="1"/>
  <c r="J12" i="8"/>
  <c r="K12" i="8" s="1"/>
  <c r="G7" i="11"/>
  <c r="J10" i="11"/>
  <c r="K10" i="11"/>
  <c r="G6" i="11"/>
  <c r="H18" i="10"/>
  <c r="E8" i="8"/>
  <c r="E14" i="11" s="1"/>
  <c r="D11" i="10"/>
  <c r="E7" i="8"/>
  <c r="E13" i="11" s="1"/>
  <c r="D10" i="10"/>
  <c r="M7" i="4"/>
  <c r="J7" i="4"/>
  <c r="P7" i="4"/>
  <c r="R3" i="4"/>
  <c r="B14" i="4"/>
  <c r="B11" i="4"/>
  <c r="J7" i="11" l="1"/>
  <c r="G11" i="11"/>
  <c r="K7" i="11"/>
  <c r="K6" i="11"/>
  <c r="J6" i="11"/>
  <c r="Q5" i="4"/>
  <c r="F6" i="4" s="1"/>
  <c r="B5" i="8" s="1"/>
  <c r="N5" i="4"/>
  <c r="F7" i="4" s="1"/>
  <c r="B6" i="8" s="1"/>
  <c r="F7" i="3"/>
  <c r="Q23" i="5"/>
  <c r="T5" i="5"/>
  <c r="K11" i="11" l="1"/>
  <c r="J11" i="11"/>
  <c r="M6" i="11"/>
  <c r="M7" i="11"/>
  <c r="R2" i="4"/>
  <c r="F5" i="4"/>
  <c r="B4" i="8" s="1"/>
  <c r="H7" i="3"/>
  <c r="G7" i="3"/>
  <c r="E7" i="3"/>
  <c r="D7" i="3"/>
  <c r="M11" i="11" l="1"/>
  <c r="M8" i="11"/>
  <c r="Z24" i="5"/>
  <c r="Y24" i="5" s="1"/>
  <c r="Z25" i="5"/>
  <c r="Y25" i="5" s="1"/>
  <c r="Z23" i="5"/>
  <c r="Y23" i="5" s="1"/>
  <c r="O23" i="5"/>
  <c r="F23" i="5"/>
  <c r="F25" i="5"/>
  <c r="H22" i="5"/>
  <c r="Q22" i="5" s="1"/>
  <c r="Z22" i="5" s="1"/>
  <c r="G22" i="5"/>
  <c r="P22" i="5" s="1"/>
  <c r="Y22" i="5" s="1"/>
  <c r="F22" i="5"/>
  <c r="O22" i="5" s="1"/>
  <c r="X22" i="5" s="1"/>
  <c r="T6" i="5"/>
  <c r="U6" i="5"/>
  <c r="U5" i="5"/>
  <c r="S6" i="5"/>
  <c r="S5" i="5"/>
  <c r="H18" i="2"/>
  <c r="U4" i="5"/>
  <c r="T4" i="5"/>
  <c r="S4" i="5"/>
  <c r="K2" i="2"/>
  <c r="L8" i="2"/>
  <c r="G17" i="2"/>
  <c r="G7" i="5" l="1"/>
  <c r="E10" i="6"/>
  <c r="D13" i="4"/>
  <c r="I6" i="3"/>
  <c r="E11" i="6"/>
  <c r="D14" i="4"/>
  <c r="L7" i="3"/>
  <c r="E13" i="6"/>
  <c r="D16" i="4"/>
  <c r="E12" i="6"/>
  <c r="D15" i="4"/>
  <c r="W7" i="2"/>
  <c r="W6" i="2"/>
  <c r="W5" i="2"/>
  <c r="V5" i="2"/>
  <c r="V8" i="2"/>
  <c r="P21" i="2"/>
  <c r="Q21" i="2"/>
  <c r="Q19" i="2"/>
  <c r="Q20" i="2"/>
  <c r="H29" i="2"/>
  <c r="G29" i="2"/>
  <c r="H30" i="2"/>
  <c r="H28" i="2"/>
  <c r="G30" i="2"/>
  <c r="G28" i="2"/>
  <c r="I6" i="2"/>
  <c r="I7" i="2"/>
  <c r="H7" i="2"/>
  <c r="H6" i="2"/>
  <c r="M3" i="2"/>
  <c r="M4" i="2"/>
  <c r="M5" i="2"/>
  <c r="M6" i="2"/>
  <c r="M7" i="2"/>
  <c r="M2" i="2"/>
  <c r="G18" i="2"/>
  <c r="B29" i="1"/>
  <c r="B32" i="1" s="1"/>
  <c r="C32" i="1" s="1"/>
  <c r="G16" i="1"/>
  <c r="H16" i="1" s="1"/>
  <c r="G21" i="1"/>
  <c r="G19" i="1"/>
  <c r="G18" i="1"/>
  <c r="G17" i="1"/>
  <c r="G20" i="1"/>
  <c r="G25" i="11" l="1"/>
  <c r="H12" i="6"/>
  <c r="G26" i="11"/>
  <c r="H13" i="6"/>
  <c r="G24" i="11"/>
  <c r="H11" i="6"/>
  <c r="F16" i="1"/>
  <c r="D16" i="1"/>
  <c r="D21" i="1"/>
  <c r="B22" i="1"/>
  <c r="C11" i="1"/>
  <c r="B11" i="1"/>
  <c r="K24" i="11" l="1"/>
  <c r="J24" i="11"/>
  <c r="M24" i="11" s="1"/>
  <c r="J26" i="11"/>
  <c r="K26" i="11"/>
  <c r="K25" i="11"/>
  <c r="J25" i="11"/>
  <c r="M25" i="11" s="1"/>
  <c r="O20" i="4"/>
  <c r="N20" i="4"/>
  <c r="L20" i="4"/>
  <c r="I5" i="3"/>
  <c r="M7" i="3"/>
  <c r="V4" i="2"/>
  <c r="W4" i="2"/>
  <c r="U4" i="2"/>
  <c r="P17" i="2"/>
  <c r="Q17" i="2"/>
  <c r="O17" i="2"/>
  <c r="H17" i="2"/>
  <c r="G19" i="2"/>
  <c r="K3" i="2"/>
  <c r="K4" i="2"/>
  <c r="K5" i="2"/>
  <c r="K6" i="2"/>
  <c r="K7" i="2"/>
  <c r="M8" i="2"/>
  <c r="M28" i="11" l="1"/>
  <c r="M26" i="11"/>
  <c r="M27" i="11" s="1"/>
  <c r="H19" i="2"/>
  <c r="V7" i="2"/>
  <c r="V6" i="2"/>
  <c r="R13" i="4"/>
  <c r="H21" i="1"/>
  <c r="H20" i="1"/>
  <c r="H19" i="1"/>
  <c r="H18" i="1"/>
  <c r="H17" i="1"/>
  <c r="F21" i="1"/>
  <c r="F20" i="1"/>
  <c r="F19" i="1"/>
  <c r="F18" i="1"/>
  <c r="F17" i="1"/>
  <c r="D20" i="1"/>
  <c r="D19" i="1"/>
  <c r="D18" i="1"/>
  <c r="D17" i="1"/>
  <c r="D22" i="1"/>
  <c r="H22" i="1" l="1"/>
  <c r="J19" i="1" s="1"/>
  <c r="L19" i="1" s="1"/>
  <c r="P17" i="4"/>
  <c r="I7" i="3"/>
  <c r="M17" i="4"/>
  <c r="J7" i="3"/>
  <c r="P15" i="4" l="1"/>
  <c r="M15" i="4" s="1"/>
  <c r="E13" i="4" s="1"/>
  <c r="J15" i="4"/>
  <c r="E11" i="4" s="1"/>
  <c r="Q15" i="4"/>
  <c r="K15" i="4"/>
  <c r="F11" i="4" s="1"/>
  <c r="B9" i="8" s="1"/>
  <c r="E12" i="4" l="1"/>
  <c r="A9" i="8"/>
  <c r="G9" i="8" s="1"/>
  <c r="J9" i="8" s="1"/>
  <c r="K9" i="8" s="1"/>
  <c r="F8" i="6"/>
  <c r="H8" i="6" s="1"/>
  <c r="F10" i="6"/>
  <c r="H10" i="6" s="1"/>
  <c r="A11" i="8"/>
  <c r="A10" i="8"/>
  <c r="F9" i="6"/>
  <c r="H9" i="6" s="1"/>
  <c r="F12" i="4"/>
  <c r="B10" i="8" s="1"/>
  <c r="N15" i="4"/>
  <c r="F13" i="4" s="1"/>
  <c r="B11" i="8" s="1"/>
  <c r="R12" i="4"/>
  <c r="G10" i="8" l="1"/>
  <c r="J10" i="8" s="1"/>
  <c r="K10" i="8" s="1"/>
  <c r="G11" i="8"/>
  <c r="J11" i="8" s="1"/>
  <c r="K11" i="8" s="1"/>
  <c r="F6" i="6"/>
  <c r="H6" i="6" s="1"/>
  <c r="A7" i="8"/>
  <c r="Q3" i="4" l="1"/>
  <c r="E5" i="4"/>
  <c r="G7" i="8"/>
  <c r="J7" i="8" s="1"/>
  <c r="K7" i="8" s="1"/>
  <c r="E10" i="10"/>
  <c r="E6" i="4"/>
  <c r="L10" i="11" l="1"/>
  <c r="L13" i="11"/>
  <c r="M10" i="11"/>
  <c r="M12" i="11" s="1"/>
  <c r="M13" i="11"/>
  <c r="M15" i="11" s="1"/>
  <c r="M5" i="4"/>
  <c r="E7" i="4" s="1"/>
  <c r="A5" i="8"/>
  <c r="G5" i="8" s="1"/>
  <c r="J5" i="8" s="1"/>
  <c r="K5" i="8" s="1"/>
  <c r="F4" i="6"/>
  <c r="H4" i="6" s="1"/>
  <c r="F10" i="10"/>
  <c r="H10" i="10" s="1"/>
  <c r="F3" i="6" l="1"/>
  <c r="H3" i="6" s="1"/>
  <c r="A4" i="8"/>
  <c r="G4" i="8" s="1"/>
  <c r="F5" i="6"/>
  <c r="H5" i="6" s="1"/>
  <c r="A6" i="8"/>
  <c r="G6" i="8" s="1"/>
  <c r="J6" i="8" s="1"/>
  <c r="K6" i="8" s="1"/>
  <c r="J4" i="8" l="1"/>
  <c r="K4" i="8" s="1"/>
</calcChain>
</file>

<file path=xl/sharedStrings.xml><?xml version="1.0" encoding="utf-8"?>
<sst xmlns="http://schemas.openxmlformats.org/spreadsheetml/2006/main" count="402" uniqueCount="226">
  <si>
    <t>Найм. ПС</t>
  </si>
  <si>
    <t>Рм</t>
  </si>
  <si>
    <t>МВт</t>
  </si>
  <si>
    <t>Qм</t>
  </si>
  <si>
    <t>Мвар</t>
  </si>
  <si>
    <t>Х</t>
  </si>
  <si>
    <t>мм</t>
  </si>
  <si>
    <t>Y</t>
  </si>
  <si>
    <t>U2 ном</t>
  </si>
  <si>
    <t>кВ</t>
  </si>
  <si>
    <t>Кат. Над.</t>
  </si>
  <si>
    <t>А</t>
  </si>
  <si>
    <t>Б</t>
  </si>
  <si>
    <t>В</t>
  </si>
  <si>
    <t>Г</t>
  </si>
  <si>
    <t>Д</t>
  </si>
  <si>
    <t>Е</t>
  </si>
  <si>
    <t>ДЖ</t>
  </si>
  <si>
    <t xml:space="preserve"> - </t>
  </si>
  <si>
    <t>I</t>
  </si>
  <si>
    <t>II</t>
  </si>
  <si>
    <t>Σ</t>
  </si>
  <si>
    <r>
      <t xml:space="preserve">Sнав </t>
    </r>
    <r>
      <rPr>
        <sz val="11"/>
        <color theme="1"/>
        <rFont val="Calibri"/>
        <family val="2"/>
        <charset val="204"/>
      </rPr>
      <t>Σ</t>
    </r>
  </si>
  <si>
    <r>
      <t xml:space="preserve">Рнав </t>
    </r>
    <r>
      <rPr>
        <sz val="11"/>
        <color theme="1"/>
        <rFont val="Calibri"/>
        <family val="2"/>
        <charset val="204"/>
      </rPr>
      <t>Σ</t>
    </r>
    <r>
      <rPr>
        <sz val="11"/>
        <color theme="1"/>
        <rFont val="Calibri"/>
        <family val="2"/>
      </rPr>
      <t>2</t>
    </r>
  </si>
  <si>
    <t>Qнав Σ2</t>
  </si>
  <si>
    <r>
      <rPr>
        <sz val="11"/>
        <color theme="1"/>
        <rFont val="Calibri"/>
        <family val="2"/>
        <charset val="204"/>
      </rPr>
      <t>Δ</t>
    </r>
    <r>
      <rPr>
        <sz val="11"/>
        <color theme="1"/>
        <rFont val="Calibri"/>
        <family val="2"/>
      </rPr>
      <t>P</t>
    </r>
    <r>
      <rPr>
        <sz val="11"/>
        <color theme="1"/>
        <rFont val="Calibri"/>
        <family val="2"/>
        <charset val="204"/>
      </rPr>
      <t>Σ</t>
    </r>
  </si>
  <si>
    <t>ΔQΣ</t>
  </si>
  <si>
    <t>К у.м.</t>
  </si>
  <si>
    <t>Р р</t>
  </si>
  <si>
    <t>Q р</t>
  </si>
  <si>
    <t>S р</t>
  </si>
  <si>
    <t>ТЦН</t>
  </si>
  <si>
    <r>
      <t>Р</t>
    </r>
    <r>
      <rPr>
        <sz val="11"/>
        <color theme="1"/>
        <rFont val="Calibri"/>
        <family val="2"/>
        <charset val="204"/>
      </rPr>
      <t>·</t>
    </r>
    <r>
      <rPr>
        <sz val="11"/>
        <color theme="1"/>
        <rFont val="Calibri"/>
        <family val="2"/>
      </rPr>
      <t>Х</t>
    </r>
  </si>
  <si>
    <r>
      <t>МВт</t>
    </r>
    <r>
      <rPr>
        <sz val="11"/>
        <color theme="1"/>
        <rFont val="Calibri"/>
        <family val="2"/>
        <charset val="204"/>
      </rPr>
      <t>·</t>
    </r>
    <r>
      <rPr>
        <sz val="11"/>
        <color theme="1"/>
        <rFont val="Calibri"/>
        <family val="2"/>
      </rPr>
      <t>мм</t>
    </r>
  </si>
  <si>
    <r>
      <t>P</t>
    </r>
    <r>
      <rPr>
        <sz val="11"/>
        <color theme="1"/>
        <rFont val="Calibri"/>
        <family val="2"/>
        <charset val="204"/>
      </rPr>
      <t>·</t>
    </r>
    <r>
      <rPr>
        <sz val="11"/>
        <color theme="1"/>
        <rFont val="Calibri"/>
        <family val="2"/>
      </rPr>
      <t>Y</t>
    </r>
  </si>
  <si>
    <r>
      <rPr>
        <sz val="11"/>
        <color theme="1"/>
        <rFont val="Cambria"/>
        <family val="1"/>
        <charset val="204"/>
      </rPr>
      <t>ℓ</t>
    </r>
    <r>
      <rPr>
        <sz val="11"/>
        <color theme="1"/>
        <rFont val="Calibri"/>
        <family val="2"/>
      </rPr>
      <t>ПС-ТЦН</t>
    </r>
  </si>
  <si>
    <r>
      <t>Рм</t>
    </r>
    <r>
      <rPr>
        <sz val="11"/>
        <color theme="1"/>
        <rFont val="Calibri"/>
        <family val="2"/>
        <charset val="204"/>
      </rPr>
      <t>·ℓПС-ТЦН</t>
    </r>
  </si>
  <si>
    <t>Х0</t>
  </si>
  <si>
    <t>Y0</t>
  </si>
  <si>
    <r>
      <rPr>
        <sz val="11"/>
        <color theme="1"/>
        <rFont val="Cambria"/>
        <family val="1"/>
        <charset val="204"/>
      </rPr>
      <t>ℓ</t>
    </r>
    <r>
      <rPr>
        <sz val="11"/>
        <color theme="1"/>
        <rFont val="Calibri"/>
        <family val="2"/>
      </rPr>
      <t>ср взв</t>
    </r>
  </si>
  <si>
    <r>
      <rPr>
        <sz val="11"/>
        <color theme="1"/>
        <rFont val="Cambria"/>
        <family val="1"/>
        <charset val="204"/>
      </rPr>
      <t>ℓ</t>
    </r>
    <r>
      <rPr>
        <sz val="11"/>
        <color theme="1"/>
        <rFont val="Calibri"/>
        <family val="2"/>
      </rPr>
      <t xml:space="preserve"> ДЖ-ТЦН</t>
    </r>
  </si>
  <si>
    <t>l</t>
  </si>
  <si>
    <t>l, км</t>
  </si>
  <si>
    <t>Ділянка</t>
  </si>
  <si>
    <t>X</t>
  </si>
  <si>
    <t>mm</t>
  </si>
  <si>
    <t>ВП-1</t>
  </si>
  <si>
    <t>ВП-2</t>
  </si>
  <si>
    <t>Натуральні показники</t>
  </si>
  <si>
    <t>I група</t>
  </si>
  <si>
    <t>II група</t>
  </si>
  <si>
    <t>а)</t>
  </si>
  <si>
    <t>б)</t>
  </si>
  <si>
    <t>в)</t>
  </si>
  <si>
    <t>г)</t>
  </si>
  <si>
    <t>д)</t>
  </si>
  <si>
    <t xml:space="preserve"> шт.</t>
  </si>
  <si>
    <t xml:space="preserve"> км</t>
  </si>
  <si>
    <t>рад</t>
  </si>
  <si>
    <t>кольц</t>
  </si>
  <si>
    <t>маг</t>
  </si>
  <si>
    <t>+</t>
  </si>
  <si>
    <t>-</t>
  </si>
  <si>
    <t>P</t>
  </si>
  <si>
    <t>Q</t>
  </si>
  <si>
    <t>км</t>
  </si>
  <si>
    <t>Група</t>
  </si>
  <si>
    <t>Варіант</t>
  </si>
  <si>
    <t>ВП-Д</t>
  </si>
  <si>
    <t>Баланс</t>
  </si>
  <si>
    <t>Табл 1.2</t>
  </si>
  <si>
    <t>Табл 1.1</t>
  </si>
  <si>
    <t>/</t>
  </si>
  <si>
    <t>ВП-В</t>
  </si>
  <si>
    <t>В-Д</t>
  </si>
  <si>
    <t>2-В</t>
  </si>
  <si>
    <t>2-Д</t>
  </si>
  <si>
    <t>1-В</t>
  </si>
  <si>
    <t>1-Д</t>
  </si>
  <si>
    <t>ВП-Г</t>
  </si>
  <si>
    <t>ВП-Е</t>
  </si>
  <si>
    <t>Е-Г</t>
  </si>
  <si>
    <t>Г-1</t>
  </si>
  <si>
    <t>Г-2</t>
  </si>
  <si>
    <t>Е-2</t>
  </si>
  <si>
    <t>кільц.</t>
  </si>
  <si>
    <t>рад.</t>
  </si>
  <si>
    <t>n</t>
  </si>
  <si>
    <t>а</t>
  </si>
  <si>
    <t>д</t>
  </si>
  <si>
    <t>г</t>
  </si>
  <si>
    <t>Мережа зовнішнього електропостачання</t>
  </si>
  <si>
    <t>3-Б</t>
  </si>
  <si>
    <t>3-ВП</t>
  </si>
  <si>
    <t>ДЖ-3</t>
  </si>
  <si>
    <t>зовнішня мережа</t>
  </si>
  <si>
    <r>
      <t>мм</t>
    </r>
    <r>
      <rPr>
        <vertAlign val="superscript"/>
        <sz val="14"/>
        <color theme="1"/>
        <rFont val="Times New Roman"/>
        <family val="1"/>
        <charset val="204"/>
      </rPr>
      <t>2</t>
    </r>
  </si>
  <si>
    <r>
      <t>МВ</t>
    </r>
    <r>
      <rPr>
        <sz val="14"/>
        <color theme="1"/>
        <rFont val="Symbol"/>
        <family val="1"/>
        <charset val="2"/>
      </rPr>
      <t>×</t>
    </r>
    <r>
      <rPr>
        <sz val="14"/>
        <color theme="1"/>
        <rFont val="Times New Roman"/>
        <family val="1"/>
        <charset val="204"/>
      </rPr>
      <t>А</t>
    </r>
  </si>
  <si>
    <t>A/mm2</t>
  </si>
  <si>
    <t>Прийнята марка</t>
  </si>
  <si>
    <r>
      <t>F</t>
    </r>
    <r>
      <rPr>
        <vertAlign val="subscript"/>
        <sz val="14"/>
        <color theme="1"/>
        <rFont val="Times New Roman"/>
        <family val="1"/>
        <charset val="204"/>
      </rPr>
      <t>ек</t>
    </r>
    <r>
      <rPr>
        <sz val="14"/>
        <color theme="1"/>
        <rFont val="Times New Roman"/>
        <family val="1"/>
        <charset val="204"/>
      </rPr>
      <t>,</t>
    </r>
  </si>
  <si>
    <r>
      <t>I</t>
    </r>
    <r>
      <rPr>
        <vertAlign val="subscript"/>
        <sz val="14"/>
        <color theme="1"/>
        <rFont val="Times New Roman"/>
        <family val="1"/>
        <charset val="204"/>
      </rPr>
      <t>р</t>
    </r>
    <r>
      <rPr>
        <sz val="14"/>
        <color theme="1"/>
        <rFont val="Times New Roman"/>
        <family val="1"/>
        <charset val="204"/>
      </rPr>
      <t>, А</t>
    </r>
  </si>
  <si>
    <r>
      <t>U</t>
    </r>
    <r>
      <rPr>
        <vertAlign val="subscript"/>
        <sz val="14"/>
        <color theme="1"/>
        <rFont val="Times New Roman"/>
        <family val="1"/>
        <charset val="204"/>
      </rPr>
      <t>ном</t>
    </r>
    <r>
      <rPr>
        <sz val="14"/>
        <color theme="1"/>
        <rFont val="Times New Roman"/>
        <family val="1"/>
        <charset val="204"/>
      </rPr>
      <t>,</t>
    </r>
  </si>
  <si>
    <r>
      <t>S</t>
    </r>
    <r>
      <rPr>
        <sz val="14"/>
        <color theme="1"/>
        <rFont val="Times New Roman"/>
        <family val="1"/>
        <charset val="204"/>
      </rPr>
      <t>діл,</t>
    </r>
  </si>
  <si>
    <r>
      <t>P</t>
    </r>
    <r>
      <rPr>
        <sz val="14"/>
        <color theme="1"/>
        <rFont val="Times New Roman"/>
        <family val="1"/>
        <charset val="204"/>
      </rPr>
      <t>діл</t>
    </r>
    <r>
      <rPr>
        <i/>
        <sz val="14"/>
        <color theme="1"/>
        <rFont val="Times New Roman"/>
        <family val="1"/>
        <charset val="204"/>
      </rPr>
      <t>+jQ</t>
    </r>
    <r>
      <rPr>
        <sz val="14"/>
        <color theme="1"/>
        <rFont val="Times New Roman"/>
        <family val="1"/>
        <charset val="204"/>
      </rPr>
      <t>діл,</t>
    </r>
  </si>
  <si>
    <t>Ділянка мережі</t>
  </si>
  <si>
    <t>Варі-ант</t>
  </si>
  <si>
    <t>Гру-па</t>
  </si>
  <si>
    <t>4 – 4,5</t>
  </si>
  <si>
    <t>АС-150/34</t>
  </si>
  <si>
    <t xml:space="preserve">за ПУЕ </t>
  </si>
  <si>
    <t>фактичне</t>
  </si>
  <si>
    <t>сталі</t>
  </si>
  <si>
    <t>Алюміній</t>
  </si>
  <si>
    <r>
      <t xml:space="preserve">Відношення </t>
    </r>
    <r>
      <rPr>
        <b/>
        <sz val="12"/>
        <color theme="1"/>
        <rFont val="Times New Roman"/>
        <family val="1"/>
        <charset val="204"/>
      </rPr>
      <t>А : C</t>
    </r>
  </si>
  <si>
    <r>
      <t>Реальні перетини, мм</t>
    </r>
    <r>
      <rPr>
        <vertAlign val="superscript"/>
        <sz val="12"/>
        <color theme="1"/>
        <rFont val="Times New Roman"/>
        <family val="1"/>
        <charset val="204"/>
      </rPr>
      <t>2</t>
    </r>
  </si>
  <si>
    <t>Марка проводу</t>
  </si>
  <si>
    <t>Sсум</t>
  </si>
  <si>
    <t>навантаж</t>
  </si>
  <si>
    <t>втрати</t>
  </si>
  <si>
    <t>Е-1</t>
  </si>
  <si>
    <r>
      <t>U</t>
    </r>
    <r>
      <rPr>
        <vertAlign val="subscript"/>
        <sz val="14"/>
        <color theme="1"/>
        <rFont val="Times New Roman"/>
        <family val="1"/>
        <charset val="204"/>
      </rPr>
      <t>ном</t>
    </r>
    <r>
      <rPr>
        <sz val="14"/>
        <color theme="1"/>
        <rFont val="Times New Roman"/>
        <family val="1"/>
        <charset val="204"/>
      </rPr>
      <t>, кВ</t>
    </r>
  </si>
  <si>
    <t>ДЖ-ВП</t>
  </si>
  <si>
    <t>зовн.мережа</t>
  </si>
  <si>
    <t>АС-185/43</t>
  </si>
  <si>
    <t>АС-240/56</t>
  </si>
  <si>
    <t>АС-300/67</t>
  </si>
  <si>
    <t>Так</t>
  </si>
  <si>
    <r>
      <t>P</t>
    </r>
    <r>
      <rPr>
        <sz val="14"/>
        <color theme="1"/>
        <rFont val="Times New Roman"/>
        <family val="1"/>
        <charset val="204"/>
      </rPr>
      <t>діл</t>
    </r>
    <r>
      <rPr>
        <i/>
        <sz val="14"/>
        <color theme="1"/>
        <rFont val="Times New Roman"/>
        <family val="1"/>
        <charset val="204"/>
      </rPr>
      <t>+jQ</t>
    </r>
    <r>
      <rPr>
        <sz val="14"/>
        <color theme="1"/>
        <rFont val="Times New Roman"/>
        <family val="1"/>
        <charset val="204"/>
      </rPr>
      <t>діл, МВ×А</t>
    </r>
  </si>
  <si>
    <r>
      <t>S</t>
    </r>
    <r>
      <rPr>
        <sz val="14"/>
        <color theme="1"/>
        <rFont val="Times New Roman"/>
        <family val="1"/>
        <charset val="204"/>
      </rPr>
      <t>діл, МВ×А</t>
    </r>
  </si>
  <si>
    <r>
      <t>I</t>
    </r>
    <r>
      <rPr>
        <vertAlign val="subscript"/>
        <sz val="14"/>
        <color theme="1"/>
        <rFont val="Times New Roman"/>
        <family val="1"/>
        <charset val="204"/>
      </rPr>
      <t>ав</t>
    </r>
    <r>
      <rPr>
        <sz val="14"/>
        <color theme="1"/>
        <rFont val="Times New Roman"/>
        <family val="1"/>
        <charset val="204"/>
      </rPr>
      <t>, А</t>
    </r>
  </si>
  <si>
    <r>
      <t>I</t>
    </r>
    <r>
      <rPr>
        <sz val="14"/>
        <color theme="1"/>
        <rFont val="Times New Roman"/>
        <family val="1"/>
        <charset val="204"/>
      </rPr>
      <t>доп, А</t>
    </r>
  </si>
  <si>
    <r>
      <t>I</t>
    </r>
    <r>
      <rPr>
        <vertAlign val="subscript"/>
        <sz val="14"/>
        <color theme="1"/>
        <rFont val="Times New Roman"/>
        <family val="1"/>
        <charset val="204"/>
      </rPr>
      <t>ав</t>
    </r>
    <r>
      <rPr>
        <sz val="14"/>
        <color theme="1"/>
        <rFont val="Symbol"/>
        <family val="1"/>
        <charset val="2"/>
      </rPr>
      <t>£</t>
    </r>
    <r>
      <rPr>
        <i/>
        <sz val="14"/>
        <color theme="1"/>
        <rFont val="Times New Roman"/>
        <family val="1"/>
        <charset val="204"/>
      </rPr>
      <t xml:space="preserve"> I</t>
    </r>
    <r>
      <rPr>
        <sz val="14"/>
        <color theme="1"/>
        <rFont val="Times New Roman"/>
        <family val="1"/>
        <charset val="204"/>
      </rPr>
      <t>доп</t>
    </r>
  </si>
  <si>
    <t>Остаточний вибір</t>
  </si>
  <si>
    <t>7,5 – 8</t>
  </si>
  <si>
    <t>АС-400/51</t>
  </si>
  <si>
    <t>АС-120/27</t>
  </si>
  <si>
    <t>відключення ВП-В</t>
  </si>
  <si>
    <t>відключення ВП-Д</t>
  </si>
  <si>
    <t>Д-В</t>
  </si>
  <si>
    <t>відключення ВП-Е</t>
  </si>
  <si>
    <t>відключення ВП-Г</t>
  </si>
  <si>
    <t>Г-Е</t>
  </si>
  <si>
    <t>Кільце</t>
  </si>
  <si>
    <t>Магістраль</t>
  </si>
  <si>
    <t>Варі</t>
  </si>
  <si>
    <t>ант</t>
  </si>
  <si>
    <t>Ом</t>
  </si>
  <si>
    <r>
      <t>R</t>
    </r>
    <r>
      <rPr>
        <sz val="14"/>
        <color theme="1"/>
        <rFont val="Times New Roman"/>
        <family val="1"/>
        <charset val="204"/>
      </rPr>
      <t>діл,</t>
    </r>
  </si>
  <si>
    <r>
      <t>X</t>
    </r>
    <r>
      <rPr>
        <sz val="14"/>
        <color theme="1"/>
        <rFont val="Times New Roman"/>
        <family val="1"/>
        <charset val="204"/>
      </rPr>
      <t>діл,</t>
    </r>
  </si>
  <si>
    <t>Зовн</t>
  </si>
  <si>
    <t>ДЖ – 3</t>
  </si>
  <si>
    <t>3 – ВП</t>
  </si>
  <si>
    <t>3 -Б</t>
  </si>
  <si>
    <t>кільце</t>
  </si>
  <si>
    <t>магістраль</t>
  </si>
  <si>
    <t>в</t>
  </si>
  <si>
    <t xml:space="preserve">                                                                                                  до точки В</t>
  </si>
  <si>
    <t xml:space="preserve">                                                                                                 до точки Д</t>
  </si>
  <si>
    <t xml:space="preserve">                                                                                                     до точки Д</t>
  </si>
  <si>
    <t xml:space="preserve">                                                                                                    до точки Г</t>
  </si>
  <si>
    <t xml:space="preserve">                                                                                                    до точки Е</t>
  </si>
  <si>
    <t>L, км</t>
  </si>
  <si>
    <t>МВ×А</t>
  </si>
  <si>
    <r>
      <t>DU</t>
    </r>
    <r>
      <rPr>
        <sz val="14"/>
        <color theme="1"/>
        <rFont val="Times New Roman"/>
        <family val="1"/>
        <charset val="204"/>
      </rPr>
      <t>,</t>
    </r>
  </si>
  <si>
    <t>До точки А(ВП)</t>
  </si>
  <si>
    <t>До точки Б</t>
  </si>
  <si>
    <r>
      <t>r</t>
    </r>
    <r>
      <rPr>
        <sz val="10"/>
        <color theme="1"/>
        <rFont val="Times New Roman"/>
        <family val="1"/>
        <charset val="204"/>
      </rPr>
      <t xml:space="preserve">о </t>
    </r>
    <r>
      <rPr>
        <sz val="14"/>
        <color theme="1"/>
        <rFont val="Times New Roman"/>
        <family val="1"/>
        <charset val="204"/>
      </rPr>
      <t>кОм</t>
    </r>
  </si>
  <si>
    <r>
      <t>x</t>
    </r>
    <r>
      <rPr>
        <sz val="9"/>
        <color theme="1"/>
        <rFont val="Times New Roman"/>
        <family val="1"/>
        <charset val="204"/>
      </rPr>
      <t>о</t>
    </r>
    <r>
      <rPr>
        <sz val="14"/>
        <color theme="1"/>
        <rFont val="Times New Roman"/>
        <family val="1"/>
        <charset val="204"/>
      </rPr>
      <t xml:space="preserve"> Ом</t>
    </r>
  </si>
  <si>
    <r>
      <t xml:space="preserve">   L</t>
    </r>
    <r>
      <rPr>
        <sz val="14"/>
        <color theme="1"/>
        <rFont val="Times New Roman"/>
        <family val="1"/>
        <charset val="204"/>
      </rPr>
      <t xml:space="preserve"> гол, км</t>
    </r>
  </si>
  <si>
    <t>P гол, Мвт</t>
  </si>
  <si>
    <r>
      <t xml:space="preserve">Up, </t>
    </r>
    <r>
      <rPr>
        <sz val="12"/>
        <color theme="1"/>
        <rFont val="Times New Roman"/>
        <family val="1"/>
      </rPr>
      <t>кВ</t>
    </r>
  </si>
  <si>
    <r>
      <t xml:space="preserve">U ном , </t>
    </r>
    <r>
      <rPr>
        <sz val="12"/>
        <color theme="1"/>
        <rFont val="Times New Roman"/>
        <family val="1"/>
      </rPr>
      <t>кВ</t>
    </r>
  </si>
  <si>
    <t>Назва вузла</t>
  </si>
  <si>
    <t>Uном мережі,</t>
  </si>
  <si>
    <t>Pм+jQм, МВ×А</t>
  </si>
  <si>
    <t>Sм, МВ×А</t>
  </si>
  <si>
    <t>Sнеоб, МВ×А</t>
  </si>
  <si>
    <t>Sном.т, МВ×А</t>
  </si>
  <si>
    <r>
      <t>n</t>
    </r>
    <r>
      <rPr>
        <sz val="10"/>
        <color theme="1"/>
        <rFont val="Times New Roman"/>
        <family val="1"/>
        <charset val="204"/>
      </rPr>
      <t>т</t>
    </r>
  </si>
  <si>
    <r>
      <t>K</t>
    </r>
    <r>
      <rPr>
        <sz val="11"/>
        <color theme="1"/>
        <rFont val="Times New Roman"/>
        <family val="1"/>
        <charset val="204"/>
      </rPr>
      <t>з</t>
    </r>
  </si>
  <si>
    <r>
      <t>K</t>
    </r>
    <r>
      <rPr>
        <sz val="11"/>
        <color theme="1"/>
        <rFont val="Times New Roman"/>
        <family val="1"/>
        <charset val="204"/>
      </rPr>
      <t>зав</t>
    </r>
  </si>
  <si>
    <t>ТРДН</t>
  </si>
  <si>
    <t>атдцтн</t>
  </si>
  <si>
    <t>табл 1.9</t>
  </si>
  <si>
    <t>табл 1.20</t>
  </si>
  <si>
    <t>Назва ПС</t>
  </si>
  <si>
    <t>Тип трансформаторів</t>
  </si>
  <si>
    <t>Кількість, тип і потужність КП</t>
  </si>
  <si>
    <t>Всього</t>
  </si>
  <si>
    <t>–</t>
  </si>
  <si>
    <r>
      <t>tg φ</t>
    </r>
    <r>
      <rPr>
        <sz val="10"/>
        <color theme="1"/>
        <rFont val="Times New Roman"/>
        <family val="1"/>
        <charset val="204"/>
      </rPr>
      <t>м</t>
    </r>
  </si>
  <si>
    <r>
      <t>U</t>
    </r>
    <r>
      <rPr>
        <sz val="12"/>
        <color theme="1"/>
        <rFont val="Times New Roman"/>
        <family val="1"/>
        <charset val="204"/>
      </rPr>
      <t>2ном</t>
    </r>
    <r>
      <rPr>
        <sz val="14"/>
        <color theme="1"/>
        <rFont val="Times New Roman"/>
        <family val="1"/>
        <charset val="204"/>
      </rPr>
      <t>, кВ</t>
    </r>
  </si>
  <si>
    <r>
      <t>Q</t>
    </r>
    <r>
      <rPr>
        <sz val="11"/>
        <color theme="1"/>
        <rFont val="Times New Roman"/>
        <family val="1"/>
        <charset val="204"/>
      </rPr>
      <t>кпном</t>
    </r>
    <r>
      <rPr>
        <sz val="14"/>
        <color theme="1"/>
        <rFont val="Times New Roman"/>
        <family val="1"/>
        <charset val="204"/>
      </rPr>
      <t>, Мвар</t>
    </r>
  </si>
  <si>
    <r>
      <t>Q</t>
    </r>
    <r>
      <rPr>
        <sz val="12"/>
        <color theme="1"/>
        <rFont val="Times New Roman"/>
        <family val="1"/>
        <charset val="204"/>
      </rPr>
      <t>кп</t>
    </r>
    <r>
      <rPr>
        <sz val="14"/>
        <color theme="1"/>
        <rFont val="Times New Roman"/>
        <family val="1"/>
        <charset val="204"/>
      </rPr>
      <t>, Мвар</t>
    </r>
  </si>
  <si>
    <r>
      <t>Q</t>
    </r>
    <r>
      <rPr>
        <sz val="12"/>
        <color theme="1"/>
        <rFont val="Times New Roman"/>
        <family val="1"/>
        <charset val="204"/>
      </rPr>
      <t>м</t>
    </r>
    <r>
      <rPr>
        <sz val="14"/>
        <color theme="1"/>
        <rFont val="Times New Roman"/>
        <family val="1"/>
        <charset val="204"/>
      </rPr>
      <t>, Мвар</t>
    </r>
  </si>
  <si>
    <r>
      <t>P</t>
    </r>
    <r>
      <rPr>
        <sz val="12"/>
        <color theme="1"/>
        <rFont val="Times New Roman"/>
        <family val="1"/>
        <charset val="204"/>
      </rPr>
      <t>м</t>
    </r>
    <r>
      <rPr>
        <sz val="14"/>
        <color theme="1"/>
        <rFont val="Times New Roman"/>
        <family val="1"/>
        <charset val="204"/>
      </rPr>
      <t>, МВт</t>
    </r>
  </si>
  <si>
    <t>АТДЦТН-125000/220/110/35</t>
  </si>
  <si>
    <t>ТРДН-40000/110/35</t>
  </si>
  <si>
    <t>ТРДН-25000/110/35</t>
  </si>
  <si>
    <t>4xУК-10-2700</t>
  </si>
  <si>
    <t>4xУК-6-1800</t>
  </si>
  <si>
    <t>4xУК-6-900 4xУК-6-1125</t>
  </si>
  <si>
    <t>4xУК-10-900 4xУК-10-1125</t>
  </si>
  <si>
    <t>4xУК-10-1800</t>
  </si>
  <si>
    <t>ТДТН</t>
  </si>
  <si>
    <t>ТДТН-25000/220/35/10</t>
  </si>
  <si>
    <t>табл. 1.21</t>
  </si>
  <si>
    <t>Назва</t>
  </si>
  <si>
    <t>вузла</t>
  </si>
  <si>
    <t>Qкп ном, МВ×А</t>
  </si>
  <si>
    <r>
      <t>S</t>
    </r>
    <r>
      <rPr>
        <sz val="11"/>
        <color theme="1"/>
        <rFont val="Times New Roman"/>
        <family val="1"/>
        <charset val="204"/>
      </rPr>
      <t>н</t>
    </r>
    <r>
      <rPr>
        <sz val="14"/>
        <color theme="1"/>
        <rFont val="Times New Roman"/>
        <family val="1"/>
        <charset val="204"/>
      </rPr>
      <t>, МВ×А</t>
    </r>
  </si>
  <si>
    <t>Тип трансформатора</t>
  </si>
  <si>
    <t>Sном.т , МВ×А</t>
  </si>
  <si>
    <t>табл. 1.22</t>
  </si>
  <si>
    <r>
      <t>S</t>
    </r>
    <r>
      <rPr>
        <vertAlign val="subscript"/>
        <sz val="14"/>
        <color theme="1"/>
        <rFont val="Times New Roman"/>
        <family val="1"/>
        <charset val="204"/>
      </rPr>
      <t>ном т</t>
    </r>
    <r>
      <rPr>
        <sz val="14"/>
        <color theme="1"/>
        <rFont val="Times New Roman"/>
        <family val="1"/>
        <charset val="204"/>
      </rPr>
      <t>, МВ</t>
    </r>
    <r>
      <rPr>
        <sz val="14"/>
        <color theme="1"/>
        <rFont val="Symbol"/>
        <family val="1"/>
        <charset val="2"/>
      </rPr>
      <t>×</t>
    </r>
    <r>
      <rPr>
        <sz val="14"/>
        <color theme="1"/>
        <rFont val="Times New Roman"/>
        <family val="1"/>
        <charset val="204"/>
      </rPr>
      <t>А</t>
    </r>
  </si>
  <si>
    <r>
      <t>n</t>
    </r>
    <r>
      <rPr>
        <vertAlign val="subscript"/>
        <sz val="14"/>
        <color theme="1"/>
        <rFont val="Times New Roman"/>
        <family val="1"/>
        <charset val="204"/>
      </rPr>
      <t>т</t>
    </r>
  </si>
  <si>
    <t>Коефіцієнт завантаження після заміни</t>
  </si>
  <si>
    <t>до</t>
  </si>
  <si>
    <t>після заміни</t>
  </si>
  <si>
    <t>Тип трансфор-матора</t>
  </si>
  <si>
    <r>
      <t>P</t>
    </r>
    <r>
      <rPr>
        <vertAlign val="subscript"/>
        <sz val="14"/>
        <color theme="1"/>
        <rFont val="Times New Roman"/>
        <family val="1"/>
        <charset val="204"/>
      </rPr>
      <t>н</t>
    </r>
    <r>
      <rPr>
        <sz val="14"/>
        <color theme="1"/>
        <rFont val="Times New Roman"/>
        <family val="1"/>
        <charset val="204"/>
      </rPr>
      <t xml:space="preserve"> </t>
    </r>
    <r>
      <rPr>
        <i/>
        <sz val="14"/>
        <color theme="1"/>
        <rFont val="Times New Roman"/>
        <family val="1"/>
        <charset val="204"/>
      </rPr>
      <t>+ j Q</t>
    </r>
    <r>
      <rPr>
        <vertAlign val="subscript"/>
        <sz val="14"/>
        <color theme="1"/>
        <rFont val="Times New Roman"/>
        <family val="1"/>
        <charset val="204"/>
      </rPr>
      <t>н</t>
    </r>
    <r>
      <rPr>
        <sz val="14"/>
        <color theme="1"/>
        <rFont val="Times New Roman"/>
        <family val="1"/>
        <charset val="204"/>
      </rPr>
      <t>, МВ×А</t>
    </r>
  </si>
  <si>
    <r>
      <t>S</t>
    </r>
    <r>
      <rPr>
        <vertAlign val="subscript"/>
        <sz val="14"/>
        <color theme="1"/>
        <rFont val="Times New Roman"/>
        <family val="1"/>
        <charset val="204"/>
      </rPr>
      <t>н</t>
    </r>
    <r>
      <rPr>
        <sz val="14"/>
        <color theme="1"/>
        <rFont val="Times New Roman"/>
        <family val="1"/>
        <charset val="204"/>
      </rPr>
      <t>, МВ×А</t>
    </r>
  </si>
  <si>
    <t xml:space="preserve">заміна на ТДН - 16000/110/35 допустима </t>
  </si>
  <si>
    <t xml:space="preserve">трансформатор перенавантажений </t>
  </si>
  <si>
    <t xml:space="preserve">заміна на - ТРДН -25000/110/35 допустима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</si>
</sst>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sz val="11"/>
      <color theme="1"/>
      <name val="Cambria"/>
      <family val="1"/>
      <charset val="204"/>
    </font>
    <font>
      <i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i/>
      <sz val="14"/>
      <color theme="1"/>
      <name val="Times New Roman"/>
      <family val="1"/>
    </font>
    <font>
      <b/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vertAlign val="superscript"/>
      <sz val="14"/>
      <color theme="1"/>
      <name val="Times New Roman"/>
      <family val="1"/>
      <charset val="204"/>
    </font>
    <font>
      <i/>
      <sz val="14"/>
      <color theme="1"/>
      <name val="Times New Roman"/>
      <family val="1"/>
      <charset val="204"/>
    </font>
    <font>
      <sz val="14"/>
      <color theme="1"/>
      <name val="Symbol"/>
      <family val="1"/>
      <charset val="2"/>
    </font>
    <font>
      <vertAlign val="subscript"/>
      <sz val="14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vertAlign val="superscript"/>
      <sz val="12"/>
      <color theme="1"/>
      <name val="Times New Roman"/>
      <family val="1"/>
      <charset val="204"/>
    </font>
    <font>
      <sz val="14"/>
      <color theme="1"/>
      <name val="Calibri"/>
      <family val="2"/>
      <scheme val="minor"/>
    </font>
    <font>
      <sz val="14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5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rgb="FF000000"/>
      </left>
      <right style="medium">
        <color indexed="64"/>
      </right>
      <top style="thick">
        <color rgb="FF000000"/>
      </top>
      <bottom/>
      <diagonal/>
    </border>
    <border>
      <left/>
      <right style="medium">
        <color indexed="64"/>
      </right>
      <top style="thick">
        <color rgb="FF000000"/>
      </top>
      <bottom/>
      <diagonal/>
    </border>
    <border>
      <left/>
      <right style="medium">
        <color indexed="64"/>
      </right>
      <top style="thick">
        <color rgb="FF000000"/>
      </top>
      <bottom style="thick">
        <color indexed="64"/>
      </bottom>
      <diagonal/>
    </border>
    <border>
      <left style="thick">
        <color rgb="FF000000"/>
      </left>
      <right style="medium">
        <color indexed="64"/>
      </right>
      <top style="thick">
        <color indexed="64"/>
      </top>
      <bottom/>
      <diagonal/>
    </border>
    <border>
      <left style="thick">
        <color rgb="FF000000"/>
      </left>
      <right style="medium">
        <color indexed="64"/>
      </right>
      <top/>
      <bottom/>
      <diagonal/>
    </border>
    <border>
      <left style="thick">
        <color rgb="FF000000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thick">
        <color indexed="64"/>
      </top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 style="thick">
        <color rgb="FF000000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thick">
        <color rgb="FF000000"/>
      </left>
      <right style="medium">
        <color indexed="64"/>
      </right>
      <top style="medium">
        <color rgb="FF000000"/>
      </top>
      <bottom/>
      <diagonal/>
    </border>
    <border>
      <left style="thick">
        <color rgb="FF000000"/>
      </left>
      <right style="medium">
        <color indexed="64"/>
      </right>
      <top style="medium">
        <color indexed="64"/>
      </top>
      <bottom/>
      <diagonal/>
    </border>
    <border>
      <left style="thick">
        <color rgb="FF000000"/>
      </left>
      <right style="medium">
        <color indexed="64"/>
      </right>
      <top/>
      <bottom style="thick">
        <color rgb="FF000000"/>
      </bottom>
      <diagonal/>
    </border>
    <border>
      <left style="medium">
        <color indexed="64"/>
      </left>
      <right style="medium">
        <color indexed="64"/>
      </right>
      <top/>
      <bottom style="thick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rgb="FF000000"/>
      </top>
      <bottom/>
      <diagonal/>
    </border>
    <border>
      <left style="medium">
        <color indexed="64"/>
      </left>
      <right style="thick">
        <color rgb="FF000000"/>
      </right>
      <top style="thick">
        <color rgb="FF000000"/>
      </top>
      <bottom/>
      <diagonal/>
    </border>
    <border>
      <left style="medium">
        <color indexed="64"/>
      </left>
      <right style="thick">
        <color rgb="FF000000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/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medium">
        <color rgb="FF000000"/>
      </right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5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3" fillId="0" borderId="0" xfId="0" applyFont="1"/>
    <xf numFmtId="0" fontId="1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64" fontId="0" fillId="0" borderId="0" xfId="0" applyNumberFormat="1" applyFill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7" fillId="0" borderId="5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0" fillId="0" borderId="7" xfId="0" applyBorder="1"/>
    <xf numFmtId="0" fontId="0" fillId="0" borderId="0" xfId="0" applyFill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justify" vertical="center" wrapText="1"/>
    </xf>
    <xf numFmtId="0" fontId="9" fillId="0" borderId="14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164" fontId="9" fillId="0" borderId="14" xfId="0" applyNumberFormat="1" applyFont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12" fillId="0" borderId="25" xfId="0" applyFont="1" applyBorder="1" applyAlignment="1">
      <alignment horizontal="center" vertical="center" wrapText="1"/>
    </xf>
    <xf numFmtId="0" fontId="14" fillId="0" borderId="28" xfId="0" applyFont="1" applyBorder="1" applyAlignment="1">
      <alignment horizontal="center" vertical="center" wrapText="1"/>
    </xf>
    <xf numFmtId="0" fontId="11" fillId="0" borderId="0" xfId="0" applyFont="1" applyFill="1"/>
    <xf numFmtId="0" fontId="12" fillId="0" borderId="25" xfId="0" applyFont="1" applyFill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2" fillId="0" borderId="32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164" fontId="12" fillId="0" borderId="7" xfId="0" applyNumberFormat="1" applyFont="1" applyBorder="1" applyAlignment="1">
      <alignment horizontal="center" vertical="center" wrapText="1"/>
    </xf>
    <xf numFmtId="2" fontId="6" fillId="0" borderId="7" xfId="0" applyNumberFormat="1" applyFont="1" applyBorder="1" applyAlignment="1">
      <alignment horizontal="center" vertical="center" wrapText="1"/>
    </xf>
    <xf numFmtId="0" fontId="6" fillId="0" borderId="7" xfId="0" applyFont="1" applyFill="1" applyBorder="1" applyAlignment="1">
      <alignment horizontal="center" vertical="center" wrapText="1"/>
    </xf>
    <xf numFmtId="0" fontId="12" fillId="0" borderId="31" xfId="0" applyFont="1" applyBorder="1" applyAlignment="1">
      <alignment horizontal="center" vertical="center" wrapText="1"/>
    </xf>
    <xf numFmtId="0" fontId="12" fillId="0" borderId="38" xfId="0" applyFont="1" applyBorder="1" applyAlignment="1">
      <alignment horizontal="center" vertical="center" wrapText="1"/>
    </xf>
    <xf numFmtId="1" fontId="12" fillId="0" borderId="38" xfId="0" applyNumberFormat="1" applyFont="1" applyBorder="1" applyAlignment="1">
      <alignment horizontal="center" vertical="center" wrapText="1"/>
    </xf>
    <xf numFmtId="0" fontId="12" fillId="0" borderId="39" xfId="0" applyFont="1" applyFill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12" fillId="0" borderId="32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164" fontId="12" fillId="0" borderId="7" xfId="0" applyNumberFormat="1" applyFont="1" applyFill="1" applyBorder="1" applyAlignment="1">
      <alignment horizontal="center" vertical="center" wrapText="1"/>
    </xf>
    <xf numFmtId="0" fontId="12" fillId="0" borderId="7" xfId="0" applyFont="1" applyFill="1" applyBorder="1" applyAlignment="1">
      <alignment horizontal="center" vertical="center" wrapText="1"/>
    </xf>
    <xf numFmtId="164" fontId="20" fillId="0" borderId="7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2" fillId="0" borderId="42" xfId="0" applyFont="1" applyBorder="1" applyAlignment="1">
      <alignment horizontal="center" vertical="center" wrapText="1"/>
    </xf>
    <xf numFmtId="0" fontId="14" fillId="0" borderId="42" xfId="0" applyFont="1" applyBorder="1" applyAlignment="1">
      <alignment horizontal="center" vertical="center" wrapText="1"/>
    </xf>
    <xf numFmtId="164" fontId="12" fillId="0" borderId="42" xfId="0" applyNumberFormat="1" applyFont="1" applyBorder="1" applyAlignment="1">
      <alignment horizontal="center"/>
    </xf>
    <xf numFmtId="164" fontId="12" fillId="0" borderId="42" xfId="0" applyNumberFormat="1" applyFont="1" applyBorder="1" applyAlignment="1">
      <alignment horizontal="center" vertical="center" wrapText="1"/>
    </xf>
    <xf numFmtId="2" fontId="12" fillId="0" borderId="42" xfId="0" applyNumberFormat="1" applyFont="1" applyBorder="1" applyAlignment="1">
      <alignment horizontal="center" vertical="center" wrapText="1"/>
    </xf>
    <xf numFmtId="165" fontId="12" fillId="0" borderId="42" xfId="0" applyNumberFormat="1" applyFont="1" applyBorder="1" applyAlignment="1">
      <alignment horizontal="center" vertical="center" wrapText="1"/>
    </xf>
    <xf numFmtId="0" fontId="12" fillId="0" borderId="42" xfId="0" applyFont="1" applyBorder="1" applyAlignment="1">
      <alignment horizontal="center" vertical="center" wrapText="1"/>
    </xf>
    <xf numFmtId="0" fontId="12" fillId="0" borderId="26" xfId="0" applyFont="1" applyBorder="1" applyAlignment="1">
      <alignment horizontal="center" vertical="center" wrapText="1"/>
    </xf>
    <xf numFmtId="0" fontId="12" fillId="0" borderId="27" xfId="0" applyFont="1" applyBorder="1" applyAlignment="1">
      <alignment horizontal="center" vertical="center" wrapText="1"/>
    </xf>
    <xf numFmtId="0" fontId="12" fillId="0" borderId="26" xfId="0" applyFont="1" applyBorder="1" applyAlignment="1">
      <alignment horizontal="center" vertical="center" wrapText="1"/>
    </xf>
    <xf numFmtId="0" fontId="12" fillId="0" borderId="28" xfId="0" applyFont="1" applyBorder="1" applyAlignment="1">
      <alignment vertical="center" wrapText="1"/>
    </xf>
    <xf numFmtId="0" fontId="12" fillId="0" borderId="25" xfId="0" applyFont="1" applyBorder="1" applyAlignment="1">
      <alignment horizontal="justify" vertical="center" wrapText="1"/>
    </xf>
    <xf numFmtId="2" fontId="12" fillId="0" borderId="25" xfId="0" applyNumberFormat="1" applyFont="1" applyBorder="1" applyAlignment="1">
      <alignment horizontal="justify" vertical="center" wrapText="1"/>
    </xf>
    <xf numFmtId="164" fontId="12" fillId="0" borderId="25" xfId="0" applyNumberFormat="1" applyFont="1" applyBorder="1" applyAlignment="1">
      <alignment horizontal="justify" vertical="center" wrapText="1"/>
    </xf>
    <xf numFmtId="0" fontId="12" fillId="0" borderId="25" xfId="0" applyFont="1" applyBorder="1" applyAlignment="1">
      <alignment vertical="center" wrapText="1"/>
    </xf>
    <xf numFmtId="0" fontId="12" fillId="0" borderId="25" xfId="0" applyFont="1" applyBorder="1" applyAlignment="1">
      <alignment horizontal="center" vertical="top" wrapText="1"/>
    </xf>
    <xf numFmtId="0" fontId="20" fillId="0" borderId="25" xfId="0" applyFont="1" applyBorder="1" applyAlignment="1">
      <alignment horizontal="justify" vertical="center" wrapText="1"/>
    </xf>
    <xf numFmtId="0" fontId="21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12" fillId="0" borderId="25" xfId="0" applyFont="1" applyBorder="1" applyAlignment="1">
      <alignment horizontal="left" vertical="center" wrapText="1"/>
    </xf>
    <xf numFmtId="0" fontId="0" fillId="0" borderId="0" xfId="0" applyFill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 wrapText="1"/>
    </xf>
    <xf numFmtId="0" fontId="14" fillId="0" borderId="29" xfId="0" applyFont="1" applyBorder="1" applyAlignment="1">
      <alignment horizontal="center" vertical="center" wrapText="1"/>
    </xf>
    <xf numFmtId="0" fontId="0" fillId="0" borderId="26" xfId="0" applyBorder="1" applyAlignment="1">
      <alignment vertical="center" wrapText="1"/>
    </xf>
    <xf numFmtId="0" fontId="12" fillId="0" borderId="27" xfId="0" applyFont="1" applyBorder="1" applyAlignment="1">
      <alignment vertical="center" wrapText="1"/>
    </xf>
    <xf numFmtId="0" fontId="12" fillId="0" borderId="29" xfId="0" applyFont="1" applyBorder="1" applyAlignment="1">
      <alignment vertical="center" wrapText="1"/>
    </xf>
    <xf numFmtId="0" fontId="0" fillId="0" borderId="29" xfId="0" applyBorder="1" applyAlignment="1">
      <alignment horizontal="center" vertical="center" wrapText="1"/>
    </xf>
    <xf numFmtId="0" fontId="0" fillId="0" borderId="29" xfId="0" applyBorder="1" applyAlignment="1">
      <alignment vertical="center" wrapText="1"/>
    </xf>
    <xf numFmtId="0" fontId="12" fillId="0" borderId="27" xfId="0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14" fillId="0" borderId="50" xfId="0" applyFont="1" applyBorder="1" applyAlignment="1">
      <alignment horizontal="center" vertical="center" wrapText="1"/>
    </xf>
    <xf numFmtId="0" fontId="14" fillId="0" borderId="49" xfId="0" applyFont="1" applyBorder="1" applyAlignment="1">
      <alignment horizontal="center" vertical="center" wrapText="1"/>
    </xf>
    <xf numFmtId="0" fontId="12" fillId="0" borderId="50" xfId="0" applyFont="1" applyBorder="1" applyAlignment="1">
      <alignment horizontal="center" vertical="center" wrapText="1"/>
    </xf>
    <xf numFmtId="0" fontId="12" fillId="0" borderId="51" xfId="0" applyFont="1" applyBorder="1" applyAlignment="1">
      <alignment horizontal="center" vertical="center" wrapText="1"/>
    </xf>
    <xf numFmtId="0" fontId="12" fillId="0" borderId="49" xfId="0" applyFont="1" applyBorder="1" applyAlignment="1">
      <alignment horizontal="center" vertical="center" wrapText="1"/>
    </xf>
    <xf numFmtId="0" fontId="12" fillId="0" borderId="26" xfId="0" applyFont="1" applyBorder="1" applyAlignment="1">
      <alignment vertical="center" wrapText="1"/>
    </xf>
    <xf numFmtId="0" fontId="12" fillId="0" borderId="26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3" xfId="0" applyFont="1" applyBorder="1" applyAlignment="1">
      <alignment horizontal="center" vertical="center" wrapText="1"/>
    </xf>
    <xf numFmtId="0" fontId="9" fillId="0" borderId="20" xfId="0" applyFon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9" fillId="0" borderId="20" xfId="0" applyFont="1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0" fontId="12" fillId="0" borderId="36" xfId="0" applyFont="1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2" fillId="0" borderId="37" xfId="0" applyFont="1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0" fillId="0" borderId="41" xfId="0" applyBorder="1" applyAlignment="1">
      <alignment horizontal="center" vertical="center" wrapText="1"/>
    </xf>
    <xf numFmtId="0" fontId="14" fillId="0" borderId="27" xfId="0" applyFont="1" applyBorder="1" applyAlignment="1">
      <alignment horizontal="justify" vertical="center" wrapText="1"/>
    </xf>
    <xf numFmtId="0" fontId="14" fillId="0" borderId="29" xfId="0" applyFont="1" applyBorder="1" applyAlignment="1">
      <alignment horizontal="justify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12" fillId="0" borderId="33" xfId="0" applyFont="1" applyBorder="1" applyAlignment="1">
      <alignment horizontal="center" vertical="center" wrapText="1"/>
    </xf>
    <xf numFmtId="0" fontId="12" fillId="0" borderId="18" xfId="0" applyFont="1" applyBorder="1" applyAlignment="1">
      <alignment horizontal="center" vertical="center" wrapText="1"/>
    </xf>
    <xf numFmtId="164" fontId="12" fillId="0" borderId="6" xfId="0" applyNumberFormat="1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14" fillId="0" borderId="34" xfId="0" applyFont="1" applyBorder="1" applyAlignment="1">
      <alignment horizontal="center" vertical="center" wrapText="1"/>
    </xf>
    <xf numFmtId="0" fontId="14" fillId="0" borderId="35" xfId="0" applyFont="1" applyBorder="1" applyAlignment="1">
      <alignment horizontal="center" vertical="center" wrapText="1"/>
    </xf>
    <xf numFmtId="0" fontId="14" fillId="0" borderId="33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9" fillId="0" borderId="7" xfId="0" applyFont="1" applyBorder="1" applyAlignment="1">
      <alignment horizontal="center" vertical="center" wrapText="1"/>
    </xf>
    <xf numFmtId="0" fontId="19" fillId="0" borderId="7" xfId="0" applyFont="1" applyBorder="1" applyAlignment="1">
      <alignment vertical="center" wrapText="1"/>
    </xf>
    <xf numFmtId="0" fontId="12" fillId="0" borderId="43" xfId="0" applyFont="1" applyBorder="1" applyAlignment="1">
      <alignment horizontal="center" vertical="center" wrapText="1"/>
    </xf>
    <xf numFmtId="0" fontId="12" fillId="0" borderId="44" xfId="0" applyFont="1" applyBorder="1" applyAlignment="1">
      <alignment horizontal="center" vertical="center" wrapText="1"/>
    </xf>
    <xf numFmtId="0" fontId="12" fillId="0" borderId="45" xfId="0" applyFont="1" applyBorder="1" applyAlignment="1">
      <alignment horizontal="center" vertical="center" wrapText="1"/>
    </xf>
    <xf numFmtId="0" fontId="12" fillId="0" borderId="46" xfId="0" applyFont="1" applyBorder="1" applyAlignment="1">
      <alignment horizontal="center" vertical="center" wrapText="1"/>
    </xf>
    <xf numFmtId="0" fontId="12" fillId="0" borderId="47" xfId="0" applyFont="1" applyBorder="1" applyAlignment="1">
      <alignment vertical="center" wrapText="1"/>
    </xf>
    <xf numFmtId="0" fontId="12" fillId="0" borderId="48" xfId="0" applyFont="1" applyBorder="1" applyAlignment="1">
      <alignment vertical="center" wrapText="1"/>
    </xf>
    <xf numFmtId="0" fontId="12" fillId="0" borderId="42" xfId="0" applyFont="1" applyBorder="1" applyAlignment="1">
      <alignment horizontal="center" vertical="center" wrapText="1"/>
    </xf>
    <xf numFmtId="0" fontId="12" fillId="0" borderId="42" xfId="0" applyFont="1" applyBorder="1" applyAlignment="1">
      <alignment vertical="center" wrapText="1"/>
    </xf>
    <xf numFmtId="0" fontId="12" fillId="0" borderId="47" xfId="0" applyFont="1" applyBorder="1" applyAlignment="1">
      <alignment horizontal="center" vertical="center" wrapText="1"/>
    </xf>
    <xf numFmtId="0" fontId="12" fillId="0" borderId="48" xfId="0" applyFont="1" applyBorder="1" applyAlignment="1">
      <alignment horizontal="center" vertical="center" wrapText="1"/>
    </xf>
    <xf numFmtId="0" fontId="12" fillId="0" borderId="42" xfId="0" applyFont="1" applyBorder="1" applyAlignment="1">
      <alignment horizontal="right" vertical="center" wrapText="1"/>
    </xf>
    <xf numFmtId="0" fontId="0" fillId="0" borderId="48" xfId="0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5" Type="http://schemas.openxmlformats.org/officeDocument/2006/relationships/image" Target="../media/image5.emf"/><Relationship Id="rId4" Type="http://schemas.openxmlformats.org/officeDocument/2006/relationships/image" Target="../media/image4.emf"/></Relationships>
</file>

<file path=xl/drawings/_rels/vmlDrawing2.vml.rels><?xml version="1.0" encoding="UTF-8" standalone="yes"?>
<Relationships xmlns="http://schemas.openxmlformats.org/package/2006/relationships"><Relationship Id="rId3" Type="http://schemas.openxmlformats.org/officeDocument/2006/relationships/image" Target="../media/image8.emf"/><Relationship Id="rId2" Type="http://schemas.openxmlformats.org/officeDocument/2006/relationships/image" Target="../media/image7.emf"/><Relationship Id="rId1" Type="http://schemas.openxmlformats.org/officeDocument/2006/relationships/image" Target="../media/image6.emf"/><Relationship Id="rId5" Type="http://schemas.openxmlformats.org/officeDocument/2006/relationships/image" Target="../media/image10.emf"/><Relationship Id="rId4" Type="http://schemas.openxmlformats.org/officeDocument/2006/relationships/image" Target="../media/image9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2.w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3.emf"/></Relationships>
</file>

<file path=xl/drawings/_rels/vmlDrawing6.vml.rels><?xml version="1.0" encoding="UTF-8" standalone="yes"?>
<Relationships xmlns="http://schemas.openxmlformats.org/package/2006/relationships"><Relationship Id="rId3" Type="http://schemas.openxmlformats.org/officeDocument/2006/relationships/image" Target="../media/image16.emf"/><Relationship Id="rId2" Type="http://schemas.openxmlformats.org/officeDocument/2006/relationships/image" Target="../media/image15.wmf"/><Relationship Id="rId1" Type="http://schemas.openxmlformats.org/officeDocument/2006/relationships/image" Target="../media/image14.wmf"/><Relationship Id="rId5" Type="http://schemas.openxmlformats.org/officeDocument/2006/relationships/image" Target="../media/image18.emf"/><Relationship Id="rId4" Type="http://schemas.openxmlformats.org/officeDocument/2006/relationships/image" Target="../media/image17.wmf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0.emf"/><Relationship Id="rId1" Type="http://schemas.openxmlformats.org/officeDocument/2006/relationships/image" Target="../media/image19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400050</xdr:colOff>
          <xdr:row>2</xdr:row>
          <xdr:rowOff>85725</xdr:rowOff>
        </xdr:from>
        <xdr:to>
          <xdr:col>5</xdr:col>
          <xdr:colOff>342900</xdr:colOff>
          <xdr:row>10</xdr:row>
          <xdr:rowOff>9525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314325</xdr:colOff>
          <xdr:row>2</xdr:row>
          <xdr:rowOff>0</xdr:rowOff>
        </xdr:from>
        <xdr:to>
          <xdr:col>19</xdr:col>
          <xdr:colOff>95250</xdr:colOff>
          <xdr:row>10</xdr:row>
          <xdr:rowOff>104775</xdr:rowOff>
        </xdr:to>
        <xdr:sp macro="" textlink="">
          <xdr:nvSpPr>
            <xdr:cNvPr id="1030" name="Object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104775</xdr:colOff>
          <xdr:row>14</xdr:row>
          <xdr:rowOff>85725</xdr:rowOff>
        </xdr:from>
        <xdr:to>
          <xdr:col>13</xdr:col>
          <xdr:colOff>533400</xdr:colOff>
          <xdr:row>22</xdr:row>
          <xdr:rowOff>190500</xdr:rowOff>
        </xdr:to>
        <xdr:sp macro="" textlink="">
          <xdr:nvSpPr>
            <xdr:cNvPr id="1032" name="Object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16</xdr:row>
          <xdr:rowOff>0</xdr:rowOff>
        </xdr:from>
        <xdr:to>
          <xdr:col>5</xdr:col>
          <xdr:colOff>561975</xdr:colOff>
          <xdr:row>24</xdr:row>
          <xdr:rowOff>123825</xdr:rowOff>
        </xdr:to>
        <xdr:sp macro="" textlink="">
          <xdr:nvSpPr>
            <xdr:cNvPr id="1033" name="Object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400050</xdr:colOff>
          <xdr:row>27</xdr:row>
          <xdr:rowOff>66675</xdr:rowOff>
        </xdr:from>
        <xdr:to>
          <xdr:col>5</xdr:col>
          <xdr:colOff>523875</xdr:colOff>
          <xdr:row>35</xdr:row>
          <xdr:rowOff>123825</xdr:rowOff>
        </xdr:to>
        <xdr:sp macro="" textlink="">
          <xdr:nvSpPr>
            <xdr:cNvPr id="1035" name="Object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3</xdr:row>
          <xdr:rowOff>9525</xdr:rowOff>
        </xdr:from>
        <xdr:to>
          <xdr:col>4</xdr:col>
          <xdr:colOff>323850</xdr:colOff>
          <xdr:row>14</xdr:row>
          <xdr:rowOff>85725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600075</xdr:colOff>
          <xdr:row>3</xdr:row>
          <xdr:rowOff>0</xdr:rowOff>
        </xdr:from>
        <xdr:to>
          <xdr:col>17</xdr:col>
          <xdr:colOff>0</xdr:colOff>
          <xdr:row>15</xdr:row>
          <xdr:rowOff>28575</xdr:rowOff>
        </xdr:to>
        <xdr:sp macro="" textlink="">
          <xdr:nvSpPr>
            <xdr:cNvPr id="5122" name="Object 2" hidden="1">
              <a:extLst>
                <a:ext uri="{63B3BB69-23CF-44E3-9099-C40C66FF867C}">
                  <a14:compatExt spid="_x0000_s5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142875</xdr:colOff>
          <xdr:row>16</xdr:row>
          <xdr:rowOff>161925</xdr:rowOff>
        </xdr:from>
        <xdr:to>
          <xdr:col>12</xdr:col>
          <xdr:colOff>438150</xdr:colOff>
          <xdr:row>29</xdr:row>
          <xdr:rowOff>114300</xdr:rowOff>
        </xdr:to>
        <xdr:sp macro="" textlink="">
          <xdr:nvSpPr>
            <xdr:cNvPr id="5125" name="Object 5" hidden="1">
              <a:extLst>
                <a:ext uri="{63B3BB69-23CF-44E3-9099-C40C66FF867C}">
                  <a14:compatExt spid="_x0000_s5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38100</xdr:colOff>
          <xdr:row>15</xdr:row>
          <xdr:rowOff>142875</xdr:rowOff>
        </xdr:from>
        <xdr:to>
          <xdr:col>21</xdr:col>
          <xdr:colOff>180975</xdr:colOff>
          <xdr:row>28</xdr:row>
          <xdr:rowOff>114300</xdr:rowOff>
        </xdr:to>
        <xdr:sp macro="" textlink="">
          <xdr:nvSpPr>
            <xdr:cNvPr id="5126" name="Object 6" hidden="1">
              <a:extLst>
                <a:ext uri="{63B3BB69-23CF-44E3-9099-C40C66FF867C}">
                  <a14:compatExt spid="_x0000_s5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495300</xdr:colOff>
          <xdr:row>17</xdr:row>
          <xdr:rowOff>57150</xdr:rowOff>
        </xdr:from>
        <xdr:to>
          <xdr:col>4</xdr:col>
          <xdr:colOff>352425</xdr:colOff>
          <xdr:row>30</xdr:row>
          <xdr:rowOff>19050</xdr:rowOff>
        </xdr:to>
        <xdr:sp macro="" textlink="">
          <xdr:nvSpPr>
            <xdr:cNvPr id="5127" name="Object 7" hidden="1">
              <a:extLst>
                <a:ext uri="{63B3BB69-23CF-44E3-9099-C40C66FF867C}">
                  <a14:compatExt spid="_x0000_s5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</xdr:col>
          <xdr:colOff>0</xdr:colOff>
          <xdr:row>23</xdr:row>
          <xdr:rowOff>161925</xdr:rowOff>
        </xdr:to>
        <xdr:sp macro="" textlink="">
          <xdr:nvSpPr>
            <xdr:cNvPr id="11266" name="Object 2" hidden="1">
              <a:extLst>
                <a:ext uri="{63B3BB69-23CF-44E3-9099-C40C66FF867C}">
                  <a14:compatExt spid="_x0000_s11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123825</xdr:colOff>
          <xdr:row>25</xdr:row>
          <xdr:rowOff>28575</xdr:rowOff>
        </xdr:from>
        <xdr:to>
          <xdr:col>4</xdr:col>
          <xdr:colOff>0</xdr:colOff>
          <xdr:row>26</xdr:row>
          <xdr:rowOff>57150</xdr:rowOff>
        </xdr:to>
        <xdr:sp macro="" textlink="">
          <xdr:nvSpPr>
            <xdr:cNvPr id="16417" name="Object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198120</xdr:colOff>
      <xdr:row>5</xdr:row>
      <xdr:rowOff>160020</xdr:rowOff>
    </xdr:from>
    <xdr:to>
      <xdr:col>15</xdr:col>
      <xdr:colOff>472440</xdr:colOff>
      <xdr:row>5</xdr:row>
      <xdr:rowOff>160020</xdr:rowOff>
    </xdr:to>
    <xdr:cxnSp macro="">
      <xdr:nvCxnSpPr>
        <xdr:cNvPr id="3" name="Прямая соединительная линия 2"/>
        <xdr:cNvCxnSpPr/>
      </xdr:nvCxnSpPr>
      <xdr:spPr>
        <a:xfrm>
          <a:off x="5074920" y="1074420"/>
          <a:ext cx="4541520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601980</xdr:colOff>
      <xdr:row>5</xdr:row>
      <xdr:rowOff>152400</xdr:rowOff>
    </xdr:from>
    <xdr:to>
      <xdr:col>11</xdr:col>
      <xdr:colOff>15240</xdr:colOff>
      <xdr:row>9</xdr:row>
      <xdr:rowOff>7620</xdr:rowOff>
    </xdr:to>
    <xdr:cxnSp macro="">
      <xdr:nvCxnSpPr>
        <xdr:cNvPr id="5" name="Прямая со стрелкой 4"/>
        <xdr:cNvCxnSpPr/>
      </xdr:nvCxnSpPr>
      <xdr:spPr>
        <a:xfrm>
          <a:off x="6697980" y="1066800"/>
          <a:ext cx="22860" cy="5867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548640</xdr:colOff>
      <xdr:row>5</xdr:row>
      <xdr:rowOff>152400</xdr:rowOff>
    </xdr:from>
    <xdr:to>
      <xdr:col>13</xdr:col>
      <xdr:colOff>571500</xdr:colOff>
      <xdr:row>9</xdr:row>
      <xdr:rowOff>7620</xdr:rowOff>
    </xdr:to>
    <xdr:cxnSp macro="">
      <xdr:nvCxnSpPr>
        <xdr:cNvPr id="6" name="Прямая со стрелкой 5"/>
        <xdr:cNvCxnSpPr/>
      </xdr:nvCxnSpPr>
      <xdr:spPr>
        <a:xfrm>
          <a:off x="8473440" y="1066800"/>
          <a:ext cx="22860" cy="5867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441960</xdr:colOff>
      <xdr:row>5</xdr:row>
      <xdr:rowOff>60960</xdr:rowOff>
    </xdr:from>
    <xdr:to>
      <xdr:col>13</xdr:col>
      <xdr:colOff>342900</xdr:colOff>
      <xdr:row>5</xdr:row>
      <xdr:rowOff>76200</xdr:rowOff>
    </xdr:to>
    <xdr:cxnSp macro="">
      <xdr:nvCxnSpPr>
        <xdr:cNvPr id="7" name="Прямая со стрелкой 6"/>
        <xdr:cNvCxnSpPr/>
      </xdr:nvCxnSpPr>
      <xdr:spPr>
        <a:xfrm flipV="1">
          <a:off x="7147560" y="975360"/>
          <a:ext cx="112014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457200</xdr:colOff>
      <xdr:row>5</xdr:row>
      <xdr:rowOff>45720</xdr:rowOff>
    </xdr:from>
    <xdr:to>
      <xdr:col>10</xdr:col>
      <xdr:colOff>358140</xdr:colOff>
      <xdr:row>5</xdr:row>
      <xdr:rowOff>60960</xdr:rowOff>
    </xdr:to>
    <xdr:cxnSp macro="">
      <xdr:nvCxnSpPr>
        <xdr:cNvPr id="9" name="Прямая со стрелкой 8"/>
        <xdr:cNvCxnSpPr/>
      </xdr:nvCxnSpPr>
      <xdr:spPr>
        <a:xfrm flipV="1">
          <a:off x="5334000" y="960120"/>
          <a:ext cx="112014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144780</xdr:colOff>
      <xdr:row>5</xdr:row>
      <xdr:rowOff>53340</xdr:rowOff>
    </xdr:from>
    <xdr:to>
      <xdr:col>16</xdr:col>
      <xdr:colOff>457200</xdr:colOff>
      <xdr:row>5</xdr:row>
      <xdr:rowOff>68580</xdr:rowOff>
    </xdr:to>
    <xdr:cxnSp macro="">
      <xdr:nvCxnSpPr>
        <xdr:cNvPr id="10" name="Прямая со стрелкой 9"/>
        <xdr:cNvCxnSpPr/>
      </xdr:nvCxnSpPr>
      <xdr:spPr>
        <a:xfrm flipH="1">
          <a:off x="9288780" y="967740"/>
          <a:ext cx="92202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198120</xdr:colOff>
      <xdr:row>16</xdr:row>
      <xdr:rowOff>22860</xdr:rowOff>
    </xdr:from>
    <xdr:to>
      <xdr:col>15</xdr:col>
      <xdr:colOff>472440</xdr:colOff>
      <xdr:row>16</xdr:row>
      <xdr:rowOff>22860</xdr:rowOff>
    </xdr:to>
    <xdr:cxnSp macro="">
      <xdr:nvCxnSpPr>
        <xdr:cNvPr id="12" name="Прямая соединительная линия 11"/>
        <xdr:cNvCxnSpPr/>
      </xdr:nvCxnSpPr>
      <xdr:spPr>
        <a:xfrm>
          <a:off x="5074920" y="3131820"/>
          <a:ext cx="4541520" cy="0"/>
        </a:xfrm>
        <a:prstGeom prst="line">
          <a:avLst/>
        </a:prstGeom>
        <a:ln w="15875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610263</xdr:colOff>
      <xdr:row>16</xdr:row>
      <xdr:rowOff>6629</xdr:rowOff>
    </xdr:from>
    <xdr:to>
      <xdr:col>11</xdr:col>
      <xdr:colOff>8283</xdr:colOff>
      <xdr:row>19</xdr:row>
      <xdr:rowOff>57979</xdr:rowOff>
    </xdr:to>
    <xdr:cxnSp macro="">
      <xdr:nvCxnSpPr>
        <xdr:cNvPr id="13" name="Прямая со стрелкой 12"/>
        <xdr:cNvCxnSpPr/>
      </xdr:nvCxnSpPr>
      <xdr:spPr>
        <a:xfrm>
          <a:off x="6764241" y="3054629"/>
          <a:ext cx="10933" cy="62285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546653</xdr:colOff>
      <xdr:row>16</xdr:row>
      <xdr:rowOff>14799</xdr:rowOff>
    </xdr:from>
    <xdr:to>
      <xdr:col>13</xdr:col>
      <xdr:colOff>548640</xdr:colOff>
      <xdr:row>19</xdr:row>
      <xdr:rowOff>16565</xdr:rowOff>
    </xdr:to>
    <xdr:cxnSp macro="">
      <xdr:nvCxnSpPr>
        <xdr:cNvPr id="14" name="Прямая со стрелкой 13"/>
        <xdr:cNvCxnSpPr/>
      </xdr:nvCxnSpPr>
      <xdr:spPr>
        <a:xfrm flipH="1">
          <a:off x="8539370" y="3062799"/>
          <a:ext cx="1987" cy="573266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373380</xdr:colOff>
      <xdr:row>15</xdr:row>
      <xdr:rowOff>68580</xdr:rowOff>
    </xdr:from>
    <xdr:to>
      <xdr:col>13</xdr:col>
      <xdr:colOff>381000</xdr:colOff>
      <xdr:row>15</xdr:row>
      <xdr:rowOff>76200</xdr:rowOff>
    </xdr:to>
    <xdr:cxnSp macro="">
      <xdr:nvCxnSpPr>
        <xdr:cNvPr id="15" name="Прямая со стрелкой 14"/>
        <xdr:cNvCxnSpPr/>
      </xdr:nvCxnSpPr>
      <xdr:spPr>
        <a:xfrm flipH="1">
          <a:off x="7078980" y="2994660"/>
          <a:ext cx="1226820" cy="762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457200</xdr:colOff>
      <xdr:row>15</xdr:row>
      <xdr:rowOff>45720</xdr:rowOff>
    </xdr:from>
    <xdr:to>
      <xdr:col>10</xdr:col>
      <xdr:colOff>358140</xdr:colOff>
      <xdr:row>15</xdr:row>
      <xdr:rowOff>60960</xdr:rowOff>
    </xdr:to>
    <xdr:cxnSp macro="">
      <xdr:nvCxnSpPr>
        <xdr:cNvPr id="16" name="Прямая со стрелкой 15"/>
        <xdr:cNvCxnSpPr/>
      </xdr:nvCxnSpPr>
      <xdr:spPr>
        <a:xfrm flipV="1">
          <a:off x="5334000" y="960120"/>
          <a:ext cx="112014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144780</xdr:colOff>
      <xdr:row>15</xdr:row>
      <xdr:rowOff>53340</xdr:rowOff>
    </xdr:from>
    <xdr:to>
      <xdr:col>16</xdr:col>
      <xdr:colOff>457200</xdr:colOff>
      <xdr:row>15</xdr:row>
      <xdr:rowOff>68580</xdr:rowOff>
    </xdr:to>
    <xdr:cxnSp macro="">
      <xdr:nvCxnSpPr>
        <xdr:cNvPr id="17" name="Прямая со стрелкой 16"/>
        <xdr:cNvCxnSpPr/>
      </xdr:nvCxnSpPr>
      <xdr:spPr>
        <a:xfrm flipH="1">
          <a:off x="9288780" y="967740"/>
          <a:ext cx="922020" cy="15240"/>
        </a:xfrm>
        <a:prstGeom prst="straightConnector1">
          <a:avLst/>
        </a:prstGeom>
        <a:ln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590550</xdr:colOff>
          <xdr:row>25</xdr:row>
          <xdr:rowOff>180975</xdr:rowOff>
        </xdr:from>
        <xdr:to>
          <xdr:col>13</xdr:col>
          <xdr:colOff>266700</xdr:colOff>
          <xdr:row>34</xdr:row>
          <xdr:rowOff>133350</xdr:rowOff>
        </xdr:to>
        <xdr:sp macro="" textlink="">
          <xdr:nvSpPr>
            <xdr:cNvPr id="13315" name="Object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238125</xdr:colOff>
          <xdr:row>6</xdr:row>
          <xdr:rowOff>0</xdr:rowOff>
        </xdr:from>
        <xdr:to>
          <xdr:col>11</xdr:col>
          <xdr:colOff>590550</xdr:colOff>
          <xdr:row>7</xdr:row>
          <xdr:rowOff>47625</xdr:rowOff>
        </xdr:to>
        <xdr:sp macro="" textlink="">
          <xdr:nvSpPr>
            <xdr:cNvPr id="9220" name="Object 4" hidden="1">
              <a:extLst>
                <a:ext uri="{63B3BB69-23CF-44E3-9099-C40C66FF867C}">
                  <a14:compatExt spid="_x0000_s92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161925</xdr:colOff>
          <xdr:row>8</xdr:row>
          <xdr:rowOff>133350</xdr:rowOff>
        </xdr:from>
        <xdr:to>
          <xdr:col>11</xdr:col>
          <xdr:colOff>542925</xdr:colOff>
          <xdr:row>9</xdr:row>
          <xdr:rowOff>161925</xdr:rowOff>
        </xdr:to>
        <xdr:sp macro="" textlink="">
          <xdr:nvSpPr>
            <xdr:cNvPr id="9219" name="Object 3" hidden="1">
              <a:extLst>
                <a:ext uri="{63B3BB69-23CF-44E3-9099-C40C66FF867C}">
                  <a14:compatExt spid="_x0000_s92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219075</xdr:colOff>
          <xdr:row>4</xdr:row>
          <xdr:rowOff>180975</xdr:rowOff>
        </xdr:from>
        <xdr:to>
          <xdr:col>10</xdr:col>
          <xdr:colOff>457200</xdr:colOff>
          <xdr:row>6</xdr:row>
          <xdr:rowOff>38100</xdr:rowOff>
        </xdr:to>
        <xdr:sp macro="" textlink="">
          <xdr:nvSpPr>
            <xdr:cNvPr id="9218" name="Object 2" hidden="1">
              <a:extLst>
                <a:ext uri="{63B3BB69-23CF-44E3-9099-C40C66FF867C}">
                  <a14:compatExt spid="_x0000_s92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428625</xdr:colOff>
          <xdr:row>4</xdr:row>
          <xdr:rowOff>228600</xdr:rowOff>
        </xdr:from>
        <xdr:to>
          <xdr:col>12</xdr:col>
          <xdr:colOff>209550</xdr:colOff>
          <xdr:row>5</xdr:row>
          <xdr:rowOff>209550</xdr:rowOff>
        </xdr:to>
        <xdr:sp macro="" textlink="">
          <xdr:nvSpPr>
            <xdr:cNvPr id="9217" name="Object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28575</xdr:colOff>
          <xdr:row>0</xdr:row>
          <xdr:rowOff>152400</xdr:rowOff>
        </xdr:from>
        <xdr:to>
          <xdr:col>14</xdr:col>
          <xdr:colOff>38100</xdr:colOff>
          <xdr:row>3</xdr:row>
          <xdr:rowOff>0</xdr:rowOff>
        </xdr:to>
        <xdr:sp macro="" textlink="">
          <xdr:nvSpPr>
            <xdr:cNvPr id="9221" name="Object 5" hidden="1">
              <a:extLst>
                <a:ext uri="{63B3BB69-23CF-44E3-9099-C40C66FF867C}">
                  <a14:compatExt spid="_x0000_s92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</xdr:row>
          <xdr:rowOff>133350</xdr:rowOff>
        </xdr:from>
        <xdr:to>
          <xdr:col>20</xdr:col>
          <xdr:colOff>85725</xdr:colOff>
          <xdr:row>10</xdr:row>
          <xdr:rowOff>152400</xdr:rowOff>
        </xdr:to>
        <xdr:sp macro="" textlink="">
          <xdr:nvSpPr>
            <xdr:cNvPr id="15361" name="Object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12</xdr:row>
          <xdr:rowOff>9525</xdr:rowOff>
        </xdr:from>
        <xdr:to>
          <xdr:col>20</xdr:col>
          <xdr:colOff>95250</xdr:colOff>
          <xdr:row>21</xdr:row>
          <xdr:rowOff>438150</xdr:rowOff>
        </xdr:to>
        <xdr:sp macro="" textlink="">
          <xdr:nvSpPr>
            <xdr:cNvPr id="15362" name="Object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7" Type="http://schemas.openxmlformats.org/officeDocument/2006/relationships/image" Target="../media/image20.emf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6" Type="http://schemas.openxmlformats.org/officeDocument/2006/relationships/package" Target="../embeddings/Microsoft_Visio_Drawing13.vsdx"/><Relationship Id="rId5" Type="http://schemas.openxmlformats.org/officeDocument/2006/relationships/image" Target="../media/image19.emf"/><Relationship Id="rId4" Type="http://schemas.openxmlformats.org/officeDocument/2006/relationships/package" Target="../embeddings/Microsoft_Visio_Drawing12.vsdx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Visio_Drawing2.vsdx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package" Target="../embeddings/Microsoft_Visio_Drawing4.vsdx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package" Target="../embeddings/Microsoft_Visio_Drawing1.vsdx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package" Target="../embeddings/Microsoft_Visio_Drawing3.vsdx"/><Relationship Id="rId4" Type="http://schemas.openxmlformats.org/officeDocument/2006/relationships/package" Target="../embeddings/Microsoft_Visio_Drawing.vsdx"/><Relationship Id="rId9" Type="http://schemas.openxmlformats.org/officeDocument/2006/relationships/image" Target="../media/image3.emf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Visio_Drawing7.vsdx"/><Relationship Id="rId13" Type="http://schemas.openxmlformats.org/officeDocument/2006/relationships/image" Target="../media/image10.emf"/><Relationship Id="rId3" Type="http://schemas.openxmlformats.org/officeDocument/2006/relationships/vmlDrawing" Target="../drawings/vmlDrawing2.vml"/><Relationship Id="rId7" Type="http://schemas.openxmlformats.org/officeDocument/2006/relationships/image" Target="../media/image7.emf"/><Relationship Id="rId12" Type="http://schemas.openxmlformats.org/officeDocument/2006/relationships/package" Target="../embeddings/Microsoft_Visio_Drawing9.vsdx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Visio_Drawing6.vsdx"/><Relationship Id="rId11" Type="http://schemas.openxmlformats.org/officeDocument/2006/relationships/image" Target="../media/image9.emf"/><Relationship Id="rId5" Type="http://schemas.openxmlformats.org/officeDocument/2006/relationships/image" Target="../media/image6.emf"/><Relationship Id="rId10" Type="http://schemas.openxmlformats.org/officeDocument/2006/relationships/package" Target="../embeddings/Microsoft_Visio_Drawing8.vsdx"/><Relationship Id="rId4" Type="http://schemas.openxmlformats.org/officeDocument/2006/relationships/package" Target="../embeddings/Microsoft_Visio_Drawing5.vsdx"/><Relationship Id="rId9" Type="http://schemas.openxmlformats.org/officeDocument/2006/relationships/image" Target="../media/image8.emf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Visio_Drawing10.vsdx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image" Target="../media/image11.emf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12.wmf"/><Relationship Id="rId4" Type="http://schemas.openxmlformats.org/officeDocument/2006/relationships/oleObject" Target="../embeddings/oleObject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13.emf"/><Relationship Id="rId4" Type="http://schemas.openxmlformats.org/officeDocument/2006/relationships/package" Target="../embeddings/Microsoft_Visio_Drawing11.vsdx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.bin"/><Relationship Id="rId13" Type="http://schemas.openxmlformats.org/officeDocument/2006/relationships/image" Target="../media/image18.emf"/><Relationship Id="rId3" Type="http://schemas.openxmlformats.org/officeDocument/2006/relationships/vmlDrawing" Target="../drawings/vmlDrawing6.vml"/><Relationship Id="rId7" Type="http://schemas.openxmlformats.org/officeDocument/2006/relationships/image" Target="../media/image15.wmf"/><Relationship Id="rId12" Type="http://schemas.openxmlformats.org/officeDocument/2006/relationships/oleObject" Target="../embeddings/oleObject6.bin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6" Type="http://schemas.openxmlformats.org/officeDocument/2006/relationships/oleObject" Target="../embeddings/oleObject3.bin"/><Relationship Id="rId11" Type="http://schemas.openxmlformats.org/officeDocument/2006/relationships/image" Target="../media/image17.wmf"/><Relationship Id="rId5" Type="http://schemas.openxmlformats.org/officeDocument/2006/relationships/image" Target="../media/image14.wmf"/><Relationship Id="rId10" Type="http://schemas.openxmlformats.org/officeDocument/2006/relationships/oleObject" Target="../embeddings/oleObject5.bin"/><Relationship Id="rId4" Type="http://schemas.openxmlformats.org/officeDocument/2006/relationships/oleObject" Target="../embeddings/oleObject2.bin"/><Relationship Id="rId9" Type="http://schemas.openxmlformats.org/officeDocument/2006/relationships/image" Target="../media/image16.emf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workbookViewId="0">
      <selection activeCell="B18" sqref="B18"/>
    </sheetView>
  </sheetViews>
  <sheetFormatPr defaultRowHeight="15" x14ac:dyDescent="0.25"/>
  <cols>
    <col min="6" max="6" width="10.85546875" customWidth="1"/>
    <col min="7" max="7" width="9.140625" customWidth="1"/>
    <col min="8" max="8" width="11.85546875" customWidth="1"/>
    <col min="10" max="10" width="9.5703125" bestFit="1" customWidth="1"/>
    <col min="11" max="11" width="10" customWidth="1"/>
  </cols>
  <sheetData>
    <row r="1" spans="1:13" x14ac:dyDescent="0.25">
      <c r="A1" s="4" t="s">
        <v>71</v>
      </c>
    </row>
    <row r="2" spans="1:13" x14ac:dyDescent="0.25">
      <c r="A2" s="75" t="s">
        <v>0</v>
      </c>
      <c r="B2" s="3" t="s">
        <v>1</v>
      </c>
      <c r="C2" s="3" t="s">
        <v>3</v>
      </c>
      <c r="D2" s="3" t="s">
        <v>5</v>
      </c>
      <c r="E2" s="3" t="s">
        <v>7</v>
      </c>
      <c r="F2" s="3" t="s">
        <v>8</v>
      </c>
      <c r="G2" s="75" t="s">
        <v>10</v>
      </c>
      <c r="H2" s="2"/>
      <c r="M2" s="1"/>
    </row>
    <row r="3" spans="1:13" x14ac:dyDescent="0.25">
      <c r="A3" s="75"/>
      <c r="B3" s="3" t="s">
        <v>2</v>
      </c>
      <c r="C3" s="3" t="s">
        <v>4</v>
      </c>
      <c r="D3" s="3" t="s">
        <v>6</v>
      </c>
      <c r="E3" s="3" t="s">
        <v>6</v>
      </c>
      <c r="F3" s="3" t="s">
        <v>9</v>
      </c>
      <c r="G3" s="75"/>
      <c r="H3" s="2"/>
      <c r="M3" s="1"/>
    </row>
    <row r="4" spans="1:13" x14ac:dyDescent="0.25">
      <c r="A4" s="2" t="s">
        <v>11</v>
      </c>
      <c r="B4" s="4">
        <v>16</v>
      </c>
      <c r="C4" s="4">
        <v>12</v>
      </c>
      <c r="D4" s="4">
        <v>100</v>
      </c>
      <c r="E4" s="4">
        <v>240</v>
      </c>
      <c r="F4" s="4">
        <v>6</v>
      </c>
      <c r="G4" s="3" t="s">
        <v>19</v>
      </c>
      <c r="H4" s="3"/>
      <c r="M4" s="1"/>
    </row>
    <row r="5" spans="1:13" x14ac:dyDescent="0.25">
      <c r="A5" s="2" t="s">
        <v>12</v>
      </c>
      <c r="B5" s="4">
        <v>20</v>
      </c>
      <c r="C5" s="4">
        <v>13</v>
      </c>
      <c r="D5" s="4">
        <v>95</v>
      </c>
      <c r="E5" s="4">
        <v>125</v>
      </c>
      <c r="F5" s="4">
        <v>10</v>
      </c>
      <c r="G5" s="3" t="s">
        <v>20</v>
      </c>
      <c r="H5" s="3"/>
      <c r="M5" s="1"/>
    </row>
    <row r="6" spans="1:13" x14ac:dyDescent="0.25">
      <c r="A6" s="2" t="s">
        <v>13</v>
      </c>
      <c r="B6" s="4">
        <v>35</v>
      </c>
      <c r="C6" s="4">
        <v>19</v>
      </c>
      <c r="D6" s="4">
        <v>50</v>
      </c>
      <c r="E6" s="4">
        <v>260</v>
      </c>
      <c r="F6" s="4">
        <v>10</v>
      </c>
      <c r="G6" s="3" t="s">
        <v>20</v>
      </c>
      <c r="H6" s="3"/>
      <c r="M6" s="1"/>
    </row>
    <row r="7" spans="1:13" x14ac:dyDescent="0.25">
      <c r="A7" s="2" t="s">
        <v>14</v>
      </c>
      <c r="B7" s="4">
        <v>32</v>
      </c>
      <c r="C7" s="4">
        <v>15.5</v>
      </c>
      <c r="D7" s="4">
        <v>140</v>
      </c>
      <c r="E7" s="4">
        <v>260</v>
      </c>
      <c r="F7" s="4">
        <v>10</v>
      </c>
      <c r="G7" s="3" t="s">
        <v>20</v>
      </c>
      <c r="H7" s="3"/>
      <c r="M7" s="1"/>
    </row>
    <row r="8" spans="1:13" x14ac:dyDescent="0.25">
      <c r="A8" s="2" t="s">
        <v>15</v>
      </c>
      <c r="B8" s="4">
        <v>27</v>
      </c>
      <c r="C8" s="4">
        <v>13.8</v>
      </c>
      <c r="D8" s="4">
        <v>75</v>
      </c>
      <c r="E8" s="4">
        <v>265</v>
      </c>
      <c r="F8" s="4">
        <v>6</v>
      </c>
      <c r="G8" s="3" t="s">
        <v>19</v>
      </c>
      <c r="H8" s="3"/>
      <c r="M8" s="1"/>
    </row>
    <row r="9" spans="1:13" x14ac:dyDescent="0.25">
      <c r="A9" s="2" t="s">
        <v>16</v>
      </c>
      <c r="B9" s="4">
        <v>35</v>
      </c>
      <c r="C9" s="4">
        <v>17</v>
      </c>
      <c r="D9" s="4">
        <v>130</v>
      </c>
      <c r="E9" s="4">
        <v>195</v>
      </c>
      <c r="F9" s="4">
        <v>6</v>
      </c>
      <c r="G9" s="3" t="s">
        <v>19</v>
      </c>
      <c r="H9" s="3"/>
      <c r="M9" s="1"/>
    </row>
    <row r="10" spans="1:13" x14ac:dyDescent="0.25">
      <c r="A10" s="2" t="s">
        <v>17</v>
      </c>
      <c r="B10" s="4" t="s">
        <v>18</v>
      </c>
      <c r="C10" s="4" t="s">
        <v>18</v>
      </c>
      <c r="D10" s="4">
        <v>20</v>
      </c>
      <c r="E10" s="4">
        <v>90</v>
      </c>
      <c r="F10" s="4"/>
      <c r="G10" s="4"/>
      <c r="H10" s="4"/>
      <c r="I10" s="4"/>
    </row>
    <row r="11" spans="1:13" x14ac:dyDescent="0.25">
      <c r="A11" s="12" t="s">
        <v>21</v>
      </c>
      <c r="B11" s="4">
        <f>SUM(B4:B9,)</f>
        <v>165</v>
      </c>
      <c r="C11" s="4">
        <f>SUM(C4:C9,)</f>
        <v>90.3</v>
      </c>
      <c r="D11" s="4"/>
      <c r="E11" s="4"/>
      <c r="F11" s="4"/>
      <c r="G11" s="4"/>
      <c r="H11" s="4"/>
      <c r="I11" s="4"/>
    </row>
    <row r="13" spans="1:13" x14ac:dyDescent="0.25">
      <c r="A13" s="20" t="s">
        <v>70</v>
      </c>
      <c r="B13" s="4"/>
      <c r="C13" s="4"/>
      <c r="D13" s="4"/>
      <c r="E13" s="4"/>
      <c r="F13" s="4"/>
      <c r="G13" s="4"/>
      <c r="H13" s="4"/>
    </row>
    <row r="14" spans="1:13" x14ac:dyDescent="0.25">
      <c r="A14" s="75" t="s">
        <v>0</v>
      </c>
      <c r="B14" s="3" t="s">
        <v>1</v>
      </c>
      <c r="C14" s="3" t="s">
        <v>5</v>
      </c>
      <c r="D14" s="3" t="s">
        <v>32</v>
      </c>
      <c r="E14" s="3" t="s">
        <v>7</v>
      </c>
      <c r="F14" s="3" t="s">
        <v>34</v>
      </c>
      <c r="G14" s="13" t="s">
        <v>35</v>
      </c>
      <c r="H14" s="3" t="s">
        <v>36</v>
      </c>
      <c r="J14" s="3" t="s">
        <v>31</v>
      </c>
      <c r="K14" s="4"/>
    </row>
    <row r="15" spans="1:13" x14ac:dyDescent="0.25">
      <c r="A15" s="75"/>
      <c r="B15" s="3" t="s">
        <v>2</v>
      </c>
      <c r="C15" s="3" t="s">
        <v>6</v>
      </c>
      <c r="D15" s="3" t="s">
        <v>33</v>
      </c>
      <c r="E15" s="3" t="s">
        <v>6</v>
      </c>
      <c r="F15" s="3" t="s">
        <v>33</v>
      </c>
      <c r="G15" s="3" t="s">
        <v>6</v>
      </c>
      <c r="H15" s="3" t="s">
        <v>33</v>
      </c>
      <c r="J15" s="4" t="s">
        <v>37</v>
      </c>
      <c r="K15" s="4" t="s">
        <v>38</v>
      </c>
    </row>
    <row r="16" spans="1:13" x14ac:dyDescent="0.25">
      <c r="A16" s="2" t="s">
        <v>11</v>
      </c>
      <c r="B16" s="4">
        <v>16</v>
      </c>
      <c r="C16" s="4">
        <v>100</v>
      </c>
      <c r="D16" s="4">
        <f>PRODUCT(B16:C16)</f>
        <v>1600</v>
      </c>
      <c r="E16" s="4">
        <v>240</v>
      </c>
      <c r="F16" s="4">
        <f>PRODUCT(B16,E16)</f>
        <v>3840</v>
      </c>
      <c r="G16" s="14">
        <f t="shared" ref="G16:G21" si="0">SQRT(($J$16-C16)^2+($K$16-E16)^2)</f>
        <v>11.334508122550599</v>
      </c>
      <c r="H16" s="14">
        <f>PRODUCT(B16,G16)</f>
        <v>181.35212996080958</v>
      </c>
      <c r="J16" s="14">
        <f>D22/B22</f>
        <v>98.818181818181813</v>
      </c>
      <c r="K16" s="14">
        <f>F22/B22</f>
        <v>228.72727272727272</v>
      </c>
    </row>
    <row r="17" spans="1:12" x14ac:dyDescent="0.25">
      <c r="A17" s="2" t="s">
        <v>12</v>
      </c>
      <c r="B17" s="4">
        <v>20</v>
      </c>
      <c r="C17" s="4">
        <v>95</v>
      </c>
      <c r="D17" s="4">
        <f>PRODUCT(B17,C17)</f>
        <v>1900</v>
      </c>
      <c r="E17" s="4">
        <v>125</v>
      </c>
      <c r="F17" s="4">
        <f t="shared" ref="F17:F21" si="1">PRODUCT(B17,E17)</f>
        <v>2500</v>
      </c>
      <c r="G17" s="14">
        <f t="shared" si="0"/>
        <v>103.79752222396597</v>
      </c>
      <c r="H17" s="14">
        <f t="shared" ref="H17:H21" si="2">PRODUCT(B17,G17)</f>
        <v>2075.9504444793192</v>
      </c>
    </row>
    <row r="18" spans="1:12" x14ac:dyDescent="0.25">
      <c r="A18" s="2" t="s">
        <v>13</v>
      </c>
      <c r="B18" s="4">
        <v>35</v>
      </c>
      <c r="C18" s="4">
        <v>50</v>
      </c>
      <c r="D18" s="4">
        <f>PRODUCT(B18,C18)</f>
        <v>1750</v>
      </c>
      <c r="E18" s="4">
        <v>260</v>
      </c>
      <c r="F18" s="4">
        <f t="shared" si="1"/>
        <v>9100</v>
      </c>
      <c r="G18" s="14">
        <f t="shared" si="0"/>
        <v>57.975842789108619</v>
      </c>
      <c r="H18" s="14">
        <f t="shared" si="2"/>
        <v>2029.1544976188015</v>
      </c>
      <c r="J18" s="5" t="s">
        <v>39</v>
      </c>
      <c r="K18" s="5" t="s">
        <v>40</v>
      </c>
    </row>
    <row r="19" spans="1:12" x14ac:dyDescent="0.25">
      <c r="A19" s="2" t="s">
        <v>14</v>
      </c>
      <c r="B19" s="4">
        <v>32</v>
      </c>
      <c r="C19" s="4">
        <v>140</v>
      </c>
      <c r="D19" s="4">
        <f>PRODUCT(B19,C19)</f>
        <v>4480</v>
      </c>
      <c r="E19" s="4">
        <v>260</v>
      </c>
      <c r="F19" s="4">
        <f t="shared" si="1"/>
        <v>8320</v>
      </c>
      <c r="G19" s="14">
        <f t="shared" si="0"/>
        <v>51.710014695750296</v>
      </c>
      <c r="H19" s="14">
        <f t="shared" si="2"/>
        <v>1654.7204702640095</v>
      </c>
      <c r="J19" s="15">
        <f>H22/B22</f>
        <v>52.851280464284486</v>
      </c>
      <c r="K19">
        <f>SQRT((D10-J16)^2+(K16-E10)^2)</f>
        <v>159.55426031125296</v>
      </c>
      <c r="L19">
        <f>K19/J19</f>
        <v>3.0189289438138696</v>
      </c>
    </row>
    <row r="20" spans="1:12" x14ac:dyDescent="0.25">
      <c r="A20" s="2" t="s">
        <v>15</v>
      </c>
      <c r="B20" s="4">
        <v>27</v>
      </c>
      <c r="C20" s="4">
        <v>75</v>
      </c>
      <c r="D20" s="4">
        <f>PRODUCT(B20:C20)</f>
        <v>2025</v>
      </c>
      <c r="E20" s="4">
        <v>265</v>
      </c>
      <c r="F20" s="4">
        <f t="shared" si="1"/>
        <v>7155</v>
      </c>
      <c r="G20" s="14">
        <f t="shared" si="0"/>
        <v>43.393738360800633</v>
      </c>
      <c r="H20" s="14">
        <f t="shared" si="2"/>
        <v>1171.6309357416171</v>
      </c>
    </row>
    <row r="21" spans="1:12" x14ac:dyDescent="0.25">
      <c r="A21" s="2" t="s">
        <v>16</v>
      </c>
      <c r="B21" s="4">
        <v>35</v>
      </c>
      <c r="C21" s="4">
        <v>130</v>
      </c>
      <c r="D21" s="4">
        <f>PRODUCT(B21:C21)</f>
        <v>4550</v>
      </c>
      <c r="E21" s="4">
        <v>195</v>
      </c>
      <c r="F21" s="4">
        <f t="shared" si="1"/>
        <v>6825</v>
      </c>
      <c r="G21" s="14">
        <f t="shared" si="0"/>
        <v>45.932937101210946</v>
      </c>
      <c r="H21" s="14">
        <f t="shared" si="2"/>
        <v>1607.6527985423832</v>
      </c>
    </row>
    <row r="22" spans="1:12" x14ac:dyDescent="0.25">
      <c r="A22" s="12" t="s">
        <v>21</v>
      </c>
      <c r="B22" s="4">
        <f>SUM(B15:B21,)</f>
        <v>165</v>
      </c>
      <c r="C22" s="4"/>
      <c r="D22" s="4">
        <f>SUM(D16:D21)</f>
        <v>16305</v>
      </c>
      <c r="E22" s="4"/>
      <c r="F22" s="4">
        <f>SUM(F16:F21)</f>
        <v>37740</v>
      </c>
      <c r="G22" s="4"/>
      <c r="H22" s="14">
        <f>SUM(H16:H21)</f>
        <v>8720.4612766069404</v>
      </c>
    </row>
    <row r="25" spans="1:12" x14ac:dyDescent="0.25">
      <c r="A25" s="2" t="s">
        <v>23</v>
      </c>
      <c r="B25" s="2" t="s">
        <v>24</v>
      </c>
      <c r="C25" s="12" t="s">
        <v>21</v>
      </c>
      <c r="D25" s="3" t="s">
        <v>22</v>
      </c>
    </row>
    <row r="26" spans="1:12" x14ac:dyDescent="0.25">
      <c r="A26" s="2">
        <f>POWER(B11,2)</f>
        <v>27225</v>
      </c>
      <c r="B26" s="3">
        <f>POWER(C11,2)</f>
        <v>8154.0899999999992</v>
      </c>
      <c r="C26" s="3">
        <f>SUM(A26:B26)</f>
        <v>35379.089999999997</v>
      </c>
      <c r="D26" s="3">
        <f>SQRT(C26)</f>
        <v>188.09330131612873</v>
      </c>
    </row>
    <row r="27" spans="1:12" x14ac:dyDescent="0.25">
      <c r="A27" s="3"/>
      <c r="B27" s="3"/>
      <c r="C27" s="3"/>
      <c r="D27" s="3"/>
    </row>
    <row r="28" spans="1:12" x14ac:dyDescent="0.25">
      <c r="A28" s="12" t="s">
        <v>25</v>
      </c>
      <c r="B28" s="3" t="s">
        <v>26</v>
      </c>
      <c r="C28" s="3" t="s">
        <v>27</v>
      </c>
      <c r="D28" s="3" t="s">
        <v>27</v>
      </c>
    </row>
    <row r="29" spans="1:12" x14ac:dyDescent="0.25">
      <c r="A29" s="3">
        <f>PRODUCT(0.05,D26)</f>
        <v>9.4046650658064372</v>
      </c>
      <c r="B29" s="3">
        <f>PRODUCT(0.15,D26)</f>
        <v>28.213995197419308</v>
      </c>
      <c r="C29" s="3">
        <v>0.95</v>
      </c>
      <c r="D29" s="3">
        <v>0.98</v>
      </c>
    </row>
    <row r="30" spans="1:12" x14ac:dyDescent="0.25">
      <c r="A30" s="3"/>
      <c r="B30" s="3"/>
      <c r="C30" s="3"/>
      <c r="D30" s="3"/>
    </row>
    <row r="31" spans="1:12" x14ac:dyDescent="0.25">
      <c r="A31" s="3" t="s">
        <v>28</v>
      </c>
      <c r="B31" s="3" t="s">
        <v>29</v>
      </c>
      <c r="C31" s="3" t="s">
        <v>30</v>
      </c>
      <c r="D31" s="3"/>
    </row>
    <row r="32" spans="1:12" x14ac:dyDescent="0.25">
      <c r="A32" s="3">
        <f>PRODUCT(C29,B11)+A29</f>
        <v>166.15466506580643</v>
      </c>
      <c r="B32" s="3">
        <f>PRODUCT(D29,C11)+B29</f>
        <v>116.70799519741931</v>
      </c>
      <c r="C32" s="3">
        <f>SUM(A32:B32)</f>
        <v>282.86266026322573</v>
      </c>
      <c r="D32" s="3"/>
    </row>
    <row r="38" spans="2:2" x14ac:dyDescent="0.25">
      <c r="B38" t="s">
        <v>72</v>
      </c>
    </row>
  </sheetData>
  <mergeCells count="3">
    <mergeCell ref="A2:A3"/>
    <mergeCell ref="G2:G3"/>
    <mergeCell ref="A14:A15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10"/>
  <sheetViews>
    <sheetView zoomScale="115" zoomScaleNormal="115" workbookViewId="0">
      <selection activeCell="C11" sqref="C11"/>
    </sheetView>
  </sheetViews>
  <sheetFormatPr defaultRowHeight="15" x14ac:dyDescent="0.25"/>
  <cols>
    <col min="3" max="3" width="26.28515625" customWidth="1"/>
    <col min="6" max="6" width="12.7109375" bestFit="1" customWidth="1"/>
  </cols>
  <sheetData>
    <row r="2" spans="3:7" ht="15.75" thickBot="1" x14ac:dyDescent="0.3"/>
    <row r="3" spans="3:7" ht="34.15" customHeight="1" thickBot="1" x14ac:dyDescent="0.3">
      <c r="C3" s="123" t="s">
        <v>116</v>
      </c>
      <c r="D3" s="123" t="s">
        <v>115</v>
      </c>
      <c r="E3" s="123"/>
      <c r="F3" s="123" t="s">
        <v>114</v>
      </c>
      <c r="G3" s="123"/>
    </row>
    <row r="4" spans="3:7" ht="32.25" thickBot="1" x14ac:dyDescent="0.3">
      <c r="C4" s="123"/>
      <c r="D4" s="40" t="s">
        <v>113</v>
      </c>
      <c r="E4" s="40" t="s">
        <v>112</v>
      </c>
      <c r="F4" s="40" t="s">
        <v>111</v>
      </c>
      <c r="G4" s="40" t="s">
        <v>110</v>
      </c>
    </row>
    <row r="5" spans="3:7" ht="16.5" thickBot="1" x14ac:dyDescent="0.3">
      <c r="C5" s="40" t="s">
        <v>136</v>
      </c>
      <c r="D5" s="40">
        <v>114</v>
      </c>
      <c r="E5" s="40">
        <v>26.6</v>
      </c>
      <c r="F5" s="42">
        <f>D5/E5</f>
        <v>4.2857142857142856</v>
      </c>
      <c r="G5" s="40" t="s">
        <v>108</v>
      </c>
    </row>
    <row r="6" spans="3:7" ht="16.5" thickBot="1" x14ac:dyDescent="0.3">
      <c r="C6" s="40" t="s">
        <v>109</v>
      </c>
      <c r="D6" s="40">
        <v>147</v>
      </c>
      <c r="E6" s="40">
        <v>34.299999999999997</v>
      </c>
      <c r="F6" s="42">
        <f t="shared" ref="F6:F9" si="0">D6/E6</f>
        <v>4.2857142857142865</v>
      </c>
      <c r="G6" s="40" t="s">
        <v>108</v>
      </c>
    </row>
    <row r="7" spans="3:7" ht="16.5" thickBot="1" x14ac:dyDescent="0.3">
      <c r="C7" s="40" t="s">
        <v>124</v>
      </c>
      <c r="D7" s="40">
        <v>185</v>
      </c>
      <c r="E7" s="40">
        <v>43.1</v>
      </c>
      <c r="F7" s="42">
        <f t="shared" si="0"/>
        <v>4.2923433874709973</v>
      </c>
      <c r="G7" s="40" t="s">
        <v>108</v>
      </c>
    </row>
    <row r="8" spans="3:7" ht="16.5" thickBot="1" x14ac:dyDescent="0.3">
      <c r="C8" s="43" t="s">
        <v>125</v>
      </c>
      <c r="D8" s="40">
        <v>241</v>
      </c>
      <c r="E8" s="40">
        <v>56.3</v>
      </c>
      <c r="F8" s="42">
        <f t="shared" si="0"/>
        <v>4.2806394316163416</v>
      </c>
      <c r="G8" s="40" t="s">
        <v>108</v>
      </c>
    </row>
    <row r="9" spans="3:7" ht="16.5" thickBot="1" x14ac:dyDescent="0.3">
      <c r="C9" s="40" t="s">
        <v>126</v>
      </c>
      <c r="D9" s="40">
        <v>288.5</v>
      </c>
      <c r="E9" s="40">
        <v>67.3</v>
      </c>
      <c r="F9" s="42">
        <f t="shared" si="0"/>
        <v>4.2867756315007428</v>
      </c>
      <c r="G9" s="40" t="s">
        <v>108</v>
      </c>
    </row>
    <row r="10" spans="3:7" ht="16.5" thickBot="1" x14ac:dyDescent="0.3">
      <c r="C10" s="40" t="s">
        <v>135</v>
      </c>
      <c r="D10" s="40">
        <v>394</v>
      </c>
      <c r="E10" s="40">
        <v>51.1</v>
      </c>
      <c r="F10" s="42">
        <f t="shared" ref="F10" si="1">D10/E10</f>
        <v>7.7103718199608604</v>
      </c>
      <c r="G10" s="40" t="s">
        <v>134</v>
      </c>
    </row>
  </sheetData>
  <mergeCells count="3">
    <mergeCell ref="C3:C4"/>
    <mergeCell ref="D3:E3"/>
    <mergeCell ref="F3:G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23"/>
  <sheetViews>
    <sheetView topLeftCell="A7" zoomScale="80" zoomScaleNormal="80" workbookViewId="0">
      <selection activeCell="C29" sqref="C29"/>
    </sheetView>
  </sheetViews>
  <sheetFormatPr defaultRowHeight="15" x14ac:dyDescent="0.25"/>
  <cols>
    <col min="5" max="5" width="16.140625" customWidth="1"/>
    <col min="6" max="6" width="10.140625" customWidth="1"/>
    <col min="7" max="7" width="12.5703125" customWidth="1"/>
    <col min="8" max="8" width="8.85546875" customWidth="1"/>
    <col min="9" max="9" width="15.42578125" customWidth="1"/>
    <col min="10" max="10" width="10.28515625" customWidth="1"/>
  </cols>
  <sheetData>
    <row r="1" spans="2:11" ht="15.75" thickBot="1" x14ac:dyDescent="0.3"/>
    <row r="2" spans="2:11" ht="21.75" customHeight="1" thickTop="1" x14ac:dyDescent="0.25">
      <c r="B2" s="124" t="s">
        <v>107</v>
      </c>
      <c r="C2" s="126" t="s">
        <v>67</v>
      </c>
      <c r="D2" s="126" t="s">
        <v>105</v>
      </c>
      <c r="E2" s="135" t="s">
        <v>128</v>
      </c>
      <c r="F2" s="135" t="s">
        <v>129</v>
      </c>
      <c r="G2" s="135" t="s">
        <v>121</v>
      </c>
      <c r="H2" s="135" t="s">
        <v>130</v>
      </c>
      <c r="I2" s="126" t="s">
        <v>116</v>
      </c>
      <c r="J2" s="135" t="s">
        <v>131</v>
      </c>
      <c r="K2" s="133" t="s">
        <v>132</v>
      </c>
    </row>
    <row r="3" spans="2:11" ht="50.25" customHeight="1" thickBot="1" x14ac:dyDescent="0.3">
      <c r="B3" s="125"/>
      <c r="C3" s="127"/>
      <c r="D3" s="127"/>
      <c r="E3" s="136"/>
      <c r="F3" s="136"/>
      <c r="G3" s="136"/>
      <c r="H3" s="136"/>
      <c r="I3" s="127"/>
      <c r="J3" s="136"/>
      <c r="K3" s="134"/>
    </row>
    <row r="4" spans="2:11" ht="24.75" customHeight="1" thickBot="1" x14ac:dyDescent="0.3">
      <c r="B4" s="131" t="s">
        <v>19</v>
      </c>
      <c r="C4" s="131" t="s">
        <v>143</v>
      </c>
      <c r="D4" s="141" t="s">
        <v>137</v>
      </c>
      <c r="E4" s="142"/>
      <c r="F4" s="142"/>
      <c r="G4" s="142"/>
      <c r="H4" s="142"/>
      <c r="I4" s="142"/>
      <c r="J4" s="142"/>
      <c r="K4" s="143"/>
    </row>
    <row r="5" spans="2:11" ht="19.5" thickBot="1" x14ac:dyDescent="0.3">
      <c r="B5" s="131"/>
      <c r="C5" s="145"/>
      <c r="D5" s="41" t="s">
        <v>68</v>
      </c>
      <c r="E5" s="41" t="str">
        <f>COMPLEX(62,32.8)</f>
        <v>62+32.8i</v>
      </c>
      <c r="F5" s="41">
        <f>IMABS(E5)</f>
        <v>70.141571125830936</v>
      </c>
      <c r="G5" s="41">
        <v>110</v>
      </c>
      <c r="H5" s="51">
        <f>(F5/SQRT(3)/G5)*1000</f>
        <v>368.14777246256159</v>
      </c>
      <c r="I5" s="41" t="s">
        <v>126</v>
      </c>
      <c r="J5" s="41">
        <v>680</v>
      </c>
      <c r="K5" s="41" t="s">
        <v>127</v>
      </c>
    </row>
    <row r="6" spans="2:11" ht="19.5" thickBot="1" x14ac:dyDescent="0.3">
      <c r="B6" s="131"/>
      <c r="C6" s="145"/>
      <c r="D6" s="41" t="s">
        <v>139</v>
      </c>
      <c r="E6" s="41" t="str">
        <f>COMPLEX(35,19)</f>
        <v>35+19i</v>
      </c>
      <c r="F6" s="41">
        <f>IMABS(E6)</f>
        <v>39.824615503479755</v>
      </c>
      <c r="G6" s="41">
        <v>110</v>
      </c>
      <c r="H6" s="41">
        <f>(F6/SQRT(3)/G6)*1000</f>
        <v>209.02502255733981</v>
      </c>
      <c r="I6" s="41" t="s">
        <v>109</v>
      </c>
      <c r="J6" s="41">
        <v>450</v>
      </c>
      <c r="K6" s="41" t="s">
        <v>127</v>
      </c>
    </row>
    <row r="7" spans="2:11" ht="21" customHeight="1" thickBot="1" x14ac:dyDescent="0.3">
      <c r="B7" s="132"/>
      <c r="C7" s="145"/>
      <c r="D7" s="128" t="s">
        <v>138</v>
      </c>
      <c r="E7" s="129"/>
      <c r="F7" s="129"/>
      <c r="G7" s="129"/>
      <c r="H7" s="129"/>
      <c r="I7" s="129"/>
      <c r="J7" s="129"/>
      <c r="K7" s="130"/>
    </row>
    <row r="8" spans="2:11" ht="19.5" thickBot="1" x14ac:dyDescent="0.3">
      <c r="B8" s="132"/>
      <c r="C8" s="145"/>
      <c r="D8" s="41" t="s">
        <v>73</v>
      </c>
      <c r="E8" s="41" t="str">
        <f>E5</f>
        <v>62+32.8i</v>
      </c>
      <c r="F8" s="41">
        <f>IMABS(E8)</f>
        <v>70.141571125830936</v>
      </c>
      <c r="G8" s="41">
        <v>110</v>
      </c>
      <c r="H8" s="51">
        <f>(F8/SQRT(3)/G8)*1000</f>
        <v>368.14777246256159</v>
      </c>
      <c r="I8" s="41" t="s">
        <v>125</v>
      </c>
      <c r="J8" s="41">
        <v>610</v>
      </c>
      <c r="K8" s="41" t="s">
        <v>127</v>
      </c>
    </row>
    <row r="9" spans="2:11" ht="19.5" thickBot="1" x14ac:dyDescent="0.3">
      <c r="B9" s="132"/>
      <c r="C9" s="145"/>
      <c r="D9" s="41" t="s">
        <v>74</v>
      </c>
      <c r="E9" s="41" t="str">
        <f>COMPLEX(35,19)</f>
        <v>35+19i</v>
      </c>
      <c r="F9" s="41">
        <f>IMABS(E9)</f>
        <v>39.824615503479755</v>
      </c>
      <c r="G9" s="41">
        <v>110</v>
      </c>
      <c r="H9" s="51">
        <f>(F9/SQRT(3)/G9)*1000</f>
        <v>209.02502255733981</v>
      </c>
      <c r="I9" s="41" t="str">
        <f>I6</f>
        <v>АС-150/34</v>
      </c>
      <c r="J9" s="41">
        <v>450</v>
      </c>
      <c r="K9" s="41" t="s">
        <v>127</v>
      </c>
    </row>
    <row r="10" spans="2:11" ht="19.5" thickBot="1" x14ac:dyDescent="0.3">
      <c r="B10" s="132"/>
      <c r="C10" s="131" t="s">
        <v>144</v>
      </c>
      <c r="D10" s="53" t="str">
        <f>'Таблиця 1-4'!D6</f>
        <v>В-Д</v>
      </c>
      <c r="E10" s="53" t="str">
        <f>Fрозр!F7</f>
        <v>35+19i</v>
      </c>
      <c r="F10" s="51">
        <f t="shared" ref="F10" si="0">IMABS(E10)</f>
        <v>39.824615503479755</v>
      </c>
      <c r="G10" s="41">
        <v>110</v>
      </c>
      <c r="H10" s="53">
        <f>(F10/SQRT(3)/G10)*1000</f>
        <v>209.02502255733981</v>
      </c>
      <c r="I10" s="53" t="s">
        <v>109</v>
      </c>
      <c r="J10" s="53">
        <v>450</v>
      </c>
      <c r="K10" s="53" t="s">
        <v>127</v>
      </c>
    </row>
    <row r="11" spans="2:11" ht="19.5" thickBot="1" x14ac:dyDescent="0.3">
      <c r="B11" s="132"/>
      <c r="C11" s="144"/>
      <c r="D11" s="53" t="str">
        <f>'Таблиця 1-4'!D7</f>
        <v>ВП-Д</v>
      </c>
      <c r="E11" s="53" t="str">
        <f>Fрозр!F8</f>
        <v>62+32.8i</v>
      </c>
      <c r="F11" s="51">
        <f>IMABS(E11)</f>
        <v>70.141571125830936</v>
      </c>
      <c r="G11" s="41">
        <v>110</v>
      </c>
      <c r="H11" s="53">
        <f>(F11/SQRT(3)/G11)*1000</f>
        <v>368.14777246256159</v>
      </c>
      <c r="I11" s="53" t="s">
        <v>125</v>
      </c>
      <c r="J11" s="53">
        <v>450</v>
      </c>
      <c r="K11" s="53" t="s">
        <v>127</v>
      </c>
    </row>
    <row r="12" spans="2:11" ht="21" customHeight="1" thickBot="1" x14ac:dyDescent="0.3">
      <c r="B12" s="131" t="s">
        <v>20</v>
      </c>
      <c r="C12" s="131" t="s">
        <v>143</v>
      </c>
      <c r="D12" s="128" t="s">
        <v>141</v>
      </c>
      <c r="E12" s="129"/>
      <c r="F12" s="129"/>
      <c r="G12" s="129"/>
      <c r="H12" s="129"/>
      <c r="I12" s="129"/>
      <c r="J12" s="129"/>
      <c r="K12" s="130"/>
    </row>
    <row r="13" spans="2:11" ht="19.5" thickBot="1" x14ac:dyDescent="0.3">
      <c r="B13" s="131"/>
      <c r="C13" s="145"/>
      <c r="D13" s="41" t="s">
        <v>80</v>
      </c>
      <c r="E13" s="41" t="str">
        <f>COMPLEX(67,32.5)</f>
        <v>67+32.5i</v>
      </c>
      <c r="F13" s="41">
        <f>IMABS(E13)</f>
        <v>74.46643539206103</v>
      </c>
      <c r="G13" s="41">
        <v>110</v>
      </c>
      <c r="H13" s="51">
        <f>(F13/SQRT(3)/G13)*1000</f>
        <v>390.84742290180287</v>
      </c>
      <c r="I13" s="41" t="s">
        <v>125</v>
      </c>
      <c r="J13" s="41">
        <v>610</v>
      </c>
      <c r="K13" s="41" t="s">
        <v>127</v>
      </c>
    </row>
    <row r="14" spans="2:11" ht="19.5" thickBot="1" x14ac:dyDescent="0.3">
      <c r="B14" s="131"/>
      <c r="C14" s="145"/>
      <c r="D14" s="41" t="s">
        <v>81</v>
      </c>
      <c r="E14" s="41" t="str">
        <f>COMPLEX(32,15.5)</f>
        <v>32+15.5i</v>
      </c>
      <c r="F14" s="41">
        <f>IMABS(E14)</f>
        <v>35.556293395122054</v>
      </c>
      <c r="G14" s="41">
        <v>110</v>
      </c>
      <c r="H14" s="41">
        <f>(F14/SQRT(3)/G14)*1000</f>
        <v>186.62214148235481</v>
      </c>
      <c r="I14" s="41" t="s">
        <v>109</v>
      </c>
      <c r="J14" s="41">
        <v>450</v>
      </c>
      <c r="K14" s="41" t="s">
        <v>127</v>
      </c>
    </row>
    <row r="15" spans="2:11" ht="18.75" customHeight="1" thickBot="1" x14ac:dyDescent="0.3">
      <c r="B15" s="132"/>
      <c r="C15" s="145"/>
      <c r="D15" s="128" t="s">
        <v>140</v>
      </c>
      <c r="E15" s="129"/>
      <c r="F15" s="129"/>
      <c r="G15" s="129"/>
      <c r="H15" s="129"/>
      <c r="I15" s="129"/>
      <c r="J15" s="129"/>
      <c r="K15" s="130"/>
    </row>
    <row r="16" spans="2:11" ht="27" customHeight="1" thickBot="1" x14ac:dyDescent="0.3">
      <c r="B16" s="132"/>
      <c r="C16" s="145"/>
      <c r="D16" s="41" t="s">
        <v>79</v>
      </c>
      <c r="E16" s="41" t="str">
        <f>E13</f>
        <v>67+32.5i</v>
      </c>
      <c r="F16" s="41">
        <f>IMABS(E16)</f>
        <v>74.46643539206103</v>
      </c>
      <c r="G16" s="41">
        <v>110</v>
      </c>
      <c r="H16" s="51">
        <f>(F16/SQRT(3)/G16)*1000</f>
        <v>390.84742290180287</v>
      </c>
      <c r="I16" s="41" t="s">
        <v>126</v>
      </c>
      <c r="J16" s="41">
        <v>680</v>
      </c>
      <c r="K16" s="41" t="s">
        <v>127</v>
      </c>
    </row>
    <row r="17" spans="2:11" ht="22.5" customHeight="1" thickBot="1" x14ac:dyDescent="0.3">
      <c r="B17" s="132"/>
      <c r="C17" s="145"/>
      <c r="D17" s="41" t="s">
        <v>142</v>
      </c>
      <c r="E17" s="41" t="str">
        <f>COMPLEX(35,17)</f>
        <v>35+17i</v>
      </c>
      <c r="F17" s="41">
        <f>IMABS(E17)</f>
        <v>38.910152916687437</v>
      </c>
      <c r="G17" s="41">
        <v>110</v>
      </c>
      <c r="H17" s="51">
        <f t="shared" ref="H17:H22" si="1">(F17/SQRT(3)/G17)*1000</f>
        <v>204.22533873326358</v>
      </c>
      <c r="I17" s="41" t="s">
        <v>109</v>
      </c>
      <c r="J17" s="41">
        <v>450</v>
      </c>
      <c r="K17" s="41" t="s">
        <v>127</v>
      </c>
    </row>
    <row r="18" spans="2:11" ht="19.5" thickBot="1" x14ac:dyDescent="0.3">
      <c r="B18" s="132"/>
      <c r="C18" s="131" t="s">
        <v>144</v>
      </c>
      <c r="D18" s="52" t="str">
        <f>Fрозр!E12</f>
        <v>ВП-2</v>
      </c>
      <c r="E18" s="52" t="str">
        <f>Fрозр!F12</f>
        <v>67+32.5i</v>
      </c>
      <c r="F18" s="52">
        <f>Fрозр!G12</f>
        <v>74.47</v>
      </c>
      <c r="G18" s="41">
        <v>110</v>
      </c>
      <c r="H18" s="51">
        <f t="shared" si="1"/>
        <v>390.86613224137665</v>
      </c>
      <c r="I18" s="52" t="s">
        <v>126</v>
      </c>
      <c r="J18" s="52">
        <v>680</v>
      </c>
      <c r="K18" s="52" t="s">
        <v>127</v>
      </c>
    </row>
    <row r="19" spans="2:11" ht="19.5" thickBot="1" x14ac:dyDescent="0.3">
      <c r="B19" s="132"/>
      <c r="C19" s="144"/>
      <c r="D19" s="52" t="str">
        <f>Fрозр!E13</f>
        <v>Г-2</v>
      </c>
      <c r="E19" s="52" t="str">
        <f>Fрозр!F13</f>
        <v>32+15.5i</v>
      </c>
      <c r="F19" s="52">
        <f>Fрозр!G13</f>
        <v>35.56</v>
      </c>
      <c r="G19" s="41">
        <v>110</v>
      </c>
      <c r="H19" s="51">
        <f t="shared" si="1"/>
        <v>186.64159611257361</v>
      </c>
      <c r="I19" s="52" t="s">
        <v>136</v>
      </c>
      <c r="J19" s="52">
        <v>375</v>
      </c>
      <c r="K19" s="52" t="s">
        <v>127</v>
      </c>
    </row>
    <row r="20" spans="2:11" ht="19.5" thickBot="1" x14ac:dyDescent="0.3">
      <c r="B20" s="132"/>
      <c r="C20" s="144"/>
      <c r="D20" s="52" t="str">
        <f>Fрозр!E14</f>
        <v>Е-2</v>
      </c>
      <c r="E20" s="52" t="str">
        <f>Fрозр!F14</f>
        <v>35+17i</v>
      </c>
      <c r="F20" s="52">
        <f>Fрозр!G14</f>
        <v>38.909999999999997</v>
      </c>
      <c r="G20" s="52">
        <f>Fрозр!H14</f>
        <v>110</v>
      </c>
      <c r="H20" s="51">
        <f t="shared" si="1"/>
        <v>204.22453612880309</v>
      </c>
      <c r="I20" s="52" t="s">
        <v>109</v>
      </c>
      <c r="J20" s="52">
        <v>450</v>
      </c>
      <c r="K20" s="52" t="s">
        <v>127</v>
      </c>
    </row>
    <row r="21" spans="2:11" ht="38.25" thickBot="1" x14ac:dyDescent="0.3">
      <c r="B21" s="137" t="s">
        <v>123</v>
      </c>
      <c r="C21" s="137"/>
      <c r="D21" s="52" t="str">
        <f>'Таблиця 1-4'!D14</f>
        <v>ДЖ-3</v>
      </c>
      <c r="E21" s="52" t="str">
        <f>Fрозр!F15</f>
        <v>166.15+116.7i</v>
      </c>
      <c r="F21" s="52">
        <f>Fрозр!G15</f>
        <v>203.04</v>
      </c>
      <c r="G21" s="52">
        <f>Fрозр!H15</f>
        <v>220</v>
      </c>
      <c r="H21" s="51">
        <f>(F21/SQRT(3)/G21)*1000</f>
        <v>532.84181207391646</v>
      </c>
      <c r="I21" s="52" t="s">
        <v>135</v>
      </c>
      <c r="J21" s="52">
        <v>825</v>
      </c>
      <c r="K21" s="52" t="s">
        <v>127</v>
      </c>
    </row>
    <row r="22" spans="2:11" ht="38.25" thickBot="1" x14ac:dyDescent="0.3">
      <c r="B22" s="102"/>
      <c r="C22" s="139"/>
      <c r="D22" s="52" t="str">
        <f>'Таблиця 1-4'!D15</f>
        <v>3-ВП</v>
      </c>
      <c r="E22" s="52" t="str">
        <f>Fрозр!F16</f>
        <v>146.15+103.7i</v>
      </c>
      <c r="F22" s="52">
        <f>Fрозр!G16</f>
        <v>179.2</v>
      </c>
      <c r="G22" s="52">
        <f>Fрозр!H16</f>
        <v>220</v>
      </c>
      <c r="H22" s="51">
        <f t="shared" si="1"/>
        <v>470.27803744900427</v>
      </c>
      <c r="I22" s="52" t="s">
        <v>126</v>
      </c>
      <c r="J22" s="52">
        <v>680</v>
      </c>
      <c r="K22" s="52" t="s">
        <v>127</v>
      </c>
    </row>
    <row r="23" spans="2:11" ht="19.5" thickBot="1" x14ac:dyDescent="0.3">
      <c r="B23" s="138"/>
      <c r="C23" s="140"/>
      <c r="D23" s="52" t="str">
        <f>'Таблиця 1-4'!D16</f>
        <v>3-Б</v>
      </c>
      <c r="E23" s="52" t="str">
        <f>Fрозр!F17</f>
        <v>20+13i</v>
      </c>
      <c r="F23" s="52">
        <f>Fрозр!G17</f>
        <v>23.85</v>
      </c>
      <c r="G23" s="52">
        <f>Fрозр!H17</f>
        <v>220</v>
      </c>
      <c r="H23" s="51">
        <f>(F23/SQRT(3)/G23)*1000</f>
        <v>62.590017818966253</v>
      </c>
      <c r="I23" s="52" t="s">
        <v>125</v>
      </c>
      <c r="J23" s="52">
        <v>610</v>
      </c>
      <c r="K23" s="52" t="s">
        <v>127</v>
      </c>
    </row>
  </sheetData>
  <mergeCells count="22">
    <mergeCell ref="B21:B23"/>
    <mergeCell ref="C21:C23"/>
    <mergeCell ref="D4:K4"/>
    <mergeCell ref="D7:K7"/>
    <mergeCell ref="D12:K12"/>
    <mergeCell ref="C10:C11"/>
    <mergeCell ref="C12:C17"/>
    <mergeCell ref="C18:C20"/>
    <mergeCell ref="B4:B11"/>
    <mergeCell ref="C4:C9"/>
    <mergeCell ref="B2:B3"/>
    <mergeCell ref="D2:D3"/>
    <mergeCell ref="I2:I3"/>
    <mergeCell ref="D15:K15"/>
    <mergeCell ref="B12:B20"/>
    <mergeCell ref="K2:K3"/>
    <mergeCell ref="C2:C3"/>
    <mergeCell ref="E2:E3"/>
    <mergeCell ref="F2:F3"/>
    <mergeCell ref="G2:G3"/>
    <mergeCell ref="H2:H3"/>
    <mergeCell ref="J2:J3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15361" r:id="rId4">
          <objectPr defaultSize="0" r:id="rId5">
            <anchor moveWithCells="1">
              <from>
                <xdr:col>13</xdr:col>
                <xdr:colOff>9525</xdr:colOff>
                <xdr:row>1</xdr:row>
                <xdr:rowOff>133350</xdr:rowOff>
              </from>
              <to>
                <xdr:col>20</xdr:col>
                <xdr:colOff>85725</xdr:colOff>
                <xdr:row>10</xdr:row>
                <xdr:rowOff>152400</xdr:rowOff>
              </to>
            </anchor>
          </objectPr>
        </oleObject>
      </mc:Choice>
      <mc:Fallback>
        <oleObject progId="Visio.Drawing.15" shapeId="15361" r:id="rId4"/>
      </mc:Fallback>
    </mc:AlternateContent>
    <mc:AlternateContent xmlns:mc="http://schemas.openxmlformats.org/markup-compatibility/2006">
      <mc:Choice Requires="x14">
        <oleObject progId="Visio.Drawing.15" shapeId="15362" r:id="rId6">
          <objectPr defaultSize="0" r:id="rId7">
            <anchor moveWithCells="1">
              <from>
                <xdr:col>13</xdr:col>
                <xdr:colOff>9525</xdr:colOff>
                <xdr:row>12</xdr:row>
                <xdr:rowOff>9525</xdr:rowOff>
              </from>
              <to>
                <xdr:col>20</xdr:col>
                <xdr:colOff>95250</xdr:colOff>
                <xdr:row>21</xdr:row>
                <xdr:rowOff>438150</xdr:rowOff>
              </to>
            </anchor>
          </objectPr>
        </oleObject>
      </mc:Choice>
      <mc:Fallback>
        <oleObject progId="Visio.Drawing.15" shapeId="15362" r:id="rId6"/>
      </mc:Fallback>
    </mc:AlternateContent>
  </oleObjec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39"/>
  <sheetViews>
    <sheetView topLeftCell="A14" zoomScaleNormal="100" workbookViewId="0">
      <selection activeCell="C3" sqref="C3:M33"/>
    </sheetView>
  </sheetViews>
  <sheetFormatPr defaultRowHeight="15" x14ac:dyDescent="0.25"/>
  <cols>
    <col min="1" max="1" width="11" customWidth="1"/>
    <col min="4" max="4" width="13.28515625" customWidth="1"/>
    <col min="5" max="5" width="10.28515625" customWidth="1"/>
    <col min="6" max="6" width="15.140625" customWidth="1"/>
    <col min="10" max="11" width="10.42578125" bestFit="1" customWidth="1"/>
    <col min="12" max="12" width="16.85546875" customWidth="1"/>
    <col min="13" max="13" width="15.42578125" customWidth="1"/>
  </cols>
  <sheetData>
    <row r="3" spans="3:14" ht="18.75" x14ac:dyDescent="0.25">
      <c r="C3" s="152" t="s">
        <v>107</v>
      </c>
      <c r="D3" s="55" t="s">
        <v>145</v>
      </c>
      <c r="E3" s="152" t="s">
        <v>105</v>
      </c>
      <c r="F3" s="152" t="s">
        <v>116</v>
      </c>
      <c r="G3" s="149" t="s">
        <v>162</v>
      </c>
      <c r="H3" s="152" t="s">
        <v>167</v>
      </c>
      <c r="I3" s="152" t="s">
        <v>168</v>
      </c>
      <c r="J3" s="56" t="s">
        <v>148</v>
      </c>
      <c r="K3" s="56" t="s">
        <v>149</v>
      </c>
      <c r="L3" s="56" t="s">
        <v>104</v>
      </c>
      <c r="M3" s="56" t="s">
        <v>164</v>
      </c>
    </row>
    <row r="4" spans="3:14" ht="18.75" x14ac:dyDescent="0.25">
      <c r="C4" s="152"/>
      <c r="D4" s="55" t="s">
        <v>146</v>
      </c>
      <c r="E4" s="152"/>
      <c r="F4" s="152"/>
      <c r="G4" s="157"/>
      <c r="H4" s="152"/>
      <c r="I4" s="152"/>
      <c r="J4" s="55" t="s">
        <v>147</v>
      </c>
      <c r="K4" s="55" t="s">
        <v>147</v>
      </c>
      <c r="L4" s="55" t="s">
        <v>163</v>
      </c>
      <c r="M4" s="55" t="s">
        <v>9</v>
      </c>
    </row>
    <row r="5" spans="3:14" ht="19.5" customHeight="1" x14ac:dyDescent="0.25">
      <c r="C5" s="149" t="s">
        <v>19</v>
      </c>
      <c r="D5" s="152" t="s">
        <v>154</v>
      </c>
      <c r="E5" s="152" t="s">
        <v>137</v>
      </c>
      <c r="F5" s="152"/>
      <c r="G5" s="152"/>
      <c r="H5" s="152"/>
      <c r="I5" s="152"/>
      <c r="J5" s="152"/>
      <c r="K5" s="152"/>
      <c r="L5" s="152"/>
      <c r="M5" s="152"/>
    </row>
    <row r="6" spans="3:14" ht="18.75" x14ac:dyDescent="0.3">
      <c r="C6" s="154"/>
      <c r="D6" s="153"/>
      <c r="E6" s="55" t="str">
        <f>нагрів!D5</f>
        <v>ВП-Д</v>
      </c>
      <c r="F6" s="55" t="str">
        <f>нагрів!I5</f>
        <v>АС-300/67</v>
      </c>
      <c r="G6" s="57">
        <f>'Таблиця 1-4'!E4</f>
        <v>7.8</v>
      </c>
      <c r="H6" s="60">
        <v>3.4000000000000002E-2</v>
      </c>
      <c r="I6" s="60">
        <v>0.40500000000000003</v>
      </c>
      <c r="J6" s="59">
        <f>H6*G6</f>
        <v>0.26519999999999999</v>
      </c>
      <c r="K6" s="59">
        <f>I6*G6</f>
        <v>3.1590000000000003</v>
      </c>
      <c r="L6" s="55" t="str">
        <f>нагрів!E5</f>
        <v>62+32.8i</v>
      </c>
      <c r="M6" s="59">
        <f>(IMREAL(L6)*J6+IMAGINARY(L6)*K6)/$N$6</f>
        <v>1.0914327272727273</v>
      </c>
      <c r="N6" s="54">
        <v>110</v>
      </c>
    </row>
    <row r="7" spans="3:14" ht="18.75" x14ac:dyDescent="0.3">
      <c r="C7" s="154"/>
      <c r="D7" s="153"/>
      <c r="E7" s="55" t="str">
        <f>нагрів!D6</f>
        <v>Д-В</v>
      </c>
      <c r="F7" s="55" t="str">
        <f>нагрів!I6</f>
        <v>АС-150/34</v>
      </c>
      <c r="G7" s="58">
        <f>'Таблиця 1-4'!E5</f>
        <v>5.6</v>
      </c>
      <c r="H7" s="60">
        <v>0.19800000000000001</v>
      </c>
      <c r="I7" s="59">
        <v>0.42</v>
      </c>
      <c r="J7" s="59">
        <f>H7*G7</f>
        <v>1.1088</v>
      </c>
      <c r="K7" s="59">
        <f>I7*G7</f>
        <v>2.3519999999999999</v>
      </c>
      <c r="L7" s="61" t="str">
        <f>нагрів!E6</f>
        <v>35+19i</v>
      </c>
      <c r="M7" s="59">
        <f>(IMREAL(L7)*J7+IMAGINARY(L7)*K7)/$N$6</f>
        <v>0.75905454545454543</v>
      </c>
      <c r="N7" s="54"/>
    </row>
    <row r="8" spans="3:14" ht="18.75" x14ac:dyDescent="0.25">
      <c r="C8" s="154"/>
      <c r="D8" s="153"/>
      <c r="E8" s="146" t="s">
        <v>157</v>
      </c>
      <c r="F8" s="147"/>
      <c r="G8" s="147"/>
      <c r="H8" s="147"/>
      <c r="I8" s="147"/>
      <c r="J8" s="147"/>
      <c r="K8" s="147"/>
      <c r="L8" s="148"/>
      <c r="M8" s="59">
        <f>M6+M7</f>
        <v>1.8504872727272728</v>
      </c>
    </row>
    <row r="9" spans="3:14" ht="18.75" x14ac:dyDescent="0.25">
      <c r="C9" s="154"/>
      <c r="D9" s="153"/>
      <c r="E9" s="146" t="str">
        <f>нагрів!D7</f>
        <v>відключення ВП-Д</v>
      </c>
      <c r="F9" s="147"/>
      <c r="G9" s="147"/>
      <c r="H9" s="147"/>
      <c r="I9" s="147"/>
      <c r="J9" s="147"/>
      <c r="K9" s="147"/>
      <c r="L9" s="147"/>
      <c r="M9" s="148"/>
    </row>
    <row r="10" spans="3:14" ht="19.5" customHeight="1" x14ac:dyDescent="0.25">
      <c r="C10" s="154"/>
      <c r="D10" s="153"/>
      <c r="E10" s="55" t="str">
        <f>нагрів!D8</f>
        <v>ВП-В</v>
      </c>
      <c r="F10" s="55" t="str">
        <f>нагрів!I8</f>
        <v>АС-240/56</v>
      </c>
      <c r="G10" s="55">
        <f>'Таблиця 1-4'!E3</f>
        <v>11.8</v>
      </c>
      <c r="H10" s="60">
        <v>0.12</v>
      </c>
      <c r="I10" s="60">
        <v>0.40500000000000003</v>
      </c>
      <c r="J10" s="59">
        <f>H10*G10</f>
        <v>1.4159999999999999</v>
      </c>
      <c r="K10" s="59">
        <f>I10*G10</f>
        <v>4.7790000000000008</v>
      </c>
      <c r="L10" s="55" t="str">
        <f>нагрів!E10</f>
        <v>35+19i</v>
      </c>
      <c r="M10" s="59">
        <f>(IMREAL(L10)*J10+IMAGINARY(L10)*K10)/$N$6</f>
        <v>1.2760090909090911</v>
      </c>
    </row>
    <row r="11" spans="3:14" ht="18.75" x14ac:dyDescent="0.25">
      <c r="C11" s="154"/>
      <c r="D11" s="153"/>
      <c r="E11" s="55" t="str">
        <f>нагрів!D9</f>
        <v>В-Д</v>
      </c>
      <c r="F11" s="55" t="str">
        <f>нагрів!I9</f>
        <v>АС-150/34</v>
      </c>
      <c r="G11" s="55">
        <f>G7</f>
        <v>5.6</v>
      </c>
      <c r="H11" s="60">
        <v>0.19800000000000001</v>
      </c>
      <c r="I11" s="59">
        <v>0.42</v>
      </c>
      <c r="J11" s="59">
        <f>H11*G11</f>
        <v>1.1088</v>
      </c>
      <c r="K11" s="59">
        <f>I11*G11</f>
        <v>2.3519999999999999</v>
      </c>
      <c r="L11" s="61" t="str">
        <f>нагрів!E11</f>
        <v>62+32.8i</v>
      </c>
      <c r="M11" s="59">
        <f>(IMREAL(L11)*J11+IMAGINARY(L11)*K11)/$N$6</f>
        <v>1.3262836363636361</v>
      </c>
    </row>
    <row r="12" spans="3:14" ht="18.75" x14ac:dyDescent="0.25">
      <c r="C12" s="154"/>
      <c r="D12" s="153"/>
      <c r="E12" s="146" t="s">
        <v>158</v>
      </c>
      <c r="F12" s="147"/>
      <c r="G12" s="147"/>
      <c r="H12" s="147"/>
      <c r="I12" s="147"/>
      <c r="J12" s="147"/>
      <c r="K12" s="147"/>
      <c r="L12" s="148"/>
      <c r="M12" s="59">
        <f>M10+M11</f>
        <v>2.6022927272727272</v>
      </c>
    </row>
    <row r="13" spans="3:14" ht="18.75" x14ac:dyDescent="0.25">
      <c r="C13" s="154"/>
      <c r="D13" s="149" t="s">
        <v>155</v>
      </c>
      <c r="E13" s="55" t="str">
        <f>Fрозр!E7</f>
        <v>В-Д</v>
      </c>
      <c r="F13" s="55" t="str">
        <f>нагрів!I10</f>
        <v>АС-150/34</v>
      </c>
      <c r="G13" s="55">
        <f>Потокорозподіл!D8</f>
        <v>5.6</v>
      </c>
      <c r="H13" s="60">
        <f>H11</f>
        <v>0.19800000000000001</v>
      </c>
      <c r="I13" s="59">
        <f>I11</f>
        <v>0.42</v>
      </c>
      <c r="J13" s="55">
        <f>H13*G13</f>
        <v>1.1088</v>
      </c>
      <c r="K13" s="55">
        <f>I13*G13</f>
        <v>2.3519999999999999</v>
      </c>
      <c r="L13" s="55" t="str">
        <f>нагрів!E10</f>
        <v>35+19i</v>
      </c>
      <c r="M13" s="59">
        <f>(IMREAL(L13)*J13+IMAGINARY(L13)*K13)/$N$6</f>
        <v>0.75905454545454543</v>
      </c>
    </row>
    <row r="14" spans="3:14" ht="18.75" x14ac:dyDescent="0.25">
      <c r="C14" s="154"/>
      <c r="D14" s="154"/>
      <c r="E14" s="55" t="str">
        <f>Fрозр!E8</f>
        <v>ВП-Д</v>
      </c>
      <c r="F14" s="55" t="str">
        <f>нагрів!I11</f>
        <v>АС-240/56</v>
      </c>
      <c r="G14" s="55">
        <f>Потокорозподіл!D9</f>
        <v>7.8</v>
      </c>
      <c r="H14" s="60">
        <f>H10</f>
        <v>0.12</v>
      </c>
      <c r="I14" s="60">
        <f>I10</f>
        <v>0.40500000000000003</v>
      </c>
      <c r="J14" s="55">
        <f>H14*G14</f>
        <v>0.93599999999999994</v>
      </c>
      <c r="K14" s="55">
        <f>I14*G14</f>
        <v>3.1590000000000003</v>
      </c>
      <c r="L14" s="55" t="str">
        <f>нагрів!E11</f>
        <v>62+32.8i</v>
      </c>
      <c r="M14" s="59">
        <f>(IMREAL(L14)*J14+IMAGINARY(L14)*K14)/$N$6</f>
        <v>1.4695199999999999</v>
      </c>
    </row>
    <row r="15" spans="3:14" ht="18.75" x14ac:dyDescent="0.25">
      <c r="C15" s="155"/>
      <c r="D15" s="155"/>
      <c r="E15" s="146" t="s">
        <v>159</v>
      </c>
      <c r="F15" s="147"/>
      <c r="G15" s="147"/>
      <c r="H15" s="147"/>
      <c r="I15" s="147"/>
      <c r="J15" s="147"/>
      <c r="K15" s="147"/>
      <c r="L15" s="148"/>
      <c r="M15" s="59">
        <f>M13+M14</f>
        <v>2.2285745454545456</v>
      </c>
    </row>
    <row r="16" spans="3:14" ht="19.5" customHeight="1" x14ac:dyDescent="0.25">
      <c r="C16" s="152" t="s">
        <v>20</v>
      </c>
      <c r="D16" s="152" t="s">
        <v>154</v>
      </c>
      <c r="E16" s="146" t="s">
        <v>141</v>
      </c>
      <c r="F16" s="147"/>
      <c r="G16" s="147"/>
      <c r="H16" s="147"/>
      <c r="I16" s="147"/>
      <c r="J16" s="147"/>
      <c r="K16" s="147"/>
      <c r="L16" s="147"/>
      <c r="M16" s="148"/>
    </row>
    <row r="17" spans="3:14" ht="18.75" x14ac:dyDescent="0.25">
      <c r="C17" s="152"/>
      <c r="D17" s="153"/>
      <c r="E17" s="55" t="str">
        <f>нагрів!D13</f>
        <v>ВП-Е</v>
      </c>
      <c r="F17" s="55" t="str">
        <f>нагрів!I13</f>
        <v>АС-240/56</v>
      </c>
      <c r="G17" s="55">
        <v>7.8</v>
      </c>
      <c r="H17" s="60">
        <f>H10</f>
        <v>0.12</v>
      </c>
      <c r="I17" s="60">
        <f>I10</f>
        <v>0.40500000000000003</v>
      </c>
      <c r="J17" s="55">
        <f>H17*G17</f>
        <v>0.93599999999999994</v>
      </c>
      <c r="K17" s="55">
        <f>I17*G17</f>
        <v>3.1590000000000003</v>
      </c>
      <c r="L17" s="55" t="str">
        <f>нагрів!E13</f>
        <v>67+32.5i</v>
      </c>
      <c r="M17" s="59">
        <f>(IMREAL(L17)*J17+IMAGINARY(L14)*K17)/$N$6</f>
        <v>1.5120654545454546</v>
      </c>
    </row>
    <row r="18" spans="3:14" ht="18.75" x14ac:dyDescent="0.25">
      <c r="C18" s="152"/>
      <c r="D18" s="153"/>
      <c r="E18" s="55" t="str">
        <f>нагрів!D14</f>
        <v>Е-Г</v>
      </c>
      <c r="F18" s="55" t="str">
        <f>нагрів!I14</f>
        <v>АС-150/34</v>
      </c>
      <c r="G18" s="55">
        <v>5.6</v>
      </c>
      <c r="H18" s="60">
        <f>H11</f>
        <v>0.19800000000000001</v>
      </c>
      <c r="I18" s="59">
        <f>I11</f>
        <v>0.42</v>
      </c>
      <c r="J18" s="55">
        <f>H18*G18</f>
        <v>1.1088</v>
      </c>
      <c r="K18" s="55">
        <f>I18*G18</f>
        <v>2.3519999999999999</v>
      </c>
      <c r="L18" s="55" t="str">
        <f>нагрів!E14</f>
        <v>32+15.5i</v>
      </c>
      <c r="M18" s="59">
        <f>(IMREAL(L18)*J18+IMAGINARY(L15)*K18)/$N$6</f>
        <v>0.32256000000000001</v>
      </c>
    </row>
    <row r="19" spans="3:14" ht="18.75" x14ac:dyDescent="0.25">
      <c r="C19" s="152"/>
      <c r="D19" s="153"/>
      <c r="E19" s="146" t="s">
        <v>160</v>
      </c>
      <c r="F19" s="147"/>
      <c r="G19" s="147"/>
      <c r="H19" s="147"/>
      <c r="I19" s="147"/>
      <c r="J19" s="147"/>
      <c r="K19" s="147"/>
      <c r="L19" s="148"/>
      <c r="M19" s="59">
        <f>M17+M18</f>
        <v>1.8346254545454546</v>
      </c>
    </row>
    <row r="20" spans="3:14" ht="19.350000000000001" customHeight="1" x14ac:dyDescent="0.25">
      <c r="C20" s="152"/>
      <c r="D20" s="153"/>
      <c r="E20" s="146" t="s">
        <v>140</v>
      </c>
      <c r="F20" s="147"/>
      <c r="G20" s="147"/>
      <c r="H20" s="147"/>
      <c r="I20" s="147"/>
      <c r="J20" s="147"/>
      <c r="K20" s="147"/>
      <c r="L20" s="147"/>
      <c r="M20" s="148"/>
    </row>
    <row r="21" spans="3:14" ht="18.75" x14ac:dyDescent="0.25">
      <c r="C21" s="152"/>
      <c r="D21" s="153"/>
      <c r="E21" s="55" t="str">
        <f>нагрів!D16</f>
        <v>ВП-Г</v>
      </c>
      <c r="F21" s="55" t="str">
        <f>нагрів!I16</f>
        <v>АС-300/67</v>
      </c>
      <c r="G21" s="55">
        <f>11.8</f>
        <v>11.8</v>
      </c>
      <c r="H21" s="55">
        <v>3.4000000000000002E-2</v>
      </c>
      <c r="I21" s="55">
        <v>0.40500000000000003</v>
      </c>
      <c r="J21" s="58">
        <f>H21*G21</f>
        <v>0.40120000000000006</v>
      </c>
      <c r="K21" s="58">
        <f>G21*I21</f>
        <v>4.7790000000000008</v>
      </c>
      <c r="L21" s="55" t="str">
        <f>нагрів!E16</f>
        <v>67+32.5i</v>
      </c>
      <c r="M21" s="59">
        <f>(IMREAL(L21)*J21+IMAGINARY(L21)*K21)/$N$6</f>
        <v>1.6563445454545458</v>
      </c>
    </row>
    <row r="22" spans="3:14" ht="18.75" x14ac:dyDescent="0.25">
      <c r="C22" s="152"/>
      <c r="D22" s="153"/>
      <c r="E22" s="55" t="str">
        <f>нагрів!D17</f>
        <v>Г-Е</v>
      </c>
      <c r="F22" s="55" t="str">
        <f>нагрів!I17</f>
        <v>АС-150/34</v>
      </c>
      <c r="G22" s="55">
        <v>5.6</v>
      </c>
      <c r="H22" s="55">
        <v>0.19800000000000001</v>
      </c>
      <c r="I22" s="55">
        <v>0.42</v>
      </c>
      <c r="J22" s="58">
        <f>H22*G22</f>
        <v>1.1088</v>
      </c>
      <c r="K22" s="58">
        <f>G22*I22</f>
        <v>2.3519999999999999</v>
      </c>
      <c r="L22" s="55" t="str">
        <f>нагрів!E17</f>
        <v>35+17i</v>
      </c>
      <c r="M22" s="59">
        <f>(IMREAL(L22)*J22+IMAGINARY(L22)*K22)/$N$6</f>
        <v>0.71629090909090909</v>
      </c>
    </row>
    <row r="23" spans="3:14" ht="18.75" x14ac:dyDescent="0.25">
      <c r="C23" s="152"/>
      <c r="D23" s="153"/>
      <c r="E23" s="146" t="s">
        <v>161</v>
      </c>
      <c r="F23" s="147"/>
      <c r="G23" s="147"/>
      <c r="H23" s="147"/>
      <c r="I23" s="147"/>
      <c r="J23" s="147"/>
      <c r="K23" s="147"/>
      <c r="L23" s="148"/>
      <c r="M23" s="59">
        <f>M21+M22</f>
        <v>2.3726354545454549</v>
      </c>
    </row>
    <row r="24" spans="3:14" ht="18.75" x14ac:dyDescent="0.25">
      <c r="C24" s="152"/>
      <c r="D24" s="152" t="s">
        <v>155</v>
      </c>
      <c r="E24" s="55" t="str">
        <f>нагрів!D18</f>
        <v>ВП-2</v>
      </c>
      <c r="F24" s="55" t="str">
        <f>нагрів!I18</f>
        <v>АС-300/67</v>
      </c>
      <c r="G24" s="55">
        <f>'Таблиця 1-4'!E11</f>
        <v>5.4</v>
      </c>
      <c r="H24" s="55">
        <f>H21</f>
        <v>3.4000000000000002E-2</v>
      </c>
      <c r="I24" s="55">
        <f>I21</f>
        <v>0.40500000000000003</v>
      </c>
      <c r="J24" s="55">
        <f>H24*G24</f>
        <v>0.18360000000000001</v>
      </c>
      <c r="K24" s="55">
        <f>I24*G24</f>
        <v>2.1870000000000003</v>
      </c>
      <c r="L24" s="55" t="str">
        <f>нагрів!E18</f>
        <v>67+32.5i</v>
      </c>
      <c r="M24" s="59">
        <f>(IMREAL(L24)*J24+IMAGINARY(L24)*K24)/$N$6</f>
        <v>0.75798818181818195</v>
      </c>
    </row>
    <row r="25" spans="3:14" ht="18.75" x14ac:dyDescent="0.25">
      <c r="C25" s="152"/>
      <c r="D25" s="152"/>
      <c r="E25" s="55" t="str">
        <f>нагрів!D19</f>
        <v>Г-2</v>
      </c>
      <c r="F25" s="55" t="str">
        <f>нагрів!I19</f>
        <v>АС-120/27</v>
      </c>
      <c r="G25" s="55">
        <f>'Таблиця 1-4'!E12</f>
        <v>7.2</v>
      </c>
      <c r="H25" s="55">
        <f>0.249</f>
        <v>0.249</v>
      </c>
      <c r="I25" s="55">
        <v>0.42699999999999999</v>
      </c>
      <c r="J25" s="55">
        <f>H25*G25</f>
        <v>1.7927999999999999</v>
      </c>
      <c r="K25" s="55">
        <f>I25*G25</f>
        <v>3.0743999999999998</v>
      </c>
      <c r="L25" s="55" t="str">
        <f>нагрів!E19</f>
        <v>32+15.5i</v>
      </c>
      <c r="M25" s="59">
        <f t="shared" ref="M25:M26" si="0">(IMREAL(L25)*J25+IMAGINARY(L25)*K25)/$N$6</f>
        <v>0.9547527272727272</v>
      </c>
    </row>
    <row r="26" spans="3:14" ht="18.75" x14ac:dyDescent="0.25">
      <c r="C26" s="152"/>
      <c r="D26" s="152"/>
      <c r="E26" s="55" t="str">
        <f>нагрів!D20</f>
        <v>Е-2</v>
      </c>
      <c r="F26" s="55" t="str">
        <f>нагрів!I20</f>
        <v>АС-150/34</v>
      </c>
      <c r="G26" s="55">
        <f>'Таблиця 1-4'!E13</f>
        <v>8.3000000000000007</v>
      </c>
      <c r="H26" s="60">
        <f>H18</f>
        <v>0.19800000000000001</v>
      </c>
      <c r="I26" s="59">
        <f>I18</f>
        <v>0.42</v>
      </c>
      <c r="J26" s="55">
        <f>H26*G26</f>
        <v>1.6434000000000002</v>
      </c>
      <c r="K26" s="55">
        <f>I26*G26</f>
        <v>3.4860000000000002</v>
      </c>
      <c r="L26" s="55" t="str">
        <f>нагрів!E20</f>
        <v>35+17i</v>
      </c>
      <c r="M26" s="59">
        <f t="shared" si="0"/>
        <v>1.0616454545454546</v>
      </c>
    </row>
    <row r="27" spans="3:14" ht="18.75" x14ac:dyDescent="0.25">
      <c r="C27" s="152"/>
      <c r="D27" s="152"/>
      <c r="E27" s="146" t="s">
        <v>161</v>
      </c>
      <c r="F27" s="147"/>
      <c r="G27" s="147"/>
      <c r="H27" s="147"/>
      <c r="I27" s="147"/>
      <c r="J27" s="147"/>
      <c r="K27" s="147"/>
      <c r="L27" s="148"/>
      <c r="M27" s="59">
        <f>M26</f>
        <v>1.0616454545454546</v>
      </c>
    </row>
    <row r="28" spans="3:14" ht="18.75" x14ac:dyDescent="0.25">
      <c r="C28" s="152"/>
      <c r="D28" s="152"/>
      <c r="E28" s="146" t="s">
        <v>160</v>
      </c>
      <c r="F28" s="147"/>
      <c r="G28" s="147"/>
      <c r="H28" s="147"/>
      <c r="I28" s="147"/>
      <c r="J28" s="147"/>
      <c r="K28" s="147"/>
      <c r="L28" s="148"/>
      <c r="M28" s="59">
        <f>M24+M25</f>
        <v>1.7127409090909091</v>
      </c>
    </row>
    <row r="29" spans="3:14" ht="18.75" x14ac:dyDescent="0.25">
      <c r="C29" s="152" t="s">
        <v>150</v>
      </c>
      <c r="D29" s="149"/>
      <c r="E29" s="55" t="s">
        <v>151</v>
      </c>
      <c r="F29" s="55" t="str">
        <f>нагрів!I21</f>
        <v>АС-400/51</v>
      </c>
      <c r="G29" s="55">
        <v>14.8</v>
      </c>
      <c r="H29" s="55">
        <v>7.4999999999999997E-2</v>
      </c>
      <c r="I29" s="55">
        <v>0.42</v>
      </c>
      <c r="J29" s="59">
        <f>H29*G29</f>
        <v>1.1100000000000001</v>
      </c>
      <c r="K29" s="59">
        <f>I29*G29</f>
        <v>6.2160000000000002</v>
      </c>
      <c r="L29" s="55" t="str">
        <f>нагрів!E21</f>
        <v>166.15+116.7i</v>
      </c>
      <c r="M29" s="59">
        <f>(IMREAL(L29)*J29+IMAGINARY(L29)*K29)/$N$29</f>
        <v>4.1356077272727276</v>
      </c>
      <c r="N29">
        <v>220</v>
      </c>
    </row>
    <row r="30" spans="3:14" ht="18.75" x14ac:dyDescent="0.25">
      <c r="C30" s="152"/>
      <c r="D30" s="150"/>
      <c r="E30" s="55" t="s">
        <v>152</v>
      </c>
      <c r="F30" s="55" t="str">
        <f>нагрів!I22</f>
        <v>АС-300/67</v>
      </c>
      <c r="G30" s="55">
        <v>22.6</v>
      </c>
      <c r="H30" s="55">
        <f>0.034</f>
        <v>3.4000000000000002E-2</v>
      </c>
      <c r="I30" s="55">
        <f>0.429</f>
        <v>0.42899999999999999</v>
      </c>
      <c r="J30" s="59">
        <f t="shared" ref="J30:J31" si="1">H30*G30</f>
        <v>0.76840000000000008</v>
      </c>
      <c r="K30" s="59">
        <f t="shared" ref="K30:K31" si="2">I30*G30</f>
        <v>9.6954000000000011</v>
      </c>
      <c r="L30" s="55" t="str">
        <f>нагрів!E22</f>
        <v>146.15+103.7i</v>
      </c>
      <c r="M30" s="59">
        <f>(IMREAL(L30)*J30+IMAGINARY(L30)*K30)/$N$29</f>
        <v>5.0805210909090919</v>
      </c>
    </row>
    <row r="31" spans="3:14" ht="18.75" x14ac:dyDescent="0.25">
      <c r="C31" s="152"/>
      <c r="D31" s="151"/>
      <c r="E31" s="55" t="s">
        <v>153</v>
      </c>
      <c r="F31" s="55" t="str">
        <f>нагрів!I23</f>
        <v>АС-240/56</v>
      </c>
      <c r="G31" s="55">
        <v>10.8</v>
      </c>
      <c r="H31" s="60">
        <v>2.4E-2</v>
      </c>
      <c r="I31" s="60">
        <f>0.429</f>
        <v>0.42899999999999999</v>
      </c>
      <c r="J31" s="59">
        <f t="shared" si="1"/>
        <v>0.25920000000000004</v>
      </c>
      <c r="K31" s="59">
        <f t="shared" si="2"/>
        <v>4.6332000000000004</v>
      </c>
      <c r="L31" s="55" t="str">
        <f>нагрів!E23</f>
        <v>20+13i</v>
      </c>
      <c r="M31" s="59">
        <f t="shared" ref="M31" si="3">(IMREAL(L31)*J31+IMAGINARY(L31)*K31)/$N$29</f>
        <v>0.29734363636363642</v>
      </c>
    </row>
    <row r="32" spans="3:14" ht="18.75" x14ac:dyDescent="0.25">
      <c r="C32" s="156" t="s">
        <v>165</v>
      </c>
      <c r="D32" s="156"/>
      <c r="E32" s="156"/>
      <c r="F32" s="156"/>
      <c r="G32" s="156"/>
      <c r="H32" s="156"/>
      <c r="I32" s="156"/>
      <c r="J32" s="156"/>
      <c r="K32" s="156"/>
      <c r="L32" s="156"/>
      <c r="M32" s="59">
        <f>M29+M30</f>
        <v>9.2161288181818186</v>
      </c>
    </row>
    <row r="33" spans="3:14" ht="18.75" x14ac:dyDescent="0.25">
      <c r="C33" s="156" t="s">
        <v>166</v>
      </c>
      <c r="D33" s="156"/>
      <c r="E33" s="156"/>
      <c r="F33" s="156"/>
      <c r="G33" s="156"/>
      <c r="H33" s="156"/>
      <c r="I33" s="156"/>
      <c r="J33" s="156"/>
      <c r="K33" s="156"/>
      <c r="L33" s="156"/>
      <c r="M33" s="59">
        <f>M29+M31</f>
        <v>4.4329513636363638</v>
      </c>
    </row>
    <row r="35" spans="3:14" ht="19.5" customHeight="1" x14ac:dyDescent="0.25"/>
    <row r="39" spans="3:14" x14ac:dyDescent="0.25">
      <c r="N39" t="s">
        <v>156</v>
      </c>
    </row>
  </sheetData>
  <mergeCells count="27">
    <mergeCell ref="C33:L33"/>
    <mergeCell ref="G3:G4"/>
    <mergeCell ref="C3:C4"/>
    <mergeCell ref="E3:E4"/>
    <mergeCell ref="F3:F4"/>
    <mergeCell ref="H3:H4"/>
    <mergeCell ref="I3:I4"/>
    <mergeCell ref="C32:L32"/>
    <mergeCell ref="D5:D12"/>
    <mergeCell ref="E16:M16"/>
    <mergeCell ref="E20:M20"/>
    <mergeCell ref="E19:L19"/>
    <mergeCell ref="C5:C15"/>
    <mergeCell ref="E15:L15"/>
    <mergeCell ref="C29:C31"/>
    <mergeCell ref="E5:M5"/>
    <mergeCell ref="E9:M9"/>
    <mergeCell ref="E8:L8"/>
    <mergeCell ref="E12:L12"/>
    <mergeCell ref="D13:D15"/>
    <mergeCell ref="E23:L23"/>
    <mergeCell ref="E27:L27"/>
    <mergeCell ref="E28:L28"/>
    <mergeCell ref="D29:D31"/>
    <mergeCell ref="C16:C28"/>
    <mergeCell ref="D16:D23"/>
    <mergeCell ref="D24:D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W38"/>
  <sheetViews>
    <sheetView topLeftCell="F1" zoomScale="70" zoomScaleNormal="70" workbookViewId="0">
      <selection activeCell="H22" sqref="H22"/>
    </sheetView>
  </sheetViews>
  <sheetFormatPr defaultRowHeight="15" x14ac:dyDescent="0.25"/>
  <sheetData>
    <row r="1" spans="2:23" x14ac:dyDescent="0.25">
      <c r="L1" t="s">
        <v>44</v>
      </c>
      <c r="M1" t="s">
        <v>7</v>
      </c>
    </row>
    <row r="2" spans="2:23" x14ac:dyDescent="0.25">
      <c r="K2" t="str">
        <f>'Табл1-1  1-2'!A4</f>
        <v>А</v>
      </c>
      <c r="L2" s="4">
        <v>100</v>
      </c>
      <c r="M2" s="4">
        <f>'Табл1-1  1-2'!E16</f>
        <v>240</v>
      </c>
    </row>
    <row r="3" spans="2:23" x14ac:dyDescent="0.25">
      <c r="K3" t="str">
        <f>'Табл1-1  1-2'!A5</f>
        <v>Б</v>
      </c>
      <c r="L3" s="4">
        <v>95</v>
      </c>
      <c r="M3" s="4">
        <f>'Табл1-1  1-2'!E17</f>
        <v>125</v>
      </c>
    </row>
    <row r="4" spans="2:23" x14ac:dyDescent="0.25">
      <c r="G4" s="6" t="s">
        <v>43</v>
      </c>
      <c r="H4" s="7" t="s">
        <v>42</v>
      </c>
      <c r="I4" t="s">
        <v>45</v>
      </c>
      <c r="K4" t="str">
        <f>'Табл1-1  1-2'!A6</f>
        <v>В</v>
      </c>
      <c r="L4" s="4">
        <v>50</v>
      </c>
      <c r="M4" s="4">
        <f>'Табл1-1  1-2'!E18</f>
        <v>260</v>
      </c>
      <c r="U4" s="1" t="str">
        <f>G4</f>
        <v>Ділянка</v>
      </c>
      <c r="V4" s="7" t="str">
        <f t="shared" ref="V4:W4" si="0">H4</f>
        <v>l, км</v>
      </c>
      <c r="W4" t="str">
        <f t="shared" si="0"/>
        <v>mm</v>
      </c>
    </row>
    <row r="5" spans="2:23" x14ac:dyDescent="0.25">
      <c r="G5" s="1" t="s">
        <v>73</v>
      </c>
      <c r="H5" s="1">
        <f>ROUND(1.1*I5/10*2,1)</f>
        <v>11.8</v>
      </c>
      <c r="I5">
        <f>SQRT(($L$2-L4)^2+($M$2-M4)^2)</f>
        <v>53.851648071345039</v>
      </c>
      <c r="K5" t="str">
        <f>'Табл1-1  1-2'!A7</f>
        <v>Г</v>
      </c>
      <c r="L5" s="4">
        <v>140</v>
      </c>
      <c r="M5" s="4">
        <f>'Табл1-1  1-2'!E19</f>
        <v>260</v>
      </c>
      <c r="U5" s="1" t="s">
        <v>47</v>
      </c>
      <c r="V5" s="1">
        <f>ROUND(1.1*W5/10*2,1)</f>
        <v>6.4</v>
      </c>
      <c r="W5" s="15">
        <f>SQRT(($L$2-L10)^2+($M$2-M10)^2)</f>
        <v>29.154759474226502</v>
      </c>
    </row>
    <row r="6" spans="2:23" x14ac:dyDescent="0.25">
      <c r="G6" s="1" t="s">
        <v>68</v>
      </c>
      <c r="H6" s="1">
        <f>ROUND(1.1*I6/10*2,1)</f>
        <v>7.8</v>
      </c>
      <c r="I6">
        <f>SQRT(($L$2-L6)^2+($M$2-M6)^2)</f>
        <v>35.355339059327378</v>
      </c>
      <c r="K6" t="str">
        <f>'Табл1-1  1-2'!A8</f>
        <v>Д</v>
      </c>
      <c r="L6" s="4">
        <v>75</v>
      </c>
      <c r="M6" s="4">
        <f>'Табл1-1  1-2'!E20</f>
        <v>265</v>
      </c>
      <c r="U6" s="1" t="s">
        <v>75</v>
      </c>
      <c r="V6" s="1">
        <f t="shared" ref="V6:V7" si="1">ROUND(1.1*W6/10*2,1)</f>
        <v>5.6</v>
      </c>
      <c r="W6" s="15">
        <f>SQRT(($L$10-L4)^2+($M$10-M4)^2)</f>
        <v>25.495097567963924</v>
      </c>
    </row>
    <row r="7" spans="2:23" x14ac:dyDescent="0.25">
      <c r="G7" s="1" t="s">
        <v>74</v>
      </c>
      <c r="H7" s="1">
        <f>ROUND(1.1*I7/10*2,1)</f>
        <v>5.6</v>
      </c>
      <c r="I7">
        <f>SQRT(($L$4-L6)^2+($M$4-M6)^2)</f>
        <v>25.495097567963924</v>
      </c>
      <c r="K7" t="str">
        <f>'Табл1-1  1-2'!A9</f>
        <v>Е</v>
      </c>
      <c r="L7" s="4">
        <v>130</v>
      </c>
      <c r="M7" s="4">
        <f>'Табл1-1  1-2'!E21</f>
        <v>195</v>
      </c>
      <c r="U7" s="1" t="s">
        <v>76</v>
      </c>
      <c r="V7" s="1">
        <f t="shared" si="1"/>
        <v>2.2000000000000002</v>
      </c>
      <c r="W7" s="15">
        <f>SQRT(($L$10-L6)^2+($M$10-M6)^2)</f>
        <v>10</v>
      </c>
    </row>
    <row r="8" spans="2:23" x14ac:dyDescent="0.25">
      <c r="L8">
        <f>'Табл1-1  1-2'!D10</f>
        <v>20</v>
      </c>
      <c r="M8">
        <f>'Табл1-1  1-2'!E10</f>
        <v>90</v>
      </c>
      <c r="V8">
        <f>SUM(V5:V7)</f>
        <v>14.2</v>
      </c>
    </row>
    <row r="9" spans="2:23" x14ac:dyDescent="0.25">
      <c r="K9">
        <v>1</v>
      </c>
      <c r="L9">
        <v>70</v>
      </c>
      <c r="M9">
        <v>252</v>
      </c>
    </row>
    <row r="10" spans="2:23" x14ac:dyDescent="0.25">
      <c r="K10">
        <v>2</v>
      </c>
      <c r="L10">
        <v>75</v>
      </c>
      <c r="M10">
        <v>255</v>
      </c>
    </row>
    <row r="12" spans="2:23" x14ac:dyDescent="0.25">
      <c r="B12" t="s">
        <v>11</v>
      </c>
      <c r="O12" t="s">
        <v>14</v>
      </c>
    </row>
    <row r="16" spans="2:23" x14ac:dyDescent="0.25">
      <c r="G16">
        <v>2</v>
      </c>
    </row>
    <row r="17" spans="2:17" x14ac:dyDescent="0.25">
      <c r="G17" s="1" t="str">
        <f>G4</f>
        <v>Ділянка</v>
      </c>
      <c r="H17" s="7" t="str">
        <f>H4</f>
        <v>l, км</v>
      </c>
      <c r="O17" s="1" t="str">
        <f>G4</f>
        <v>Ділянка</v>
      </c>
      <c r="P17" s="7" t="str">
        <f t="shared" ref="P17:Q17" si="2">H4</f>
        <v>l, км</v>
      </c>
      <c r="Q17" t="str">
        <f t="shared" si="2"/>
        <v>mm</v>
      </c>
    </row>
    <row r="18" spans="2:17" x14ac:dyDescent="0.25">
      <c r="G18" s="1" t="str">
        <f>G5</f>
        <v>ВП-В</v>
      </c>
      <c r="H18" s="1">
        <f>H5</f>
        <v>11.8</v>
      </c>
      <c r="O18" s="1" t="s">
        <v>46</v>
      </c>
      <c r="P18" s="1">
        <f>ROUND(1.1*Q18/10*2,1)</f>
        <v>7.1</v>
      </c>
      <c r="Q18" s="15">
        <f>SQRT(($L$2-L9)^2+($M$2-M9)^2)</f>
        <v>32.310988842807021</v>
      </c>
    </row>
    <row r="19" spans="2:17" x14ac:dyDescent="0.25">
      <c r="G19" s="1" t="str">
        <f t="shared" ref="G19:H19" si="3">G6</f>
        <v>ВП-Д</v>
      </c>
      <c r="H19" s="1">
        <f t="shared" si="3"/>
        <v>7.8</v>
      </c>
      <c r="O19" s="1" t="s">
        <v>77</v>
      </c>
      <c r="P19" s="1">
        <f>ROUND(1.1*Q19/10*2,1)</f>
        <v>4.7</v>
      </c>
      <c r="Q19" s="15">
        <f>SQRT(($L$9-L4)^2+($M$9-M4)^2)</f>
        <v>21.540659228538015</v>
      </c>
    </row>
    <row r="20" spans="2:17" x14ac:dyDescent="0.25">
      <c r="O20" s="1" t="s">
        <v>78</v>
      </c>
      <c r="P20" s="1">
        <f>ROUND(1.1*Q20/10*2,1)</f>
        <v>3.1</v>
      </c>
      <c r="Q20" s="15">
        <f>SQRT(($L$9-L6)^2+($M$9-M6)^2)</f>
        <v>13.928388277184119</v>
      </c>
    </row>
    <row r="21" spans="2:17" x14ac:dyDescent="0.25">
      <c r="O21" s="1" t="s">
        <v>73</v>
      </c>
      <c r="P21" s="1">
        <f>P19+P18</f>
        <v>11.8</v>
      </c>
      <c r="Q21" s="16">
        <f>Q19+Q18</f>
        <v>53.851648071345039</v>
      </c>
    </row>
    <row r="25" spans="2:17" x14ac:dyDescent="0.25">
      <c r="J25" t="s">
        <v>13</v>
      </c>
    </row>
    <row r="26" spans="2:17" x14ac:dyDescent="0.25">
      <c r="B26" t="s">
        <v>12</v>
      </c>
    </row>
    <row r="28" spans="2:17" x14ac:dyDescent="0.25">
      <c r="G28" s="1" t="str">
        <f>G17</f>
        <v>Ділянка</v>
      </c>
      <c r="H28" s="7" t="str">
        <f>H17</f>
        <v>l, км</v>
      </c>
    </row>
    <row r="29" spans="2:17" x14ac:dyDescent="0.25">
      <c r="G29" s="1" t="str">
        <f>G7</f>
        <v>В-Д</v>
      </c>
      <c r="H29" s="1">
        <f>H7</f>
        <v>5.6</v>
      </c>
    </row>
    <row r="30" spans="2:17" x14ac:dyDescent="0.25">
      <c r="G30" s="1" t="str">
        <f>G19</f>
        <v>ВП-Д</v>
      </c>
      <c r="H30" s="1">
        <f>H19</f>
        <v>7.8</v>
      </c>
    </row>
    <row r="38" spans="2:2" x14ac:dyDescent="0.25">
      <c r="B38" t="s">
        <v>15</v>
      </c>
    </row>
  </sheetData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1025" r:id="rId4">
          <objectPr defaultSize="0" r:id="rId5">
            <anchor moveWithCells="1">
              <from>
                <xdr:col>0</xdr:col>
                <xdr:colOff>400050</xdr:colOff>
                <xdr:row>2</xdr:row>
                <xdr:rowOff>85725</xdr:rowOff>
              </from>
              <to>
                <xdr:col>5</xdr:col>
                <xdr:colOff>342900</xdr:colOff>
                <xdr:row>10</xdr:row>
                <xdr:rowOff>9525</xdr:rowOff>
              </to>
            </anchor>
          </objectPr>
        </oleObject>
      </mc:Choice>
      <mc:Fallback>
        <oleObject progId="Visio.Drawing.15" shapeId="1025" r:id="rId4"/>
      </mc:Fallback>
    </mc:AlternateContent>
    <mc:AlternateContent xmlns:mc="http://schemas.openxmlformats.org/markup-compatibility/2006">
      <mc:Choice Requires="x14">
        <oleObject progId="Visio.Drawing.15" shapeId="1030" r:id="rId6">
          <objectPr defaultSize="0" r:id="rId7">
            <anchor moveWithCells="1">
              <from>
                <xdr:col>14</xdr:col>
                <xdr:colOff>314325</xdr:colOff>
                <xdr:row>2</xdr:row>
                <xdr:rowOff>0</xdr:rowOff>
              </from>
              <to>
                <xdr:col>19</xdr:col>
                <xdr:colOff>95250</xdr:colOff>
                <xdr:row>10</xdr:row>
                <xdr:rowOff>104775</xdr:rowOff>
              </to>
            </anchor>
          </objectPr>
        </oleObject>
      </mc:Choice>
      <mc:Fallback>
        <oleObject progId="Visio.Drawing.15" shapeId="1030" r:id="rId6"/>
      </mc:Fallback>
    </mc:AlternateContent>
    <mc:AlternateContent xmlns:mc="http://schemas.openxmlformats.org/markup-compatibility/2006">
      <mc:Choice Requires="x14">
        <oleObject progId="Visio.Drawing.15" shapeId="1032" r:id="rId8">
          <objectPr defaultSize="0" r:id="rId9">
            <anchor moveWithCells="1">
              <from>
                <xdr:col>9</xdr:col>
                <xdr:colOff>104775</xdr:colOff>
                <xdr:row>14</xdr:row>
                <xdr:rowOff>85725</xdr:rowOff>
              </from>
              <to>
                <xdr:col>13</xdr:col>
                <xdr:colOff>533400</xdr:colOff>
                <xdr:row>22</xdr:row>
                <xdr:rowOff>190500</xdr:rowOff>
              </to>
            </anchor>
          </objectPr>
        </oleObject>
      </mc:Choice>
      <mc:Fallback>
        <oleObject progId="Visio.Drawing.15" shapeId="1032" r:id="rId8"/>
      </mc:Fallback>
    </mc:AlternateContent>
    <mc:AlternateContent xmlns:mc="http://schemas.openxmlformats.org/markup-compatibility/2006">
      <mc:Choice Requires="x14">
        <oleObject progId="Visio.Drawing.15" shapeId="1033" r:id="rId10">
          <objectPr defaultSize="0" r:id="rId11">
            <anchor moveWithCells="1">
              <from>
                <xdr:col>1</xdr:col>
                <xdr:colOff>0</xdr:colOff>
                <xdr:row>16</xdr:row>
                <xdr:rowOff>0</xdr:rowOff>
              </from>
              <to>
                <xdr:col>5</xdr:col>
                <xdr:colOff>561975</xdr:colOff>
                <xdr:row>24</xdr:row>
                <xdr:rowOff>123825</xdr:rowOff>
              </to>
            </anchor>
          </objectPr>
        </oleObject>
      </mc:Choice>
      <mc:Fallback>
        <oleObject progId="Visio.Drawing.15" shapeId="1033" r:id="rId10"/>
      </mc:Fallback>
    </mc:AlternateContent>
    <mc:AlternateContent xmlns:mc="http://schemas.openxmlformats.org/markup-compatibility/2006">
      <mc:Choice Requires="x14">
        <oleObject progId="Visio.Drawing.15" shapeId="1035" r:id="rId12">
          <objectPr defaultSize="0" r:id="rId13">
            <anchor moveWithCells="1">
              <from>
                <xdr:col>0</xdr:col>
                <xdr:colOff>400050</xdr:colOff>
                <xdr:row>27</xdr:row>
                <xdr:rowOff>66675</xdr:rowOff>
              </from>
              <to>
                <xdr:col>5</xdr:col>
                <xdr:colOff>523875</xdr:colOff>
                <xdr:row>35</xdr:row>
                <xdr:rowOff>123825</xdr:rowOff>
              </to>
            </anchor>
          </objectPr>
        </oleObject>
      </mc:Choice>
      <mc:Fallback>
        <oleObject progId="Visio.Drawing.15" shapeId="1035" r:id="rId12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Z32"/>
  <sheetViews>
    <sheetView zoomScale="85" zoomScaleNormal="85" workbookViewId="0">
      <selection activeCell="Z24" sqref="Z24"/>
    </sheetView>
  </sheetViews>
  <sheetFormatPr defaultRowHeight="15" x14ac:dyDescent="0.25"/>
  <cols>
    <col min="10" max="10" width="10.28515625" bestFit="1" customWidth="1"/>
  </cols>
  <sheetData>
    <row r="3" spans="2:21" x14ac:dyDescent="0.25">
      <c r="K3" s="3" t="s">
        <v>5</v>
      </c>
      <c r="L3" s="3" t="s">
        <v>7</v>
      </c>
    </row>
    <row r="4" spans="2:21" x14ac:dyDescent="0.25">
      <c r="F4" t="s">
        <v>43</v>
      </c>
      <c r="G4" t="s">
        <v>42</v>
      </c>
      <c r="H4" t="s">
        <v>45</v>
      </c>
      <c r="K4" s="3" t="s">
        <v>6</v>
      </c>
      <c r="L4" s="3" t="s">
        <v>6</v>
      </c>
      <c r="S4" t="str">
        <f>F4</f>
        <v>Ділянка</v>
      </c>
      <c r="T4" t="str">
        <f>G4</f>
        <v>l, км</v>
      </c>
      <c r="U4" t="str">
        <f>H4</f>
        <v>mm</v>
      </c>
    </row>
    <row r="5" spans="2:21" x14ac:dyDescent="0.25">
      <c r="F5" t="s">
        <v>79</v>
      </c>
      <c r="G5">
        <f>ROUND(1.1*H5/10*2,1)</f>
        <v>9.8000000000000007</v>
      </c>
      <c r="H5">
        <f>SQRT(($K$8-K5)^2+($L$8-L5)^2)</f>
        <v>44.721359549995796</v>
      </c>
      <c r="J5" s="11" t="s">
        <v>11</v>
      </c>
      <c r="K5" s="4">
        <v>100</v>
      </c>
      <c r="L5" s="4">
        <v>240</v>
      </c>
      <c r="S5" t="str">
        <f>F5</f>
        <v>ВП-Г</v>
      </c>
      <c r="T5">
        <f>G5</f>
        <v>9.8000000000000007</v>
      </c>
      <c r="U5">
        <f t="shared" ref="T5:U6" si="0">H5</f>
        <v>44.721359549995796</v>
      </c>
    </row>
    <row r="6" spans="2:21" x14ac:dyDescent="0.25">
      <c r="F6" t="s">
        <v>80</v>
      </c>
      <c r="G6">
        <f>ROUND(1.1*H6/10*2,1)</f>
        <v>11.9</v>
      </c>
      <c r="H6">
        <f>SQRT(($K$10-K5)^2+($L$10-L5)^2)</f>
        <v>54.083269131959838</v>
      </c>
      <c r="J6" s="11" t="s">
        <v>12</v>
      </c>
      <c r="K6" s="4">
        <v>95</v>
      </c>
      <c r="L6" s="4">
        <v>125</v>
      </c>
      <c r="S6" t="str">
        <f>F6</f>
        <v>ВП-Е</v>
      </c>
      <c r="T6">
        <f t="shared" si="0"/>
        <v>11.9</v>
      </c>
      <c r="U6">
        <f t="shared" si="0"/>
        <v>54.083269131959838</v>
      </c>
    </row>
    <row r="7" spans="2:21" x14ac:dyDescent="0.25">
      <c r="F7" t="s">
        <v>81</v>
      </c>
      <c r="G7">
        <f t="shared" ref="G7" si="1">ROUND(1.1*H7/10*2,1)</f>
        <v>14.5</v>
      </c>
      <c r="H7">
        <f>SQRT(($K$10-K8)^2+($L$10-L8)^2)</f>
        <v>65.76473218982953</v>
      </c>
      <c r="J7" s="11" t="s">
        <v>13</v>
      </c>
      <c r="K7" s="4">
        <v>50</v>
      </c>
      <c r="L7" s="4">
        <v>260</v>
      </c>
    </row>
    <row r="8" spans="2:21" x14ac:dyDescent="0.25">
      <c r="J8" s="11" t="s">
        <v>14</v>
      </c>
      <c r="K8" s="4">
        <v>140</v>
      </c>
      <c r="L8" s="4">
        <v>260</v>
      </c>
    </row>
    <row r="9" spans="2:21" x14ac:dyDescent="0.25">
      <c r="J9" s="11" t="s">
        <v>15</v>
      </c>
      <c r="K9" s="4">
        <v>75</v>
      </c>
      <c r="L9" s="4">
        <v>265</v>
      </c>
    </row>
    <row r="10" spans="2:21" x14ac:dyDescent="0.25">
      <c r="J10" s="11" t="s">
        <v>16</v>
      </c>
      <c r="K10" s="4">
        <v>130</v>
      </c>
      <c r="L10" s="4">
        <v>195</v>
      </c>
    </row>
    <row r="11" spans="2:21" x14ac:dyDescent="0.25">
      <c r="K11" s="4">
        <v>20</v>
      </c>
      <c r="L11" s="4">
        <v>90</v>
      </c>
    </row>
    <row r="12" spans="2:21" x14ac:dyDescent="0.25">
      <c r="J12">
        <v>1</v>
      </c>
      <c r="K12" s="4">
        <v>103</v>
      </c>
      <c r="L12" s="4">
        <v>235</v>
      </c>
    </row>
    <row r="13" spans="2:21" x14ac:dyDescent="0.25">
      <c r="J13">
        <v>2</v>
      </c>
      <c r="K13" s="4">
        <v>123</v>
      </c>
      <c r="L13" s="4">
        <v>232</v>
      </c>
    </row>
    <row r="14" spans="2:21" x14ac:dyDescent="0.25">
      <c r="J14">
        <v>3</v>
      </c>
    </row>
    <row r="16" spans="2:21" x14ac:dyDescent="0.25">
      <c r="B16" t="s">
        <v>11</v>
      </c>
    </row>
    <row r="17" spans="2:26" x14ac:dyDescent="0.25">
      <c r="N17" t="s">
        <v>12</v>
      </c>
    </row>
    <row r="22" spans="2:26" x14ac:dyDescent="0.25">
      <c r="F22" t="str">
        <f>F4</f>
        <v>Ділянка</v>
      </c>
      <c r="G22" t="str">
        <f>G4</f>
        <v>l, км</v>
      </c>
      <c r="H22" t="str">
        <f>H4</f>
        <v>mm</v>
      </c>
      <c r="O22" t="str">
        <f>F22</f>
        <v>Ділянка</v>
      </c>
      <c r="P22" t="str">
        <f t="shared" ref="P22:Q22" si="2">G22</f>
        <v>l, км</v>
      </c>
      <c r="Q22" t="str">
        <f t="shared" si="2"/>
        <v>mm</v>
      </c>
      <c r="X22" t="str">
        <f>O22</f>
        <v>Ділянка</v>
      </c>
      <c r="Y22" t="str">
        <f t="shared" ref="Y22:Z22" si="3">P22</f>
        <v>l, км</v>
      </c>
      <c r="Z22" t="str">
        <f t="shared" si="3"/>
        <v>mm</v>
      </c>
    </row>
    <row r="23" spans="2:26" x14ac:dyDescent="0.25">
      <c r="F23" t="str">
        <f>F5</f>
        <v>ВП-Г</v>
      </c>
      <c r="G23">
        <f>ROUND(1.1*H23/10*2,1)</f>
        <v>8</v>
      </c>
      <c r="H23">
        <f>36.5</f>
        <v>36.5</v>
      </c>
      <c r="O23" t="str">
        <f>F6</f>
        <v>ВП-Е</v>
      </c>
      <c r="P23">
        <f>G6</f>
        <v>11.9</v>
      </c>
      <c r="Q23">
        <f>H6</f>
        <v>54.083269131959838</v>
      </c>
      <c r="X23" t="s">
        <v>47</v>
      </c>
      <c r="Y23">
        <f>ROUND(1.1*Z23/10*2,1)</f>
        <v>5.4</v>
      </c>
      <c r="Z23">
        <f>SQRT(($K$5-K13)^2+($L$5-L13)^2)</f>
        <v>24.351591323771842</v>
      </c>
    </row>
    <row r="24" spans="2:26" x14ac:dyDescent="0.25">
      <c r="O24" t="s">
        <v>82</v>
      </c>
      <c r="P24">
        <f>ROUND(1.1*Q24/10*2,1)</f>
        <v>9.8000000000000007</v>
      </c>
      <c r="Q24">
        <f>SQRT(($K$8-K12)^2+($L$8-L12)^2)</f>
        <v>44.654227123532216</v>
      </c>
      <c r="X24" t="s">
        <v>83</v>
      </c>
      <c r="Y24">
        <f>ROUND(1.1*Z24/10*2,1)</f>
        <v>7.2</v>
      </c>
      <c r="Z24">
        <f>SQRT(($K$8-K13)^2+($L$8-L13)^2)</f>
        <v>32.756678708318397</v>
      </c>
    </row>
    <row r="25" spans="2:26" x14ac:dyDescent="0.25">
      <c r="F25" t="str">
        <f>F7</f>
        <v>Е-Г</v>
      </c>
      <c r="G25">
        <f t="shared" ref="G25" si="4">G7</f>
        <v>14.5</v>
      </c>
      <c r="H25">
        <f>H7</f>
        <v>65.76473218982953</v>
      </c>
      <c r="O25" t="s">
        <v>46</v>
      </c>
      <c r="P25">
        <f>ROUND(1.1*Q25/10*2,1)</f>
        <v>1.3</v>
      </c>
      <c r="Q25">
        <f>SQRT(($K$5-K12)^2+($L$5-L12)^2)</f>
        <v>5.8309518948453007</v>
      </c>
      <c r="X25" t="s">
        <v>84</v>
      </c>
      <c r="Y25">
        <f t="shared" ref="Y25" si="5">ROUND(1.1*Z25/10*2,1)</f>
        <v>8.3000000000000007</v>
      </c>
      <c r="Z25">
        <f>SQRT(($K$10-K13)^2+($L$10-L13)^2)</f>
        <v>37.656340767525464</v>
      </c>
    </row>
    <row r="26" spans="2:26" x14ac:dyDescent="0.25">
      <c r="O26" t="s">
        <v>120</v>
      </c>
      <c r="P26">
        <f>ROUND(1.1*Q26/10*2,1)</f>
        <v>10.6</v>
      </c>
      <c r="Q26">
        <f>SQRT(($K$10-K12)^2+($L$10-L12)^2)</f>
        <v>48.259714048054619</v>
      </c>
    </row>
    <row r="32" spans="2:26" x14ac:dyDescent="0.25">
      <c r="B32" t="s">
        <v>15</v>
      </c>
      <c r="I32" t="s">
        <v>13</v>
      </c>
      <c r="Q32" t="s">
        <v>14</v>
      </c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5121" r:id="rId4">
          <objectPr defaultSize="0" autoPict="0" r:id="rId5">
            <anchor moveWithCells="1">
              <from>
                <xdr:col>1</xdr:col>
                <xdr:colOff>9525</xdr:colOff>
                <xdr:row>3</xdr:row>
                <xdr:rowOff>9525</xdr:rowOff>
              </from>
              <to>
                <xdr:col>4</xdr:col>
                <xdr:colOff>323850</xdr:colOff>
                <xdr:row>14</xdr:row>
                <xdr:rowOff>85725</xdr:rowOff>
              </to>
            </anchor>
          </objectPr>
        </oleObject>
      </mc:Choice>
      <mc:Fallback>
        <oleObject progId="Visio.Drawing.15" shapeId="5121" r:id="rId4"/>
      </mc:Fallback>
    </mc:AlternateContent>
    <mc:AlternateContent xmlns:mc="http://schemas.openxmlformats.org/markup-compatibility/2006">
      <mc:Choice Requires="x14">
        <oleObject progId="Visio.Drawing.15" shapeId="5122" r:id="rId6">
          <objectPr defaultSize="0" autoPict="0" r:id="rId7">
            <anchor moveWithCells="1">
              <from>
                <xdr:col>12</xdr:col>
                <xdr:colOff>600075</xdr:colOff>
                <xdr:row>3</xdr:row>
                <xdr:rowOff>0</xdr:rowOff>
              </from>
              <to>
                <xdr:col>17</xdr:col>
                <xdr:colOff>0</xdr:colOff>
                <xdr:row>15</xdr:row>
                <xdr:rowOff>28575</xdr:rowOff>
              </to>
            </anchor>
          </objectPr>
        </oleObject>
      </mc:Choice>
      <mc:Fallback>
        <oleObject progId="Visio.Drawing.15" shapeId="5122" r:id="rId6"/>
      </mc:Fallback>
    </mc:AlternateContent>
    <mc:AlternateContent xmlns:mc="http://schemas.openxmlformats.org/markup-compatibility/2006">
      <mc:Choice Requires="x14">
        <oleObject progId="Visio.Drawing.15" shapeId="5125" r:id="rId8">
          <objectPr defaultSize="0" autoPict="0" r:id="rId9">
            <anchor moveWithCells="1">
              <from>
                <xdr:col>9</xdr:col>
                <xdr:colOff>142875</xdr:colOff>
                <xdr:row>16</xdr:row>
                <xdr:rowOff>161925</xdr:rowOff>
              </from>
              <to>
                <xdr:col>12</xdr:col>
                <xdr:colOff>438150</xdr:colOff>
                <xdr:row>29</xdr:row>
                <xdr:rowOff>114300</xdr:rowOff>
              </to>
            </anchor>
          </objectPr>
        </oleObject>
      </mc:Choice>
      <mc:Fallback>
        <oleObject progId="Visio.Drawing.15" shapeId="5125" r:id="rId8"/>
      </mc:Fallback>
    </mc:AlternateContent>
    <mc:AlternateContent xmlns:mc="http://schemas.openxmlformats.org/markup-compatibility/2006">
      <mc:Choice Requires="x14">
        <oleObject progId="Visio.Drawing.15" shapeId="5126" r:id="rId10">
          <objectPr defaultSize="0" autoPict="0" r:id="rId11">
            <anchor moveWithCells="1">
              <from>
                <xdr:col>17</xdr:col>
                <xdr:colOff>38100</xdr:colOff>
                <xdr:row>15</xdr:row>
                <xdr:rowOff>142875</xdr:rowOff>
              </from>
              <to>
                <xdr:col>21</xdr:col>
                <xdr:colOff>180975</xdr:colOff>
                <xdr:row>28</xdr:row>
                <xdr:rowOff>114300</xdr:rowOff>
              </to>
            </anchor>
          </objectPr>
        </oleObject>
      </mc:Choice>
      <mc:Fallback>
        <oleObject progId="Visio.Drawing.15" shapeId="5126" r:id="rId10"/>
      </mc:Fallback>
    </mc:AlternateContent>
    <mc:AlternateContent xmlns:mc="http://schemas.openxmlformats.org/markup-compatibility/2006">
      <mc:Choice Requires="x14">
        <oleObject progId="Visio.Drawing.15" shapeId="5127" r:id="rId12">
          <objectPr defaultSize="0" autoPict="0" r:id="rId13">
            <anchor moveWithCells="1">
              <from>
                <xdr:col>0</xdr:col>
                <xdr:colOff>495300</xdr:colOff>
                <xdr:row>17</xdr:row>
                <xdr:rowOff>57150</xdr:rowOff>
              </from>
              <to>
                <xdr:col>4</xdr:col>
                <xdr:colOff>352425</xdr:colOff>
                <xdr:row>30</xdr:row>
                <xdr:rowOff>19050</xdr:rowOff>
              </to>
            </anchor>
          </objectPr>
        </oleObject>
      </mc:Choice>
      <mc:Fallback>
        <oleObject progId="Visio.Drawing.15" shapeId="5127" r:id="rId12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G3:L12"/>
  <sheetViews>
    <sheetView workbookViewId="0">
      <selection activeCell="G7" sqref="G7"/>
    </sheetView>
  </sheetViews>
  <sheetFormatPr defaultRowHeight="15" x14ac:dyDescent="0.25"/>
  <sheetData>
    <row r="3" spans="7:12" x14ac:dyDescent="0.25">
      <c r="G3" t="str">
        <f>'Вар2. Длинна'!F4</f>
        <v>Ділянка</v>
      </c>
      <c r="H3" t="str">
        <f>'Вар2. Длинна'!G4</f>
        <v>l, км</v>
      </c>
      <c r="I3" t="str">
        <f>'Вар2. Длинна'!H4</f>
        <v>mm</v>
      </c>
      <c r="J3">
        <f>'Вар2. Длинна'!J3</f>
        <v>0</v>
      </c>
      <c r="K3" t="str">
        <f>'Вар2. Длинна'!K3</f>
        <v>Х</v>
      </c>
      <c r="L3" t="str">
        <f>'Вар2. Длинна'!L3</f>
        <v>Y</v>
      </c>
    </row>
    <row r="4" spans="7:12" x14ac:dyDescent="0.25">
      <c r="G4" t="s">
        <v>94</v>
      </c>
      <c r="H4">
        <f>ROUND(1.1*I4/10*2,1)</f>
        <v>14.8</v>
      </c>
      <c r="I4">
        <f>SQRT(($K$11-K12)^2+($L$11-L12)^2)</f>
        <v>67.119296778199342</v>
      </c>
      <c r="J4">
        <f>'Вар2. Длинна'!J4</f>
        <v>0</v>
      </c>
      <c r="K4" t="str">
        <f>'Вар2. Длинна'!K4</f>
        <v>мм</v>
      </c>
      <c r="L4" t="str">
        <f>'Вар2. Длинна'!L4</f>
        <v>мм</v>
      </c>
    </row>
    <row r="5" spans="7:12" x14ac:dyDescent="0.25">
      <c r="G5" t="s">
        <v>93</v>
      </c>
      <c r="H5">
        <f>ROUND(1.1*I5/10*2,1)</f>
        <v>22.6</v>
      </c>
      <c r="I5">
        <f>SQRT(($K$12-K5)^2+($L$12-L5)^2)</f>
        <v>102.88342918079665</v>
      </c>
      <c r="J5" t="str">
        <f>'Вар2. Длинна'!J5</f>
        <v>А</v>
      </c>
      <c r="K5">
        <f>'Вар2. Длинна'!K5</f>
        <v>100</v>
      </c>
      <c r="L5">
        <f>'Вар2. Длинна'!L5</f>
        <v>240</v>
      </c>
    </row>
    <row r="6" spans="7:12" x14ac:dyDescent="0.25">
      <c r="G6" t="s">
        <v>92</v>
      </c>
      <c r="H6">
        <f>ROUND(1.1*I6/10*2,1)</f>
        <v>10.8</v>
      </c>
      <c r="I6">
        <f>SQRT(($K$12-K6)^2+($L$12-L6)^2)</f>
        <v>49.244289008980523</v>
      </c>
      <c r="J6" t="str">
        <f>'Вар2. Длинна'!J6</f>
        <v>Б</v>
      </c>
      <c r="K6">
        <f>'Вар2. Длинна'!K6</f>
        <v>95</v>
      </c>
      <c r="L6">
        <f>'Вар2. Длинна'!L6</f>
        <v>125</v>
      </c>
    </row>
    <row r="7" spans="7:12" x14ac:dyDescent="0.25">
      <c r="G7" t="s">
        <v>122</v>
      </c>
      <c r="H7">
        <f>H4+H5</f>
        <v>37.400000000000006</v>
      </c>
      <c r="J7" t="str">
        <f>'Вар2. Длинна'!J7</f>
        <v>В</v>
      </c>
      <c r="K7">
        <f>'Вар2. Длинна'!K7</f>
        <v>50</v>
      </c>
      <c r="L7">
        <f>'Вар2. Длинна'!L7</f>
        <v>260</v>
      </c>
    </row>
    <row r="8" spans="7:12" x14ac:dyDescent="0.25">
      <c r="J8" t="str">
        <f>'Вар2. Длинна'!J8</f>
        <v>Г</v>
      </c>
      <c r="K8">
        <f>'Вар2. Длинна'!K8</f>
        <v>140</v>
      </c>
      <c r="L8">
        <f>'Вар2. Длинна'!L8</f>
        <v>260</v>
      </c>
    </row>
    <row r="9" spans="7:12" x14ac:dyDescent="0.25">
      <c r="J9" t="str">
        <f>'Вар2. Длинна'!J9</f>
        <v>Д</v>
      </c>
      <c r="K9">
        <f>'Вар2. Длинна'!K9</f>
        <v>75</v>
      </c>
      <c r="L9">
        <f>'Вар2. Длинна'!L9</f>
        <v>265</v>
      </c>
    </row>
    <row r="10" spans="7:12" x14ac:dyDescent="0.25">
      <c r="J10" t="str">
        <f>'Вар2. Длинна'!J10</f>
        <v>Е</v>
      </c>
      <c r="K10">
        <f>'Вар2. Длинна'!K10</f>
        <v>130</v>
      </c>
      <c r="L10">
        <f>'Вар2. Длинна'!L10</f>
        <v>195</v>
      </c>
    </row>
    <row r="11" spans="7:12" x14ac:dyDescent="0.25">
      <c r="K11">
        <f>'Вар2. Длинна'!K11</f>
        <v>20</v>
      </c>
      <c r="L11">
        <f>'Вар2. Длинна'!L11</f>
        <v>90</v>
      </c>
    </row>
    <row r="12" spans="7:12" x14ac:dyDescent="0.25">
      <c r="J12">
        <v>3</v>
      </c>
      <c r="K12">
        <v>52</v>
      </c>
      <c r="L12">
        <v>149</v>
      </c>
    </row>
  </sheetData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Visio.Drawing.15" shapeId="11266" r:id="rId3">
          <objectPr defaultSize="0" autoPict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5</xdr:col>
                <xdr:colOff>0</xdr:colOff>
                <xdr:row>23</xdr:row>
                <xdr:rowOff>161925</xdr:rowOff>
              </to>
            </anchor>
          </objectPr>
        </oleObject>
      </mc:Choice>
      <mc:Fallback>
        <oleObject progId="Visio.Drawing.15" shapeId="11266" r:id="rId3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9"/>
  <sheetViews>
    <sheetView zoomScale="95" zoomScaleNormal="95" workbookViewId="0">
      <selection activeCell="C13" sqref="C13"/>
    </sheetView>
  </sheetViews>
  <sheetFormatPr defaultRowHeight="15" x14ac:dyDescent="0.25"/>
  <cols>
    <col min="12" max="12" width="13.140625" bestFit="1" customWidth="1"/>
  </cols>
  <sheetData>
    <row r="2" spans="3:13" ht="15.75" thickBot="1" x14ac:dyDescent="0.3"/>
    <row r="3" spans="3:13" ht="46.15" customHeight="1" thickBot="1" x14ac:dyDescent="0.3">
      <c r="C3" s="76" t="s">
        <v>48</v>
      </c>
      <c r="D3" s="78" t="s">
        <v>49</v>
      </c>
      <c r="E3" s="79"/>
      <c r="F3" s="79"/>
      <c r="G3" s="79"/>
      <c r="H3" s="80"/>
      <c r="I3" s="78" t="s">
        <v>50</v>
      </c>
      <c r="J3" s="79"/>
      <c r="K3" s="79"/>
      <c r="L3" s="79"/>
      <c r="M3" s="80"/>
    </row>
    <row r="4" spans="3:13" ht="16.5" thickBot="1" x14ac:dyDescent="0.3">
      <c r="C4" s="77"/>
      <c r="D4" s="8" t="s">
        <v>51</v>
      </c>
      <c r="E4" s="8" t="s">
        <v>52</v>
      </c>
      <c r="F4" s="8" t="s">
        <v>53</v>
      </c>
      <c r="G4" s="8" t="s">
        <v>54</v>
      </c>
      <c r="H4" s="8" t="s">
        <v>55</v>
      </c>
      <c r="I4" s="8" t="s">
        <v>51</v>
      </c>
      <c r="J4" s="8" t="s">
        <v>52</v>
      </c>
      <c r="K4" s="8" t="s">
        <v>53</v>
      </c>
      <c r="L4" s="8" t="s">
        <v>54</v>
      </c>
      <c r="M4" s="8" t="s">
        <v>55</v>
      </c>
    </row>
    <row r="5" spans="3:13" ht="21" customHeight="1" thickBot="1" x14ac:dyDescent="0.3">
      <c r="C5" s="9" t="s">
        <v>56</v>
      </c>
      <c r="D5" s="8">
        <v>4</v>
      </c>
      <c r="E5" s="8">
        <v>4</v>
      </c>
      <c r="F5" s="8">
        <v>2</v>
      </c>
      <c r="G5" s="8">
        <v>2</v>
      </c>
      <c r="H5" s="8">
        <v>2</v>
      </c>
      <c r="I5" s="8">
        <f>4</f>
        <v>4</v>
      </c>
      <c r="J5" s="8">
        <v>4</v>
      </c>
      <c r="K5" s="8">
        <v>2</v>
      </c>
      <c r="L5" s="8">
        <v>2</v>
      </c>
      <c r="M5" s="8">
        <v>2</v>
      </c>
    </row>
    <row r="6" spans="3:13" ht="21" customHeight="1" thickBot="1" x14ac:dyDescent="0.3">
      <c r="C6" s="9" t="s">
        <v>57</v>
      </c>
      <c r="D6" s="8">
        <f>'Вар1. Длинна'!H5*1+'Вар1. Длинна'!H6*1+'Вар1. Длинна'!H7*1</f>
        <v>25.200000000000003</v>
      </c>
      <c r="E6" s="8">
        <f>'Вар1. Длинна'!H18*1.6+'Вар1. Длинна'!H19*2</f>
        <v>34.480000000000004</v>
      </c>
      <c r="F6" s="8">
        <f>'Вар1. Длинна'!P18*2+'Вар1. Длинна'!P20*2+'Вар1. Длинна'!P19*2</f>
        <v>29.799999999999997</v>
      </c>
      <c r="G6" s="8">
        <f>'Вар1. Длинна'!V5*2+'Вар1. Длинна'!V7*2+'Вар1. Длинна'!V6*2</f>
        <v>28.400000000000002</v>
      </c>
      <c r="H6" s="8">
        <f>'Вар1. Длинна'!H30*2+'Вар1. Длинна'!H29*2</f>
        <v>26.799999999999997</v>
      </c>
      <c r="I6" s="8">
        <f>'Вар2. Длинна'!G5+'Вар2. Длинна'!G6+'Вар2. Длинна'!G7</f>
        <v>36.200000000000003</v>
      </c>
      <c r="J6" s="8">
        <f>'Вар2. Длинна'!T5*1.6+'Вар2. Длинна'!T6*2</f>
        <v>39.480000000000004</v>
      </c>
      <c r="K6" s="8">
        <f>'Вар2. Длинна'!P25*2+'Вар2. Длинна'!P24*2+'Вар2. Длинна'!P26*2</f>
        <v>43.400000000000006</v>
      </c>
      <c r="L6" s="8">
        <f>'Вар2. Длинна'!Y23*2+'Вар2. Длинна'!Y25*2+'Вар2. Длинна'!Y24*2</f>
        <v>41.800000000000004</v>
      </c>
      <c r="M6" s="8">
        <f>'Вар2. Длинна'!G23*2+'Вар2. Длинна'!G25*2</f>
        <v>45</v>
      </c>
    </row>
    <row r="7" spans="3:13" ht="24.75" customHeight="1" thickBot="1" x14ac:dyDescent="0.3">
      <c r="C7" s="9" t="s">
        <v>57</v>
      </c>
      <c r="D7" s="18">
        <f>D6+D5*3</f>
        <v>37.200000000000003</v>
      </c>
      <c r="E7" s="17">
        <f>E6+E5*3</f>
        <v>46.480000000000004</v>
      </c>
      <c r="F7" s="8">
        <f>F6+F5*3</f>
        <v>35.799999999999997</v>
      </c>
      <c r="G7" s="8">
        <f>G6+G5*3</f>
        <v>34.400000000000006</v>
      </c>
      <c r="H7" s="18">
        <f>H6+H5*3</f>
        <v>32.799999999999997</v>
      </c>
      <c r="I7" s="18">
        <f t="shared" ref="I7:M7" si="0">I6+I5*3</f>
        <v>48.2</v>
      </c>
      <c r="J7" s="8">
        <f t="shared" si="0"/>
        <v>51.480000000000004</v>
      </c>
      <c r="K7" s="8">
        <f>K6+K5*3</f>
        <v>49.400000000000006</v>
      </c>
      <c r="L7" s="38">
        <f>L6+L5*3</f>
        <v>47.800000000000004</v>
      </c>
      <c r="M7" s="8">
        <f t="shared" si="0"/>
        <v>51</v>
      </c>
    </row>
    <row r="8" spans="3:13" ht="15.75" thickBot="1" x14ac:dyDescent="0.3">
      <c r="C8" s="19"/>
      <c r="D8" s="19" t="s">
        <v>85</v>
      </c>
      <c r="E8" s="19" t="s">
        <v>86</v>
      </c>
      <c r="F8" s="19" t="s">
        <v>60</v>
      </c>
      <c r="G8" s="19" t="s">
        <v>60</v>
      </c>
      <c r="H8" s="19" t="s">
        <v>60</v>
      </c>
      <c r="I8" s="19" t="s">
        <v>59</v>
      </c>
      <c r="J8" s="19" t="s">
        <v>58</v>
      </c>
      <c r="K8" s="19" t="s">
        <v>60</v>
      </c>
      <c r="L8" s="19" t="s">
        <v>60</v>
      </c>
      <c r="M8" s="19" t="s">
        <v>60</v>
      </c>
    </row>
    <row r="9" spans="3:13" ht="15.75" thickBot="1" x14ac:dyDescent="0.3">
      <c r="C9" s="19"/>
      <c r="D9" s="19" t="s">
        <v>61</v>
      </c>
      <c r="E9" s="19" t="s">
        <v>62</v>
      </c>
      <c r="F9" s="19" t="s">
        <v>62</v>
      </c>
      <c r="G9" s="19" t="s">
        <v>62</v>
      </c>
      <c r="H9" s="19" t="s">
        <v>61</v>
      </c>
      <c r="I9" s="19" t="s">
        <v>61</v>
      </c>
      <c r="J9" s="19" t="s">
        <v>62</v>
      </c>
      <c r="K9" s="19" t="s">
        <v>62</v>
      </c>
      <c r="L9" s="19" t="s">
        <v>61</v>
      </c>
      <c r="M9" s="19" t="s">
        <v>62</v>
      </c>
    </row>
  </sheetData>
  <mergeCells count="3">
    <mergeCell ref="C3:C4"/>
    <mergeCell ref="D3:H3"/>
    <mergeCell ref="I3:M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L46"/>
  <sheetViews>
    <sheetView tabSelected="1" topLeftCell="A34" workbookViewId="0">
      <selection activeCell="O46" sqref="O46"/>
    </sheetView>
  </sheetViews>
  <sheetFormatPr defaultRowHeight="15" x14ac:dyDescent="0.25"/>
  <cols>
    <col min="4" max="4" width="17.28515625" customWidth="1"/>
    <col min="5" max="5" width="19.5703125" bestFit="1" customWidth="1"/>
    <col min="6" max="6" width="15" bestFit="1" customWidth="1"/>
    <col min="7" max="7" width="19.85546875" customWidth="1"/>
    <col min="8" max="8" width="22.28515625" customWidth="1"/>
    <col min="9" max="9" width="13.42578125" customWidth="1"/>
    <col min="10" max="10" width="19.42578125" customWidth="1"/>
    <col min="11" max="11" width="23" customWidth="1"/>
  </cols>
  <sheetData>
    <row r="2" spans="1:12" ht="15.75" thickBot="1" x14ac:dyDescent="0.3">
      <c r="C2" t="s">
        <v>184</v>
      </c>
    </row>
    <row r="3" spans="1:12" ht="30.75" customHeight="1" x14ac:dyDescent="0.25">
      <c r="C3" s="88" t="s">
        <v>173</v>
      </c>
      <c r="D3" s="65" t="s">
        <v>174</v>
      </c>
      <c r="E3" s="88" t="s">
        <v>175</v>
      </c>
      <c r="F3" s="88" t="s">
        <v>176</v>
      </c>
      <c r="G3" s="88" t="s">
        <v>177</v>
      </c>
      <c r="H3" s="88" t="s">
        <v>178</v>
      </c>
      <c r="I3" s="84" t="s">
        <v>179</v>
      </c>
      <c r="J3" s="84" t="s">
        <v>180</v>
      </c>
      <c r="K3" s="84" t="s">
        <v>181</v>
      </c>
    </row>
    <row r="4" spans="1:12" ht="19.5" thickBot="1" x14ac:dyDescent="0.3">
      <c r="C4" s="97"/>
      <c r="D4" s="33" t="s">
        <v>9</v>
      </c>
      <c r="E4" s="90"/>
      <c r="F4" s="90"/>
      <c r="G4" s="90"/>
      <c r="H4" s="90"/>
      <c r="I4" s="96"/>
      <c r="J4" s="96"/>
      <c r="K4" s="96"/>
    </row>
    <row r="5" spans="1:12" ht="19.5" thickBot="1" x14ac:dyDescent="0.3">
      <c r="A5">
        <f>Потокорозподіл!F26</f>
        <v>146.15</v>
      </c>
      <c r="B5">
        <f>Потокорозподіл!G26</f>
        <v>103.7</v>
      </c>
      <c r="C5" s="62" t="str">
        <f>'Табл1-1  1-2'!A4</f>
        <v>А</v>
      </c>
      <c r="D5" s="33">
        <v>220</v>
      </c>
      <c r="E5" s="66" t="str">
        <f>COMPLEX(A5,B5)</f>
        <v>146.15+103.7i</v>
      </c>
      <c r="F5" s="68">
        <f>IMABS(E5)</f>
        <v>179.20243441426791</v>
      </c>
      <c r="G5" s="68">
        <f>0.7*F5</f>
        <v>125.44170408998752</v>
      </c>
      <c r="H5" s="66">
        <v>125</v>
      </c>
      <c r="I5" s="66">
        <v>2</v>
      </c>
      <c r="J5" s="67">
        <f>F5/I5/H5</f>
        <v>0.71680973765707168</v>
      </c>
      <c r="K5" s="67">
        <f>F5/H5</f>
        <v>1.4336194753141434</v>
      </c>
      <c r="L5" t="s">
        <v>183</v>
      </c>
    </row>
    <row r="6" spans="1:12" ht="19.5" thickBot="1" x14ac:dyDescent="0.3">
      <c r="A6">
        <f>'Табл1-1  1-2'!B5</f>
        <v>20</v>
      </c>
      <c r="B6">
        <f>'Табл1-1  1-2'!C5</f>
        <v>13</v>
      </c>
      <c r="C6" s="62" t="str">
        <f>'Табл1-1  1-2'!A5</f>
        <v>Б</v>
      </c>
      <c r="D6" s="33">
        <v>220</v>
      </c>
      <c r="E6" s="66" t="str">
        <f t="shared" ref="E6:E10" si="0">COMPLEX(A6,B6)</f>
        <v>20+13i</v>
      </c>
      <c r="F6" s="68">
        <f t="shared" ref="F6:F10" si="1">IMABS(E6)</f>
        <v>23.853720883753127</v>
      </c>
      <c r="G6" s="68">
        <f t="shared" ref="G6:G9" si="2">0.7*F6</f>
        <v>16.697604618627189</v>
      </c>
      <c r="H6" s="71">
        <v>25</v>
      </c>
      <c r="I6" s="66">
        <v>2</v>
      </c>
      <c r="J6" s="67">
        <f>F6/I6/H6</f>
        <v>0.47707441767506253</v>
      </c>
      <c r="K6" s="67">
        <f>F6/H6</f>
        <v>0.95414883535012507</v>
      </c>
      <c r="L6" t="s">
        <v>205</v>
      </c>
    </row>
    <row r="7" spans="1:12" ht="19.5" thickBot="1" x14ac:dyDescent="0.3">
      <c r="A7">
        <f>'Табл1-1  1-2'!B6</f>
        <v>35</v>
      </c>
      <c r="B7">
        <f>'Табл1-1  1-2'!C6</f>
        <v>19</v>
      </c>
      <c r="C7" s="62" t="str">
        <f>'Табл1-1  1-2'!A6</f>
        <v>В</v>
      </c>
      <c r="D7" s="33">
        <v>110</v>
      </c>
      <c r="E7" s="66" t="str">
        <f t="shared" si="0"/>
        <v>35+19i</v>
      </c>
      <c r="F7" s="68">
        <f t="shared" si="1"/>
        <v>39.824615503479755</v>
      </c>
      <c r="G7" s="68">
        <f>0.7*F7</f>
        <v>27.877230852435826</v>
      </c>
      <c r="H7" s="66">
        <v>40</v>
      </c>
      <c r="I7" s="66">
        <v>2</v>
      </c>
      <c r="J7" s="67">
        <f>F7/I7/H7</f>
        <v>0.49780769379349693</v>
      </c>
      <c r="K7" s="67">
        <f>F7/H7</f>
        <v>0.99561538758699386</v>
      </c>
      <c r="L7" t="s">
        <v>182</v>
      </c>
    </row>
    <row r="8" spans="1:12" ht="19.5" thickBot="1" x14ac:dyDescent="0.3">
      <c r="A8">
        <f>'Табл1-1  1-2'!B7</f>
        <v>32</v>
      </c>
      <c r="B8">
        <f>'Табл1-1  1-2'!C7</f>
        <v>15.5</v>
      </c>
      <c r="C8" s="62" t="str">
        <f>'Табл1-1  1-2'!A7</f>
        <v>Г</v>
      </c>
      <c r="D8" s="33">
        <v>110</v>
      </c>
      <c r="E8" s="66" t="str">
        <f t="shared" si="0"/>
        <v>32+15.5i</v>
      </c>
      <c r="F8" s="68">
        <f t="shared" si="1"/>
        <v>35.556293395122054</v>
      </c>
      <c r="G8" s="68">
        <f t="shared" si="2"/>
        <v>24.889405376585437</v>
      </c>
      <c r="H8" s="66">
        <v>25</v>
      </c>
      <c r="I8" s="66">
        <v>2</v>
      </c>
      <c r="J8" s="67">
        <f t="shared" ref="J8:J10" si="3">F8/I8/H8</f>
        <v>0.71112586790244103</v>
      </c>
      <c r="K8" s="67">
        <f t="shared" ref="K8:K10" si="4">F8/H8</f>
        <v>1.4222517358048821</v>
      </c>
      <c r="L8" t="s">
        <v>182</v>
      </c>
    </row>
    <row r="9" spans="1:12" ht="19.5" thickBot="1" x14ac:dyDescent="0.3">
      <c r="A9">
        <f>'Табл1-1  1-2'!B8</f>
        <v>27</v>
      </c>
      <c r="B9">
        <f>'Табл1-1  1-2'!C8</f>
        <v>13.8</v>
      </c>
      <c r="C9" s="62" t="str">
        <f>'Табл1-1  1-2'!A8</f>
        <v>Д</v>
      </c>
      <c r="D9" s="33">
        <v>110</v>
      </c>
      <c r="E9" s="66" t="str">
        <f t="shared" si="0"/>
        <v>27+13.8i</v>
      </c>
      <c r="F9" s="68">
        <f t="shared" si="1"/>
        <v>30.322269044383869</v>
      </c>
      <c r="G9" s="68">
        <f t="shared" si="2"/>
        <v>21.225588331068707</v>
      </c>
      <c r="H9" s="66">
        <v>25</v>
      </c>
      <c r="I9" s="66">
        <v>2</v>
      </c>
      <c r="J9" s="67">
        <f t="shared" si="3"/>
        <v>0.60644538088767741</v>
      </c>
      <c r="K9" s="67">
        <f t="shared" si="4"/>
        <v>1.2128907617753548</v>
      </c>
      <c r="L9" t="s">
        <v>182</v>
      </c>
    </row>
    <row r="10" spans="1:12" ht="19.5" thickBot="1" x14ac:dyDescent="0.3">
      <c r="A10">
        <f>'Табл1-1  1-2'!B9</f>
        <v>35</v>
      </c>
      <c r="B10">
        <f>'Табл1-1  1-2'!C9</f>
        <v>17</v>
      </c>
      <c r="C10" s="62" t="str">
        <f>'Табл1-1  1-2'!A9</f>
        <v>Е</v>
      </c>
      <c r="D10" s="33">
        <v>110</v>
      </c>
      <c r="E10" s="66" t="str">
        <f t="shared" si="0"/>
        <v>35+17i</v>
      </c>
      <c r="F10" s="68">
        <f t="shared" si="1"/>
        <v>38.910152916687437</v>
      </c>
      <c r="G10" s="68">
        <f>0.7*F10</f>
        <v>27.237107041681206</v>
      </c>
      <c r="H10" s="66">
        <v>40</v>
      </c>
      <c r="I10" s="66">
        <v>2</v>
      </c>
      <c r="J10" s="67">
        <f t="shared" si="3"/>
        <v>0.48637691145859296</v>
      </c>
      <c r="K10" s="67">
        <f t="shared" si="4"/>
        <v>0.97275382291718593</v>
      </c>
      <c r="L10" t="s">
        <v>182</v>
      </c>
    </row>
    <row r="14" spans="1:12" ht="15.75" thickBot="1" x14ac:dyDescent="0.3">
      <c r="C14" t="s">
        <v>185</v>
      </c>
    </row>
    <row r="15" spans="1:12" ht="28.5" customHeight="1" x14ac:dyDescent="0.25">
      <c r="C15" s="88" t="s">
        <v>186</v>
      </c>
      <c r="D15" s="88" t="s">
        <v>196</v>
      </c>
      <c r="E15" s="88" t="s">
        <v>195</v>
      </c>
      <c r="F15" s="88" t="s">
        <v>191</v>
      </c>
      <c r="G15" s="88" t="s">
        <v>194</v>
      </c>
      <c r="H15" s="88" t="s">
        <v>187</v>
      </c>
      <c r="I15" s="88" t="s">
        <v>192</v>
      </c>
      <c r="J15" s="88" t="s">
        <v>188</v>
      </c>
      <c r="K15" s="88" t="s">
        <v>193</v>
      </c>
    </row>
    <row r="16" spans="1:12" ht="6.75" customHeight="1" thickBot="1" x14ac:dyDescent="0.3">
      <c r="C16" s="97"/>
      <c r="D16" s="90"/>
      <c r="E16" s="90"/>
      <c r="F16" s="97"/>
      <c r="G16" s="90"/>
      <c r="H16" s="97"/>
      <c r="I16" s="90"/>
      <c r="J16" s="97"/>
      <c r="K16" s="90"/>
    </row>
    <row r="17" spans="1:12" ht="42.75" customHeight="1" thickBot="1" x14ac:dyDescent="0.3">
      <c r="A17">
        <f>'Табл1-1  1-2'!B4</f>
        <v>16</v>
      </c>
      <c r="B17">
        <f>'Табл1-1  1-2'!C4</f>
        <v>12</v>
      </c>
      <c r="C17" s="64" t="str">
        <f>C5</f>
        <v>А</v>
      </c>
      <c r="D17" s="33">
        <f>A17</f>
        <v>16</v>
      </c>
      <c r="E17" s="33">
        <f>B17</f>
        <v>12</v>
      </c>
      <c r="F17" s="33">
        <f>E17/D17</f>
        <v>0.75</v>
      </c>
      <c r="G17" s="33">
        <f>D17*(F17-0.25)</f>
        <v>8</v>
      </c>
      <c r="H17" s="33" t="s">
        <v>197</v>
      </c>
      <c r="I17" s="33">
        <f>'Табл1-1  1-2'!F4</f>
        <v>6</v>
      </c>
      <c r="J17" s="33" t="s">
        <v>202</v>
      </c>
      <c r="K17" s="33">
        <f>4*0.9+4*1.125</f>
        <v>8.1</v>
      </c>
    </row>
    <row r="18" spans="1:12" ht="38.25" thickBot="1" x14ac:dyDescent="0.3">
      <c r="A18">
        <f>'Табл1-1  1-2'!B5</f>
        <v>20</v>
      </c>
      <c r="B18">
        <f>'Табл1-1  1-2'!C5</f>
        <v>13</v>
      </c>
      <c r="C18" s="64" t="str">
        <f t="shared" ref="C18:C22" si="5">C6</f>
        <v>Б</v>
      </c>
      <c r="D18" s="33">
        <f t="shared" ref="D18:D22" si="6">A18</f>
        <v>20</v>
      </c>
      <c r="E18" s="33">
        <f t="shared" ref="E18:E22" si="7">B18</f>
        <v>13</v>
      </c>
      <c r="F18" s="33">
        <f t="shared" ref="F18:F22" si="8">E18/D18</f>
        <v>0.65</v>
      </c>
      <c r="G18" s="33">
        <f t="shared" ref="G18:G22" si="9">D18*(F18-0.25)</f>
        <v>8</v>
      </c>
      <c r="H18" s="33" t="s">
        <v>206</v>
      </c>
      <c r="I18" s="33">
        <f>'Табл1-1  1-2'!F5</f>
        <v>10</v>
      </c>
      <c r="J18" s="33" t="s">
        <v>203</v>
      </c>
      <c r="K18" s="33">
        <f>4*0.9+4*1.125</f>
        <v>8.1</v>
      </c>
    </row>
    <row r="19" spans="1:12" ht="38.25" thickBot="1" x14ac:dyDescent="0.3">
      <c r="A19">
        <f>'Табл1-1  1-2'!B6</f>
        <v>35</v>
      </c>
      <c r="B19">
        <f>'Табл1-1  1-2'!C6</f>
        <v>19</v>
      </c>
      <c r="C19" s="64" t="str">
        <f t="shared" si="5"/>
        <v>В</v>
      </c>
      <c r="D19" s="33">
        <f t="shared" si="6"/>
        <v>35</v>
      </c>
      <c r="E19" s="33">
        <f t="shared" si="7"/>
        <v>19</v>
      </c>
      <c r="F19" s="33">
        <f t="shared" si="8"/>
        <v>0.54285714285714282</v>
      </c>
      <c r="G19" s="33">
        <f t="shared" si="9"/>
        <v>10.249999999999998</v>
      </c>
      <c r="H19" s="33" t="s">
        <v>198</v>
      </c>
      <c r="I19" s="33">
        <f>'Табл1-1  1-2'!F6</f>
        <v>10</v>
      </c>
      <c r="J19" s="33" t="s">
        <v>200</v>
      </c>
      <c r="K19" s="33">
        <f>4*2.7</f>
        <v>10.8</v>
      </c>
    </row>
    <row r="20" spans="1:12" ht="38.25" thickBot="1" x14ac:dyDescent="0.3">
      <c r="A20">
        <f>'Табл1-1  1-2'!B7</f>
        <v>32</v>
      </c>
      <c r="B20">
        <f>'Табл1-1  1-2'!C7</f>
        <v>15.5</v>
      </c>
      <c r="C20" s="64" t="str">
        <f t="shared" si="5"/>
        <v>Г</v>
      </c>
      <c r="D20" s="33">
        <f t="shared" si="6"/>
        <v>32</v>
      </c>
      <c r="E20" s="33">
        <f t="shared" si="7"/>
        <v>15.5</v>
      </c>
      <c r="F20" s="33">
        <f t="shared" si="8"/>
        <v>0.484375</v>
      </c>
      <c r="G20" s="33">
        <f t="shared" si="9"/>
        <v>7.5</v>
      </c>
      <c r="H20" s="33" t="s">
        <v>199</v>
      </c>
      <c r="I20" s="33">
        <f>'Табл1-1  1-2'!F7</f>
        <v>10</v>
      </c>
      <c r="J20" s="33" t="s">
        <v>204</v>
      </c>
      <c r="K20" s="33">
        <f>4*1.8</f>
        <v>7.2</v>
      </c>
    </row>
    <row r="21" spans="1:12" ht="38.25" thickBot="1" x14ac:dyDescent="0.3">
      <c r="A21">
        <f>'Табл1-1  1-2'!B8</f>
        <v>27</v>
      </c>
      <c r="B21">
        <f>'Табл1-1  1-2'!C8</f>
        <v>13.8</v>
      </c>
      <c r="C21" s="64" t="str">
        <f t="shared" si="5"/>
        <v>Д</v>
      </c>
      <c r="D21" s="33">
        <f t="shared" si="6"/>
        <v>27</v>
      </c>
      <c r="E21" s="33">
        <f t="shared" si="7"/>
        <v>13.8</v>
      </c>
      <c r="F21" s="33">
        <f t="shared" si="8"/>
        <v>0.51111111111111118</v>
      </c>
      <c r="G21" s="33">
        <f t="shared" si="9"/>
        <v>7.0500000000000016</v>
      </c>
      <c r="H21" s="33" t="s">
        <v>199</v>
      </c>
      <c r="I21" s="33">
        <f>'Табл1-1  1-2'!F8</f>
        <v>6</v>
      </c>
      <c r="J21" s="33" t="s">
        <v>201</v>
      </c>
      <c r="K21" s="33">
        <f>4*1.8</f>
        <v>7.2</v>
      </c>
    </row>
    <row r="22" spans="1:12" ht="38.25" thickBot="1" x14ac:dyDescent="0.3">
      <c r="A22">
        <f>'Табл1-1  1-2'!B9</f>
        <v>35</v>
      </c>
      <c r="B22">
        <f>'Табл1-1  1-2'!C9</f>
        <v>17</v>
      </c>
      <c r="C22" s="64" t="str">
        <f t="shared" si="5"/>
        <v>Е</v>
      </c>
      <c r="D22" s="33">
        <f t="shared" si="6"/>
        <v>35</v>
      </c>
      <c r="E22" s="33">
        <f t="shared" si="7"/>
        <v>17</v>
      </c>
      <c r="F22" s="33">
        <f t="shared" si="8"/>
        <v>0.48571428571428571</v>
      </c>
      <c r="G22" s="33">
        <f t="shared" si="9"/>
        <v>8.25</v>
      </c>
      <c r="H22" s="33" t="s">
        <v>198</v>
      </c>
      <c r="I22" s="33">
        <f>'Табл1-1  1-2'!F9</f>
        <v>6</v>
      </c>
      <c r="J22" s="33" t="str">
        <f>J17</f>
        <v>4xУК-6-900 4xУК-6-1125</v>
      </c>
      <c r="K22" s="33">
        <f>3*2.7</f>
        <v>8.1000000000000014</v>
      </c>
    </row>
    <row r="23" spans="1:12" ht="19.5" thickBot="1" x14ac:dyDescent="0.3">
      <c r="C23" s="93" t="s">
        <v>189</v>
      </c>
      <c r="D23" s="94"/>
      <c r="E23" s="94"/>
      <c r="F23" s="95"/>
      <c r="G23" s="70">
        <f>SUM(G17:G22)</f>
        <v>49.050000000000004</v>
      </c>
      <c r="H23" s="33" t="s">
        <v>190</v>
      </c>
      <c r="I23" s="33" t="s">
        <v>190</v>
      </c>
      <c r="J23" s="33" t="s">
        <v>190</v>
      </c>
      <c r="K23" s="70">
        <f>SUM(K17:K22)</f>
        <v>49.500000000000007</v>
      </c>
      <c r="L23">
        <f>(G23-K23)/G23*100</f>
        <v>-0.91743119266055628</v>
      </c>
    </row>
    <row r="27" spans="1:12" ht="15.75" thickBot="1" x14ac:dyDescent="0.3">
      <c r="C27" t="s">
        <v>207</v>
      </c>
    </row>
    <row r="28" spans="1:12" ht="27" customHeight="1" x14ac:dyDescent="0.25">
      <c r="C28" s="63" t="s">
        <v>208</v>
      </c>
      <c r="D28" s="88" t="s">
        <v>175</v>
      </c>
      <c r="E28" s="88" t="s">
        <v>210</v>
      </c>
      <c r="F28" s="88" t="s">
        <v>211</v>
      </c>
      <c r="G28" s="88" t="s">
        <v>212</v>
      </c>
      <c r="H28" s="88" t="s">
        <v>213</v>
      </c>
      <c r="I28" s="84" t="str">
        <f>I3</f>
        <v>nт</v>
      </c>
      <c r="J28" s="84" t="str">
        <f>J3</f>
        <v>Kз</v>
      </c>
      <c r="K28" s="84" t="str">
        <f>K3</f>
        <v>Kзав</v>
      </c>
    </row>
    <row r="29" spans="1:12" ht="23.25" customHeight="1" thickBot="1" x14ac:dyDescent="0.3">
      <c r="C29" s="64" t="s">
        <v>209</v>
      </c>
      <c r="D29" s="90"/>
      <c r="E29" s="90"/>
      <c r="F29" s="90"/>
      <c r="G29" s="90"/>
      <c r="H29" s="90"/>
      <c r="I29" s="96"/>
      <c r="J29" s="96"/>
      <c r="K29" s="96"/>
    </row>
    <row r="30" spans="1:12" ht="37.5" customHeight="1" thickBot="1" x14ac:dyDescent="0.3">
      <c r="A30">
        <f>A5</f>
        <v>146.15</v>
      </c>
      <c r="B30">
        <f>B5</f>
        <v>103.7</v>
      </c>
      <c r="C30" s="64" t="str">
        <f>C17</f>
        <v>А</v>
      </c>
      <c r="D30" s="66" t="str">
        <f>E5</f>
        <v>146.15+103.7i</v>
      </c>
      <c r="E30" s="66">
        <f>K17+K19+K20+K21+K22</f>
        <v>41.4</v>
      </c>
      <c r="F30" s="66" t="str">
        <f>COMPLEX(A30,B30-E30)</f>
        <v>146.15+62.3i</v>
      </c>
      <c r="G30" s="66" t="str">
        <f>H17</f>
        <v>АТДЦТН-125000/220/110/35</v>
      </c>
      <c r="H30" s="66">
        <f>H5</f>
        <v>125</v>
      </c>
      <c r="I30" s="66">
        <v>2</v>
      </c>
      <c r="J30" s="67">
        <f>IMABS(F30)/I30/H30</f>
        <v>0.63549807238102607</v>
      </c>
      <c r="K30" s="67">
        <f>IMABS(D30)/I30/H30</f>
        <v>0.71680973765707168</v>
      </c>
    </row>
    <row r="31" spans="1:12" ht="39.75" customHeight="1" thickBot="1" x14ac:dyDescent="0.3">
      <c r="A31">
        <f t="shared" ref="A31:B35" si="10">A6</f>
        <v>20</v>
      </c>
      <c r="B31">
        <f t="shared" si="10"/>
        <v>13</v>
      </c>
      <c r="C31" s="64" t="str">
        <f t="shared" ref="C31:C35" si="11">C18</f>
        <v>Б</v>
      </c>
      <c r="D31" s="66" t="str">
        <f t="shared" ref="D31:D35" si="12">E6</f>
        <v>20+13i</v>
      </c>
      <c r="E31" s="66">
        <f>K18</f>
        <v>8.1</v>
      </c>
      <c r="F31" s="66" t="str">
        <f t="shared" ref="F31:F35" si="13">COMPLEX(A31,B31-E31)</f>
        <v>20+4.9i</v>
      </c>
      <c r="G31" s="66" t="str">
        <f t="shared" ref="G31:G35" si="14">H18</f>
        <v>ТДТН-25000/220/35/10</v>
      </c>
      <c r="H31" s="66">
        <f t="shared" ref="H31:H35" si="15">H6</f>
        <v>25</v>
      </c>
      <c r="I31" s="66">
        <v>2</v>
      </c>
      <c r="J31" s="67">
        <f t="shared" ref="J31:J35" si="16">IMABS(F31)/I31/H31</f>
        <v>0.41183006204015754</v>
      </c>
      <c r="K31" s="67">
        <f t="shared" ref="K31:K35" si="17">IMABS(D31)/I31/H31</f>
        <v>0.47707441767506253</v>
      </c>
    </row>
    <row r="32" spans="1:12" ht="39.75" customHeight="1" thickBot="1" x14ac:dyDescent="0.3">
      <c r="A32">
        <f t="shared" si="10"/>
        <v>35</v>
      </c>
      <c r="B32">
        <f t="shared" si="10"/>
        <v>19</v>
      </c>
      <c r="C32" s="64" t="str">
        <f t="shared" si="11"/>
        <v>В</v>
      </c>
      <c r="D32" s="66" t="str">
        <f t="shared" si="12"/>
        <v>35+19i</v>
      </c>
      <c r="E32" s="66">
        <f t="shared" ref="E32:E35" si="18">K19</f>
        <v>10.8</v>
      </c>
      <c r="F32" s="66" t="str">
        <f t="shared" si="13"/>
        <v>35+8.2i</v>
      </c>
      <c r="G32" s="66" t="str">
        <f t="shared" si="14"/>
        <v>ТРДН-40000/110/35</v>
      </c>
      <c r="H32" s="66">
        <f t="shared" si="15"/>
        <v>40</v>
      </c>
      <c r="I32" s="66">
        <v>2</v>
      </c>
      <c r="J32" s="67">
        <f t="shared" si="16"/>
        <v>0.44934674806879371</v>
      </c>
      <c r="K32" s="67">
        <f t="shared" si="17"/>
        <v>0.49780769379349693</v>
      </c>
    </row>
    <row r="33" spans="1:12" ht="38.25" customHeight="1" thickBot="1" x14ac:dyDescent="0.3">
      <c r="A33">
        <f t="shared" si="10"/>
        <v>32</v>
      </c>
      <c r="B33">
        <f t="shared" si="10"/>
        <v>15.5</v>
      </c>
      <c r="C33" s="64" t="str">
        <f t="shared" si="11"/>
        <v>Г</v>
      </c>
      <c r="D33" s="66" t="str">
        <f t="shared" si="12"/>
        <v>32+15.5i</v>
      </c>
      <c r="E33" s="66">
        <f t="shared" si="18"/>
        <v>7.2</v>
      </c>
      <c r="F33" s="66" t="str">
        <f t="shared" si="13"/>
        <v>32+8.3i</v>
      </c>
      <c r="G33" s="66" t="str">
        <f t="shared" si="14"/>
        <v>ТРДН-25000/110/35</v>
      </c>
      <c r="H33" s="66">
        <f t="shared" si="15"/>
        <v>25</v>
      </c>
      <c r="I33" s="66">
        <v>2</v>
      </c>
      <c r="J33" s="67">
        <f t="shared" si="16"/>
        <v>0.66117773707226424</v>
      </c>
      <c r="K33" s="67">
        <f t="shared" si="17"/>
        <v>0.71112586790244103</v>
      </c>
    </row>
    <row r="34" spans="1:12" ht="39" customHeight="1" thickBot="1" x14ac:dyDescent="0.3">
      <c r="A34">
        <f t="shared" si="10"/>
        <v>27</v>
      </c>
      <c r="B34">
        <f t="shared" si="10"/>
        <v>13.8</v>
      </c>
      <c r="C34" s="64" t="str">
        <f t="shared" si="11"/>
        <v>Д</v>
      </c>
      <c r="D34" s="66" t="str">
        <f t="shared" si="12"/>
        <v>27+13.8i</v>
      </c>
      <c r="E34" s="66">
        <f t="shared" si="18"/>
        <v>7.2</v>
      </c>
      <c r="F34" s="66" t="str">
        <f t="shared" si="13"/>
        <v>27+6.6i</v>
      </c>
      <c r="G34" s="66" t="str">
        <f t="shared" si="14"/>
        <v>ТРДН-25000/110/35</v>
      </c>
      <c r="H34" s="66">
        <f t="shared" si="15"/>
        <v>25</v>
      </c>
      <c r="I34" s="66">
        <v>2</v>
      </c>
      <c r="J34" s="67">
        <f t="shared" si="16"/>
        <v>0.55589927145122253</v>
      </c>
      <c r="K34" s="67">
        <f t="shared" si="17"/>
        <v>0.60644538088767741</v>
      </c>
    </row>
    <row r="35" spans="1:12" ht="40.5" customHeight="1" thickBot="1" x14ac:dyDescent="0.3">
      <c r="A35">
        <f t="shared" si="10"/>
        <v>35</v>
      </c>
      <c r="B35">
        <f t="shared" si="10"/>
        <v>17</v>
      </c>
      <c r="C35" s="64" t="str">
        <f t="shared" si="11"/>
        <v>Е</v>
      </c>
      <c r="D35" s="66" t="str">
        <f t="shared" si="12"/>
        <v>35+17i</v>
      </c>
      <c r="E35" s="66">
        <f t="shared" si="18"/>
        <v>8.1000000000000014</v>
      </c>
      <c r="F35" s="66" t="str">
        <f t="shared" si="13"/>
        <v>35+8.9i</v>
      </c>
      <c r="G35" s="66" t="str">
        <f t="shared" si="14"/>
        <v>ТРДН-40000/110/35</v>
      </c>
      <c r="H35" s="66">
        <f t="shared" si="15"/>
        <v>40</v>
      </c>
      <c r="I35" s="66">
        <v>2</v>
      </c>
      <c r="J35" s="67">
        <f t="shared" si="16"/>
        <v>0.45142309699438288</v>
      </c>
      <c r="K35" s="67">
        <f t="shared" si="17"/>
        <v>0.48637691145859296</v>
      </c>
    </row>
    <row r="38" spans="1:12" x14ac:dyDescent="0.25">
      <c r="C38" t="s">
        <v>214</v>
      </c>
    </row>
    <row r="39" spans="1:12" ht="15.75" thickBot="1" x14ac:dyDescent="0.3"/>
    <row r="40" spans="1:12" ht="37.5" customHeight="1" thickBot="1" x14ac:dyDescent="0.3">
      <c r="C40" s="88" t="s">
        <v>173</v>
      </c>
      <c r="D40" s="81" t="s">
        <v>221</v>
      </c>
      <c r="E40" s="81" t="s">
        <v>222</v>
      </c>
      <c r="F40" s="91" t="s">
        <v>215</v>
      </c>
      <c r="G40" s="92"/>
      <c r="H40" s="81" t="s">
        <v>216</v>
      </c>
      <c r="I40" s="93" t="s">
        <v>217</v>
      </c>
      <c r="J40" s="94"/>
      <c r="K40" s="95"/>
      <c r="L40" s="73"/>
    </row>
    <row r="41" spans="1:12" ht="54" customHeight="1" x14ac:dyDescent="0.25">
      <c r="C41" s="86"/>
      <c r="D41" s="86"/>
      <c r="E41" s="86"/>
      <c r="F41" s="88" t="s">
        <v>218</v>
      </c>
      <c r="G41" s="88" t="s">
        <v>219</v>
      </c>
      <c r="H41" s="82"/>
      <c r="I41" s="84" t="str">
        <f>J28</f>
        <v>Kз</v>
      </c>
      <c r="J41" s="84" t="str">
        <f>K28</f>
        <v>Kзав</v>
      </c>
      <c r="K41" s="88" t="s">
        <v>220</v>
      </c>
      <c r="L41" s="72"/>
    </row>
    <row r="42" spans="1:12" ht="19.5" hidden="1" customHeight="1" thickBot="1" x14ac:dyDescent="0.3">
      <c r="C42" s="86"/>
      <c r="D42" s="87"/>
      <c r="E42" s="87"/>
      <c r="F42" s="87"/>
      <c r="G42" s="89"/>
      <c r="H42" s="82"/>
      <c r="I42" s="85"/>
      <c r="J42" s="85"/>
      <c r="K42" s="89"/>
      <c r="L42" s="72"/>
    </row>
    <row r="43" spans="1:12" ht="19.5" thickBot="1" x14ac:dyDescent="0.3">
      <c r="C43" s="90"/>
      <c r="D43" s="83"/>
      <c r="E43" s="83"/>
      <c r="F43" s="83"/>
      <c r="G43" s="83"/>
      <c r="H43" s="83"/>
      <c r="I43" s="83"/>
      <c r="J43" s="83"/>
      <c r="K43" s="83"/>
      <c r="L43" s="73"/>
    </row>
    <row r="44" spans="1:12" ht="57.75" customHeight="1" thickBot="1" x14ac:dyDescent="0.3">
      <c r="C44" s="64" t="s">
        <v>12</v>
      </c>
      <c r="D44" s="66" t="str">
        <f>F31</f>
        <v>20+4.9i</v>
      </c>
      <c r="E44" s="66">
        <f>IMABS(D44)</f>
        <v>20.591503102007877</v>
      </c>
      <c r="F44" s="66">
        <f>H31</f>
        <v>25</v>
      </c>
      <c r="G44" s="66">
        <f>16</f>
        <v>16</v>
      </c>
      <c r="H44" s="66">
        <v>2</v>
      </c>
      <c r="I44" s="66">
        <f>E44/H44/F44</f>
        <v>0.41183006204015754</v>
      </c>
      <c r="J44" s="66">
        <f>E44/G44</f>
        <v>1.2869689438754923</v>
      </c>
      <c r="K44" s="66" t="s">
        <v>223</v>
      </c>
      <c r="L44" s="73"/>
    </row>
    <row r="45" spans="1:12" ht="57.75" customHeight="1" thickBot="1" x14ac:dyDescent="0.3">
      <c r="C45" s="64" t="s">
        <v>13</v>
      </c>
      <c r="D45" s="66" t="str">
        <f>F32</f>
        <v>35+8.2i</v>
      </c>
      <c r="E45" s="66">
        <f>IMABS(D45)</f>
        <v>35.947739845503499</v>
      </c>
      <c r="F45" s="66">
        <f>H32</f>
        <v>40</v>
      </c>
      <c r="G45" s="66">
        <v>25</v>
      </c>
      <c r="H45" s="66">
        <v>2</v>
      </c>
      <c r="I45" s="66">
        <f t="shared" ref="I45:I46" si="19">E45/H45/F45</f>
        <v>0.44934674806879371</v>
      </c>
      <c r="J45" s="66">
        <f t="shared" ref="J45:J46" si="20">E45/G45</f>
        <v>1.4379095938201401</v>
      </c>
      <c r="K45" s="74" t="s">
        <v>225</v>
      </c>
    </row>
    <row r="46" spans="1:12" ht="38.25" thickBot="1" x14ac:dyDescent="0.3">
      <c r="C46" s="64" t="s">
        <v>14</v>
      </c>
      <c r="D46" s="66" t="str">
        <f>F33</f>
        <v>32+8.3i</v>
      </c>
      <c r="E46" s="66">
        <f>IMABS(D46)</f>
        <v>33.05888685361321</v>
      </c>
      <c r="F46" s="66">
        <f>H33</f>
        <v>25</v>
      </c>
      <c r="G46" s="66">
        <v>16</v>
      </c>
      <c r="H46" s="66">
        <v>2</v>
      </c>
      <c r="I46" s="66">
        <f t="shared" si="19"/>
        <v>0.66117773707226424</v>
      </c>
      <c r="J46" s="66">
        <f t="shared" si="20"/>
        <v>2.0661804283508256</v>
      </c>
      <c r="K46" s="69" t="s">
        <v>224</v>
      </c>
    </row>
  </sheetData>
  <mergeCells count="37">
    <mergeCell ref="C15:C16"/>
    <mergeCell ref="F15:F16"/>
    <mergeCell ref="H15:H16"/>
    <mergeCell ref="J15:J16"/>
    <mergeCell ref="C23:F23"/>
    <mergeCell ref="D15:D16"/>
    <mergeCell ref="E15:E16"/>
    <mergeCell ref="G15:G16"/>
    <mergeCell ref="C3:C4"/>
    <mergeCell ref="I3:I4"/>
    <mergeCell ref="J3:J4"/>
    <mergeCell ref="K3:K4"/>
    <mergeCell ref="E3:E4"/>
    <mergeCell ref="F3:F4"/>
    <mergeCell ref="G3:G4"/>
    <mergeCell ref="H3:H4"/>
    <mergeCell ref="K15:K16"/>
    <mergeCell ref="I15:I16"/>
    <mergeCell ref="I28:I29"/>
    <mergeCell ref="J28:J29"/>
    <mergeCell ref="K28:K29"/>
    <mergeCell ref="D28:D29"/>
    <mergeCell ref="E28:E29"/>
    <mergeCell ref="F28:F29"/>
    <mergeCell ref="G28:G29"/>
    <mergeCell ref="H28:H29"/>
    <mergeCell ref="C40:C43"/>
    <mergeCell ref="F40:G40"/>
    <mergeCell ref="I40:K40"/>
    <mergeCell ref="J41:J43"/>
    <mergeCell ref="K41:K43"/>
    <mergeCell ref="H40:H43"/>
    <mergeCell ref="I41:I43"/>
    <mergeCell ref="D40:D43"/>
    <mergeCell ref="E40:E43"/>
    <mergeCell ref="F41:F43"/>
    <mergeCell ref="G41:G43"/>
  </mergeCells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Equation.3" shapeId="16417" r:id="rId4">
          <objectPr defaultSize="0" autoPict="0" r:id="rId5">
            <anchor moveWithCells="1" sizeWithCells="1">
              <from>
                <xdr:col>3</xdr:col>
                <xdr:colOff>123825</xdr:colOff>
                <xdr:row>25</xdr:row>
                <xdr:rowOff>28575</xdr:rowOff>
              </from>
              <to>
                <xdr:col>4</xdr:col>
                <xdr:colOff>0</xdr:colOff>
                <xdr:row>26</xdr:row>
                <xdr:rowOff>57150</xdr:rowOff>
              </to>
            </anchor>
          </objectPr>
        </oleObject>
      </mc:Choice>
      <mc:Fallback>
        <oleObject progId="Equation.3" shapeId="16417" r:id="rId4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R35"/>
  <sheetViews>
    <sheetView topLeftCell="A6" zoomScale="86" zoomScaleNormal="86" workbookViewId="0">
      <selection activeCell="Q14" sqref="Q14"/>
    </sheetView>
  </sheetViews>
  <sheetFormatPr defaultRowHeight="15" x14ac:dyDescent="0.25"/>
  <cols>
    <col min="10" max="10" width="9.5703125" bestFit="1" customWidth="1"/>
  </cols>
  <sheetData>
    <row r="2" spans="1:18" x14ac:dyDescent="0.25">
      <c r="P2" t="s">
        <v>69</v>
      </c>
      <c r="Q2" s="15">
        <f>J5+P5</f>
        <v>62</v>
      </c>
      <c r="R2" s="15">
        <f>K5+Q5</f>
        <v>32.799999999999997</v>
      </c>
    </row>
    <row r="3" spans="1:18" x14ac:dyDescent="0.25">
      <c r="A3" t="s">
        <v>66</v>
      </c>
      <c r="B3" t="s">
        <v>67</v>
      </c>
      <c r="C3" t="s">
        <v>43</v>
      </c>
      <c r="D3" t="s">
        <v>41</v>
      </c>
      <c r="E3" t="s">
        <v>63</v>
      </c>
      <c r="F3" t="s">
        <v>64</v>
      </c>
      <c r="Q3">
        <f>K10+N10</f>
        <v>62</v>
      </c>
      <c r="R3">
        <f>L10+O10</f>
        <v>32.799999999999997</v>
      </c>
    </row>
    <row r="4" spans="1:18" x14ac:dyDescent="0.25">
      <c r="D4" t="s">
        <v>65</v>
      </c>
    </row>
    <row r="5" spans="1:18" x14ac:dyDescent="0.25">
      <c r="A5">
        <v>1</v>
      </c>
      <c r="B5" t="s">
        <v>51</v>
      </c>
      <c r="C5" t="str">
        <f>'Вар1. Длинна'!G5</f>
        <v>ВП-В</v>
      </c>
      <c r="D5">
        <f>'Вар1. Длинна'!H5</f>
        <v>11.8</v>
      </c>
      <c r="E5" s="14">
        <f>J5</f>
        <v>26.968</v>
      </c>
      <c r="F5" s="14">
        <f>K5</f>
        <v>14.375</v>
      </c>
      <c r="J5" s="14">
        <f>ROUND((K10*(M7+P7)+N10*P7)/(J7+M7+P7),3)</f>
        <v>26.968</v>
      </c>
      <c r="K5" s="14">
        <f>ROUND((L10*(M7+P7)+O10*P7)/(J7+M7+P7),3)</f>
        <v>14.375</v>
      </c>
      <c r="L5" s="4"/>
      <c r="M5" s="14">
        <f>J5-K10</f>
        <v>-8.032</v>
      </c>
      <c r="N5" s="14">
        <f>K5-L10</f>
        <v>-4.625</v>
      </c>
      <c r="O5" s="4"/>
      <c r="P5" s="14">
        <f>ROUND((K10*J7+N10*(J7+M7))/(J7+M7+P7),3)</f>
        <v>35.031999999999996</v>
      </c>
      <c r="Q5" s="14">
        <f>ROUND((L10*J7+O10*(J7+M7))/(J7+M7+P7),3)</f>
        <v>18.425000000000001</v>
      </c>
    </row>
    <row r="6" spans="1:18" x14ac:dyDescent="0.25">
      <c r="C6" t="str">
        <f>'Вар1. Длинна'!G6</f>
        <v>ВП-Д</v>
      </c>
      <c r="D6">
        <f>'Вар1. Длинна'!H6</f>
        <v>7.8</v>
      </c>
      <c r="E6" s="14">
        <f>P5</f>
        <v>35.031999999999996</v>
      </c>
      <c r="F6" s="14">
        <f>Q5</f>
        <v>18.425000000000001</v>
      </c>
      <c r="K6" s="10" t="s">
        <v>13</v>
      </c>
      <c r="N6" s="10" t="s">
        <v>15</v>
      </c>
    </row>
    <row r="7" spans="1:18" x14ac:dyDescent="0.25">
      <c r="C7" t="str">
        <f>'Вар1. Длинна'!G7</f>
        <v>В-Д</v>
      </c>
      <c r="D7">
        <f>'Вар1. Длинна'!H7</f>
        <v>5.6</v>
      </c>
      <c r="E7" s="14">
        <f>--M5</f>
        <v>-8.032</v>
      </c>
      <c r="F7" s="14">
        <f>--N5</f>
        <v>-4.625</v>
      </c>
      <c r="J7">
        <f>D5</f>
        <v>11.8</v>
      </c>
      <c r="M7">
        <f>D7</f>
        <v>5.6</v>
      </c>
      <c r="P7">
        <f>D6</f>
        <v>7.8</v>
      </c>
    </row>
    <row r="8" spans="1:18" x14ac:dyDescent="0.25">
      <c r="B8" t="s">
        <v>55</v>
      </c>
      <c r="C8" t="str">
        <f>'Вар1. Длинна'!G29</f>
        <v>В-Д</v>
      </c>
      <c r="D8">
        <f>'Вар1. Длинна'!H29</f>
        <v>5.6</v>
      </c>
      <c r="E8">
        <f>35</f>
        <v>35</v>
      </c>
      <c r="F8">
        <f>19</f>
        <v>19</v>
      </c>
    </row>
    <row r="9" spans="1:18" x14ac:dyDescent="0.25">
      <c r="C9" s="4" t="str">
        <f>'Вар1. Длинна'!G30</f>
        <v>ВП-Д</v>
      </c>
      <c r="D9" s="4">
        <f>'Вар1. Длинна'!H30</f>
        <v>7.8</v>
      </c>
      <c r="E9" s="4">
        <f>62</f>
        <v>62</v>
      </c>
      <c r="F9" s="4">
        <v>32.799999999999997</v>
      </c>
    </row>
    <row r="10" spans="1:18" x14ac:dyDescent="0.25">
      <c r="C10" s="4"/>
      <c r="D10" s="4"/>
      <c r="E10" s="4"/>
      <c r="F10" s="4"/>
      <c r="K10">
        <f>E8</f>
        <v>35</v>
      </c>
      <c r="L10">
        <f>19</f>
        <v>19</v>
      </c>
      <c r="N10">
        <f>27</f>
        <v>27</v>
      </c>
      <c r="O10">
        <f>13.8</f>
        <v>13.8</v>
      </c>
    </row>
    <row r="11" spans="1:18" x14ac:dyDescent="0.25">
      <c r="A11">
        <v>2</v>
      </c>
      <c r="B11" t="str">
        <f>'Таблиця 1-3'!I4</f>
        <v>а)</v>
      </c>
      <c r="C11" s="3" t="str">
        <f>'Вар2. Длинна'!F5</f>
        <v>ВП-Г</v>
      </c>
      <c r="D11" s="3">
        <f>'Вар2. Длинна'!G5</f>
        <v>9.8000000000000007</v>
      </c>
      <c r="E11" s="14">
        <f>J15</f>
        <v>34.843000000000004</v>
      </c>
      <c r="F11" s="14">
        <f>K15</f>
        <v>16.891999999999999</v>
      </c>
    </row>
    <row r="12" spans="1:18" x14ac:dyDescent="0.25">
      <c r="C12" s="3" t="str">
        <f>'Вар2. Длинна'!F6</f>
        <v>ВП-Е</v>
      </c>
      <c r="D12" s="3">
        <f>'Вар2. Длинна'!G6</f>
        <v>11.9</v>
      </c>
      <c r="E12" s="14">
        <f>P15</f>
        <v>32.156999999999996</v>
      </c>
      <c r="F12" s="14">
        <f>Q15</f>
        <v>15.608000000000001</v>
      </c>
      <c r="P12" t="s">
        <v>69</v>
      </c>
      <c r="Q12" s="15">
        <f>J15+P15</f>
        <v>67</v>
      </c>
      <c r="R12">
        <f>K15+Q15</f>
        <v>32.5</v>
      </c>
    </row>
    <row r="13" spans="1:18" x14ac:dyDescent="0.25">
      <c r="C13" s="3" t="str">
        <f>'Вар2. Длинна'!F7</f>
        <v>Е-Г</v>
      </c>
      <c r="D13" s="3">
        <f>'Вар2. Длинна'!G7</f>
        <v>14.5</v>
      </c>
      <c r="E13" s="14">
        <f>-M15</f>
        <v>2.8430000000000035</v>
      </c>
      <c r="F13" s="14">
        <f>-N15</f>
        <v>1.3919999999999995</v>
      </c>
      <c r="Q13">
        <f>K20+N20</f>
        <v>67</v>
      </c>
      <c r="R13">
        <f>L20+O20</f>
        <v>32.5</v>
      </c>
    </row>
    <row r="14" spans="1:18" x14ac:dyDescent="0.25">
      <c r="B14" t="str">
        <f>'Таблиця 1-3'!L4</f>
        <v>г)</v>
      </c>
      <c r="C14" s="3" t="str">
        <f>'Вар2. Длинна'!X23</f>
        <v>ВП-2</v>
      </c>
      <c r="D14" s="3">
        <f>'Вар2. Длинна'!Y23</f>
        <v>5.4</v>
      </c>
      <c r="E14" s="4">
        <f>E15+E16</f>
        <v>67</v>
      </c>
      <c r="F14" s="4">
        <f>F15+F16</f>
        <v>32.5</v>
      </c>
    </row>
    <row r="15" spans="1:18" x14ac:dyDescent="0.25">
      <c r="C15" s="3" t="str">
        <f>'Вар2. Длинна'!X24</f>
        <v>Г-2</v>
      </c>
      <c r="D15" s="3">
        <f>'Вар2. Длинна'!Y24</f>
        <v>7.2</v>
      </c>
      <c r="E15" s="4">
        <v>32</v>
      </c>
      <c r="F15" s="4">
        <v>15.5</v>
      </c>
      <c r="J15" s="14">
        <f>ROUND((K20*(M17+P17)+N20*P17)/(J17+M17+P17),3)</f>
        <v>34.843000000000004</v>
      </c>
      <c r="K15" s="14">
        <f>ROUND((L20*(M17+P17)+O20*P17)/(J17+M17+P17),3)</f>
        <v>16.891999999999999</v>
      </c>
      <c r="L15" s="4"/>
      <c r="M15" s="14">
        <f>P15-N20</f>
        <v>-2.8430000000000035</v>
      </c>
      <c r="N15" s="14">
        <f>Q15-O20</f>
        <v>-1.3919999999999995</v>
      </c>
      <c r="O15" s="4"/>
      <c r="P15" s="14">
        <f>ROUND((K20*J17+N20*(J17+M17))/(J17+M17+P17),3)</f>
        <v>32.156999999999996</v>
      </c>
      <c r="Q15" s="14">
        <f>ROUND((L20*J17+O20*(J17+M17))/(J17+M17+P17),3)</f>
        <v>15.608000000000001</v>
      </c>
    </row>
    <row r="16" spans="1:18" x14ac:dyDescent="0.25">
      <c r="C16" s="3" t="str">
        <f>'Вар2. Длинна'!X25</f>
        <v>Е-2</v>
      </c>
      <c r="D16" s="3">
        <f>'Вар2. Длинна'!Y25</f>
        <v>8.3000000000000007</v>
      </c>
      <c r="E16" s="4">
        <v>35</v>
      </c>
      <c r="F16" s="4">
        <v>17</v>
      </c>
      <c r="K16" s="10" t="s">
        <v>14</v>
      </c>
      <c r="N16" s="10" t="s">
        <v>16</v>
      </c>
    </row>
    <row r="17" spans="2:16" x14ac:dyDescent="0.25">
      <c r="J17">
        <f>D11</f>
        <v>9.8000000000000007</v>
      </c>
      <c r="M17">
        <f>D13</f>
        <v>14.5</v>
      </c>
      <c r="P17">
        <f>D12</f>
        <v>11.9</v>
      </c>
    </row>
    <row r="20" spans="2:16" x14ac:dyDescent="0.25">
      <c r="K20">
        <f>E15</f>
        <v>32</v>
      </c>
      <c r="L20">
        <f>F15</f>
        <v>15.5</v>
      </c>
      <c r="N20">
        <f>E16</f>
        <v>35</v>
      </c>
      <c r="O20">
        <f>F16</f>
        <v>17</v>
      </c>
    </row>
    <row r="24" spans="2:16" x14ac:dyDescent="0.25">
      <c r="E24" t="s">
        <v>41</v>
      </c>
      <c r="F24" t="s">
        <v>63</v>
      </c>
      <c r="G24" t="s">
        <v>64</v>
      </c>
    </row>
    <row r="25" spans="2:16" x14ac:dyDescent="0.25">
      <c r="B25" t="s">
        <v>95</v>
      </c>
      <c r="D25" t="str">
        <f>'Таблиця 1-4'!D14</f>
        <v>ДЖ-3</v>
      </c>
      <c r="E25">
        <f>'Таблиця 1-4'!E14</f>
        <v>14.8</v>
      </c>
      <c r="F25">
        <f>166.15</f>
        <v>166.15</v>
      </c>
      <c r="G25">
        <f>116.7</f>
        <v>116.7</v>
      </c>
    </row>
    <row r="26" spans="2:16" x14ac:dyDescent="0.25">
      <c r="D26" t="str">
        <f>'Таблиця 1-4'!D15</f>
        <v>3-ВП</v>
      </c>
      <c r="E26">
        <f>'Таблиця 1-4'!E15</f>
        <v>22.6</v>
      </c>
      <c r="F26">
        <f>F25-'Табл1-1  1-2'!B5</f>
        <v>146.15</v>
      </c>
      <c r="G26">
        <f>G25-'Табл1-1  1-2'!C5</f>
        <v>103.7</v>
      </c>
    </row>
    <row r="27" spans="2:16" x14ac:dyDescent="0.25">
      <c r="D27" t="str">
        <f>'Таблиця 1-4'!D16</f>
        <v>3-Б</v>
      </c>
      <c r="E27">
        <f>'Таблиця 1-4'!E16</f>
        <v>10.8</v>
      </c>
      <c r="F27">
        <f>'Табл1-1  1-2'!B5</f>
        <v>20</v>
      </c>
      <c r="G27">
        <f>'Табл1-1  1-2'!C5</f>
        <v>13</v>
      </c>
    </row>
    <row r="29" spans="2:16" x14ac:dyDescent="0.25">
      <c r="D29">
        <v>165</v>
      </c>
      <c r="E29">
        <v>90.3</v>
      </c>
    </row>
    <row r="31" spans="2:16" x14ac:dyDescent="0.25">
      <c r="D31" t="s">
        <v>118</v>
      </c>
      <c r="E31" t="s">
        <v>117</v>
      </c>
      <c r="F31">
        <f>SQRT(D29^2+E29^2)</f>
        <v>188.09330131612873</v>
      </c>
    </row>
    <row r="33" spans="4:18" x14ac:dyDescent="0.25">
      <c r="D33" t="s">
        <v>119</v>
      </c>
      <c r="E33" t="s">
        <v>63</v>
      </c>
      <c r="F33">
        <f>0.05*F31</f>
        <v>9.4046650658064372</v>
      </c>
    </row>
    <row r="34" spans="4:18" x14ac:dyDescent="0.25">
      <c r="E34" t="s">
        <v>64</v>
      </c>
      <c r="F34">
        <f>0.15*F31</f>
        <v>28.213995197419308</v>
      </c>
      <c r="O34" s="4"/>
      <c r="Q34" s="4"/>
      <c r="R34" s="4"/>
    </row>
    <row r="35" spans="4:18" x14ac:dyDescent="0.25">
      <c r="O35" s="10"/>
      <c r="P35" s="4"/>
    </row>
  </sheetData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13315" r:id="rId4">
          <objectPr defaultSize="0" autoPict="0" r:id="rId5">
            <anchor moveWithCells="1">
              <from>
                <xdr:col>7</xdr:col>
                <xdr:colOff>590550</xdr:colOff>
                <xdr:row>25</xdr:row>
                <xdr:rowOff>180975</xdr:rowOff>
              </from>
              <to>
                <xdr:col>13</xdr:col>
                <xdr:colOff>266700</xdr:colOff>
                <xdr:row>34</xdr:row>
                <xdr:rowOff>133350</xdr:rowOff>
              </to>
            </anchor>
          </objectPr>
        </oleObject>
      </mc:Choice>
      <mc:Fallback>
        <oleObject progId="Visio.Drawing.15" shapeId="13315" r:id="rId4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17"/>
  <sheetViews>
    <sheetView workbookViewId="0">
      <selection activeCell="F4" sqref="F4"/>
    </sheetView>
  </sheetViews>
  <sheetFormatPr defaultRowHeight="15" x14ac:dyDescent="0.25"/>
  <cols>
    <col min="2" max="4" width="12.7109375" customWidth="1"/>
    <col min="5" max="5" width="16.42578125" customWidth="1"/>
    <col min="6" max="6" width="16.5703125" customWidth="1"/>
    <col min="7" max="9" width="12.7109375" customWidth="1"/>
  </cols>
  <sheetData>
    <row r="1" spans="2:9" ht="15.75" thickBot="1" x14ac:dyDescent="0.3"/>
    <row r="2" spans="2:9" ht="26.25" customHeight="1" thickTop="1" thickBot="1" x14ac:dyDescent="0.3">
      <c r="B2" s="21" t="s">
        <v>66</v>
      </c>
      <c r="C2" s="22" t="s">
        <v>67</v>
      </c>
      <c r="D2" s="22" t="s">
        <v>43</v>
      </c>
      <c r="E2" s="23" t="s">
        <v>169</v>
      </c>
      <c r="F2" s="23" t="s">
        <v>170</v>
      </c>
      <c r="G2" s="24" t="s">
        <v>87</v>
      </c>
      <c r="H2" s="23" t="s">
        <v>171</v>
      </c>
      <c r="I2" s="25" t="s">
        <v>172</v>
      </c>
    </row>
    <row r="3" spans="2:9" ht="20.25" thickTop="1" thickBot="1" x14ac:dyDescent="0.3">
      <c r="B3" s="106" t="s">
        <v>19</v>
      </c>
      <c r="C3" s="108" t="s">
        <v>88</v>
      </c>
      <c r="D3" s="26" t="str">
        <f>Потокорозподіл!C5</f>
        <v>ВП-В</v>
      </c>
      <c r="E3" s="26">
        <f>Потокорозподіл!D5</f>
        <v>11.8</v>
      </c>
      <c r="F3" s="28">
        <f>Потокорозподіл!E5</f>
        <v>26.968</v>
      </c>
      <c r="G3" s="26">
        <v>1</v>
      </c>
      <c r="H3" s="26">
        <f>ROUND(4.34*SQRT(E3+16*F3/G3),1)</f>
        <v>91.4</v>
      </c>
      <c r="I3" s="104">
        <v>110</v>
      </c>
    </row>
    <row r="4" spans="2:9" ht="20.25" thickTop="1" thickBot="1" x14ac:dyDescent="0.3">
      <c r="B4" s="99"/>
      <c r="C4" s="109"/>
      <c r="D4" s="26" t="str">
        <f>Потокорозподіл!C6</f>
        <v>ВП-Д</v>
      </c>
      <c r="E4" s="26">
        <f>Потокорозподіл!D6</f>
        <v>7.8</v>
      </c>
      <c r="F4" s="28">
        <f>Потокорозподіл!E6</f>
        <v>35.031999999999996</v>
      </c>
      <c r="G4" s="27">
        <v>1</v>
      </c>
      <c r="H4" s="26">
        <f>ROUND(4.34*SQRT(E4+16*F4/G4),1)</f>
        <v>103.5</v>
      </c>
      <c r="I4" s="102"/>
    </row>
    <row r="5" spans="2:9" ht="20.25" thickTop="1" thickBot="1" x14ac:dyDescent="0.3">
      <c r="B5" s="99"/>
      <c r="C5" s="110"/>
      <c r="D5" s="26" t="str">
        <f>Потокорозподіл!C7</f>
        <v>В-Д</v>
      </c>
      <c r="E5" s="26">
        <f>Потокорозподіл!D7</f>
        <v>5.6</v>
      </c>
      <c r="F5" s="28">
        <f>-Потокорозподіл!E7</f>
        <v>8.032</v>
      </c>
      <c r="G5" s="27">
        <v>1</v>
      </c>
      <c r="H5" s="26">
        <f t="shared" ref="H5:H12" si="0">ROUND(4.34*SQRT(E5+16*F5/G5),1)</f>
        <v>50.3</v>
      </c>
      <c r="I5" s="105"/>
    </row>
    <row r="6" spans="2:9" ht="20.25" thickTop="1" thickBot="1" x14ac:dyDescent="0.3">
      <c r="B6" s="99"/>
      <c r="C6" s="111" t="s">
        <v>89</v>
      </c>
      <c r="D6" s="26" t="str">
        <f>Потокорозподіл!C8</f>
        <v>В-Д</v>
      </c>
      <c r="E6" s="26">
        <f>Потокорозподіл!D8</f>
        <v>5.6</v>
      </c>
      <c r="F6" s="28">
        <f>Потокорозподіл!E8</f>
        <v>35</v>
      </c>
      <c r="G6" s="27">
        <v>2</v>
      </c>
      <c r="H6" s="26">
        <f t="shared" si="0"/>
        <v>73.3</v>
      </c>
      <c r="I6" s="101">
        <v>110</v>
      </c>
    </row>
    <row r="7" spans="2:9" ht="20.25" thickTop="1" thickBot="1" x14ac:dyDescent="0.3">
      <c r="B7" s="107"/>
      <c r="C7" s="110"/>
      <c r="D7" s="26" t="str">
        <f>Потокорозподіл!C9</f>
        <v>ВП-Д</v>
      </c>
      <c r="E7" s="26">
        <f>Потокорозподіл!D9</f>
        <v>7.8</v>
      </c>
      <c r="F7" s="28">
        <f>Потокорозподіл!E9</f>
        <v>62</v>
      </c>
      <c r="G7" s="27">
        <v>2</v>
      </c>
      <c r="H7" s="26">
        <f t="shared" si="0"/>
        <v>97.4</v>
      </c>
      <c r="I7" s="105"/>
    </row>
    <row r="8" spans="2:9" ht="20.25" thickTop="1" thickBot="1" x14ac:dyDescent="0.3">
      <c r="B8" s="112" t="s">
        <v>20</v>
      </c>
      <c r="C8" s="111" t="s">
        <v>88</v>
      </c>
      <c r="D8" s="29" t="str">
        <f>'Вар2. Длинна'!F5</f>
        <v>ВП-Г</v>
      </c>
      <c r="E8" s="29">
        <f>'Вар2. Длинна'!G5</f>
        <v>9.8000000000000007</v>
      </c>
      <c r="F8" s="28">
        <f>Потокорозподіл!E11</f>
        <v>34.843000000000004</v>
      </c>
      <c r="G8" s="29">
        <v>1</v>
      </c>
      <c r="H8" s="26">
        <f t="shared" si="0"/>
        <v>103.4</v>
      </c>
      <c r="I8" s="113">
        <v>110</v>
      </c>
    </row>
    <row r="9" spans="2:9" ht="20.25" thickTop="1" thickBot="1" x14ac:dyDescent="0.3">
      <c r="B9" s="99"/>
      <c r="C9" s="109"/>
      <c r="D9" s="29" t="str">
        <f>'Вар2. Длинна'!F6</f>
        <v>ВП-Е</v>
      </c>
      <c r="E9" s="29">
        <f>'Вар2. Длинна'!G6</f>
        <v>11.9</v>
      </c>
      <c r="F9" s="28">
        <f>Потокорозподіл!E12</f>
        <v>32.156999999999996</v>
      </c>
      <c r="G9" s="29">
        <v>1</v>
      </c>
      <c r="H9" s="26">
        <f t="shared" si="0"/>
        <v>99.6</v>
      </c>
      <c r="I9" s="114"/>
    </row>
    <row r="10" spans="2:9" ht="20.25" thickTop="1" thickBot="1" x14ac:dyDescent="0.3">
      <c r="B10" s="99"/>
      <c r="C10" s="110"/>
      <c r="D10" s="29" t="str">
        <f>'Вар2. Длинна'!F7</f>
        <v>Е-Г</v>
      </c>
      <c r="E10" s="29">
        <f>'Вар2. Длинна'!G7</f>
        <v>14.5</v>
      </c>
      <c r="F10" s="28">
        <f>Потокорозподіл!E13</f>
        <v>2.8430000000000035</v>
      </c>
      <c r="G10" s="29">
        <v>1</v>
      </c>
      <c r="H10" s="26">
        <f t="shared" si="0"/>
        <v>33.6</v>
      </c>
      <c r="I10" s="115"/>
    </row>
    <row r="11" spans="2:9" ht="20.25" thickTop="1" thickBot="1" x14ac:dyDescent="0.3">
      <c r="B11" s="99"/>
      <c r="C11" s="111" t="s">
        <v>90</v>
      </c>
      <c r="D11" s="29" t="str">
        <f>'Вар2. Длинна'!X23</f>
        <v>ВП-2</v>
      </c>
      <c r="E11" s="29">
        <f>'Вар2. Длинна'!Y23</f>
        <v>5.4</v>
      </c>
      <c r="F11" s="28">
        <f>Потокорозподіл!E14</f>
        <v>67</v>
      </c>
      <c r="G11" s="29">
        <v>2</v>
      </c>
      <c r="H11" s="26">
        <f t="shared" si="0"/>
        <v>101</v>
      </c>
      <c r="I11" s="113">
        <v>110</v>
      </c>
    </row>
    <row r="12" spans="2:9" ht="20.25" thickTop="1" thickBot="1" x14ac:dyDescent="0.3">
      <c r="B12" s="99"/>
      <c r="C12" s="109"/>
      <c r="D12" s="29" t="str">
        <f>'Вар2. Длинна'!X24</f>
        <v>Г-2</v>
      </c>
      <c r="E12" s="29">
        <f>'Вар2. Длинна'!Y24</f>
        <v>7.2</v>
      </c>
      <c r="F12" s="28">
        <f>Потокорозподіл!E15</f>
        <v>32</v>
      </c>
      <c r="G12" s="29">
        <v>2</v>
      </c>
      <c r="H12" s="26">
        <f t="shared" si="0"/>
        <v>70.400000000000006</v>
      </c>
      <c r="I12" s="114"/>
    </row>
    <row r="13" spans="2:9" ht="20.25" thickTop="1" thickBot="1" x14ac:dyDescent="0.3">
      <c r="B13" s="107"/>
      <c r="C13" s="110"/>
      <c r="D13" s="29" t="str">
        <f>'Вар2. Длинна'!X25</f>
        <v>Е-2</v>
      </c>
      <c r="E13" s="29">
        <f>'Вар2. Длинна'!Y25</f>
        <v>8.3000000000000007</v>
      </c>
      <c r="F13" s="28">
        <f>Потокорозподіл!E16</f>
        <v>35</v>
      </c>
      <c r="G13" s="29">
        <v>2</v>
      </c>
      <c r="H13" s="29">
        <f t="shared" ref="H13:H15" si="1">ROUND(4.34*SQRT(E13+16*F13/G13),1)</f>
        <v>73.7</v>
      </c>
      <c r="I13" s="115"/>
    </row>
    <row r="14" spans="2:9" ht="20.25" thickTop="1" thickBot="1" x14ac:dyDescent="0.3">
      <c r="B14" s="98" t="s">
        <v>91</v>
      </c>
      <c r="C14" s="101"/>
      <c r="D14" s="30" t="str">
        <f>'мережа зовнішньго електр.'!G4</f>
        <v>ДЖ-3</v>
      </c>
      <c r="E14" s="30">
        <f>'мережа зовнішньго електр.'!H4</f>
        <v>14.8</v>
      </c>
      <c r="F14" s="28">
        <f>Потокорозподіл!F25</f>
        <v>166.15</v>
      </c>
      <c r="G14" s="30">
        <v>2</v>
      </c>
      <c r="H14" s="30">
        <f t="shared" si="1"/>
        <v>159.1</v>
      </c>
      <c r="I14" s="113">
        <v>220</v>
      </c>
    </row>
    <row r="15" spans="2:9" ht="22.5" customHeight="1" thickTop="1" thickBot="1" x14ac:dyDescent="0.3">
      <c r="B15" s="99"/>
      <c r="C15" s="102"/>
      <c r="D15" s="30" t="str">
        <f>'мережа зовнішньго електр.'!G5</f>
        <v>3-ВП</v>
      </c>
      <c r="E15" s="30">
        <f>'мережа зовнішньго електр.'!H5</f>
        <v>22.6</v>
      </c>
      <c r="F15" s="28">
        <f>Потокорозподіл!F26</f>
        <v>146.15</v>
      </c>
      <c r="G15" s="31">
        <v>2</v>
      </c>
      <c r="H15" s="31">
        <f t="shared" si="1"/>
        <v>149.80000000000001</v>
      </c>
      <c r="I15" s="114"/>
    </row>
    <row r="16" spans="2:9" ht="20.25" thickTop="1" thickBot="1" x14ac:dyDescent="0.3">
      <c r="B16" s="100"/>
      <c r="C16" s="103"/>
      <c r="D16" s="30" t="str">
        <f>'мережа зовнішньго електр.'!G6</f>
        <v>3-Б</v>
      </c>
      <c r="E16" s="30">
        <f>'мережа зовнішньго електр.'!H6</f>
        <v>10.8</v>
      </c>
      <c r="F16" s="28">
        <f>Потокорозподіл!F27</f>
        <v>20</v>
      </c>
      <c r="G16" s="32">
        <v>2</v>
      </c>
      <c r="H16" s="32">
        <f>ROUND(4.34*SQRT(E16+16*F16/G16),1)</f>
        <v>56.7</v>
      </c>
      <c r="I16" s="115"/>
    </row>
    <row r="17" ht="15.75" thickTop="1" x14ac:dyDescent="0.25"/>
  </sheetData>
  <mergeCells count="13">
    <mergeCell ref="B14:B16"/>
    <mergeCell ref="C14:C16"/>
    <mergeCell ref="I3:I5"/>
    <mergeCell ref="I6:I7"/>
    <mergeCell ref="B3:B7"/>
    <mergeCell ref="C3:C5"/>
    <mergeCell ref="C6:C7"/>
    <mergeCell ref="B8:B13"/>
    <mergeCell ref="C8:C10"/>
    <mergeCell ref="C11:C13"/>
    <mergeCell ref="I8:I10"/>
    <mergeCell ref="I11:I13"/>
    <mergeCell ref="I14:I16"/>
  </mergeCell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Equation.DSMT4" shapeId="9221" r:id="rId4">
          <objectPr defaultSize="0" autoPict="0" r:id="rId5">
            <anchor moveWithCells="1" sizeWithCells="1">
              <from>
                <xdr:col>10</xdr:col>
                <xdr:colOff>28575</xdr:colOff>
                <xdr:row>0</xdr:row>
                <xdr:rowOff>152400</xdr:rowOff>
              </from>
              <to>
                <xdr:col>14</xdr:col>
                <xdr:colOff>38100</xdr:colOff>
                <xdr:row>3</xdr:row>
                <xdr:rowOff>0</xdr:rowOff>
              </to>
            </anchor>
          </objectPr>
        </oleObject>
      </mc:Choice>
      <mc:Fallback>
        <oleObject progId="Equation.DSMT4" shapeId="9221" r:id="rId4"/>
      </mc:Fallback>
    </mc:AlternateContent>
    <mc:AlternateContent xmlns:mc="http://schemas.openxmlformats.org/markup-compatibility/2006">
      <mc:Choice Requires="x14">
        <oleObject progId="Equation.3" shapeId="9220" r:id="rId6">
          <objectPr defaultSize="0" autoPict="0" r:id="rId7">
            <anchor moveWithCells="1" sizeWithCells="1">
              <from>
                <xdr:col>11</xdr:col>
                <xdr:colOff>238125</xdr:colOff>
                <xdr:row>6</xdr:row>
                <xdr:rowOff>0</xdr:rowOff>
              </from>
              <to>
                <xdr:col>11</xdr:col>
                <xdr:colOff>590550</xdr:colOff>
                <xdr:row>7</xdr:row>
                <xdr:rowOff>47625</xdr:rowOff>
              </to>
            </anchor>
          </objectPr>
        </oleObject>
      </mc:Choice>
      <mc:Fallback>
        <oleObject progId="Equation.3" shapeId="9220" r:id="rId6"/>
      </mc:Fallback>
    </mc:AlternateContent>
    <mc:AlternateContent xmlns:mc="http://schemas.openxmlformats.org/markup-compatibility/2006">
      <mc:Choice Requires="x14">
        <oleObject progId="Equation.3" shapeId="9219" r:id="rId8">
          <objectPr defaultSize="0" autoPict="0" r:id="rId9">
            <anchor moveWithCells="1" sizeWithCells="1">
              <from>
                <xdr:col>11</xdr:col>
                <xdr:colOff>161925</xdr:colOff>
                <xdr:row>8</xdr:row>
                <xdr:rowOff>133350</xdr:rowOff>
              </from>
              <to>
                <xdr:col>11</xdr:col>
                <xdr:colOff>542925</xdr:colOff>
                <xdr:row>9</xdr:row>
                <xdr:rowOff>161925</xdr:rowOff>
              </to>
            </anchor>
          </objectPr>
        </oleObject>
      </mc:Choice>
      <mc:Fallback>
        <oleObject progId="Equation.3" shapeId="9219" r:id="rId8"/>
      </mc:Fallback>
    </mc:AlternateContent>
    <mc:AlternateContent xmlns:mc="http://schemas.openxmlformats.org/markup-compatibility/2006">
      <mc:Choice Requires="x14">
        <oleObject progId="Equation.3" shapeId="9218" r:id="rId10">
          <objectPr defaultSize="0" autoPict="0" r:id="rId11">
            <anchor moveWithCells="1" sizeWithCells="1">
              <from>
                <xdr:col>10</xdr:col>
                <xdr:colOff>219075</xdr:colOff>
                <xdr:row>4</xdr:row>
                <xdr:rowOff>180975</xdr:rowOff>
              </from>
              <to>
                <xdr:col>10</xdr:col>
                <xdr:colOff>457200</xdr:colOff>
                <xdr:row>6</xdr:row>
                <xdr:rowOff>38100</xdr:rowOff>
              </to>
            </anchor>
          </objectPr>
        </oleObject>
      </mc:Choice>
      <mc:Fallback>
        <oleObject progId="Equation.3" shapeId="9218" r:id="rId10"/>
      </mc:Fallback>
    </mc:AlternateContent>
    <mc:AlternateContent xmlns:mc="http://schemas.openxmlformats.org/markup-compatibility/2006">
      <mc:Choice Requires="x14">
        <oleObject progId="Equation.3" shapeId="9217" r:id="rId12">
          <objectPr defaultSize="0" autoPict="0" r:id="rId13">
            <anchor moveWithCells="1" sizeWithCells="1">
              <from>
                <xdr:col>11</xdr:col>
                <xdr:colOff>428625</xdr:colOff>
                <xdr:row>4</xdr:row>
                <xdr:rowOff>228600</xdr:rowOff>
              </from>
              <to>
                <xdr:col>12</xdr:col>
                <xdr:colOff>209550</xdr:colOff>
                <xdr:row>5</xdr:row>
                <xdr:rowOff>209550</xdr:rowOff>
              </to>
            </anchor>
          </objectPr>
        </oleObject>
      </mc:Choice>
      <mc:Fallback>
        <oleObject progId="Equation.3" shapeId="9217" r:id="rId12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zoomScaleNormal="100" workbookViewId="0">
      <selection activeCell="F5" sqref="F5"/>
    </sheetView>
  </sheetViews>
  <sheetFormatPr defaultRowHeight="15" x14ac:dyDescent="0.25"/>
  <cols>
    <col min="3" max="4" width="8.85546875" customWidth="1"/>
    <col min="6" max="6" width="18" customWidth="1"/>
    <col min="7" max="7" width="15.28515625" bestFit="1" customWidth="1"/>
    <col min="10" max="10" width="15.28515625" bestFit="1" customWidth="1"/>
    <col min="11" max="11" width="10.5703125" bestFit="1" customWidth="1"/>
  </cols>
  <sheetData>
    <row r="1" spans="1:15" ht="15.75" thickBot="1" x14ac:dyDescent="0.3"/>
    <row r="2" spans="1:15" ht="33" customHeight="1" x14ac:dyDescent="0.25">
      <c r="C2" s="88" t="s">
        <v>107</v>
      </c>
      <c r="D2" s="88" t="s">
        <v>106</v>
      </c>
      <c r="E2" s="88" t="s">
        <v>105</v>
      </c>
      <c r="F2" s="34" t="s">
        <v>104</v>
      </c>
      <c r="G2" s="34" t="s">
        <v>103</v>
      </c>
      <c r="H2" s="34" t="s">
        <v>102</v>
      </c>
      <c r="I2" s="81" t="s">
        <v>87</v>
      </c>
      <c r="J2" s="121" t="s">
        <v>101</v>
      </c>
      <c r="K2" s="34" t="s">
        <v>100</v>
      </c>
      <c r="L2" s="88" t="s">
        <v>99</v>
      </c>
      <c r="M2" s="88" t="s">
        <v>133</v>
      </c>
      <c r="N2" s="35">
        <v>0.8</v>
      </c>
      <c r="O2" t="s">
        <v>98</v>
      </c>
    </row>
    <row r="3" spans="1:15" ht="23.25" thickBot="1" x14ac:dyDescent="0.3">
      <c r="C3" s="97"/>
      <c r="D3" s="89"/>
      <c r="E3" s="89"/>
      <c r="F3" s="44" t="s">
        <v>97</v>
      </c>
      <c r="G3" s="44" t="s">
        <v>97</v>
      </c>
      <c r="H3" s="44" t="s">
        <v>9</v>
      </c>
      <c r="I3" s="82"/>
      <c r="J3" s="122"/>
      <c r="K3" s="44" t="s">
        <v>96</v>
      </c>
      <c r="L3" s="89"/>
      <c r="M3" s="89"/>
      <c r="N3" t="s">
        <v>88</v>
      </c>
    </row>
    <row r="4" spans="1:15" ht="19.5" thickBot="1" x14ac:dyDescent="0.3">
      <c r="A4" s="15">
        <f>Потокорозподіл!E5</f>
        <v>26.968</v>
      </c>
      <c r="B4" s="15">
        <f>Потокорозподіл!F5</f>
        <v>14.375</v>
      </c>
      <c r="C4" s="116" t="s">
        <v>19</v>
      </c>
      <c r="D4" s="118" t="s">
        <v>88</v>
      </c>
      <c r="E4" s="45" t="str">
        <f>'Таблиця 1-4'!D3</f>
        <v>ВП-В</v>
      </c>
      <c r="F4" s="45" t="str">
        <f>COMPLEX(A4,B4)</f>
        <v>26.968+14.375i</v>
      </c>
      <c r="G4" s="45">
        <f>ROUND(1*IMABS(F4),2)</f>
        <v>30.56</v>
      </c>
      <c r="H4" s="45">
        <f>110</f>
        <v>110</v>
      </c>
      <c r="I4" s="45">
        <f>'Таблиця 1-4'!G3</f>
        <v>1</v>
      </c>
      <c r="J4" s="45">
        <f>ROUND(G4/SQRT(3)/H4/I4*10^3,2)</f>
        <v>160.4</v>
      </c>
      <c r="K4" s="46">
        <f>J4/$N$2</f>
        <v>200.5</v>
      </c>
      <c r="L4" s="47">
        <v>240</v>
      </c>
      <c r="M4" s="37">
        <v>240</v>
      </c>
    </row>
    <row r="5" spans="1:15" ht="19.5" thickBot="1" x14ac:dyDescent="0.3">
      <c r="A5" s="15">
        <f>Потокорозподіл!E6</f>
        <v>35.031999999999996</v>
      </c>
      <c r="B5" s="15">
        <f>Потокорозподіл!F6</f>
        <v>18.425000000000001</v>
      </c>
      <c r="C5" s="117"/>
      <c r="D5" s="119"/>
      <c r="E5" s="33" t="str">
        <f>'Таблиця 1-4'!D4</f>
        <v>ВП-Д</v>
      </c>
      <c r="F5" s="45" t="str">
        <f t="shared" ref="F5:F17" si="0">COMPLEX(A5,B5)</f>
        <v>35.032+18.425i</v>
      </c>
      <c r="G5" s="45">
        <f>ROUND(1*IMABS(F5),2)</f>
        <v>39.58</v>
      </c>
      <c r="H5" s="45">
        <f>110</f>
        <v>110</v>
      </c>
      <c r="I5" s="33">
        <f>'Таблиця 1-4'!G4</f>
        <v>1</v>
      </c>
      <c r="J5" s="45">
        <f>ROUND(G5/SQRT(3)/H5/I5*10^3,2)</f>
        <v>207.74</v>
      </c>
      <c r="K5" s="46">
        <f>J5/$N$2</f>
        <v>259.67500000000001</v>
      </c>
      <c r="L5" s="36">
        <v>300</v>
      </c>
      <c r="M5" s="48">
        <v>300</v>
      </c>
    </row>
    <row r="6" spans="1:15" ht="19.5" thickBot="1" x14ac:dyDescent="0.3">
      <c r="A6" s="15">
        <f>Потокорозподіл!E7</f>
        <v>-8.032</v>
      </c>
      <c r="B6" s="15">
        <f>Потокорозподіл!F7</f>
        <v>-4.625</v>
      </c>
      <c r="C6" s="117"/>
      <c r="D6" s="120"/>
      <c r="E6" s="39" t="str">
        <f>'Таблиця 1-4'!D5</f>
        <v>В-Д</v>
      </c>
      <c r="F6" s="45" t="str">
        <f t="shared" si="0"/>
        <v>-8.032-4.625i</v>
      </c>
      <c r="G6" s="45">
        <f t="shared" ref="G6:G17" si="1">ROUND(1*IMABS(F6),2)</f>
        <v>9.27</v>
      </c>
      <c r="H6" s="45">
        <f>110</f>
        <v>110</v>
      </c>
      <c r="I6" s="39">
        <f>'Таблиця 1-4'!G5</f>
        <v>1</v>
      </c>
      <c r="J6" s="45">
        <f t="shared" ref="J6:J7" si="2">ROUND(G6/SQRT(3)/H6/I6*10^3,2)</f>
        <v>48.65</v>
      </c>
      <c r="K6" s="46">
        <f>J6/$N$2</f>
        <v>60.812499999999993</v>
      </c>
      <c r="L6" s="49">
        <v>70</v>
      </c>
      <c r="M6" s="50">
        <v>150</v>
      </c>
    </row>
    <row r="7" spans="1:15" ht="19.5" thickBot="1" x14ac:dyDescent="0.3">
      <c r="A7" s="15">
        <f>Потокорозподіл!E8</f>
        <v>35</v>
      </c>
      <c r="B7" s="15">
        <f>Потокорозподіл!F8</f>
        <v>19</v>
      </c>
      <c r="C7" s="86"/>
      <c r="D7" s="89" t="s">
        <v>89</v>
      </c>
      <c r="E7" s="36" t="str">
        <f>'Таблиця 1-4'!D6</f>
        <v>В-Д</v>
      </c>
      <c r="F7" s="45" t="str">
        <f t="shared" si="0"/>
        <v>35+19i</v>
      </c>
      <c r="G7" s="45">
        <f t="shared" si="1"/>
        <v>39.82</v>
      </c>
      <c r="H7" s="45">
        <f>110</f>
        <v>110</v>
      </c>
      <c r="I7" s="36">
        <f>'Таблиця 1-4'!G6</f>
        <v>2</v>
      </c>
      <c r="J7" s="45">
        <f t="shared" si="2"/>
        <v>104.5</v>
      </c>
      <c r="K7" s="46">
        <f t="shared" ref="K7:K17" si="3">J7/$N$2</f>
        <v>130.625</v>
      </c>
      <c r="L7" s="36">
        <v>150</v>
      </c>
      <c r="M7" s="36">
        <v>150</v>
      </c>
    </row>
    <row r="8" spans="1:15" ht="19.5" thickBot="1" x14ac:dyDescent="0.3">
      <c r="A8" s="15">
        <f>Потокорозподіл!E9</f>
        <v>62</v>
      </c>
      <c r="B8" s="15">
        <f>Потокорозподіл!F9</f>
        <v>32.799999999999997</v>
      </c>
      <c r="C8" s="90"/>
      <c r="D8" s="90"/>
      <c r="E8" s="36" t="str">
        <f>'Таблиця 1-4'!D7</f>
        <v>ВП-Д</v>
      </c>
      <c r="F8" s="45" t="str">
        <f t="shared" si="0"/>
        <v>62+32.8i</v>
      </c>
      <c r="G8" s="45">
        <f t="shared" si="1"/>
        <v>70.14</v>
      </c>
      <c r="H8" s="45">
        <f>110</f>
        <v>110</v>
      </c>
      <c r="I8" s="36">
        <f>'Таблиця 1-4'!G7</f>
        <v>2</v>
      </c>
      <c r="J8" s="45">
        <f t="shared" ref="J8:J17" si="4">ROUND(G8/SQRT(3)/H8/I8*10^3,2)</f>
        <v>184.07</v>
      </c>
      <c r="K8" s="46">
        <f t="shared" si="3"/>
        <v>230.08749999999998</v>
      </c>
      <c r="L8" s="36">
        <v>240</v>
      </c>
      <c r="M8" s="36">
        <v>240</v>
      </c>
    </row>
    <row r="9" spans="1:15" ht="19.5" thickBot="1" x14ac:dyDescent="0.3">
      <c r="A9" s="15">
        <f>Потокорозподіл!E11</f>
        <v>34.843000000000004</v>
      </c>
      <c r="B9" s="15">
        <f>Потокорозподіл!F11</f>
        <v>16.891999999999999</v>
      </c>
      <c r="C9" s="88" t="s">
        <v>20</v>
      </c>
      <c r="D9" s="88" t="s">
        <v>88</v>
      </c>
      <c r="E9" s="33" t="str">
        <f>'Таблиця 1-4'!D8</f>
        <v>ВП-Г</v>
      </c>
      <c r="F9" s="45" t="str">
        <f t="shared" si="0"/>
        <v>34.843+16.892i</v>
      </c>
      <c r="G9" s="45">
        <f t="shared" si="1"/>
        <v>38.72</v>
      </c>
      <c r="H9" s="45">
        <f>110</f>
        <v>110</v>
      </c>
      <c r="I9" s="33">
        <f>'Таблиця 1-4'!G8</f>
        <v>1</v>
      </c>
      <c r="J9" s="45">
        <f t="shared" si="4"/>
        <v>203.23</v>
      </c>
      <c r="K9" s="46">
        <f t="shared" si="3"/>
        <v>254.03749999999997</v>
      </c>
      <c r="L9" s="36">
        <v>300</v>
      </c>
      <c r="M9" s="33">
        <v>300</v>
      </c>
    </row>
    <row r="10" spans="1:15" ht="19.5" thickBot="1" x14ac:dyDescent="0.3">
      <c r="A10" s="15">
        <f>Потокорозподіл!E12</f>
        <v>32.156999999999996</v>
      </c>
      <c r="B10" s="15">
        <f>Потокорозподіл!F12</f>
        <v>15.608000000000001</v>
      </c>
      <c r="C10" s="86"/>
      <c r="D10" s="86"/>
      <c r="E10" s="36" t="str">
        <f>'Таблиця 1-4'!D9</f>
        <v>ВП-Е</v>
      </c>
      <c r="F10" s="45" t="str">
        <f t="shared" si="0"/>
        <v>32.157+15.608i</v>
      </c>
      <c r="G10" s="45">
        <f t="shared" si="1"/>
        <v>35.74</v>
      </c>
      <c r="H10" s="45">
        <f>110</f>
        <v>110</v>
      </c>
      <c r="I10" s="33">
        <f>'Таблиця 1-4'!G9</f>
        <v>1</v>
      </c>
      <c r="J10" s="45">
        <f t="shared" si="4"/>
        <v>187.59</v>
      </c>
      <c r="K10" s="46">
        <f t="shared" si="3"/>
        <v>234.48749999999998</v>
      </c>
      <c r="L10" s="36">
        <v>240</v>
      </c>
      <c r="M10" s="33">
        <v>240</v>
      </c>
    </row>
    <row r="11" spans="1:15" ht="19.5" thickBot="1" x14ac:dyDescent="0.3">
      <c r="A11" s="15">
        <f>Потокорозподіл!E13</f>
        <v>2.8430000000000035</v>
      </c>
      <c r="B11" s="15">
        <f>Потокорозподіл!F13</f>
        <v>1.3919999999999995</v>
      </c>
      <c r="C11" s="86"/>
      <c r="D11" s="90"/>
      <c r="E11" s="33" t="str">
        <f>'Таблиця 1-4'!D10</f>
        <v>Е-Г</v>
      </c>
      <c r="F11" s="45" t="str">
        <f t="shared" si="0"/>
        <v>2.843+1.392i</v>
      </c>
      <c r="G11" s="45">
        <f t="shared" si="1"/>
        <v>3.17</v>
      </c>
      <c r="H11" s="45">
        <f>110</f>
        <v>110</v>
      </c>
      <c r="I11" s="33">
        <f>'Таблиця 1-4'!G10</f>
        <v>1</v>
      </c>
      <c r="J11" s="45">
        <f t="shared" si="4"/>
        <v>16.64</v>
      </c>
      <c r="K11" s="46">
        <f t="shared" si="3"/>
        <v>20.8</v>
      </c>
      <c r="L11" s="36">
        <v>70</v>
      </c>
      <c r="M11" s="33">
        <v>150</v>
      </c>
    </row>
    <row r="12" spans="1:15" ht="19.5" thickBot="1" x14ac:dyDescent="0.3">
      <c r="A12" s="15">
        <f>Потокорозподіл!E14</f>
        <v>67</v>
      </c>
      <c r="B12" s="15">
        <f>Потокорозподіл!F14</f>
        <v>32.5</v>
      </c>
      <c r="C12" s="86"/>
      <c r="D12" s="88" t="s">
        <v>90</v>
      </c>
      <c r="E12" s="33" t="str">
        <f>'Таблиця 1-4'!D11</f>
        <v>ВП-2</v>
      </c>
      <c r="F12" s="45" t="str">
        <f t="shared" si="0"/>
        <v>67+32.5i</v>
      </c>
      <c r="G12" s="45">
        <f t="shared" si="1"/>
        <v>74.47</v>
      </c>
      <c r="H12" s="45">
        <f>110</f>
        <v>110</v>
      </c>
      <c r="I12" s="33">
        <f>'Таблиця 1-4'!G11</f>
        <v>2</v>
      </c>
      <c r="J12" s="45">
        <f t="shared" si="4"/>
        <v>195.43</v>
      </c>
      <c r="K12" s="46">
        <f t="shared" si="3"/>
        <v>244.28749999999999</v>
      </c>
      <c r="L12" s="36">
        <v>300</v>
      </c>
      <c r="M12" s="33">
        <v>300</v>
      </c>
    </row>
    <row r="13" spans="1:15" ht="19.5" thickBot="1" x14ac:dyDescent="0.3">
      <c r="A13" s="15">
        <f>'Таблиця 1-4'!F12</f>
        <v>32</v>
      </c>
      <c r="B13" s="15">
        <f>Потокорозподіл!F15</f>
        <v>15.5</v>
      </c>
      <c r="C13" s="86"/>
      <c r="D13" s="86"/>
      <c r="E13" s="33" t="str">
        <f>'Таблиця 1-4'!D12</f>
        <v>Г-2</v>
      </c>
      <c r="F13" s="45" t="str">
        <f t="shared" si="0"/>
        <v>32+15.5i</v>
      </c>
      <c r="G13" s="45">
        <f t="shared" si="1"/>
        <v>35.56</v>
      </c>
      <c r="H13" s="45">
        <f>110</f>
        <v>110</v>
      </c>
      <c r="I13" s="33">
        <f>'Таблиця 1-4'!G12</f>
        <v>2</v>
      </c>
      <c r="J13" s="45">
        <f t="shared" si="4"/>
        <v>93.32</v>
      </c>
      <c r="K13" s="46">
        <f t="shared" si="3"/>
        <v>116.64999999999999</v>
      </c>
      <c r="L13" s="36">
        <v>120</v>
      </c>
      <c r="M13" s="33">
        <v>120</v>
      </c>
    </row>
    <row r="14" spans="1:15" ht="19.5" thickBot="1" x14ac:dyDescent="0.3">
      <c r="A14" s="15">
        <f>'Таблиця 1-4'!F13</f>
        <v>35</v>
      </c>
      <c r="B14" s="15">
        <f>Потокорозподіл!F16</f>
        <v>17</v>
      </c>
      <c r="C14" s="90"/>
      <c r="D14" s="90"/>
      <c r="E14" s="33" t="str">
        <f>'Таблиця 1-4'!D13</f>
        <v>Е-2</v>
      </c>
      <c r="F14" s="45" t="str">
        <f t="shared" si="0"/>
        <v>35+17i</v>
      </c>
      <c r="G14" s="45">
        <f t="shared" si="1"/>
        <v>38.909999999999997</v>
      </c>
      <c r="H14" s="45">
        <f>110</f>
        <v>110</v>
      </c>
      <c r="I14" s="33">
        <f>'Таблиця 1-4'!G13</f>
        <v>2</v>
      </c>
      <c r="J14" s="45">
        <f t="shared" si="4"/>
        <v>102.11</v>
      </c>
      <c r="K14" s="46">
        <f t="shared" si="3"/>
        <v>127.63749999999999</v>
      </c>
      <c r="L14" s="36">
        <v>150</v>
      </c>
      <c r="M14" s="33">
        <v>150</v>
      </c>
    </row>
    <row r="15" spans="1:15" ht="19.5" thickBot="1" x14ac:dyDescent="0.3">
      <c r="A15" s="15">
        <f>Потокорозподіл!F25</f>
        <v>166.15</v>
      </c>
      <c r="B15" s="15">
        <f>Потокорозподіл!G25</f>
        <v>116.7</v>
      </c>
      <c r="C15" s="88"/>
      <c r="D15" s="88"/>
      <c r="E15" s="33" t="str">
        <f>'Таблиця 1-4'!D14</f>
        <v>ДЖ-3</v>
      </c>
      <c r="F15" s="45" t="str">
        <f t="shared" si="0"/>
        <v>166.15+116.7i</v>
      </c>
      <c r="G15" s="45">
        <f t="shared" si="1"/>
        <v>203.04</v>
      </c>
      <c r="H15" s="33">
        <f>220</f>
        <v>220</v>
      </c>
      <c r="I15" s="33">
        <f>'Таблиця 1-4'!G14</f>
        <v>2</v>
      </c>
      <c r="J15" s="45">
        <f t="shared" si="4"/>
        <v>266.42</v>
      </c>
      <c r="K15" s="46">
        <f t="shared" si="3"/>
        <v>333.02499999999998</v>
      </c>
      <c r="L15" s="36">
        <v>400</v>
      </c>
      <c r="M15" s="33">
        <v>400</v>
      </c>
    </row>
    <row r="16" spans="1:15" ht="19.5" thickBot="1" x14ac:dyDescent="0.3">
      <c r="A16" s="15">
        <f>Потокорозподіл!F26</f>
        <v>146.15</v>
      </c>
      <c r="B16" s="15">
        <f>Потокорозподіл!G26</f>
        <v>103.7</v>
      </c>
      <c r="C16" s="86"/>
      <c r="D16" s="86"/>
      <c r="E16" s="33" t="str">
        <f>'Таблиця 1-4'!D15</f>
        <v>3-ВП</v>
      </c>
      <c r="F16" s="45" t="str">
        <f t="shared" si="0"/>
        <v>146.15+103.7i</v>
      </c>
      <c r="G16" s="45">
        <f t="shared" si="1"/>
        <v>179.2</v>
      </c>
      <c r="H16" s="33">
        <f>220</f>
        <v>220</v>
      </c>
      <c r="I16" s="33">
        <f>'Таблиця 1-4'!G15</f>
        <v>2</v>
      </c>
      <c r="J16" s="45">
        <f t="shared" si="4"/>
        <v>235.14</v>
      </c>
      <c r="K16" s="46">
        <f t="shared" si="3"/>
        <v>293.92499999999995</v>
      </c>
      <c r="L16" s="33">
        <v>300</v>
      </c>
      <c r="M16" s="33">
        <v>300</v>
      </c>
    </row>
    <row r="17" spans="1:13" ht="19.5" thickBot="1" x14ac:dyDescent="0.3">
      <c r="A17" s="15">
        <f>Потокорозподіл!F27</f>
        <v>20</v>
      </c>
      <c r="B17" s="15">
        <f>Потокорозподіл!G27</f>
        <v>13</v>
      </c>
      <c r="C17" s="90"/>
      <c r="D17" s="90"/>
      <c r="E17" s="33" t="str">
        <f>'Таблиця 1-4'!D16</f>
        <v>3-Б</v>
      </c>
      <c r="F17" s="45" t="str">
        <f t="shared" si="0"/>
        <v>20+13i</v>
      </c>
      <c r="G17" s="45">
        <f t="shared" si="1"/>
        <v>23.85</v>
      </c>
      <c r="H17" s="33">
        <f>220</f>
        <v>220</v>
      </c>
      <c r="I17" s="33">
        <f>'Таблиця 1-4'!G16</f>
        <v>2</v>
      </c>
      <c r="J17" s="45">
        <f t="shared" si="4"/>
        <v>31.3</v>
      </c>
      <c r="K17" s="46">
        <f t="shared" si="3"/>
        <v>39.125</v>
      </c>
      <c r="L17" s="33">
        <v>70</v>
      </c>
      <c r="M17" s="33">
        <v>240</v>
      </c>
    </row>
  </sheetData>
  <mergeCells count="15">
    <mergeCell ref="M2:M3"/>
    <mergeCell ref="L2:L3"/>
    <mergeCell ref="C2:C3"/>
    <mergeCell ref="D2:D3"/>
    <mergeCell ref="E2:E3"/>
    <mergeCell ref="I2:I3"/>
    <mergeCell ref="J2:J3"/>
    <mergeCell ref="C4:C8"/>
    <mergeCell ref="C9:C14"/>
    <mergeCell ref="C15:C17"/>
    <mergeCell ref="D4:D6"/>
    <mergeCell ref="D7:D8"/>
    <mergeCell ref="D9:D11"/>
    <mergeCell ref="D12:D14"/>
    <mergeCell ref="D15:D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Табл1-1  1-2</vt:lpstr>
      <vt:lpstr>Вар1. Длинна</vt:lpstr>
      <vt:lpstr>Вар2. Длинна</vt:lpstr>
      <vt:lpstr>мережа зовнішньго електр.</vt:lpstr>
      <vt:lpstr>Таблиця 1-3</vt:lpstr>
      <vt:lpstr>трансформ + компенс</vt:lpstr>
      <vt:lpstr>Потокорозподіл</vt:lpstr>
      <vt:lpstr>Таблиця 1-4</vt:lpstr>
      <vt:lpstr>Fрозр</vt:lpstr>
      <vt:lpstr>мех міцн</vt:lpstr>
      <vt:lpstr>нагрів</vt:lpstr>
      <vt:lpstr>падіння напруги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2021-04-12T12:34:47Z</dcterms:modified>
</cp:coreProperties>
</file>