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4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tabRatio="667" firstSheet="10" activeTab="1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Table 2-4" sheetId="16" r:id="rId16"/>
    <sheet name="пункт2.2" sheetId="19" r:id="rId17"/>
    <sheet name="Tabl 2-5" sheetId="17" r:id="rId18"/>
    <sheet name="Table 2-6" sheetId="18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S15" i="18" l="1"/>
  <c r="O11" i="18"/>
  <c r="O10" i="18"/>
  <c r="E22" i="18"/>
  <c r="E26" i="18"/>
  <c r="E24" i="18"/>
  <c r="E23" i="18"/>
  <c r="E25" i="18"/>
  <c r="E27" i="18"/>
  <c r="S13" i="18"/>
  <c r="O9" i="18"/>
  <c r="O8" i="18"/>
  <c r="O7" i="18"/>
  <c r="O6" i="18"/>
  <c r="O5" i="18"/>
  <c r="H22" i="18"/>
  <c r="U27" i="18"/>
  <c r="Q27" i="18"/>
  <c r="Q26" i="18"/>
  <c r="Q25" i="18"/>
  <c r="Q24" i="18"/>
  <c r="Q23" i="18"/>
  <c r="Q22" i="18"/>
  <c r="S17" i="18"/>
  <c r="S23" i="18" s="1"/>
  <c r="J27" i="18"/>
  <c r="J5" i="18"/>
  <c r="A5" i="18" s="1"/>
  <c r="J9" i="18"/>
  <c r="K10" i="18"/>
  <c r="J10" i="18"/>
  <c r="K8" i="18"/>
  <c r="J8" i="18"/>
  <c r="J6" i="18" l="1"/>
  <c r="I6" i="18"/>
  <c r="K5" i="18"/>
  <c r="I9" i="18" l="1"/>
  <c r="K9" i="18"/>
  <c r="K16" i="18"/>
  <c r="K15" i="18"/>
  <c r="K14" i="18"/>
  <c r="K13" i="18"/>
  <c r="K12" i="18"/>
  <c r="K11" i="18"/>
  <c r="K7" i="18"/>
  <c r="K6" i="18"/>
  <c r="J16" i="18"/>
  <c r="J15" i="18"/>
  <c r="J14" i="18"/>
  <c r="J13" i="18"/>
  <c r="J12" i="18"/>
  <c r="J11" i="18"/>
  <c r="J7" i="18"/>
  <c r="H5" i="18"/>
  <c r="G10" i="18"/>
  <c r="G9" i="18"/>
  <c r="I8" i="18"/>
  <c r="I7" i="18"/>
  <c r="I5" i="18"/>
  <c r="D7" i="18" l="1"/>
  <c r="C6" i="18"/>
  <c r="A6" i="18"/>
  <c r="D5" i="18"/>
  <c r="C5" i="18"/>
  <c r="B5" i="18"/>
  <c r="I16" i="18"/>
  <c r="I15" i="18"/>
  <c r="I14" i="18"/>
  <c r="I13" i="18"/>
  <c r="I12" i="18"/>
  <c r="I11" i="18"/>
  <c r="I10" i="18"/>
  <c r="L5" i="18" l="1"/>
  <c r="M5" i="18"/>
  <c r="E5" i="12"/>
  <c r="G7" i="18"/>
  <c r="O22" i="17"/>
  <c r="K11" i="17"/>
  <c r="N13" i="17"/>
  <c r="K7" i="17"/>
  <c r="J8" i="17"/>
  <c r="J6" i="17"/>
  <c r="N7" i="17"/>
  <c r="J7" i="17"/>
  <c r="N6" i="17"/>
  <c r="N5" i="17"/>
  <c r="N18" i="17"/>
  <c r="O17" i="17"/>
  <c r="O15" i="17"/>
  <c r="J5" i="17"/>
  <c r="L8" i="17"/>
  <c r="K8" i="17"/>
  <c r="N16" i="17"/>
  <c r="K10" i="17"/>
  <c r="H6" i="18" l="1"/>
  <c r="K17" i="12"/>
  <c r="K5" i="17" l="1"/>
  <c r="K6" i="17"/>
  <c r="G12" i="19"/>
  <c r="D12" i="19"/>
  <c r="C9" i="19"/>
  <c r="O20" i="17" l="1"/>
  <c r="O18" i="17"/>
  <c r="K15" i="17" l="1"/>
  <c r="J15" i="17"/>
  <c r="I14" i="16"/>
  <c r="K14" i="16"/>
  <c r="N17" i="17"/>
  <c r="M17" i="17"/>
  <c r="J16" i="17" l="1"/>
  <c r="L13" i="16"/>
  <c r="M13" i="16"/>
  <c r="C15" i="17"/>
  <c r="B16" i="17"/>
  <c r="A16" i="17"/>
  <c r="L16" i="17" s="1"/>
  <c r="A15" i="17"/>
  <c r="L15" i="17" s="1"/>
  <c r="B15" i="17"/>
  <c r="B14" i="17"/>
  <c r="L14" i="17" s="1"/>
  <c r="A14" i="17"/>
  <c r="A13" i="17"/>
  <c r="J14" i="17"/>
  <c r="M10" i="16"/>
  <c r="B13" i="17"/>
  <c r="B12" i="17"/>
  <c r="A12" i="17"/>
  <c r="A11" i="17"/>
  <c r="L11" i="17"/>
  <c r="J12" i="17"/>
  <c r="B11" i="17"/>
  <c r="J11" i="17"/>
  <c r="K9" i="17"/>
  <c r="J10" i="17"/>
  <c r="J9" i="17"/>
  <c r="D8" i="17"/>
  <c r="C8" i="17"/>
  <c r="C9" i="17"/>
  <c r="A10" i="17"/>
  <c r="L10" i="17" s="1"/>
  <c r="B10" i="17"/>
  <c r="B9" i="17"/>
  <c r="A9" i="17"/>
  <c r="L9" i="17" s="1"/>
  <c r="B8" i="17"/>
  <c r="A8" i="17"/>
  <c r="B7" i="17"/>
  <c r="L7" i="17" s="1"/>
  <c r="A7" i="17"/>
  <c r="C6" i="17"/>
  <c r="B6" i="17"/>
  <c r="A6" i="17"/>
  <c r="L6" i="17" s="1"/>
  <c r="A5" i="17"/>
  <c r="D5" i="17"/>
  <c r="B5" i="17"/>
  <c r="M12" i="16"/>
  <c r="L12" i="17"/>
  <c r="N34" i="15"/>
  <c r="L34" i="15"/>
  <c r="F8" i="17" l="1"/>
  <c r="M30" i="17"/>
  <c r="L5" i="17"/>
  <c r="C5" i="17"/>
  <c r="F5" i="17" s="1"/>
  <c r="E8" i="17"/>
  <c r="M8" i="17" s="1"/>
  <c r="N8" i="17" s="1"/>
  <c r="E5" i="17" l="1"/>
  <c r="M5" i="17" s="1"/>
  <c r="M9" i="16"/>
  <c r="K10" i="16"/>
  <c r="L10" i="16"/>
  <c r="H12" i="16"/>
  <c r="I16" i="19" l="1"/>
  <c r="M17" i="14"/>
  <c r="H17" i="14"/>
  <c r="H12" i="14"/>
  <c r="F2" i="19"/>
  <c r="B13" i="19"/>
  <c r="H13" i="19"/>
  <c r="H4" i="19"/>
  <c r="H14" i="19"/>
  <c r="H17" i="19"/>
  <c r="E17" i="19"/>
  <c r="B17" i="19"/>
  <c r="H16" i="19"/>
  <c r="F16" i="19"/>
  <c r="E16" i="19"/>
  <c r="C16" i="19"/>
  <c r="B16" i="19"/>
  <c r="C8" i="19"/>
  <c r="BA8" i="13" l="1"/>
  <c r="BA10" i="13"/>
  <c r="AZ10" i="13"/>
  <c r="AZ8" i="13"/>
  <c r="X10" i="13"/>
  <c r="X9" i="13"/>
  <c r="X8" i="13"/>
  <c r="X7" i="13"/>
  <c r="L19" i="13"/>
  <c r="L20" i="13"/>
  <c r="L15" i="13"/>
  <c r="L16" i="13"/>
  <c r="L12" i="13"/>
  <c r="L7" i="13"/>
  <c r="L8" i="13"/>
  <c r="L9" i="13"/>
  <c r="AM7" i="13"/>
  <c r="D6" i="15" l="1"/>
  <c r="L5" i="15"/>
  <c r="C4" i="19" l="1"/>
  <c r="W10" i="13" l="1"/>
  <c r="W8" i="13"/>
  <c r="F25" i="11"/>
  <c r="H19" i="13" s="1"/>
  <c r="H20" i="13"/>
  <c r="H18" i="13"/>
  <c r="F19" i="13"/>
  <c r="F20" i="13"/>
  <c r="F18" i="13"/>
  <c r="E19" i="13"/>
  <c r="E20" i="13"/>
  <c r="E18" i="13"/>
  <c r="F16" i="13"/>
  <c r="E16" i="13"/>
  <c r="F15" i="13"/>
  <c r="E15" i="13"/>
  <c r="F14" i="13"/>
  <c r="L14" i="13" s="1"/>
  <c r="E14" i="13"/>
  <c r="H12" i="13"/>
  <c r="H11" i="13"/>
  <c r="F11" i="13"/>
  <c r="E12" i="13"/>
  <c r="E11" i="13"/>
  <c r="L10" i="13"/>
  <c r="H9" i="13"/>
  <c r="F9" i="13"/>
  <c r="H8" i="13"/>
  <c r="F8" i="13"/>
  <c r="H7" i="13"/>
  <c r="F7" i="13"/>
  <c r="E8" i="13"/>
  <c r="E9" i="13"/>
  <c r="E7" i="13"/>
  <c r="F8" i="19" l="1"/>
  <c r="D8" i="19"/>
  <c r="S5" i="15" l="1"/>
  <c r="T5" i="15"/>
  <c r="I8" i="19"/>
  <c r="H9" i="19" s="1"/>
  <c r="H8" i="19"/>
  <c r="E11" i="10"/>
  <c r="E9" i="10"/>
  <c r="H17" i="8" l="1"/>
  <c r="I17" i="8"/>
  <c r="G8" i="19" l="1"/>
  <c r="F9" i="19" s="1"/>
  <c r="G5" i="16" l="1"/>
  <c r="L11" i="16"/>
  <c r="M11" i="16" s="1"/>
  <c r="U12" i="15"/>
  <c r="L5" i="16"/>
  <c r="L6" i="16"/>
  <c r="L7" i="16"/>
  <c r="C12" i="16" l="1"/>
  <c r="B12" i="16"/>
  <c r="A12" i="16"/>
  <c r="E10" i="16"/>
  <c r="D10" i="16"/>
  <c r="L9" i="16" l="1"/>
  <c r="L8" i="16"/>
  <c r="E6" i="16" l="1"/>
  <c r="E7" i="16"/>
  <c r="E8" i="16"/>
  <c r="E9" i="16"/>
  <c r="E5" i="16"/>
  <c r="D6" i="16"/>
  <c r="D7" i="16"/>
  <c r="D8" i="16"/>
  <c r="D9" i="16"/>
  <c r="D5" i="16"/>
  <c r="K5" i="16" s="1"/>
  <c r="C6" i="16"/>
  <c r="C7" i="16"/>
  <c r="C8" i="16"/>
  <c r="C9" i="16"/>
  <c r="C5" i="16"/>
  <c r="B6" i="16"/>
  <c r="B7" i="16"/>
  <c r="B8" i="16"/>
  <c r="B9" i="16"/>
  <c r="B5" i="16"/>
  <c r="I5" i="16" s="1"/>
  <c r="A6" i="16"/>
  <c r="H6" i="16" s="1"/>
  <c r="A7" i="16"/>
  <c r="A8" i="16"/>
  <c r="A9" i="16"/>
  <c r="A5" i="16"/>
  <c r="H5" i="16" s="1"/>
  <c r="F31" i="12"/>
  <c r="D44" i="12"/>
  <c r="M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29" i="15" s="1"/>
  <c r="J5" i="16" l="1"/>
  <c r="M5" i="16" s="1"/>
  <c r="D34" i="15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U7" i="15" l="1"/>
  <c r="T7" i="15"/>
  <c r="U8" i="15"/>
  <c r="S8" i="15"/>
  <c r="T8" i="15"/>
  <c r="S9" i="15"/>
  <c r="U9" i="15"/>
  <c r="T9" i="15"/>
  <c r="U13" i="15"/>
  <c r="S13" i="15"/>
  <c r="T13" i="15"/>
  <c r="U6" i="15"/>
  <c r="S6" i="15"/>
  <c r="T6" i="15"/>
  <c r="S10" i="15"/>
  <c r="U10" i="15"/>
  <c r="T10" i="15"/>
  <c r="U11" i="15"/>
  <c r="T11" i="15"/>
  <c r="S11" i="15"/>
  <c r="T12" i="15"/>
  <c r="S12" i="15"/>
  <c r="B7" i="18"/>
  <c r="A8" i="18"/>
  <c r="C8" i="18"/>
  <c r="B9" i="18"/>
  <c r="D9" i="18"/>
  <c r="A10" i="18"/>
  <c r="C10" i="18"/>
  <c r="B11" i="18"/>
  <c r="D11" i="18"/>
  <c r="A12" i="18"/>
  <c r="C12" i="18"/>
  <c r="B13" i="18"/>
  <c r="D13" i="18"/>
  <c r="A14" i="18"/>
  <c r="C14" i="18"/>
  <c r="B15" i="18"/>
  <c r="D15" i="18"/>
  <c r="J22" i="18"/>
  <c r="J23" i="18"/>
  <c r="J24" i="18"/>
  <c r="J25" i="18"/>
  <c r="J26" i="18"/>
  <c r="K12" i="17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C12" i="17" l="1"/>
  <c r="D12" i="17"/>
  <c r="D15" i="17"/>
  <c r="J6" i="16"/>
  <c r="M6" i="16" s="1"/>
  <c r="D11" i="19" s="1"/>
  <c r="I7" i="16"/>
  <c r="J7" i="16" s="1"/>
  <c r="K7" i="16"/>
  <c r="I8" i="16"/>
  <c r="J8" i="16" s="1"/>
  <c r="K8" i="16"/>
  <c r="I9" i="16"/>
  <c r="J9" i="16" s="1"/>
  <c r="G19" i="19" s="1"/>
  <c r="G20" i="19" s="1"/>
  <c r="K9" i="16"/>
  <c r="L13" i="17"/>
  <c r="C15" i="18"/>
  <c r="B14" i="18"/>
  <c r="C13" i="18"/>
  <c r="B12" i="18"/>
  <c r="C11" i="18"/>
  <c r="B10" i="18"/>
  <c r="C9" i="18"/>
  <c r="B8" i="18"/>
  <c r="C7" i="18"/>
  <c r="B6" i="18"/>
  <c r="A15" i="18"/>
  <c r="D14" i="18"/>
  <c r="A13" i="18"/>
  <c r="D12" i="18"/>
  <c r="A11" i="18"/>
  <c r="D10" i="18"/>
  <c r="A9" i="18"/>
  <c r="D8" i="18"/>
  <c r="A7" i="18"/>
  <c r="D6" i="18"/>
  <c r="D6" i="17"/>
  <c r="D9" i="17"/>
  <c r="K17" i="15"/>
  <c r="K19" i="15"/>
  <c r="H9" i="15"/>
  <c r="L6" i="18" l="1"/>
  <c r="F9" i="17"/>
  <c r="E9" i="17"/>
  <c r="E12" i="17"/>
  <c r="F12" i="17"/>
  <c r="F6" i="17"/>
  <c r="M8" i="16"/>
  <c r="G11" i="19" s="1"/>
  <c r="M7" i="16"/>
  <c r="C19" i="19" s="1"/>
  <c r="C20" i="19" s="1"/>
  <c r="F13" i="19" s="1"/>
  <c r="E6" i="17"/>
  <c r="E15" i="17"/>
  <c r="M15" i="17" s="1"/>
  <c r="N15" i="17" s="1"/>
  <c r="F15" i="17"/>
  <c r="M6" i="17" l="1"/>
  <c r="M9" i="17"/>
  <c r="N9" i="17" s="1"/>
  <c r="M12" i="17"/>
  <c r="N12" i="17" s="1"/>
  <c r="C10" i="17" l="1"/>
  <c r="D10" i="17"/>
  <c r="H23" i="18"/>
  <c r="M6" i="18"/>
  <c r="H7" i="18" s="1"/>
  <c r="E10" i="17" l="1"/>
  <c r="M10" i="17" s="1"/>
  <c r="N10" i="17" s="1"/>
  <c r="F10" i="17"/>
  <c r="C7" i="17"/>
  <c r="D7" i="17"/>
  <c r="M7" i="18"/>
  <c r="E7" i="17" l="1"/>
  <c r="F7" i="17"/>
  <c r="L7" i="18"/>
  <c r="H8" i="18" s="1"/>
  <c r="M7" i="17" l="1"/>
  <c r="H9" i="18"/>
  <c r="M9" i="18" s="1"/>
  <c r="L8" i="18"/>
  <c r="M8" i="18"/>
  <c r="D11" i="17" l="1"/>
  <c r="C11" i="17"/>
  <c r="L9" i="18"/>
  <c r="H10" i="18" l="1"/>
  <c r="S25" i="18"/>
  <c r="S27" i="18" s="1"/>
  <c r="S19" i="18"/>
  <c r="L10" i="18"/>
  <c r="M10" i="18"/>
  <c r="F11" i="17"/>
  <c r="E11" i="17"/>
  <c r="H13" i="18"/>
  <c r="L13" i="18" s="1"/>
  <c r="M11" i="17" l="1"/>
  <c r="H12" i="18"/>
  <c r="M13" i="18"/>
  <c r="O13" i="18" s="1"/>
  <c r="H15" i="18" s="1"/>
  <c r="N11" i="17" l="1"/>
  <c r="K13" i="17" s="1"/>
  <c r="H11" i="18"/>
  <c r="L11" i="18" s="1"/>
  <c r="H14" i="18"/>
  <c r="L14" i="18" s="1"/>
  <c r="L12" i="18"/>
  <c r="M12" i="18"/>
  <c r="M11" i="18"/>
  <c r="M15" i="18"/>
  <c r="L15" i="18"/>
  <c r="D13" i="17" l="1"/>
  <c r="C13" i="17"/>
  <c r="O12" i="18"/>
  <c r="H25" i="18" s="1"/>
  <c r="O15" i="18"/>
  <c r="H26" i="18" s="1"/>
  <c r="M14" i="18"/>
  <c r="O14" i="18" s="1"/>
  <c r="T7" i="13"/>
  <c r="G7" i="13"/>
  <c r="G9" i="13"/>
  <c r="G8" i="13"/>
  <c r="H24" i="18" l="1"/>
  <c r="H16" i="18"/>
  <c r="F13" i="17"/>
  <c r="E13" i="17"/>
  <c r="AF7" i="13"/>
  <c r="AH7" i="13" s="1"/>
  <c r="AT8" i="13"/>
  <c r="AT7" i="13"/>
  <c r="AT10" i="13"/>
  <c r="AT9" i="13"/>
  <c r="AM10" i="13"/>
  <c r="AM9" i="13"/>
  <c r="AQ9" i="13" s="1"/>
  <c r="AW9" i="13" s="1"/>
  <c r="AM8" i="13"/>
  <c r="AQ7" i="13"/>
  <c r="AW7" i="13" s="1"/>
  <c r="AQ8" i="13"/>
  <c r="AW8" i="13" s="1"/>
  <c r="M16" i="18" l="1"/>
  <c r="L16" i="18"/>
  <c r="M13" i="17"/>
  <c r="AW10" i="13"/>
  <c r="AQ10" i="13"/>
  <c r="M8" i="14"/>
  <c r="L8" i="14"/>
  <c r="N22" i="14"/>
  <c r="N18" i="14"/>
  <c r="N14" i="14"/>
  <c r="N11" i="14"/>
  <c r="P8" i="14"/>
  <c r="B36" i="1"/>
  <c r="M20" i="14"/>
  <c r="M21" i="14"/>
  <c r="M19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6" i="14"/>
  <c r="H15" i="14"/>
  <c r="H13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O16" i="18" l="1"/>
  <c r="H27" i="18" s="1"/>
  <c r="M21" i="17"/>
  <c r="K14" i="17"/>
  <c r="E20" i="14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D14" i="17" l="1"/>
  <c r="C14" i="17"/>
  <c r="F15" i="14"/>
  <c r="F19" i="14" s="1"/>
  <c r="F20" i="14" s="1"/>
  <c r="L16" i="14"/>
  <c r="F16" i="14"/>
  <c r="F9" i="14"/>
  <c r="F10" i="14" s="1"/>
  <c r="L13" i="14"/>
  <c r="F14" i="17" l="1"/>
  <c r="E14" i="17"/>
  <c r="F17" i="14"/>
  <c r="F21" i="14"/>
  <c r="M14" i="17" l="1"/>
  <c r="M22" i="14"/>
  <c r="M18" i="14"/>
  <c r="N14" i="17" l="1"/>
  <c r="K16" i="17" s="1"/>
  <c r="T10" i="13"/>
  <c r="T9" i="13"/>
  <c r="T8" i="13"/>
  <c r="D16" i="17" l="1"/>
  <c r="C16" i="17"/>
  <c r="AF9" i="13"/>
  <c r="AF10" i="13"/>
  <c r="AF8" i="13"/>
  <c r="J5" i="13"/>
  <c r="F12" i="13"/>
  <c r="F6" i="13"/>
  <c r="F5" i="13"/>
  <c r="F16" i="17" l="1"/>
  <c r="E16" i="17"/>
  <c r="L5" i="13"/>
  <c r="L11" i="13"/>
  <c r="E6" i="13"/>
  <c r="E5" i="13"/>
  <c r="H16" i="13"/>
  <c r="G16" i="13"/>
  <c r="H15" i="13"/>
  <c r="G15" i="13"/>
  <c r="H14" i="13"/>
  <c r="G14" i="13"/>
  <c r="G12" i="13"/>
  <c r="G11" i="13"/>
  <c r="M16" i="17" l="1"/>
  <c r="L13" i="13"/>
  <c r="AC8" i="13" s="1"/>
  <c r="AU8" i="13" s="1"/>
  <c r="L18" i="13"/>
  <c r="J6" i="13"/>
  <c r="L6" i="13" s="1"/>
  <c r="H6" i="13"/>
  <c r="H5" i="13"/>
  <c r="M20" i="17" l="1"/>
  <c r="L21" i="13"/>
  <c r="AC10" i="13" s="1"/>
  <c r="AU10" i="13" s="1"/>
  <c r="L17" i="13"/>
  <c r="AC9" i="13" s="1"/>
  <c r="AU9" i="13" s="1"/>
  <c r="AE8" i="13"/>
  <c r="G6" i="13"/>
  <c r="G5" i="13"/>
  <c r="D5" i="13"/>
  <c r="AE9" i="13" l="1"/>
  <c r="AE10" i="13"/>
  <c r="AC7" i="13"/>
  <c r="AE7" i="13" s="1"/>
  <c r="AH8" i="13"/>
  <c r="AI8" i="13" s="1"/>
  <c r="AV8" i="13" s="1"/>
  <c r="AX8" i="13" s="1"/>
  <c r="AY8" i="13" s="1"/>
  <c r="AH10" i="13"/>
  <c r="AH9" i="13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9" i="13" l="1"/>
  <c r="AV9" i="13" s="1"/>
  <c r="AX9" i="13" s="1"/>
  <c r="AY9" i="13" s="1"/>
  <c r="AI10" i="13"/>
  <c r="AV10" i="13" s="1"/>
  <c r="AX10" i="13" s="1"/>
  <c r="AY10" i="13" s="1"/>
  <c r="AU7" i="13"/>
  <c r="AI7" i="13"/>
  <c r="AV7" i="13" s="1"/>
  <c r="AX7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AY7" i="13" l="1"/>
  <c r="F34" i="12"/>
  <c r="J34" i="12" s="1"/>
  <c r="F32" i="12"/>
  <c r="J32" i="12" s="1"/>
  <c r="G23" i="12"/>
  <c r="D45" i="12"/>
  <c r="E45" i="12" s="1"/>
  <c r="E10" i="12"/>
  <c r="E8" i="12"/>
  <c r="E6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13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D7" i="4"/>
  <c r="L10" i="4"/>
  <c r="L11" i="11" l="1"/>
  <c r="L14" i="11"/>
  <c r="I9" i="10"/>
  <c r="F17" i="10"/>
  <c r="F14" i="10"/>
  <c r="H14" i="10" s="1"/>
  <c r="F13" i="10"/>
  <c r="H13" i="10" s="1"/>
  <c r="F6" i="10"/>
  <c r="H6" i="10" s="1"/>
  <c r="F9" i="10"/>
  <c r="H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<sst xmlns="http://schemas.openxmlformats.org/spreadsheetml/2006/main" count="792" uniqueCount="331">
  <si>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</si>
  <si>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</si>
  <si>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</si>
  <si>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</si>
  <si>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</si>
  <si>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</si>
  <si>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</si>
  <si>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</si>
  <si>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</si>
  <si>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</si>
  <si>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</si>
  <si>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</si>
  <si>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</si>
  <si>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</si>
  <si>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</si>
  <si>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</si>
  <si>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</si>
  <si>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</si>
  <si>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</si>
  <si>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</si>
  <si>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</si>
  <si>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</si>
  <si>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</si>
  <si>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</si>
  <si>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</si>
  <si>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</si>
  <si>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</si>
  <si>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</si>
  <si>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</si>
  <si>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</si>
  <si>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</si>
  <si>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</si>
  <si>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</si>
  <si>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</si>
  <si>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</si>
  <si>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</si>
  <si>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</si>
  <si>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</si>
  <si>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</si>
  <si>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</si>
  <si>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</si>
  <si>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</si>
  <si>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</si>
  <si>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</si>
  <si>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</si>
  <si>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</si>
  <si>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</si>
  <si>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</si>
  <si>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</si>
  <si>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</si>
  <si>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</si>
  <si>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</si>
  <si>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</si>
  <si>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</si>
  <si>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</si>
  <si>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</si>
  <si>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</si>
  <si>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</si>
  <si>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</si>
  <si>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</si>
  <si>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</si>
  <si>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</si>
  <si>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</si>
  <si>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</si>
  <si>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</si>
  <si>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</si>
  <si>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</si>
  <si>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</si>
  <si>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</si>
  <si>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</si>
  <si>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</si>
  <si>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</si>
  <si>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</si>
  <si>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</si>
  <si>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</si>
  <si>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</si>
  <si>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</si>
  <si>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</si>
  <si>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</si>
  <si>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</si>
  <si>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</si>
  <si>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</si>
  <si>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</si>
  <si>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</si>
  <si>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</si>
  <si>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</si>
  <si>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</si>
  <si>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</si>
  <si>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</si>
  <si>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</si>
  <si>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</si>
  <si>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</si>
  <si>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</si>
  <si>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</si>
  <si>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</si>
  <si>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</si>
  <si>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</si>
  <si>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</si>
  <si>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</si>
  <si>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</si>
  <si>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</si>
  <si>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</si>
  <si>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</si>
  <si>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</si>
  <si>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</si>
  <si>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</si>
  <si>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</si>
  <si>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</si>
  <si>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</si>
  <si>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</si>
  <si>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</si>
  <si>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</si>
  <si>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</si>
  <si>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</si>
  <si>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</si>
  <si>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</si>
  <si>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</si>
  <si>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</si>
  <si>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</si>
  <si>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</si>
  <si>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</si>
  <si>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</si>
  <si>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</si>
  <si>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</si>
  <si>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</si>
  <si>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</si>
  <si>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</si>
  <si>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</si>
  <si>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</si>
  <si>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</si>
  <si>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</si>
  <si>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</si>
  <si>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</si>
  <si>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</si>
  <si>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</si>
  <si>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</si>
  <si>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</si>
  <si>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</si>
  <si>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</si>
  <si>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</si>
  <si>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</si>
  <si>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</si>
  <si>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</si>
  <si>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</si>
  <si>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</si>
  <si>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</si>
  <si>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</si>
  <si>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</si>
  <si>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</si>
  <si>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</si>
  <si>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</si>
  <si>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</si>
  <si>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</si>
  <si>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</si>
  <si>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</si>
  <si>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</si>
  <si>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</si>
  <si>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</si>
  <si>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</si>
  <si>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</si>
  <si>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</si>
  <si>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</si>
  <si>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</si>
  <si>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</si>
  <si>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</si>
  <si>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</si>
  <si>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</si>
  <si>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</si>
  <si>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</si>
  <si>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</si>
  <si>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</si>
  <si>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</si>
  <si>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</si>
  <si>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</si>
  <si>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</si>
  <si>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</si>
  <si>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</si>
  <si>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</si>
  <si>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</si>
  <si>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</si>
  <si>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</si>
  <si>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</si>
  <si>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</si>
  <si>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</si>
  <si>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</si>
  <si>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</si>
  <si>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</si>
  <si>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</si>
  <si>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</si>
  <si>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</si>
  <si>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</si>
  <si>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</si>
  <si>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</si>
  <si>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</si>
  <si>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</si>
  <si>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</si>
  <si>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</si>
  <si>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</si>
  <si>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</si>
  <si>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</si>
  <si>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</si>
  <si>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</si>
  <si>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</si>
  <si>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</si>
  <si>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</si>
  <si>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</si>
  <si>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</si>
  <si>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</si>
  <si>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</si>
  <si>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</si>
  <si>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</si>
  <si>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</si>
  <si>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</si>
  <si>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</si>
  <si>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</si>
  <si>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</si>
  <si>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</si>
  <si>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</si>
  <si>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</si>
  <si>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</si>
  <si>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</si>
  <si>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</si>
  <si>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</si>
  <si>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</si>
  <si>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</si>
  <si>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</si>
  <si>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</si>
  <si>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</si>
  <si>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</si>
  <si>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</si>
  <si>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</si>
  <si>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</si>
  <si>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</si>
  <si>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</si>
  <si>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</si>
  <si>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</si>
  <si>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</si>
  <si>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</si>
  <si>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</si>
  <si>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</si>
  <si>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</si>
  <si>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</si>
  <si>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</si>
  <si>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</si>
  <si>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</si>
  <si>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</si>
  <si>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</si>
  <si>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</si>
  <si>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</si>
  <si>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</si>
  <si>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</si>
  <si>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</si>
  <si>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</si>
  <si>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</si>
  <si>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</si>
  <si>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</si>
  <si>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</si>
  <si>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</si>
  <si>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</si>
  <si>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</si>
  <si>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</si>
  <si>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</si>
  <si>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</si>
  <si>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</si>
  <si>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</si>
  <si>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</si>
  <si>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</si>
  <si>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</si>
  <si>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</si>
  <si>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</si>
  <si>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</si>
  <si>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</si>
  <si>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</si>
  <si>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</si>
  <si>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</si>
  <si>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</si>
  <si>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</si>
  <si>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</si>
  <si>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</si>
  <si>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</si>
  <si>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</si>
  <si>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</si>
  <si>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</si>
  <si>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</si>
  <si>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</si>
  <si>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</si>
  <si>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</si>
  <si>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</si>
  <si>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</si>
  <si>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</si>
  <si>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</si>
  <si>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</si>
  <si>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</si>
  <si>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</si>
  <si>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</si>
  <si>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</si>
  <si>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</si>
  <si>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</si>
  <si>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</si>
  <si>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</si>
  <si>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</si>
  <si>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</si>
  <si>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</si>
  <si>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</si>
  <si>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</si>
  <si>
    <t>радиальная</t>
  </si>
  <si>
    <t>магистральна 1 діл</t>
  </si>
  <si>
    <t>магистральна 2 діл</t>
  </si>
  <si>
    <t>Г-Е//</t>
  </si>
  <si>
    <t>ВП2-Е/</t>
  </si>
  <si>
    <t>ВП1-В/</t>
  </si>
  <si>
    <t>ВП2-Д</t>
  </si>
  <si>
    <t>Д-В//</t>
  </si>
  <si>
    <t>В//</t>
  </si>
  <si>
    <t>В/</t>
  </si>
  <si>
    <t>Е/</t>
  </si>
  <si>
    <t>Е//</t>
  </si>
  <si>
    <t>3-А(ШВН)</t>
  </si>
  <si>
    <t>ВП2</t>
  </si>
  <si>
    <t>ВП1</t>
  </si>
  <si>
    <t>E/</t>
  </si>
  <si>
    <t>ПБЗ ВП</t>
  </si>
  <si>
    <t>Ucном ВП</t>
  </si>
  <si>
    <t>!!!</t>
  </si>
  <si>
    <t xml:space="preserve">РПН </t>
  </si>
  <si>
    <t>ВН</t>
  </si>
  <si>
    <t>НН</t>
  </si>
  <si>
    <t>ПБЗ</t>
  </si>
  <si>
    <t>СН</t>
  </si>
  <si>
    <t>&lt;</t>
  </si>
  <si>
    <t>ВП1-Г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</si>
</sst>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sz val="14"/>
      <color rgb="FF00B050"/>
      <name val="Times New Roman"/>
      <family val="1"/>
      <charset val="204"/>
    </font>
    <font>
      <b/>
      <sz val="14"/>
      <color rgb="FF00B05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25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0" fillId="6" borderId="0" xfId="0" applyFill="1"/>
    <xf numFmtId="2" fontId="0" fillId="6" borderId="0" xfId="0" applyNumberFormat="1" applyFill="1"/>
    <xf numFmtId="0" fontId="12" fillId="6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5</xdr:row>
      <xdr:rowOff>160020</xdr:rowOff>
    </xdr:from>
    <xdr:to>
      <xdr:col>8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152400</xdr:rowOff>
    </xdr:from>
    <xdr:to>
      <xdr:col>4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559716</xdr:colOff>
      <xdr:row>5</xdr:row>
      <xdr:rowOff>108098</xdr:rowOff>
    </xdr:from>
    <xdr:to>
      <xdr:col>6</xdr:col>
      <xdr:colOff>571500</xdr:colOff>
      <xdr:row>8</xdr:row>
      <xdr:rowOff>174625</xdr:rowOff>
    </xdr:to>
    <xdr:cxnSp macro="">
      <xdr:nvCxnSpPr>
        <xdr:cNvPr id="4" name="Прямая со стрелкой 3"/>
        <xdr:cNvCxnSpPr/>
      </xdr:nvCxnSpPr>
      <xdr:spPr>
        <a:xfrm>
          <a:off x="4845966" y="1060598"/>
          <a:ext cx="11784" cy="6380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5</xdr:row>
      <xdr:rowOff>1</xdr:rowOff>
    </xdr:from>
    <xdr:to>
      <xdr:col>6</xdr:col>
      <xdr:colOff>150814</xdr:colOff>
      <xdr:row>5</xdr:row>
      <xdr:rowOff>23813</xdr:rowOff>
    </xdr:to>
    <xdr:cxnSp macro="">
      <xdr:nvCxnSpPr>
        <xdr:cNvPr id="5" name="Прямая со стрелкой 4"/>
        <xdr:cNvCxnSpPr/>
      </xdr:nvCxnSpPr>
      <xdr:spPr>
        <a:xfrm flipH="1">
          <a:off x="3238500" y="952501"/>
          <a:ext cx="1198564" cy="2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5</xdr:row>
      <xdr:rowOff>45720</xdr:rowOff>
    </xdr:from>
    <xdr:to>
      <xdr:col>3</xdr:col>
      <xdr:colOff>358140</xdr:colOff>
      <xdr:row>5</xdr:row>
      <xdr:rowOff>47625</xdr:rowOff>
    </xdr:to>
    <xdr:cxnSp macro="">
      <xdr:nvCxnSpPr>
        <xdr:cNvPr id="6" name="Прямая со стрелкой 5"/>
        <xdr:cNvCxnSpPr/>
      </xdr:nvCxnSpPr>
      <xdr:spPr>
        <a:xfrm flipV="1">
          <a:off x="1055688" y="998220"/>
          <a:ext cx="1223327" cy="19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243663</xdr:colOff>
      <xdr:row>5</xdr:row>
      <xdr:rowOff>55378</xdr:rowOff>
    </xdr:from>
    <xdr:to>
      <xdr:col>9</xdr:col>
      <xdr:colOff>58481</xdr:colOff>
      <xdr:row>5</xdr:row>
      <xdr:rowOff>64416</xdr:rowOff>
    </xdr:to>
    <xdr:cxnSp macro="">
      <xdr:nvCxnSpPr>
        <xdr:cNvPr id="7" name="Прямая со стрелкой 6"/>
        <xdr:cNvCxnSpPr/>
      </xdr:nvCxnSpPr>
      <xdr:spPr>
        <a:xfrm flipH="1" flipV="1">
          <a:off x="4596366" y="996802"/>
          <a:ext cx="1033132" cy="9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515938</xdr:colOff>
      <xdr:row>14</xdr:row>
      <xdr:rowOff>174625</xdr:rowOff>
    </xdr:from>
    <xdr:to>
      <xdr:col>9</xdr:col>
      <xdr:colOff>29527</xdr:colOff>
      <xdr:row>15</xdr:row>
      <xdr:rowOff>2857</xdr:rowOff>
    </xdr:to>
    <xdr:cxnSp macro="">
      <xdr:nvCxnSpPr>
        <xdr:cNvPr id="8" name="Прямая соединительная линия 7"/>
        <xdr:cNvCxnSpPr/>
      </xdr:nvCxnSpPr>
      <xdr:spPr>
        <a:xfrm>
          <a:off x="515938" y="2841625"/>
          <a:ext cx="6363652" cy="1873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7073</xdr:colOff>
      <xdr:row>14</xdr:row>
      <xdr:rowOff>185738</xdr:rowOff>
    </xdr:from>
    <xdr:to>
      <xdr:col>3</xdr:col>
      <xdr:colOff>17060</xdr:colOff>
      <xdr:row>18</xdr:row>
      <xdr:rowOff>63501</xdr:rowOff>
    </xdr:to>
    <xdr:cxnSp macro="">
      <xdr:nvCxnSpPr>
        <xdr:cNvPr id="9" name="Прямая со стрелкой 8"/>
        <xdr:cNvCxnSpPr/>
      </xdr:nvCxnSpPr>
      <xdr:spPr>
        <a:xfrm flipH="1">
          <a:off x="1927948" y="2852738"/>
          <a:ext cx="9987" cy="639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5679</xdr:colOff>
      <xdr:row>14</xdr:row>
      <xdr:rowOff>181123</xdr:rowOff>
    </xdr:from>
    <xdr:to>
      <xdr:col>6</xdr:col>
      <xdr:colOff>7938</xdr:colOff>
      <xdr:row>18</xdr:row>
      <xdr:rowOff>55563</xdr:rowOff>
    </xdr:to>
    <xdr:cxnSp macro="">
      <xdr:nvCxnSpPr>
        <xdr:cNvPr id="12" name="Прямая со стрелкой 11"/>
        <xdr:cNvCxnSpPr/>
      </xdr:nvCxnSpPr>
      <xdr:spPr>
        <a:xfrm>
          <a:off x="5022179" y="2848123"/>
          <a:ext cx="2259" cy="6364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55563</xdr:colOff>
      <xdr:row>14</xdr:row>
      <xdr:rowOff>39688</xdr:rowOff>
    </xdr:from>
    <xdr:to>
      <xdr:col>5</xdr:col>
      <xdr:colOff>977900</xdr:colOff>
      <xdr:row>14</xdr:row>
      <xdr:rowOff>41275</xdr:rowOff>
    </xdr:to>
    <xdr:cxnSp macro="">
      <xdr:nvCxnSpPr>
        <xdr:cNvPr id="16" name="Прямая со стрелкой 15"/>
        <xdr:cNvCxnSpPr/>
      </xdr:nvCxnSpPr>
      <xdr:spPr>
        <a:xfrm flipH="1" flipV="1">
          <a:off x="2587626" y="2706688"/>
          <a:ext cx="1533524" cy="15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579438</xdr:colOff>
      <xdr:row>14</xdr:row>
      <xdr:rowOff>63184</xdr:rowOff>
    </xdr:from>
    <xdr:to>
      <xdr:col>2</xdr:col>
      <xdr:colOff>629603</xdr:colOff>
      <xdr:row>14</xdr:row>
      <xdr:rowOff>71438</xdr:rowOff>
    </xdr:to>
    <xdr:cxnSp macro="">
      <xdr:nvCxnSpPr>
        <xdr:cNvPr id="19" name="Прямая со стрелкой 18"/>
        <xdr:cNvCxnSpPr/>
      </xdr:nvCxnSpPr>
      <xdr:spPr>
        <a:xfrm flipV="1">
          <a:off x="579438" y="2730184"/>
          <a:ext cx="1272540" cy="82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468313</xdr:colOff>
      <xdr:row>14</xdr:row>
      <xdr:rowOff>26316</xdr:rowOff>
    </xdr:from>
    <xdr:to>
      <xdr:col>8</xdr:col>
      <xdr:colOff>329946</xdr:colOff>
      <xdr:row>14</xdr:row>
      <xdr:rowOff>39688</xdr:rowOff>
    </xdr:to>
    <xdr:cxnSp macro="">
      <xdr:nvCxnSpPr>
        <xdr:cNvPr id="21" name="Прямая со стрелкой 20"/>
        <xdr:cNvCxnSpPr/>
      </xdr:nvCxnSpPr>
      <xdr:spPr>
        <a:xfrm flipH="1">
          <a:off x="4754563" y="2693316"/>
          <a:ext cx="1084008" cy="133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H12">
            <v>0.19800000000000001</v>
          </cell>
        </row>
      </sheetData>
      <sheetData sheetId="9" refreshError="1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 refreshError="1"/>
      <sheetData sheetId="11" refreshError="1"/>
      <sheetData sheetId="12" refreshError="1">
        <row r="5">
          <cell r="S5">
            <v>1.89</v>
          </cell>
        </row>
        <row r="6">
          <cell r="C6" t="str">
            <v>Б</v>
          </cell>
        </row>
        <row r="7">
          <cell r="C7" t="str">
            <v>В</v>
          </cell>
        </row>
        <row r="8">
          <cell r="C8" t="str">
            <v>Г</v>
          </cell>
        </row>
        <row r="9">
          <cell r="C9" t="str">
            <v>Д</v>
          </cell>
        </row>
        <row r="10">
          <cell r="C10" t="str">
            <v>Е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1.bin"/><Relationship Id="rId13" Type="http://schemas.openxmlformats.org/officeDocument/2006/relationships/image" Target="../media/image96.w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93.wmf"/><Relationship Id="rId12" Type="http://schemas.openxmlformats.org/officeDocument/2006/relationships/oleObject" Target="../embeddings/oleObject83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80.bin"/><Relationship Id="rId11" Type="http://schemas.openxmlformats.org/officeDocument/2006/relationships/image" Target="../media/image95.wmf"/><Relationship Id="rId5" Type="http://schemas.openxmlformats.org/officeDocument/2006/relationships/image" Target="../media/image92.wmf"/><Relationship Id="rId10" Type="http://schemas.openxmlformats.org/officeDocument/2006/relationships/oleObject" Target="../embeddings/oleObject82.bin"/><Relationship Id="rId4" Type="http://schemas.openxmlformats.org/officeDocument/2006/relationships/oleObject" Target="../embeddings/oleObject79.bin"/><Relationship Id="rId9" Type="http://schemas.openxmlformats.org/officeDocument/2006/relationships/image" Target="../media/image94.w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6.bin"/><Relationship Id="rId13" Type="http://schemas.openxmlformats.org/officeDocument/2006/relationships/image" Target="../media/image101.wmf"/><Relationship Id="rId18" Type="http://schemas.openxmlformats.org/officeDocument/2006/relationships/oleObject" Target="../embeddings/oleObject91.bin"/><Relationship Id="rId26" Type="http://schemas.openxmlformats.org/officeDocument/2006/relationships/oleObject" Target="../embeddings/oleObject95.bin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105.wmf"/><Relationship Id="rId7" Type="http://schemas.openxmlformats.org/officeDocument/2006/relationships/image" Target="../media/image98.wmf"/><Relationship Id="rId12" Type="http://schemas.openxmlformats.org/officeDocument/2006/relationships/oleObject" Target="../embeddings/oleObject88.bin"/><Relationship Id="rId17" Type="http://schemas.openxmlformats.org/officeDocument/2006/relationships/image" Target="../media/image103.wmf"/><Relationship Id="rId25" Type="http://schemas.openxmlformats.org/officeDocument/2006/relationships/image" Target="../media/image107.wmf"/><Relationship Id="rId2" Type="http://schemas.openxmlformats.org/officeDocument/2006/relationships/drawing" Target="../drawings/drawing14.xml"/><Relationship Id="rId16" Type="http://schemas.openxmlformats.org/officeDocument/2006/relationships/oleObject" Target="../embeddings/oleObject90.bin"/><Relationship Id="rId20" Type="http://schemas.openxmlformats.org/officeDocument/2006/relationships/oleObject" Target="../embeddings/oleObject92.bin"/><Relationship Id="rId29" Type="http://schemas.openxmlformats.org/officeDocument/2006/relationships/image" Target="../media/image109.wmf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85.bin"/><Relationship Id="rId11" Type="http://schemas.openxmlformats.org/officeDocument/2006/relationships/image" Target="../media/image100.wmf"/><Relationship Id="rId24" Type="http://schemas.openxmlformats.org/officeDocument/2006/relationships/oleObject" Target="../embeddings/oleObject94.bin"/><Relationship Id="rId5" Type="http://schemas.openxmlformats.org/officeDocument/2006/relationships/image" Target="../media/image97.wmf"/><Relationship Id="rId15" Type="http://schemas.openxmlformats.org/officeDocument/2006/relationships/image" Target="../media/image102.wmf"/><Relationship Id="rId23" Type="http://schemas.openxmlformats.org/officeDocument/2006/relationships/image" Target="../media/image106.wmf"/><Relationship Id="rId28" Type="http://schemas.openxmlformats.org/officeDocument/2006/relationships/oleObject" Target="../embeddings/oleObject96.bin"/><Relationship Id="rId10" Type="http://schemas.openxmlformats.org/officeDocument/2006/relationships/oleObject" Target="../embeddings/oleObject87.bin"/><Relationship Id="rId19" Type="http://schemas.openxmlformats.org/officeDocument/2006/relationships/image" Target="../media/image104.wmf"/><Relationship Id="rId31" Type="http://schemas.openxmlformats.org/officeDocument/2006/relationships/image" Target="../media/image110.wmf"/><Relationship Id="rId4" Type="http://schemas.openxmlformats.org/officeDocument/2006/relationships/oleObject" Target="../embeddings/oleObject84.bin"/><Relationship Id="rId9" Type="http://schemas.openxmlformats.org/officeDocument/2006/relationships/image" Target="../media/image99.wmf"/><Relationship Id="rId14" Type="http://schemas.openxmlformats.org/officeDocument/2006/relationships/oleObject" Target="../embeddings/oleObject89.bin"/><Relationship Id="rId22" Type="http://schemas.openxmlformats.org/officeDocument/2006/relationships/oleObject" Target="../embeddings/oleObject93.bin"/><Relationship Id="rId27" Type="http://schemas.openxmlformats.org/officeDocument/2006/relationships/image" Target="../media/image108.wmf"/><Relationship Id="rId30" Type="http://schemas.openxmlformats.org/officeDocument/2006/relationships/oleObject" Target="../embeddings/oleObject9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3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33" t="s">
        <v>10</v>
      </c>
      <c r="H2" s="2"/>
      <c r="M2" s="1"/>
    </row>
    <row r="3" spans="1:13" x14ac:dyDescent="0.25">
      <c r="A3" s="133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33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33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33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opLeftCell="A34" workbookViewId="0">
      <selection activeCell="Q35" sqref="Q35:Q38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39" t="s">
        <v>173</v>
      </c>
      <c r="D3" s="63" t="s">
        <v>174</v>
      </c>
      <c r="E3" s="139" t="s">
        <v>175</v>
      </c>
      <c r="F3" s="139" t="s">
        <v>176</v>
      </c>
      <c r="G3" s="139" t="s">
        <v>177</v>
      </c>
      <c r="H3" s="139" t="s">
        <v>178</v>
      </c>
      <c r="I3" s="167" t="s">
        <v>179</v>
      </c>
      <c r="J3" s="167" t="s">
        <v>180</v>
      </c>
      <c r="K3" s="167" t="s">
        <v>181</v>
      </c>
    </row>
    <row r="4" spans="1:11" ht="19.5" thickBot="1" x14ac:dyDescent="0.3">
      <c r="C4" s="141"/>
      <c r="D4" s="33" t="s">
        <v>9</v>
      </c>
      <c r="E4" s="149"/>
      <c r="F4" s="149"/>
      <c r="G4" s="149"/>
      <c r="H4" s="149"/>
      <c r="I4" s="168"/>
      <c r="J4" s="168"/>
      <c r="K4" s="168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57" t="s">
        <v>184</v>
      </c>
      <c r="D15" s="157" t="s">
        <v>194</v>
      </c>
      <c r="E15" s="157" t="s">
        <v>193</v>
      </c>
      <c r="F15" s="157" t="s">
        <v>189</v>
      </c>
      <c r="G15" s="157" t="s">
        <v>192</v>
      </c>
      <c r="H15" s="157" t="s">
        <v>185</v>
      </c>
      <c r="I15" s="157" t="s">
        <v>190</v>
      </c>
      <c r="J15" s="157" t="s">
        <v>186</v>
      </c>
      <c r="K15" s="157" t="s">
        <v>191</v>
      </c>
    </row>
    <row r="16" spans="1:11" ht="18" customHeight="1" x14ac:dyDescent="0.25">
      <c r="C16" s="157"/>
      <c r="D16" s="166"/>
      <c r="E16" s="166"/>
      <c r="F16" s="157"/>
      <c r="G16" s="166"/>
      <c r="H16" s="157"/>
      <c r="I16" s="166"/>
      <c r="J16" s="157"/>
      <c r="K16" s="166"/>
    </row>
    <row r="17" spans="1:12" ht="57.75" customHeight="1" x14ac:dyDescent="0.25">
      <c r="A17">
        <f>'Табл1-1  1-2'!B4</f>
        <v>16</v>
      </c>
      <c r="B17">
        <f>'Табл1-1  1-2'!C4</f>
        <v>12</v>
      </c>
      <c r="C17" s="110" t="str">
        <f>C5</f>
        <v>А</v>
      </c>
      <c r="D17" s="110">
        <f>A17</f>
        <v>16</v>
      </c>
      <c r="E17" s="110">
        <f>B17</f>
        <v>12</v>
      </c>
      <c r="F17" s="110">
        <f>E17/D17</f>
        <v>0.75</v>
      </c>
      <c r="G17" s="110">
        <f>D17*(F17-0.25)</f>
        <v>8</v>
      </c>
      <c r="H17" s="110" t="s">
        <v>195</v>
      </c>
      <c r="I17" s="110">
        <f>'Табл1-1  1-2'!F4</f>
        <v>6</v>
      </c>
      <c r="J17" s="110" t="s">
        <v>200</v>
      </c>
      <c r="K17" s="110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10" t="str">
        <f t="shared" ref="C18:C22" si="5">C6</f>
        <v>Б</v>
      </c>
      <c r="D18" s="110">
        <f t="shared" ref="D18:D22" si="6">A18</f>
        <v>20</v>
      </c>
      <c r="E18" s="110">
        <f t="shared" ref="E18:E22" si="7">B18</f>
        <v>13</v>
      </c>
      <c r="F18" s="110">
        <f>E18/D18</f>
        <v>0.65</v>
      </c>
      <c r="G18" s="110">
        <f>D18*(F18-0.25)</f>
        <v>8</v>
      </c>
      <c r="H18" s="110" t="s">
        <v>303</v>
      </c>
      <c r="I18" s="110">
        <f>'Табл1-1  1-2'!F5</f>
        <v>10</v>
      </c>
      <c r="J18" s="110" t="s">
        <v>201</v>
      </c>
      <c r="K18" s="110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10" t="str">
        <f t="shared" si="5"/>
        <v>В</v>
      </c>
      <c r="D19" s="110">
        <f t="shared" si="6"/>
        <v>35</v>
      </c>
      <c r="E19" s="110">
        <f t="shared" si="7"/>
        <v>19</v>
      </c>
      <c r="F19" s="59">
        <f t="shared" ref="F19:F22" si="8">E19/D19</f>
        <v>0.54285714285714282</v>
      </c>
      <c r="G19" s="110">
        <f t="shared" ref="G19:G22" si="9">D19*(F19-0.25)</f>
        <v>10.249999999999998</v>
      </c>
      <c r="H19" s="110" t="s">
        <v>196</v>
      </c>
      <c r="I19" s="110">
        <f>'Табл1-1  1-2'!F6</f>
        <v>10</v>
      </c>
      <c r="J19" s="110" t="s">
        <v>198</v>
      </c>
      <c r="K19" s="110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10" t="str">
        <f t="shared" si="5"/>
        <v>Г</v>
      </c>
      <c r="D20" s="110">
        <f t="shared" si="6"/>
        <v>32</v>
      </c>
      <c r="E20" s="110">
        <f t="shared" si="7"/>
        <v>15.5</v>
      </c>
      <c r="F20" s="59">
        <f t="shared" si="8"/>
        <v>0.484375</v>
      </c>
      <c r="G20" s="110">
        <f t="shared" si="9"/>
        <v>7.5</v>
      </c>
      <c r="H20" s="110" t="s">
        <v>197</v>
      </c>
      <c r="I20" s="110">
        <f>'Табл1-1  1-2'!F7</f>
        <v>10</v>
      </c>
      <c r="J20" s="110" t="s">
        <v>202</v>
      </c>
      <c r="K20" s="110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10" t="str">
        <f t="shared" si="5"/>
        <v>Д</v>
      </c>
      <c r="D21" s="110">
        <f t="shared" si="6"/>
        <v>27</v>
      </c>
      <c r="E21" s="110">
        <f t="shared" si="7"/>
        <v>13.8</v>
      </c>
      <c r="F21" s="59">
        <f t="shared" si="8"/>
        <v>0.51111111111111118</v>
      </c>
      <c r="G21" s="110">
        <f t="shared" si="9"/>
        <v>7.0500000000000016</v>
      </c>
      <c r="H21" s="110" t="s">
        <v>197</v>
      </c>
      <c r="I21" s="110">
        <f>'Табл1-1  1-2'!F8</f>
        <v>6</v>
      </c>
      <c r="J21" s="110" t="s">
        <v>199</v>
      </c>
      <c r="K21" s="110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10" t="str">
        <f t="shared" si="5"/>
        <v>Е</v>
      </c>
      <c r="D22" s="110">
        <f t="shared" si="6"/>
        <v>35</v>
      </c>
      <c r="E22" s="110">
        <f t="shared" si="7"/>
        <v>17</v>
      </c>
      <c r="F22" s="59">
        <f t="shared" si="8"/>
        <v>0.48571428571428571</v>
      </c>
      <c r="G22" s="110">
        <f t="shared" si="9"/>
        <v>8.25</v>
      </c>
      <c r="H22" s="110" t="s">
        <v>196</v>
      </c>
      <c r="I22" s="110">
        <f>'Табл1-1  1-2'!F9</f>
        <v>6</v>
      </c>
      <c r="J22" s="110" t="str">
        <f>J17</f>
        <v>4xУК-6-900 4xУК-6-1125</v>
      </c>
      <c r="K22" s="110">
        <f>3*2.7</f>
        <v>8.1000000000000014</v>
      </c>
    </row>
    <row r="23" spans="1:12" ht="18.75" x14ac:dyDescent="0.25">
      <c r="C23" s="157" t="s">
        <v>187</v>
      </c>
      <c r="D23" s="157"/>
      <c r="E23" s="157"/>
      <c r="F23" s="157"/>
      <c r="G23" s="117">
        <f>SUM(G17:G22)</f>
        <v>49.050000000000004</v>
      </c>
      <c r="H23" s="110" t="s">
        <v>188</v>
      </c>
      <c r="I23" s="110" t="s">
        <v>188</v>
      </c>
      <c r="J23" s="110" t="s">
        <v>188</v>
      </c>
      <c r="K23" s="117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10" t="s">
        <v>204</v>
      </c>
      <c r="D28" s="157" t="s">
        <v>175</v>
      </c>
      <c r="E28" s="157" t="s">
        <v>206</v>
      </c>
      <c r="F28" s="157" t="s">
        <v>207</v>
      </c>
      <c r="G28" s="157" t="s">
        <v>208</v>
      </c>
      <c r="H28" s="157" t="s">
        <v>209</v>
      </c>
      <c r="I28" s="158" t="str">
        <f>I3</f>
        <v>nт</v>
      </c>
      <c r="J28" s="158" t="str">
        <f>J3</f>
        <v>Kз</v>
      </c>
      <c r="K28" s="158" t="str">
        <f>K3</f>
        <v>Kзав</v>
      </c>
    </row>
    <row r="29" spans="1:12" ht="23.25" customHeight="1" x14ac:dyDescent="0.25">
      <c r="C29" s="110" t="s">
        <v>205</v>
      </c>
      <c r="D29" s="166"/>
      <c r="E29" s="166"/>
      <c r="F29" s="166"/>
      <c r="G29" s="166"/>
      <c r="H29" s="166"/>
      <c r="I29" s="158"/>
      <c r="J29" s="158"/>
      <c r="K29" s="158"/>
    </row>
    <row r="30" spans="1:12" ht="37.5" customHeight="1" x14ac:dyDescent="0.25">
      <c r="A30">
        <f>A5</f>
        <v>146.15</v>
      </c>
      <c r="B30">
        <f>B5</f>
        <v>103.7</v>
      </c>
      <c r="C30" s="110" t="str">
        <f>C17</f>
        <v>А</v>
      </c>
      <c r="D30" s="114" t="str">
        <f>E5</f>
        <v>146.15+103.7i</v>
      </c>
      <c r="E30" s="114">
        <f>K17+K19+K20+K21+K22</f>
        <v>41.4</v>
      </c>
      <c r="F30" s="114" t="str">
        <f>COMPLEX(A30,B30-E30)</f>
        <v>146.15+62.3i</v>
      </c>
      <c r="G30" s="114" t="str">
        <f>H17</f>
        <v>АТДЦТН-125000/220/110/35</v>
      </c>
      <c r="H30" s="114">
        <f>H5</f>
        <v>125</v>
      </c>
      <c r="I30" s="114">
        <v>2</v>
      </c>
      <c r="J30" s="116">
        <f>IMABS(F30)/I30/H30</f>
        <v>0.63549807238102607</v>
      </c>
      <c r="K30" s="116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10" t="str">
        <f t="shared" ref="C31:C35" si="11">C18</f>
        <v>Б</v>
      </c>
      <c r="D31" s="114" t="str">
        <f t="shared" ref="D31:D35" si="12">E6</f>
        <v>20+13i</v>
      </c>
      <c r="E31" s="114">
        <f>K18</f>
        <v>8.1</v>
      </c>
      <c r="F31" s="114" t="str">
        <f>COMPLEX(A31,B31-E31)</f>
        <v>20+4.9i</v>
      </c>
      <c r="G31" s="114" t="s">
        <v>303</v>
      </c>
      <c r="H31" s="114">
        <f>32</f>
        <v>32</v>
      </c>
      <c r="I31" s="114">
        <v>2</v>
      </c>
      <c r="J31" s="116">
        <f>IMABS(F31)/I31/H31</f>
        <v>0.32174223596887308</v>
      </c>
      <c r="K31" s="116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10" t="str">
        <f t="shared" si="11"/>
        <v>В</v>
      </c>
      <c r="D32" s="114" t="str">
        <f t="shared" si="12"/>
        <v>35+19i</v>
      </c>
      <c r="E32" s="114">
        <f t="shared" ref="E32:E35" si="14">K19</f>
        <v>10.8</v>
      </c>
      <c r="F32" s="114" t="str">
        <f t="shared" ref="F32:F35" si="15">COMPLEX(A32,B32-E32)</f>
        <v>35+8.2i</v>
      </c>
      <c r="G32" s="114" t="str">
        <f t="shared" ref="G32:G35" si="16">H19</f>
        <v>ТРДН-40000/110/35</v>
      </c>
      <c r="H32" s="114">
        <f t="shared" ref="H32:H35" si="17">H7</f>
        <v>40</v>
      </c>
      <c r="I32" s="114">
        <v>2</v>
      </c>
      <c r="J32" s="116">
        <f t="shared" ref="J32:J35" si="18">IMABS(F32)/I32/H32</f>
        <v>0.44934674806879371</v>
      </c>
      <c r="K32" s="116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10" t="str">
        <f t="shared" si="11"/>
        <v>Г</v>
      </c>
      <c r="D33" s="114" t="str">
        <f t="shared" si="12"/>
        <v>32+15.5i</v>
      </c>
      <c r="E33" s="114">
        <f t="shared" si="14"/>
        <v>7.2</v>
      </c>
      <c r="F33" s="114" t="str">
        <f t="shared" si="15"/>
        <v>32+8.3i</v>
      </c>
      <c r="G33" s="114" t="str">
        <f t="shared" si="16"/>
        <v>ТРДН-25000/110/35</v>
      </c>
      <c r="H33" s="114">
        <f t="shared" si="17"/>
        <v>25</v>
      </c>
      <c r="I33" s="114">
        <v>2</v>
      </c>
      <c r="J33" s="116">
        <f t="shared" si="18"/>
        <v>0.66117773707226424</v>
      </c>
      <c r="K33" s="116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10" t="str">
        <f t="shared" si="11"/>
        <v>Д</v>
      </c>
      <c r="D34" s="114" t="str">
        <f t="shared" si="12"/>
        <v>27+13.8i</v>
      </c>
      <c r="E34" s="114">
        <f t="shared" si="14"/>
        <v>7.2</v>
      </c>
      <c r="F34" s="114" t="str">
        <f t="shared" si="15"/>
        <v>27+6.6i</v>
      </c>
      <c r="G34" s="114" t="str">
        <f t="shared" si="16"/>
        <v>ТРДН-25000/110/35</v>
      </c>
      <c r="H34" s="114">
        <f t="shared" si="17"/>
        <v>25</v>
      </c>
      <c r="I34" s="114">
        <v>2</v>
      </c>
      <c r="J34" s="116">
        <f t="shared" si="18"/>
        <v>0.55589927145122253</v>
      </c>
      <c r="K34" s="116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10" t="str">
        <f t="shared" si="11"/>
        <v>Е</v>
      </c>
      <c r="D35" s="114" t="str">
        <f t="shared" si="12"/>
        <v>35+17i</v>
      </c>
      <c r="E35" s="114">
        <f t="shared" si="14"/>
        <v>8.1000000000000014</v>
      </c>
      <c r="F35" s="114" t="str">
        <f t="shared" si="15"/>
        <v>35+8.9i</v>
      </c>
      <c r="G35" s="114" t="str">
        <f t="shared" si="16"/>
        <v>ТРДН-40000/110/35</v>
      </c>
      <c r="H35" s="114">
        <f t="shared" si="17"/>
        <v>40</v>
      </c>
      <c r="I35" s="114">
        <v>2</v>
      </c>
      <c r="J35" s="116">
        <f t="shared" si="18"/>
        <v>0.45142309699438288</v>
      </c>
      <c r="K35" s="116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57" t="s">
        <v>173</v>
      </c>
      <c r="D40" s="169" t="s">
        <v>217</v>
      </c>
      <c r="E40" s="169" t="s">
        <v>218</v>
      </c>
      <c r="F40" s="169" t="s">
        <v>211</v>
      </c>
      <c r="G40" s="169"/>
      <c r="H40" s="169" t="s">
        <v>212</v>
      </c>
      <c r="I40" s="157" t="s">
        <v>213</v>
      </c>
      <c r="J40" s="157"/>
      <c r="K40" s="157"/>
    </row>
    <row r="41" spans="1:12" ht="54" customHeight="1" x14ac:dyDescent="0.25">
      <c r="C41" s="166"/>
      <c r="D41" s="166"/>
      <c r="E41" s="166"/>
      <c r="F41" s="157" t="s">
        <v>214</v>
      </c>
      <c r="G41" s="157" t="s">
        <v>215</v>
      </c>
      <c r="H41" s="169"/>
      <c r="I41" s="158" t="str">
        <f>J28</f>
        <v>Kз</v>
      </c>
      <c r="J41" s="158" t="str">
        <f>K28</f>
        <v>Kзав</v>
      </c>
      <c r="K41" s="157" t="s">
        <v>216</v>
      </c>
    </row>
    <row r="42" spans="1:12" ht="19.5" hidden="1" customHeight="1" thickBot="1" x14ac:dyDescent="0.3">
      <c r="C42" s="166"/>
      <c r="D42" s="170"/>
      <c r="E42" s="170"/>
      <c r="F42" s="170"/>
      <c r="G42" s="157"/>
      <c r="H42" s="169"/>
      <c r="I42" s="158"/>
      <c r="J42" s="158"/>
      <c r="K42" s="157"/>
    </row>
    <row r="43" spans="1:12" x14ac:dyDescent="0.25">
      <c r="C43" s="166"/>
      <c r="D43" s="170"/>
      <c r="E43" s="170"/>
      <c r="F43" s="170"/>
      <c r="G43" s="170"/>
      <c r="H43" s="170"/>
      <c r="I43" s="170"/>
      <c r="J43" s="170"/>
      <c r="K43" s="170"/>
    </row>
    <row r="44" spans="1:12" ht="57.75" customHeight="1" x14ac:dyDescent="0.25">
      <c r="C44" s="110" t="s">
        <v>12</v>
      </c>
      <c r="D44" s="114" t="str">
        <f>F31</f>
        <v>20+4.9i</v>
      </c>
      <c r="E44" s="114">
        <f>IMABS(D44)</f>
        <v>20.591503102007877</v>
      </c>
      <c r="F44" s="114">
        <f>H31</f>
        <v>32</v>
      </c>
      <c r="G44" s="114">
        <f>16</f>
        <v>16</v>
      </c>
      <c r="H44" s="114">
        <v>2</v>
      </c>
      <c r="I44" s="114">
        <f>E44/H44/F44</f>
        <v>0.32174223596887308</v>
      </c>
      <c r="J44" s="114">
        <f>E44/G44</f>
        <v>1.2869689438754923</v>
      </c>
      <c r="K44" s="114" t="s">
        <v>304</v>
      </c>
    </row>
    <row r="45" spans="1:12" ht="57.75" customHeight="1" x14ac:dyDescent="0.25">
      <c r="C45" s="110" t="s">
        <v>13</v>
      </c>
      <c r="D45" s="114" t="str">
        <f>F32</f>
        <v>35+8.2i</v>
      </c>
      <c r="E45" s="114">
        <f>IMABS(D45)</f>
        <v>35.947739845503499</v>
      </c>
      <c r="F45" s="114">
        <f>H32</f>
        <v>40</v>
      </c>
      <c r="G45" s="114">
        <v>25</v>
      </c>
      <c r="H45" s="114">
        <v>2</v>
      </c>
      <c r="I45" s="114">
        <f t="shared" ref="I45:I46" si="19">E45/H45/F45</f>
        <v>0.44934674806879371</v>
      </c>
      <c r="J45" s="114">
        <f t="shared" ref="J45:J46" si="20">E45/G45</f>
        <v>1.4379095938201401</v>
      </c>
      <c r="K45" s="118" t="s">
        <v>220</v>
      </c>
    </row>
    <row r="46" spans="1:12" ht="37.5" x14ac:dyDescent="0.25">
      <c r="C46" s="110" t="s">
        <v>14</v>
      </c>
      <c r="D46" s="114" t="str">
        <f>F33</f>
        <v>32+8.3i</v>
      </c>
      <c r="E46" s="114">
        <f>IMABS(D46)</f>
        <v>33.05888685361321</v>
      </c>
      <c r="F46" s="114">
        <f>H33</f>
        <v>25</v>
      </c>
      <c r="G46" s="114">
        <v>16</v>
      </c>
      <c r="H46" s="114">
        <v>2</v>
      </c>
      <c r="I46" s="114">
        <f t="shared" si="19"/>
        <v>0.66117773707226424</v>
      </c>
      <c r="J46" s="114">
        <f t="shared" si="20"/>
        <v>2.0661804283508256</v>
      </c>
      <c r="K46" s="111" t="s">
        <v>219</v>
      </c>
    </row>
  </sheetData>
  <mergeCells count="37"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  <mergeCell ref="D28:D29"/>
    <mergeCell ref="E28:E29"/>
    <mergeCell ref="F28:F29"/>
    <mergeCell ref="G28:G29"/>
    <mergeCell ref="H28:H29"/>
    <mergeCell ref="K15:K16"/>
    <mergeCell ref="I15:I16"/>
    <mergeCell ref="I28:I29"/>
    <mergeCell ref="J28:J29"/>
    <mergeCell ref="K28:K29"/>
    <mergeCell ref="C3:C4"/>
    <mergeCell ref="I3:I4"/>
    <mergeCell ref="J3:J4"/>
    <mergeCell ref="K3:K4"/>
    <mergeCell ref="E3:E4"/>
    <mergeCell ref="F3:F4"/>
    <mergeCell ref="G3:G4"/>
    <mergeCell ref="H3:H4"/>
    <mergeCell ref="C15:C16"/>
    <mergeCell ref="F15:F16"/>
    <mergeCell ref="H15:H16"/>
    <mergeCell ref="J15:J16"/>
    <mergeCell ref="C23:F23"/>
    <mergeCell ref="D15:D16"/>
    <mergeCell ref="E15:E16"/>
    <mergeCell ref="G15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19" sqref="I19:J1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86" t="s">
        <v>107</v>
      </c>
      <c r="C2" s="188" t="s">
        <v>67</v>
      </c>
      <c r="D2" s="188" t="s">
        <v>105</v>
      </c>
      <c r="E2" s="192" t="s">
        <v>128</v>
      </c>
      <c r="F2" s="192" t="s">
        <v>129</v>
      </c>
      <c r="G2" s="192" t="s">
        <v>121</v>
      </c>
      <c r="H2" s="192" t="s">
        <v>130</v>
      </c>
      <c r="I2" s="188" t="s">
        <v>116</v>
      </c>
      <c r="J2" s="192" t="s">
        <v>131</v>
      </c>
      <c r="K2" s="190" t="s">
        <v>132</v>
      </c>
    </row>
    <row r="3" spans="2:11" ht="50.25" customHeight="1" thickBot="1" x14ac:dyDescent="0.3">
      <c r="B3" s="187"/>
      <c r="C3" s="189"/>
      <c r="D3" s="189"/>
      <c r="E3" s="193"/>
      <c r="F3" s="193"/>
      <c r="G3" s="193"/>
      <c r="H3" s="193"/>
      <c r="I3" s="189"/>
      <c r="J3" s="193"/>
      <c r="K3" s="191"/>
    </row>
    <row r="4" spans="2:11" ht="24.75" customHeight="1" thickBot="1" x14ac:dyDescent="0.3">
      <c r="B4" s="182" t="s">
        <v>19</v>
      </c>
      <c r="C4" s="182" t="s">
        <v>143</v>
      </c>
      <c r="D4" s="176" t="s">
        <v>137</v>
      </c>
      <c r="E4" s="177"/>
      <c r="F4" s="177"/>
      <c r="G4" s="177"/>
      <c r="H4" s="177"/>
      <c r="I4" s="177"/>
      <c r="J4" s="177"/>
      <c r="K4" s="178"/>
    </row>
    <row r="5" spans="2:11" ht="19.5" thickBot="1" x14ac:dyDescent="0.3">
      <c r="B5" s="182"/>
      <c r="C5" s="184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82"/>
      <c r="C6" s="184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85"/>
      <c r="C7" s="184"/>
      <c r="D7" s="179" t="s">
        <v>138</v>
      </c>
      <c r="E7" s="180"/>
      <c r="F7" s="180"/>
      <c r="G7" s="180"/>
      <c r="H7" s="180"/>
      <c r="I7" s="180"/>
      <c r="J7" s="180"/>
      <c r="K7" s="181"/>
    </row>
    <row r="8" spans="2:11" ht="19.5" thickBot="1" x14ac:dyDescent="0.3">
      <c r="B8" s="185"/>
      <c r="C8" s="184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85"/>
      <c r="C9" s="184"/>
      <c r="D9" s="41" t="s">
        <v>74</v>
      </c>
      <c r="E9" s="41" t="str">
        <f>COMPLEX(27,13.8)</f>
        <v>27+13.8i</v>
      </c>
      <c r="F9" s="41">
        <f>IMABS(E9)</f>
        <v>30.322269044383869</v>
      </c>
      <c r="G9" s="41">
        <v>110</v>
      </c>
      <c r="H9" s="51">
        <f>(F9/SQRT(3)/G9)*1000</f>
        <v>159.15063813832077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85"/>
      <c r="C10" s="182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85"/>
      <c r="C11" s="183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82" t="s">
        <v>20</v>
      </c>
      <c r="C12" s="182" t="s">
        <v>143</v>
      </c>
      <c r="D12" s="179" t="s">
        <v>141</v>
      </c>
      <c r="E12" s="180"/>
      <c r="F12" s="180"/>
      <c r="G12" s="180"/>
      <c r="H12" s="180"/>
      <c r="I12" s="180"/>
      <c r="J12" s="180"/>
      <c r="K12" s="181"/>
    </row>
    <row r="13" spans="2:11" ht="19.5" thickBot="1" x14ac:dyDescent="0.3">
      <c r="B13" s="182"/>
      <c r="C13" s="184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82"/>
      <c r="C14" s="184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85"/>
      <c r="C15" s="184"/>
      <c r="D15" s="179" t="s">
        <v>140</v>
      </c>
      <c r="E15" s="180"/>
      <c r="F15" s="180"/>
      <c r="G15" s="180"/>
      <c r="H15" s="180"/>
      <c r="I15" s="180"/>
      <c r="J15" s="180"/>
      <c r="K15" s="181"/>
    </row>
    <row r="16" spans="2:11" ht="27" customHeight="1" thickBot="1" x14ac:dyDescent="0.3">
      <c r="B16" s="185"/>
      <c r="C16" s="184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85"/>
      <c r="C17" s="184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85"/>
      <c r="C18" s="182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85"/>
      <c r="C19" s="183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109</v>
      </c>
      <c r="J19" s="52">
        <v>450</v>
      </c>
      <c r="K19" s="52" t="s">
        <v>127</v>
      </c>
    </row>
    <row r="20" spans="2:11" ht="19.5" thickBot="1" x14ac:dyDescent="0.3">
      <c r="B20" s="185"/>
      <c r="C20" s="183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71" t="s">
        <v>123</v>
      </c>
      <c r="C21" s="171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72"/>
      <c r="C22" s="174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73"/>
      <c r="C23" s="175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I14" sqref="I14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201" t="s">
        <v>19</v>
      </c>
      <c r="C3" s="203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99">
        <v>110</v>
      </c>
    </row>
    <row r="4" spans="2:9" ht="20.25" thickTop="1" thickBot="1" x14ac:dyDescent="0.3">
      <c r="B4" s="195"/>
      <c r="C4" s="204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72"/>
    </row>
    <row r="5" spans="2:9" ht="20.25" thickTop="1" thickBot="1" x14ac:dyDescent="0.3">
      <c r="B5" s="195"/>
      <c r="C5" s="205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200"/>
    </row>
    <row r="6" spans="2:9" ht="20.25" thickTop="1" thickBot="1" x14ac:dyDescent="0.3">
      <c r="B6" s="195"/>
      <c r="C6" s="206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97">
        <v>110</v>
      </c>
    </row>
    <row r="7" spans="2:9" ht="20.25" thickTop="1" thickBot="1" x14ac:dyDescent="0.3">
      <c r="B7" s="202"/>
      <c r="C7" s="205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200"/>
    </row>
    <row r="8" spans="2:9" ht="20.25" thickTop="1" thickBot="1" x14ac:dyDescent="0.3">
      <c r="B8" s="207" t="s">
        <v>20</v>
      </c>
      <c r="C8" s="206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08">
        <v>110</v>
      </c>
    </row>
    <row r="9" spans="2:9" ht="20.25" thickTop="1" thickBot="1" x14ac:dyDescent="0.3">
      <c r="B9" s="195"/>
      <c r="C9" s="204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09"/>
    </row>
    <row r="10" spans="2:9" ht="20.25" thickTop="1" thickBot="1" x14ac:dyDescent="0.3">
      <c r="B10" s="195"/>
      <c r="C10" s="205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10"/>
    </row>
    <row r="11" spans="2:9" ht="20.25" thickTop="1" thickBot="1" x14ac:dyDescent="0.3">
      <c r="B11" s="195"/>
      <c r="C11" s="206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08">
        <v>110</v>
      </c>
    </row>
    <row r="12" spans="2:9" ht="20.25" thickTop="1" thickBot="1" x14ac:dyDescent="0.3">
      <c r="B12" s="195"/>
      <c r="C12" s="204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09"/>
    </row>
    <row r="13" spans="2:9" ht="20.25" thickTop="1" thickBot="1" x14ac:dyDescent="0.3">
      <c r="B13" s="202"/>
      <c r="C13" s="205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10"/>
    </row>
    <row r="14" spans="2:9" ht="20.25" thickTop="1" thickBot="1" x14ac:dyDescent="0.3">
      <c r="B14" s="194" t="s">
        <v>91</v>
      </c>
      <c r="C14" s="197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08">
        <v>220</v>
      </c>
    </row>
    <row r="15" spans="2:9" ht="22.5" customHeight="1" thickTop="1" thickBot="1" x14ac:dyDescent="0.3">
      <c r="B15" s="195"/>
      <c r="C15" s="172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09"/>
    </row>
    <row r="16" spans="2:9" ht="20.25" thickTop="1" thickBot="1" x14ac:dyDescent="0.3">
      <c r="B16" s="196"/>
      <c r="C16" s="198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10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2" zoomScale="93" zoomScaleNormal="93" workbookViewId="0">
      <selection activeCell="I23" sqref="I23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57"/>
      <c r="D5" s="157" t="s">
        <v>67</v>
      </c>
      <c r="E5" s="157" t="s">
        <v>248</v>
      </c>
      <c r="F5" s="157" t="s">
        <v>9</v>
      </c>
      <c r="G5" s="157" t="s">
        <v>97</v>
      </c>
      <c r="H5" s="157" t="s">
        <v>116</v>
      </c>
      <c r="I5" s="155" t="s">
        <v>252</v>
      </c>
      <c r="J5" s="155" t="s">
        <v>253</v>
      </c>
      <c r="K5" s="157" t="s">
        <v>87</v>
      </c>
      <c r="L5" s="157" t="s">
        <v>147</v>
      </c>
      <c r="M5" s="157" t="s">
        <v>2</v>
      </c>
      <c r="N5" s="157" t="s">
        <v>249</v>
      </c>
    </row>
    <row r="6" spans="1:16" ht="15" customHeight="1" x14ac:dyDescent="0.25">
      <c r="C6" s="157"/>
      <c r="D6" s="157"/>
      <c r="E6" s="157"/>
      <c r="F6" s="157"/>
      <c r="G6" s="157"/>
      <c r="H6" s="157"/>
      <c r="I6" s="211"/>
      <c r="J6" s="211"/>
      <c r="K6" s="157"/>
      <c r="L6" s="157"/>
      <c r="M6" s="157"/>
      <c r="N6" s="157"/>
    </row>
    <row r="7" spans="1:16" ht="15" customHeight="1" x14ac:dyDescent="0.25">
      <c r="C7" s="157"/>
      <c r="D7" s="157"/>
      <c r="E7" s="157"/>
      <c r="F7" s="157"/>
      <c r="G7" s="157"/>
      <c r="H7" s="157"/>
      <c r="I7" s="156"/>
      <c r="J7" s="156"/>
      <c r="K7" s="157"/>
      <c r="L7" s="157"/>
      <c r="M7" s="157"/>
      <c r="N7" s="157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55" t="s">
        <v>19</v>
      </c>
      <c r="D8" s="157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211"/>
      <c r="D9" s="212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211"/>
      <c r="D10" s="212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211"/>
      <c r="D11" s="212"/>
      <c r="E11" s="213"/>
      <c r="F11" s="213"/>
      <c r="G11" s="213"/>
      <c r="H11" s="213"/>
      <c r="I11" s="213"/>
      <c r="J11" s="213"/>
      <c r="K11" s="213"/>
      <c r="L11" s="213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211"/>
      <c r="D12" s="155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211"/>
      <c r="D13" s="211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56"/>
      <c r="D14" s="156"/>
      <c r="E14" s="157"/>
      <c r="F14" s="212"/>
      <c r="G14" s="212"/>
      <c r="H14" s="212"/>
      <c r="I14" s="212"/>
      <c r="J14" s="212"/>
      <c r="K14" s="212"/>
      <c r="L14" s="212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57" t="s">
        <v>241</v>
      </c>
      <c r="D15" s="157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57"/>
      <c r="D16" s="157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57"/>
      <c r="D17" s="157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57"/>
      <c r="D18" s="157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57"/>
      <c r="D19" s="157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57"/>
      <c r="D20" s="212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АС-150/34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57"/>
      <c r="D21" s="212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57"/>
      <c r="D22" s="212"/>
      <c r="E22" s="157"/>
      <c r="F22" s="212"/>
      <c r="G22" s="212"/>
      <c r="H22" s="212"/>
      <c r="I22" s="212"/>
      <c r="J22" s="212"/>
      <c r="K22" s="212"/>
      <c r="L22" s="212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zoomScale="84" zoomScaleNormal="84" workbookViewId="0">
      <selection activeCell="Q17" sqref="Q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17" max="17" width="19.28515625" customWidth="1"/>
    <col min="31" max="32" width="10.42578125" bestFit="1" customWidth="1"/>
    <col min="39" max="39" width="11.7109375" bestFit="1" customWidth="1"/>
    <col min="50" max="50" width="10.28515625" bestFit="1" customWidth="1"/>
    <col min="51" max="51" width="12" bestFit="1" customWidth="1"/>
    <col min="52" max="52" width="15.28515625" bestFit="1" customWidth="1"/>
    <col min="53" max="53" width="19.42578125" customWidth="1"/>
  </cols>
  <sheetData>
    <row r="2" spans="3:53" x14ac:dyDescent="0.25">
      <c r="C2" s="155" t="s">
        <v>66</v>
      </c>
      <c r="D2" s="155" t="s">
        <v>106</v>
      </c>
      <c r="E2" s="155" t="s">
        <v>221</v>
      </c>
      <c r="F2" s="155" t="s">
        <v>42</v>
      </c>
      <c r="G2" s="155" t="s">
        <v>223</v>
      </c>
      <c r="H2" s="155" t="s">
        <v>116</v>
      </c>
      <c r="I2" s="155" t="s">
        <v>222</v>
      </c>
      <c r="J2" s="155" t="s">
        <v>225</v>
      </c>
      <c r="K2" s="155" t="s">
        <v>224</v>
      </c>
      <c r="L2" s="155" t="s">
        <v>228</v>
      </c>
    </row>
    <row r="3" spans="3:53" ht="15.75" thickBot="1" x14ac:dyDescent="0.3">
      <c r="C3" s="211"/>
      <c r="D3" s="162"/>
      <c r="E3" s="162"/>
      <c r="F3" s="211"/>
      <c r="G3" s="162"/>
      <c r="H3" s="162"/>
      <c r="I3" s="162"/>
      <c r="J3" s="211"/>
      <c r="K3" s="162"/>
      <c r="L3" s="211"/>
    </row>
    <row r="4" spans="3:53" ht="86.25" customHeight="1" thickBot="1" x14ac:dyDescent="0.3">
      <c r="C4" s="156"/>
      <c r="D4" s="163"/>
      <c r="E4" s="163"/>
      <c r="F4" s="156"/>
      <c r="G4" s="163"/>
      <c r="H4" s="163"/>
      <c r="I4" s="163"/>
      <c r="J4" s="156"/>
      <c r="K4" s="163"/>
      <c r="L4" s="156"/>
      <c r="O4" s="139" t="s">
        <v>107</v>
      </c>
      <c r="P4" s="139" t="s">
        <v>67</v>
      </c>
      <c r="Q4" s="139" t="s">
        <v>229</v>
      </c>
      <c r="R4" s="70" t="s">
        <v>230</v>
      </c>
      <c r="S4" s="70" t="s">
        <v>230</v>
      </c>
      <c r="T4" s="70" t="s">
        <v>231</v>
      </c>
      <c r="U4" s="139" t="s">
        <v>232</v>
      </c>
      <c r="V4" s="70" t="s">
        <v>230</v>
      </c>
      <c r="W4" s="71" t="s">
        <v>233</v>
      </c>
      <c r="X4" s="70" t="s">
        <v>231</v>
      </c>
      <c r="AA4" s="155" t="s">
        <v>66</v>
      </c>
      <c r="AB4" s="155" t="s">
        <v>106</v>
      </c>
      <c r="AC4" s="155" t="s">
        <v>242</v>
      </c>
      <c r="AD4" s="155" t="s">
        <v>243</v>
      </c>
      <c r="AE4" s="155" t="s">
        <v>244</v>
      </c>
      <c r="AF4" s="155" t="s">
        <v>245</v>
      </c>
      <c r="AG4" s="155" t="s">
        <v>246</v>
      </c>
      <c r="AH4" s="155" t="s">
        <v>247</v>
      </c>
      <c r="AI4" s="155" t="s">
        <v>247</v>
      </c>
      <c r="AK4" s="155" t="s">
        <v>66</v>
      </c>
      <c r="AL4" s="155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55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40"/>
      <c r="P5" s="140"/>
      <c r="Q5" s="140"/>
      <c r="R5" s="44" t="s">
        <v>234</v>
      </c>
      <c r="S5" s="72" t="s">
        <v>235</v>
      </c>
      <c r="T5" s="44" t="s">
        <v>236</v>
      </c>
      <c r="U5" s="140"/>
      <c r="V5" s="44" t="s">
        <v>234</v>
      </c>
      <c r="W5" s="44" t="s">
        <v>237</v>
      </c>
      <c r="X5" s="44" t="s">
        <v>236</v>
      </c>
      <c r="AA5" s="162"/>
      <c r="AB5" s="162"/>
      <c r="AC5" s="218"/>
      <c r="AD5" s="218"/>
      <c r="AE5" s="211"/>
      <c r="AF5" s="218"/>
      <c r="AG5" s="218"/>
      <c r="AH5" s="211"/>
      <c r="AI5" s="211"/>
      <c r="AK5" s="162"/>
      <c r="AL5" s="162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211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41"/>
      <c r="P6" s="141"/>
      <c r="Q6" s="141"/>
      <c r="R6" s="73"/>
      <c r="S6" s="33" t="s">
        <v>237</v>
      </c>
      <c r="T6" s="73"/>
      <c r="U6" s="141"/>
      <c r="V6" s="73"/>
      <c r="W6" s="73"/>
      <c r="X6" s="73"/>
      <c r="AA6" s="163"/>
      <c r="AB6" s="163"/>
      <c r="AC6" s="219"/>
      <c r="AD6" s="219"/>
      <c r="AE6" s="156"/>
      <c r="AF6" s="219"/>
      <c r="AG6" s="219"/>
      <c r="AH6" s="156"/>
      <c r="AI6" s="156"/>
      <c r="AK6" s="163"/>
      <c r="AL6" s="163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55" t="s">
        <v>19</v>
      </c>
      <c r="D7" s="211"/>
      <c r="E7" s="80" t="str">
        <f>Fрозр!E4</f>
        <v>ВП-В</v>
      </c>
      <c r="F7" s="80">
        <f>'падіння напруги'!G10</f>
        <v>11.8</v>
      </c>
      <c r="G7" s="80">
        <f>Fрозр!H6</f>
        <v>110</v>
      </c>
      <c r="H7" s="80" t="str">
        <f>'падіння напруги'!F10</f>
        <v>АС-240/56</v>
      </c>
      <c r="I7" s="80" t="s">
        <v>226</v>
      </c>
      <c r="J7" s="80">
        <v>16.600000000000001</v>
      </c>
      <c r="K7" s="80">
        <v>1</v>
      </c>
      <c r="L7" s="80">
        <f>J7*F7*K7</f>
        <v>195.88000000000002</v>
      </c>
      <c r="O7" s="214" t="s">
        <v>19</v>
      </c>
      <c r="P7" s="33" t="s">
        <v>51</v>
      </c>
      <c r="Q7" s="74" t="s">
        <v>238</v>
      </c>
      <c r="R7" s="33">
        <v>2</v>
      </c>
      <c r="S7" s="33">
        <v>35.200000000000003</v>
      </c>
      <c r="T7" s="33">
        <f>R7*S7</f>
        <v>70.400000000000006</v>
      </c>
      <c r="U7" s="74" t="s">
        <v>239</v>
      </c>
      <c r="V7" s="33">
        <v>2</v>
      </c>
      <c r="W7" s="33">
        <v>120</v>
      </c>
      <c r="X7" s="33">
        <f>V7*W7</f>
        <v>240</v>
      </c>
      <c r="AA7" s="155" t="s">
        <v>19</v>
      </c>
      <c r="AB7" s="80" t="s">
        <v>51</v>
      </c>
      <c r="AC7" s="80">
        <f>L10</f>
        <v>422.26</v>
      </c>
      <c r="AD7" s="155">
        <v>7.2</v>
      </c>
      <c r="AE7" s="80">
        <f>ROUND($AD$7/100*AC7,2)</f>
        <v>30.4</v>
      </c>
      <c r="AF7" s="80">
        <f>T7+X7</f>
        <v>310.39999999999998</v>
      </c>
      <c r="AG7" s="155">
        <v>14.4</v>
      </c>
      <c r="AH7" s="80">
        <f>ROUND($AG$7/100*AF7,2)</f>
        <v>44.7</v>
      </c>
      <c r="AI7" s="80">
        <f>AE7+AH7</f>
        <v>75.099999999999994</v>
      </c>
      <c r="AK7" s="155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55" t="s">
        <v>19</v>
      </c>
      <c r="AT7" s="80" t="str">
        <f>AL7</f>
        <v>а)</v>
      </c>
      <c r="AU7" s="80">
        <f>AC7+AF7</f>
        <v>732.66</v>
      </c>
      <c r="AV7" s="80">
        <f>AI7</f>
        <v>75.099999999999994</v>
      </c>
      <c r="AW7" s="80">
        <f>AQ7</f>
        <v>2456.6999999999998</v>
      </c>
      <c r="AX7" s="80">
        <f>AV7+AW7</f>
        <v>2531.7999999999997</v>
      </c>
      <c r="AY7" s="76">
        <f>0.2*AU7+AX7</f>
        <v>2678.3319999999999</v>
      </c>
      <c r="AZ7" s="80"/>
      <c r="BA7" s="58"/>
    </row>
    <row r="8" spans="3:53" ht="24.95" customHeight="1" thickBot="1" x14ac:dyDescent="0.3">
      <c r="C8" s="211"/>
      <c r="D8" s="211"/>
      <c r="E8" s="121" t="str">
        <f>Fрозр!E5</f>
        <v>ВП-Д</v>
      </c>
      <c r="F8" s="80">
        <f>'падіння напруги'!G6</f>
        <v>7.8</v>
      </c>
      <c r="G8" s="80">
        <f>Fрозр!H7</f>
        <v>110</v>
      </c>
      <c r="H8" s="80" t="str">
        <f>'падіння напруги'!F6</f>
        <v>АС-300/67</v>
      </c>
      <c r="I8" s="80" t="s">
        <v>226</v>
      </c>
      <c r="J8" s="80">
        <v>18.899999999999999</v>
      </c>
      <c r="K8" s="80">
        <v>1</v>
      </c>
      <c r="L8" s="125">
        <f t="shared" ref="L8:L9" si="0">J8*F8*K8</f>
        <v>147.41999999999999</v>
      </c>
      <c r="O8" s="215"/>
      <c r="P8" s="33" t="s">
        <v>55</v>
      </c>
      <c r="Q8" s="74" t="s">
        <v>238</v>
      </c>
      <c r="R8" s="33">
        <v>2</v>
      </c>
      <c r="S8" s="33">
        <v>35.200000000000003</v>
      </c>
      <c r="T8" s="33">
        <f>R8*S8</f>
        <v>70.400000000000006</v>
      </c>
      <c r="U8" s="74" t="s">
        <v>240</v>
      </c>
      <c r="V8" s="33">
        <v>2</v>
      </c>
      <c r="W8" s="33">
        <f>2*36</f>
        <v>72</v>
      </c>
      <c r="X8" s="33">
        <f>V8*W8</f>
        <v>144</v>
      </c>
      <c r="AA8" s="163"/>
      <c r="AB8" s="80" t="s">
        <v>55</v>
      </c>
      <c r="AC8" s="80">
        <f>L13</f>
        <v>416.88</v>
      </c>
      <c r="AD8" s="163"/>
      <c r="AE8" s="80">
        <f>ROUND($AD$7/100*AC8,2)</f>
        <v>30.02</v>
      </c>
      <c r="AF8" s="80">
        <f t="shared" ref="AF8:AF10" si="1">T8+X8</f>
        <v>214.4</v>
      </c>
      <c r="AG8" s="163"/>
      <c r="AH8" s="80">
        <f t="shared" ref="AH8:AH10" si="2">ROUND($AE$8/100*AF8,2)</f>
        <v>64.36</v>
      </c>
      <c r="AI8" s="80">
        <f t="shared" ref="AI8:AI10" si="3">AE8+AH8</f>
        <v>94.38</v>
      </c>
      <c r="AK8" s="163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63"/>
      <c r="AT8" s="80" t="str">
        <f>AL8</f>
        <v>д)</v>
      </c>
      <c r="AU8" s="125">
        <f t="shared" ref="AU8:AU10" si="4">AC8+AF8</f>
        <v>631.28</v>
      </c>
      <c r="AV8" s="80">
        <f t="shared" ref="AV8:AV10" si="5">AI8</f>
        <v>94.38</v>
      </c>
      <c r="AW8" s="80">
        <f t="shared" ref="AW8:AW10" si="6">AQ8</f>
        <v>2692.1</v>
      </c>
      <c r="AX8" s="80">
        <f t="shared" ref="AX8:AX10" si="7">AV8+AW8</f>
        <v>2786.48</v>
      </c>
      <c r="AY8" s="124">
        <f>0.2*AU8+AX8</f>
        <v>2912.7359999999999</v>
      </c>
      <c r="AZ8" s="80">
        <f>AY8-AY7</f>
        <v>234.404</v>
      </c>
      <c r="BA8" s="58">
        <f>AZ8/AY8*100</f>
        <v>8.0475539149445741</v>
      </c>
    </row>
    <row r="9" spans="3:53" ht="24.95" customHeight="1" thickBot="1" x14ac:dyDescent="0.3">
      <c r="C9" s="211"/>
      <c r="D9" s="156"/>
      <c r="E9" s="121" t="str">
        <f>Fрозр!E6</f>
        <v>В-Д</v>
      </c>
      <c r="F9" s="80">
        <f>'падіння напруги'!G7</f>
        <v>5.6</v>
      </c>
      <c r="G9" s="80">
        <f>Fрозр!H8</f>
        <v>110</v>
      </c>
      <c r="H9" s="80" t="str">
        <f>'падіння напруги'!F7</f>
        <v>АС-150/34</v>
      </c>
      <c r="I9" s="80" t="s">
        <v>226</v>
      </c>
      <c r="J9" s="80">
        <v>14.1</v>
      </c>
      <c r="K9" s="80">
        <v>1</v>
      </c>
      <c r="L9" s="125">
        <f t="shared" si="0"/>
        <v>78.959999999999994</v>
      </c>
      <c r="O9" s="214" t="s">
        <v>20</v>
      </c>
      <c r="P9" s="33" t="s">
        <v>51</v>
      </c>
      <c r="Q9" s="74" t="s">
        <v>238</v>
      </c>
      <c r="R9" s="33">
        <v>2</v>
      </c>
      <c r="S9" s="33">
        <v>35.200000000000003</v>
      </c>
      <c r="T9" s="33">
        <f>R9*S9</f>
        <v>70.400000000000006</v>
      </c>
      <c r="U9" s="74" t="s">
        <v>239</v>
      </c>
      <c r="V9" s="33">
        <v>2</v>
      </c>
      <c r="W9" s="33">
        <v>120</v>
      </c>
      <c r="X9" s="33">
        <f>V9*W9</f>
        <v>240</v>
      </c>
      <c r="AA9" s="155" t="s">
        <v>241</v>
      </c>
      <c r="AB9" s="80" t="s">
        <v>51</v>
      </c>
      <c r="AC9" s="80">
        <f>L17</f>
        <v>431.46</v>
      </c>
      <c r="AD9" s="155">
        <v>7.2</v>
      </c>
      <c r="AE9" s="80">
        <f>ROUND($AD$9/100*AC10,2)</f>
        <v>46.17</v>
      </c>
      <c r="AF9" s="80">
        <f t="shared" si="1"/>
        <v>310.39999999999998</v>
      </c>
      <c r="AG9" s="155">
        <v>14.4</v>
      </c>
      <c r="AH9" s="80">
        <f t="shared" si="2"/>
        <v>93.18</v>
      </c>
      <c r="AI9" s="80">
        <f t="shared" si="3"/>
        <v>139.35000000000002</v>
      </c>
      <c r="AK9" s="155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55" t="s">
        <v>20</v>
      </c>
      <c r="AT9" s="80" t="str">
        <f>AL9</f>
        <v>а)</v>
      </c>
      <c r="AU9" s="125">
        <f t="shared" si="4"/>
        <v>741.8599999999999</v>
      </c>
      <c r="AV9" s="80">
        <f t="shared" si="5"/>
        <v>139.35000000000002</v>
      </c>
      <c r="AW9" s="80">
        <f t="shared" si="6"/>
        <v>3060.6</v>
      </c>
      <c r="AX9" s="80">
        <f>AV9+AW9</f>
        <v>3199.95</v>
      </c>
      <c r="AY9" s="76">
        <f t="shared" ref="AY9:AY10" si="8">0.2*AU9+AX9</f>
        <v>3348.3219999999997</v>
      </c>
      <c r="AZ9" s="80"/>
      <c r="BA9" s="58"/>
    </row>
    <row r="10" spans="3:53" ht="24.95" customHeight="1" thickBot="1" x14ac:dyDescent="0.3">
      <c r="C10" s="211"/>
      <c r="D10" s="159"/>
      <c r="E10" s="216"/>
      <c r="F10" s="216"/>
      <c r="G10" s="216"/>
      <c r="H10" s="216"/>
      <c r="I10" s="216"/>
      <c r="J10" s="216"/>
      <c r="K10" s="217"/>
      <c r="L10" s="80">
        <f>SUM(L7:L9)</f>
        <v>422.26</v>
      </c>
      <c r="O10" s="215"/>
      <c r="P10" s="33" t="s">
        <v>54</v>
      </c>
      <c r="Q10" s="74" t="s">
        <v>238</v>
      </c>
      <c r="R10" s="33">
        <v>2</v>
      </c>
      <c r="S10" s="33">
        <v>35.200000000000003</v>
      </c>
      <c r="T10" s="33">
        <f>R10*S10</f>
        <v>70.400000000000006</v>
      </c>
      <c r="U10" s="74" t="s">
        <v>240</v>
      </c>
      <c r="V10" s="33">
        <v>2</v>
      </c>
      <c r="W10" s="33">
        <f>2*36</f>
        <v>72</v>
      </c>
      <c r="X10" s="33">
        <f>V10*W10</f>
        <v>144</v>
      </c>
      <c r="AA10" s="163"/>
      <c r="AB10" s="80" t="s">
        <v>54</v>
      </c>
      <c r="AC10" s="80">
        <f>L21</f>
        <v>641.22</v>
      </c>
      <c r="AD10" s="163"/>
      <c r="AE10" s="80">
        <f>ROUND($AD$9/100*AC10,2)</f>
        <v>46.17</v>
      </c>
      <c r="AF10" s="80">
        <f t="shared" si="1"/>
        <v>214.4</v>
      </c>
      <c r="AG10" s="163"/>
      <c r="AH10" s="80">
        <f t="shared" si="2"/>
        <v>64.36</v>
      </c>
      <c r="AI10" s="80">
        <f t="shared" si="3"/>
        <v>110.53</v>
      </c>
      <c r="AK10" s="156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56"/>
      <c r="AT10" s="80" t="str">
        <f>AL10</f>
        <v>г)</v>
      </c>
      <c r="AU10" s="125">
        <f t="shared" si="4"/>
        <v>855.62</v>
      </c>
      <c r="AV10" s="80">
        <f t="shared" si="5"/>
        <v>110.53</v>
      </c>
      <c r="AW10" s="80">
        <f t="shared" si="6"/>
        <v>3521.3</v>
      </c>
      <c r="AX10" s="80">
        <f t="shared" si="7"/>
        <v>3631.8300000000004</v>
      </c>
      <c r="AY10" s="80">
        <f t="shared" si="8"/>
        <v>3802.9540000000006</v>
      </c>
      <c r="AZ10" s="80">
        <f>AY10-AY9</f>
        <v>454.63200000000097</v>
      </c>
      <c r="BA10" s="58">
        <f>AZ10/AY10*100</f>
        <v>11.954706788459731</v>
      </c>
    </row>
    <row r="11" spans="3:53" ht="15" customHeight="1" x14ac:dyDescent="0.25">
      <c r="C11" s="211"/>
      <c r="D11" s="155" t="s">
        <v>89</v>
      </c>
      <c r="E11" s="80" t="str">
        <f>'падіння напруги'!E13</f>
        <v>В-Д</v>
      </c>
      <c r="F11" s="80">
        <f>'падіння напруги'!G13</f>
        <v>5.6</v>
      </c>
      <c r="G11" s="80">
        <f>Fрозр!H8</f>
        <v>110</v>
      </c>
      <c r="H11" s="80" t="str">
        <f>'падіння напруги'!F13</f>
        <v>АС-150/34</v>
      </c>
      <c r="I11" s="80" t="s">
        <v>227</v>
      </c>
      <c r="J11" s="80">
        <v>14.1</v>
      </c>
      <c r="K11" s="80">
        <v>2</v>
      </c>
      <c r="L11" s="80">
        <f>J11*F11*K11</f>
        <v>157.91999999999999</v>
      </c>
    </row>
    <row r="12" spans="3:53" ht="15" customHeight="1" x14ac:dyDescent="0.25">
      <c r="C12" s="211"/>
      <c r="D12" s="156"/>
      <c r="E12" s="121" t="str">
        <f>'падіння напруги'!E14</f>
        <v>ВП-Д</v>
      </c>
      <c r="F12" s="80">
        <f>'Таблиця 1-4'!E7</f>
        <v>7.8</v>
      </c>
      <c r="G12" s="80">
        <f>Fрозр!H9</f>
        <v>110</v>
      </c>
      <c r="H12" s="121" t="str">
        <f>'падіння напруги'!F14</f>
        <v>АС-240/56</v>
      </c>
      <c r="I12" s="80" t="s">
        <v>227</v>
      </c>
      <c r="J12" s="80">
        <v>16.600000000000001</v>
      </c>
      <c r="K12" s="80">
        <v>2</v>
      </c>
      <c r="L12" s="125">
        <f>J12*F12*K12</f>
        <v>258.96000000000004</v>
      </c>
    </row>
    <row r="13" spans="3:53" ht="15" customHeight="1" x14ac:dyDescent="0.25">
      <c r="C13" s="156"/>
      <c r="D13" s="159"/>
      <c r="E13" s="216"/>
      <c r="F13" s="216"/>
      <c r="G13" s="216"/>
      <c r="H13" s="216"/>
      <c r="I13" s="216"/>
      <c r="J13" s="216"/>
      <c r="K13" s="217"/>
      <c r="L13" s="80">
        <f>SUM(L11:L12)</f>
        <v>416.88</v>
      </c>
    </row>
    <row r="14" spans="3:53" ht="15" customHeight="1" x14ac:dyDescent="0.25">
      <c r="C14" s="157" t="s">
        <v>20</v>
      </c>
      <c r="D14" s="157" t="s">
        <v>88</v>
      </c>
      <c r="E14" s="80" t="str">
        <f>'падіння напруги'!E21</f>
        <v>ВП-Г</v>
      </c>
      <c r="F14" s="80">
        <f>'падіння напруги'!G21</f>
        <v>11.8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v>18.899999999999999</v>
      </c>
      <c r="K14" s="80">
        <v>1</v>
      </c>
      <c r="L14" s="80">
        <f>J14*F14*K14</f>
        <v>223.02</v>
      </c>
    </row>
    <row r="15" spans="3:53" ht="15" customHeight="1" x14ac:dyDescent="0.25">
      <c r="C15" s="166"/>
      <c r="D15" s="166"/>
      <c r="E15" s="80" t="str">
        <f>'падіння напруги'!E17</f>
        <v>ВП-Е</v>
      </c>
      <c r="F15" s="80">
        <f>'падіння напруги'!G17</f>
        <v>7.8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v>16.600000000000001</v>
      </c>
      <c r="K15" s="80">
        <v>1</v>
      </c>
      <c r="L15" s="125">
        <f t="shared" ref="L15:L16" si="9">J15*F15*K15</f>
        <v>129.48000000000002</v>
      </c>
    </row>
    <row r="16" spans="3:53" ht="15" customHeight="1" x14ac:dyDescent="0.25">
      <c r="C16" s="166"/>
      <c r="D16" s="166"/>
      <c r="E16" s="80" t="str">
        <f>'падіння напруги'!E18</f>
        <v>Е-Г</v>
      </c>
      <c r="F16" s="80">
        <f>'падіння напруги'!G18</f>
        <v>5.6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v>14.1</v>
      </c>
      <c r="K16" s="80">
        <v>1</v>
      </c>
      <c r="L16" s="125">
        <f t="shared" si="9"/>
        <v>78.959999999999994</v>
      </c>
    </row>
    <row r="17" spans="3:12" ht="15" customHeight="1" x14ac:dyDescent="0.25">
      <c r="C17" s="166"/>
      <c r="D17" s="157"/>
      <c r="E17" s="166"/>
      <c r="F17" s="166"/>
      <c r="G17" s="166"/>
      <c r="H17" s="166"/>
      <c r="I17" s="166"/>
      <c r="J17" s="166"/>
      <c r="K17" s="166"/>
      <c r="L17" s="80">
        <f>SUM(L14:L16)</f>
        <v>431.46</v>
      </c>
    </row>
    <row r="18" spans="3:12" ht="15" customHeight="1" x14ac:dyDescent="0.25">
      <c r="C18" s="166"/>
      <c r="D18" s="157" t="s">
        <v>90</v>
      </c>
      <c r="E18" s="80" t="str">
        <f>'падіння напруги'!E24</f>
        <v>ВП-2</v>
      </c>
      <c r="F18" s="80">
        <f>'падіння напруги'!G24</f>
        <v>5.4</v>
      </c>
      <c r="G18" s="80">
        <v>110</v>
      </c>
      <c r="H18" s="80" t="str">
        <f>'падіння напруги'!F24</f>
        <v>АС-300/67</v>
      </c>
      <c r="I18" s="80" t="s">
        <v>227</v>
      </c>
      <c r="J18" s="80">
        <v>18.899999999999999</v>
      </c>
      <c r="K18" s="80">
        <v>2</v>
      </c>
      <c r="L18" s="80">
        <f>J18*F18*K18</f>
        <v>204.12</v>
      </c>
    </row>
    <row r="19" spans="3:12" ht="15" customHeight="1" x14ac:dyDescent="0.25">
      <c r="C19" s="166"/>
      <c r="D19" s="166"/>
      <c r="E19" s="121" t="str">
        <f>'падіння напруги'!E25</f>
        <v>Г-2</v>
      </c>
      <c r="F19" s="121">
        <f>'падіння напруги'!G25</f>
        <v>7.2</v>
      </c>
      <c r="G19" s="80">
        <v>110</v>
      </c>
      <c r="H19" s="121" t="str">
        <f>'падіння напруги'!F25</f>
        <v>АС-150/34</v>
      </c>
      <c r="I19" s="80" t="s">
        <v>227</v>
      </c>
      <c r="J19" s="80">
        <v>14.1</v>
      </c>
      <c r="K19" s="80">
        <v>2</v>
      </c>
      <c r="L19" s="125">
        <f t="shared" ref="L19:L20" si="10">J19*F19*K19</f>
        <v>203.04</v>
      </c>
    </row>
    <row r="20" spans="3:12" ht="15" customHeight="1" x14ac:dyDescent="0.25">
      <c r="C20" s="166"/>
      <c r="D20" s="166"/>
      <c r="E20" s="121" t="str">
        <f>'падіння напруги'!E26</f>
        <v>Е-2</v>
      </c>
      <c r="F20" s="121">
        <f>'падіння напруги'!G26</f>
        <v>8.3000000000000007</v>
      </c>
      <c r="G20" s="80">
        <v>110</v>
      </c>
      <c r="H20" s="121" t="str">
        <f>'падіння напруги'!F26</f>
        <v>АС-150/34</v>
      </c>
      <c r="I20" s="80" t="s">
        <v>227</v>
      </c>
      <c r="J20" s="80">
        <v>14.1</v>
      </c>
      <c r="K20" s="80">
        <v>2</v>
      </c>
      <c r="L20" s="125">
        <f t="shared" si="10"/>
        <v>234.06</v>
      </c>
    </row>
    <row r="21" spans="3:12" ht="15" customHeight="1" x14ac:dyDescent="0.25">
      <c r="C21" s="166"/>
      <c r="D21" s="157"/>
      <c r="E21" s="166"/>
      <c r="F21" s="166"/>
      <c r="G21" s="166"/>
      <c r="H21" s="166"/>
      <c r="I21" s="166"/>
      <c r="J21" s="166"/>
      <c r="K21" s="166"/>
      <c r="L21" s="80">
        <f>SUM(L18:L20)</f>
        <v>641.22</v>
      </c>
    </row>
    <row r="23" spans="3:12" ht="26.25" customHeight="1" x14ac:dyDescent="0.25"/>
    <row r="41" ht="18.75" customHeight="1" x14ac:dyDescent="0.25"/>
  </sheetData>
  <mergeCells count="47">
    <mergeCell ref="AK7:AK8"/>
    <mergeCell ref="AS7:AS8"/>
    <mergeCell ref="AK9:AK10"/>
    <mergeCell ref="AS9:AS10"/>
    <mergeCell ref="AK4:AK6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AD7:AD8"/>
    <mergeCell ref="AG7:AG8"/>
    <mergeCell ref="AA9:AA10"/>
    <mergeCell ref="AD9:AD10"/>
    <mergeCell ref="AG9:AG10"/>
    <mergeCell ref="AA7:AA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A10" zoomScale="75" zoomScaleNormal="75" workbookViewId="0">
      <selection activeCell="B16" sqref="B16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300</v>
      </c>
      <c r="L2" t="s">
        <v>299</v>
      </c>
    </row>
    <row r="3" spans="1:23" ht="53.45" customHeight="1" x14ac:dyDescent="0.25">
      <c r="C3" s="139" t="s">
        <v>173</v>
      </c>
      <c r="D3" s="139" t="s">
        <v>267</v>
      </c>
      <c r="E3" s="167"/>
      <c r="F3" s="70" t="s">
        <v>230</v>
      </c>
      <c r="G3" s="70" t="s">
        <v>230</v>
      </c>
      <c r="H3" s="167"/>
      <c r="I3" s="70" t="s">
        <v>230</v>
      </c>
      <c r="J3" s="70" t="s">
        <v>230</v>
      </c>
      <c r="L3" s="84" t="s">
        <v>204</v>
      </c>
      <c r="M3" s="157" t="s">
        <v>116</v>
      </c>
      <c r="N3" s="84" t="s">
        <v>230</v>
      </c>
      <c r="O3" s="158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41"/>
      <c r="D4" s="141"/>
      <c r="E4" s="168"/>
      <c r="F4" s="33" t="s">
        <v>97</v>
      </c>
      <c r="G4" s="33" t="s">
        <v>97</v>
      </c>
      <c r="H4" s="168"/>
      <c r="I4" s="33" t="s">
        <v>2</v>
      </c>
      <c r="J4" s="33" t="s">
        <v>2</v>
      </c>
      <c r="L4" s="84" t="s">
        <v>268</v>
      </c>
      <c r="M4" s="157"/>
      <c r="N4" s="84" t="s">
        <v>65</v>
      </c>
      <c r="O4" s="158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4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4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4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4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4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4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4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39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3" t="s">
        <v>230</v>
      </c>
      <c r="L12" s="84" t="str">
        <f>'Таблиця 1-4'!D15</f>
        <v>3-ВП</v>
      </c>
      <c r="M12" s="114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41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2" t="s">
        <v>4</v>
      </c>
      <c r="L13" s="84" t="str">
        <f>'Таблиця 1-4'!D16</f>
        <v>3-Б</v>
      </c>
      <c r="M13" s="114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57" t="s">
        <v>173</v>
      </c>
      <c r="D26" s="157" t="s">
        <v>267</v>
      </c>
      <c r="E26" s="84" t="s">
        <v>230</v>
      </c>
      <c r="F26" s="158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57"/>
      <c r="D27" s="157"/>
      <c r="E27" s="84" t="s">
        <v>97</v>
      </c>
      <c r="F27" s="158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301</v>
      </c>
      <c r="C34" s="84" t="s">
        <v>302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19">
        <v>0</v>
      </c>
      <c r="K34" s="84">
        <f>0.5*(-G34+H34+F34)</f>
        <v>20.5</v>
      </c>
      <c r="L34" s="59">
        <f>ROUND(I34/100/F29*A29^2/E29,2)</f>
        <v>24.33</v>
      </c>
      <c r="M34" s="120">
        <f>J34</f>
        <v>0</v>
      </c>
      <c r="N34" s="84">
        <f>ROUND(K34/100/F29*A29^2/E29,2)</f>
        <v>43.38</v>
      </c>
    </row>
    <row r="35" spans="1:14" ht="18.75" x14ac:dyDescent="0.25">
      <c r="J35" s="115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opLeftCell="J2" workbookViewId="0">
      <selection activeCell="M9" sqref="M9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20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21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22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8" si="1">IMSUM(H6,I6)</f>
        <v>35.124+10.913i</v>
      </c>
      <c r="K6" s="91" t="str">
        <f t="shared" ref="K6:K9" si="2">COMPLEX(D6,E6)</f>
        <v>0.05+0.325i</v>
      </c>
      <c r="L6" s="91">
        <f>-('РОЗДІЛ 2'!U5+'РОЗДІЛ 2'!U7)/2</f>
        <v>-0.29000000000000004</v>
      </c>
      <c r="M6" s="91" t="str">
        <f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3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>IMSUM(J7,K7,L7)</f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3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>IMSUM(J8,K8,L8)</f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3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>IMSUM(J9,K9,L9)</f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3</v>
      </c>
      <c r="H13" s="93" t="s">
        <v>62</v>
      </c>
      <c r="I13" s="93" t="s">
        <v>62</v>
      </c>
      <c r="J13" s="93" t="s">
        <v>62</v>
      </c>
      <c r="K13" s="93" t="s">
        <v>62</v>
      </c>
      <c r="L13" s="91">
        <f>'РОЗДІЛ 2'!U11+'РОЗДІЛ 2'!U12+'РОЗДІЛ 2'!U13</f>
        <v>12.370000000000001</v>
      </c>
      <c r="M13" s="91">
        <f>L13</f>
        <v>12.370000000000001</v>
      </c>
    </row>
    <row r="14" spans="1:13" ht="18" x14ac:dyDescent="0.25">
      <c r="H14" s="95" t="s">
        <v>282</v>
      </c>
      <c r="I14" t="str">
        <f>IMSUM(I5,I6,I7,I8,I9)</f>
        <v>0.403+9.104i</v>
      </c>
      <c r="K14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zoomScale="120" zoomScaleNormal="120" workbookViewId="0">
      <selection activeCell="H4" sqref="H4"/>
    </sheetView>
  </sheetViews>
  <sheetFormatPr defaultRowHeight="15" x14ac:dyDescent="0.25"/>
  <cols>
    <col min="3" max="3" width="10.42578125" bestFit="1" customWidth="1"/>
    <col min="6" max="6" width="17.140625" customWidth="1"/>
    <col min="10" max="10" width="10.42578125" bestFit="1" customWidth="1"/>
  </cols>
  <sheetData>
    <row r="2" spans="2:10" x14ac:dyDescent="0.25">
      <c r="F2" t="str">
        <f>IMSUB(D12,C4)</f>
        <v>7.927+1.971i</v>
      </c>
    </row>
    <row r="3" spans="2:10" x14ac:dyDescent="0.25">
      <c r="C3">
        <v>26.957000000000001</v>
      </c>
      <c r="D3">
        <v>9.2669999999999995</v>
      </c>
      <c r="H3">
        <v>34.835999999999999</v>
      </c>
      <c r="I3" s="14">
        <v>11.518000000000001</v>
      </c>
      <c r="J3" s="14"/>
    </row>
    <row r="4" spans="2:10" x14ac:dyDescent="0.25">
      <c r="C4" t="str">
        <f>COMPLEX(C3,D3)</f>
        <v>26.957+9.267i</v>
      </c>
      <c r="H4" t="str">
        <f>COMPLEX(H3,I3)</f>
        <v>34.836+11.518i</v>
      </c>
    </row>
    <row r="5" spans="2:10" x14ac:dyDescent="0.25">
      <c r="C5" s="14"/>
      <c r="D5" s="14"/>
      <c r="E5" s="4"/>
      <c r="F5" s="14"/>
      <c r="G5" s="14"/>
      <c r="H5" s="4"/>
    </row>
    <row r="6" spans="2:10" x14ac:dyDescent="0.25">
      <c r="D6" s="10" t="s">
        <v>13</v>
      </c>
      <c r="G6" s="10" t="s">
        <v>15</v>
      </c>
    </row>
    <row r="8" spans="2:10" x14ac:dyDescent="0.25">
      <c r="C8">
        <f>'РОЗДІЛ 2'!S5</f>
        <v>1.42</v>
      </c>
      <c r="D8">
        <f>'РОЗДІЛ 2'!T5</f>
        <v>4.78</v>
      </c>
      <c r="F8">
        <f>'РОЗДІЛ 2'!S7</f>
        <v>1.1100000000000001</v>
      </c>
      <c r="G8">
        <f>'РОЗДІЛ 2'!T7</f>
        <v>2.35</v>
      </c>
      <c r="H8">
        <f>'РОЗДІЛ 2'!S6</f>
        <v>0.94</v>
      </c>
      <c r="I8">
        <f>'РОЗДІЛ 2'!T6</f>
        <v>3.16</v>
      </c>
    </row>
    <row r="9" spans="2:10" x14ac:dyDescent="0.25">
      <c r="C9" t="str">
        <f>COMPLEX(C8,-D8)</f>
        <v>1.42-4.78i</v>
      </c>
      <c r="F9" t="str">
        <f>COMPLEX(F8,-G8)</f>
        <v>1.11-2.35i</v>
      </c>
      <c r="H9" t="str">
        <f>COMPLEX(H8,-I8)</f>
        <v>0.94-3.16i</v>
      </c>
    </row>
    <row r="11" spans="2:10" x14ac:dyDescent="0.25">
      <c r="D11" t="str">
        <f>'Table 2-4'!M6</f>
        <v>34.884+11.238i</v>
      </c>
      <c r="G11" t="str">
        <f>'Table 2-4'!M8</f>
        <v>26.909+8.547i</v>
      </c>
      <c r="J11" s="14"/>
    </row>
    <row r="12" spans="2:10" x14ac:dyDescent="0.25">
      <c r="D12" t="str">
        <f>COMPLEX(34.884,11.238)</f>
        <v>34.884+11.238i</v>
      </c>
      <c r="G12" t="str">
        <f>G11</f>
        <v>26.909+8.547i</v>
      </c>
    </row>
    <row r="13" spans="2:10" x14ac:dyDescent="0.25">
      <c r="B13" t="str">
        <f>COMPLEX(B14,C14)</f>
        <v>34.474+13.373i</v>
      </c>
      <c r="F13" t="str">
        <f>IMSUB(C20,B13)</f>
        <v>-2.709-2.453i</v>
      </c>
      <c r="H13" t="str">
        <f>COMPLEX(H14,I14)</f>
        <v>31.99+8.597i</v>
      </c>
      <c r="I13" s="14"/>
    </row>
    <row r="14" spans="2:10" x14ac:dyDescent="0.25">
      <c r="B14">
        <v>34.473999999999997</v>
      </c>
      <c r="C14">
        <v>13.372999999999999</v>
      </c>
      <c r="H14">
        <f>31.99</f>
        <v>31.99</v>
      </c>
      <c r="I14">
        <v>8.5969999999999995</v>
      </c>
    </row>
    <row r="15" spans="2:10" x14ac:dyDescent="0.25">
      <c r="D15" t="s">
        <v>14</v>
      </c>
      <c r="G15" t="s">
        <v>16</v>
      </c>
    </row>
    <row r="16" spans="2:10" x14ac:dyDescent="0.25">
      <c r="B16">
        <f>'РОЗДІЛ 2'!S8</f>
        <v>0.33</v>
      </c>
      <c r="C16">
        <f>'РОЗДІЛ 2'!T8</f>
        <v>3.97</v>
      </c>
      <c r="E16">
        <f>'РОЗДІЛ 2'!S10</f>
        <v>2.87</v>
      </c>
      <c r="F16">
        <f>'РОЗДІЛ 2'!T10</f>
        <v>6.09</v>
      </c>
      <c r="H16">
        <f>'РОЗДІЛ 2'!S9</f>
        <v>1.43</v>
      </c>
      <c r="I16">
        <f>'РОЗДІЛ 2'!T9</f>
        <v>4.82</v>
      </c>
    </row>
    <row r="17" spans="2:8" x14ac:dyDescent="0.25">
      <c r="B17" t="str">
        <f>COMPLEX(B16,-C16)</f>
        <v>0.33-3.97i</v>
      </c>
      <c r="E17" t="str">
        <f>COMPLEX(E16,-F16)</f>
        <v>2.87-6.09i</v>
      </c>
      <c r="H17" t="str">
        <f>COMPLEX(H16,-I16)</f>
        <v>1.43-4.82i</v>
      </c>
    </row>
    <row r="19" spans="2:8" x14ac:dyDescent="0.25">
      <c r="C19" t="str">
        <f>'Table 2-4'!M7</f>
        <v>31.765+10.92i</v>
      </c>
      <c r="G19" t="str">
        <f>'Table 2-4'!M9</f>
        <v>34.702+11.052i</v>
      </c>
    </row>
    <row r="20" spans="2:8" x14ac:dyDescent="0.25">
      <c r="C20" t="str">
        <f>C19</f>
        <v>31.765+10.92i</v>
      </c>
      <c r="G20" t="str">
        <f>G19</f>
        <v>34.702+11.052i</v>
      </c>
    </row>
    <row r="34" spans="1:2" x14ac:dyDescent="0.25">
      <c r="A34" s="4"/>
      <c r="B34" s="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1"/>
  <sheetViews>
    <sheetView topLeftCell="E11" workbookViewId="0">
      <selection activeCell="K10" sqref="K10"/>
    </sheetView>
  </sheetViews>
  <sheetFormatPr defaultRowHeight="15" x14ac:dyDescent="0.25"/>
  <cols>
    <col min="1" max="1" width="9.5703125" bestFit="1" customWidth="1"/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52.710937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39" t="s">
        <v>221</v>
      </c>
      <c r="I3" s="139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41"/>
      <c r="I4" s="141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28.5" customHeight="1" thickBot="1" x14ac:dyDescent="0.3">
      <c r="A5">
        <f>'РОЗДІЛ 2'!S5</f>
        <v>1.42</v>
      </c>
      <c r="B5">
        <f>'РОЗДІЛ 2'!T5</f>
        <v>4.78</v>
      </c>
      <c r="C5">
        <f>IMREAL(K5)</f>
        <v>26.957000000000001</v>
      </c>
      <c r="D5" s="97">
        <f>IMAGINARY(J5)</f>
        <v>9.2669999999999995</v>
      </c>
      <c r="E5">
        <f>ROUND((C5^2+D5^2)/G5^2*A5,3)</f>
        <v>9.5000000000000001E-2</v>
      </c>
      <c r="F5">
        <f>ROUND((C5^2+D5^2)/G5^2*B5,3)</f>
        <v>0.32100000000000001</v>
      </c>
      <c r="G5">
        <v>110</v>
      </c>
      <c r="H5" s="98" t="s">
        <v>310</v>
      </c>
      <c r="I5" s="99" t="s">
        <v>314</v>
      </c>
      <c r="J5" s="99" t="str">
        <f>COMPLEX(26.957,9.267)</f>
        <v>26.957+9.267i</v>
      </c>
      <c r="K5" s="99" t="str">
        <f>J5</f>
        <v>26.957+9.267i</v>
      </c>
      <c r="L5" s="99" t="str">
        <f t="shared" ref="L5:L16" si="0">COMPLEX(A5,B5)</f>
        <v>1.42+4.78i</v>
      </c>
      <c r="M5" s="99" t="str">
        <f t="shared" ref="M5:M16" si="1">COMPLEX(E5,F5)</f>
        <v>0.095+0.321i</v>
      </c>
      <c r="N5" s="99" t="str">
        <f>IMSUM(K5,M5)</f>
        <v>27.052+9.588i</v>
      </c>
    </row>
    <row r="6" spans="1:15" ht="19.5" thickBot="1" x14ac:dyDescent="0.3">
      <c r="A6">
        <f>'РОЗДІЛ 2'!S7</f>
        <v>1.1100000000000001</v>
      </c>
      <c r="B6">
        <f>'РОЗДІЛ 2'!T7</f>
        <v>2.35</v>
      </c>
      <c r="C6">
        <f>IMREAL(K6)</f>
        <v>7.9269999999999996</v>
      </c>
      <c r="D6" s="97">
        <f t="shared" ref="D6:D16" si="2">IMAGINARY(K6)</f>
        <v>1.927</v>
      </c>
      <c r="E6">
        <f t="shared" ref="E6:E16" si="3">ROUND((C6^2+D6^2)/G6^2*A6,3)</f>
        <v>6.0000000000000001E-3</v>
      </c>
      <c r="F6">
        <f t="shared" ref="F6:F16" si="4">ROUND((C6^2+D6^2)/G6^2*B6,3)</f>
        <v>1.2999999999999999E-2</v>
      </c>
      <c r="G6">
        <v>110</v>
      </c>
      <c r="H6" s="98" t="s">
        <v>312</v>
      </c>
      <c r="I6" s="99" t="s">
        <v>313</v>
      </c>
      <c r="J6" s="99" t="str">
        <f>COMPLEX(7.927,1.971)</f>
        <v>7.927+1.971i</v>
      </c>
      <c r="K6" s="99" t="str">
        <f>COMPLEX(7.927,1.927)</f>
        <v>7.927+1.927i</v>
      </c>
      <c r="L6" s="99" t="str">
        <f t="shared" si="0"/>
        <v>1.11+2.35i</v>
      </c>
      <c r="M6" s="99" t="str">
        <f t="shared" si="1"/>
        <v>0.006+0.013i</v>
      </c>
      <c r="N6" s="99" t="str">
        <f>IMSUM(K6,M6)</f>
        <v>7.933+1.94i</v>
      </c>
    </row>
    <row r="7" spans="1:15" ht="19.5" thickBot="1" x14ac:dyDescent="0.3">
      <c r="A7">
        <f>'РОЗДІЛ 2'!S6</f>
        <v>0.94</v>
      </c>
      <c r="B7">
        <f>'РОЗДІЛ 2'!T6</f>
        <v>3.16</v>
      </c>
      <c r="C7">
        <f>IMREAL(K7)</f>
        <v>34.841999999999999</v>
      </c>
      <c r="D7" s="97">
        <f t="shared" si="2"/>
        <v>11.487</v>
      </c>
      <c r="E7">
        <f t="shared" si="3"/>
        <v>0.105</v>
      </c>
      <c r="F7">
        <f t="shared" si="4"/>
        <v>0.35099999999999998</v>
      </c>
      <c r="G7">
        <v>110</v>
      </c>
      <c r="H7" s="98" t="s">
        <v>311</v>
      </c>
      <c r="I7" s="99" t="s">
        <v>15</v>
      </c>
      <c r="J7" s="99" t="str">
        <f>COMPLEX(26.909,9.547)</f>
        <v>26.909+9.547i</v>
      </c>
      <c r="K7" s="99" t="str">
        <f>IMSUM(N6,J7)</f>
        <v>34.842+11.487i</v>
      </c>
      <c r="L7" s="99" t="str">
        <f t="shared" si="0"/>
        <v>0.94+3.16i</v>
      </c>
      <c r="M7" s="99" t="str">
        <f t="shared" si="1"/>
        <v>0.105+0.351i</v>
      </c>
      <c r="N7" s="99" t="str">
        <f>IMSUM(K7,M7)</f>
        <v>34.947+11.838i</v>
      </c>
    </row>
    <row r="8" spans="1:15" ht="19.5" thickBot="1" x14ac:dyDescent="0.3">
      <c r="A8">
        <f>'РОЗДІЛ 2'!S9</f>
        <v>1.43</v>
      </c>
      <c r="B8">
        <f>'РОЗДІЛ 2'!T9</f>
        <v>4.82</v>
      </c>
      <c r="C8">
        <f t="shared" ref="C8:C10" si="5">IMREAL(K8)</f>
        <v>34.835999999999999</v>
      </c>
      <c r="D8" s="97">
        <f t="shared" ref="D8:D14" si="6">IMAGINARY(K8)</f>
        <v>11.518000000000001</v>
      </c>
      <c r="E8">
        <f t="shared" si="3"/>
        <v>0.159</v>
      </c>
      <c r="F8">
        <f>ROUND((C8^2+D8^2)/G8^2*B8,3)</f>
        <v>0.53600000000000003</v>
      </c>
      <c r="G8">
        <v>110</v>
      </c>
      <c r="H8" s="100" t="s">
        <v>309</v>
      </c>
      <c r="I8" s="101" t="s">
        <v>315</v>
      </c>
      <c r="J8" s="101" t="str">
        <f>COMPLEX(34.836,11.518)</f>
        <v>34.836+11.518i</v>
      </c>
      <c r="K8" s="101" t="str">
        <f>COMPLEX(34.836,11.518)</f>
        <v>34.836+11.518i</v>
      </c>
      <c r="L8" s="101" t="str">
        <f>COMPLEX(A8,B8)</f>
        <v>1.43+4.82i</v>
      </c>
      <c r="M8" s="101" t="str">
        <f t="shared" si="1"/>
        <v>0.159+0.536i</v>
      </c>
      <c r="N8" s="101" t="str">
        <f t="shared" ref="N8:N15" si="7">IMSUM(K8,M8)</f>
        <v>34.995+12.054i</v>
      </c>
    </row>
    <row r="9" spans="1:15" ht="19.5" thickBot="1" x14ac:dyDescent="0.3">
      <c r="A9">
        <f>'РОЗДІЛ 2'!S10</f>
        <v>2.87</v>
      </c>
      <c r="B9">
        <f>'РОЗДІЛ 2'!T10</f>
        <v>6.09</v>
      </c>
      <c r="C9">
        <f t="shared" si="5"/>
        <v>2.7090000000000001</v>
      </c>
      <c r="D9" s="97">
        <f t="shared" si="6"/>
        <v>2.4529999999999998</v>
      </c>
      <c r="E9">
        <f t="shared" ref="E9:E14" si="8">ROUND((C9^2+D9^2)/G9^2*A9,3)</f>
        <v>3.0000000000000001E-3</v>
      </c>
      <c r="F9">
        <f>ROUND((C9^2+D9^2)/G9^2*B9,3)</f>
        <v>7.0000000000000001E-3</v>
      </c>
      <c r="G9">
        <v>110</v>
      </c>
      <c r="H9" s="100" t="s">
        <v>308</v>
      </c>
      <c r="I9" s="101" t="s">
        <v>316</v>
      </c>
      <c r="J9" s="101" t="str">
        <f>COMPLEX(2.709,2.453)</f>
        <v>2.709+2.453i</v>
      </c>
      <c r="K9" s="101" t="str">
        <f>COMPLEX(2.709,2.453)</f>
        <v>2.709+2.453i</v>
      </c>
      <c r="L9" s="101" t="str">
        <f t="shared" si="0"/>
        <v>2.87+6.09i</v>
      </c>
      <c r="M9" s="101" t="str">
        <f t="shared" si="1"/>
        <v>0.003+0.007i</v>
      </c>
      <c r="N9" s="101" t="str">
        <f t="shared" si="7"/>
        <v>2.712+2.46i</v>
      </c>
    </row>
    <row r="10" spans="1:15" ht="19.5" thickBot="1" x14ac:dyDescent="0.3">
      <c r="A10">
        <f>'РОЗДІЛ 2'!S8</f>
        <v>0.33</v>
      </c>
      <c r="B10">
        <f>'РОЗДІЛ 2'!T8</f>
        <v>3.97</v>
      </c>
      <c r="C10">
        <f t="shared" si="5"/>
        <v>34.476999999999997</v>
      </c>
      <c r="D10" s="97">
        <f t="shared" si="6"/>
        <v>13.38</v>
      </c>
      <c r="E10">
        <f t="shared" si="8"/>
        <v>3.6999999999999998E-2</v>
      </c>
      <c r="F10">
        <f t="shared" si="4"/>
        <v>0.44900000000000001</v>
      </c>
      <c r="G10">
        <v>110</v>
      </c>
      <c r="H10" s="100" t="s">
        <v>330</v>
      </c>
      <c r="I10" s="101" t="s">
        <v>14</v>
      </c>
      <c r="J10" s="101" t="str">
        <f>COMPLEX(31.765,10.92)</f>
        <v>31.765+10.92i</v>
      </c>
      <c r="K10" s="101" t="str">
        <f>IMSUM(N9,J10)</f>
        <v>34.477+13.38i</v>
      </c>
      <c r="L10" s="101" t="str">
        <f t="shared" si="0"/>
        <v>0.33+3.97i</v>
      </c>
      <c r="M10" s="101" t="str">
        <f t="shared" si="1"/>
        <v>0.037+0.449i</v>
      </c>
      <c r="N10" s="101" t="str">
        <f t="shared" si="7"/>
        <v>34.514+13.829i</v>
      </c>
    </row>
    <row r="11" spans="1:15" ht="19.5" thickBot="1" x14ac:dyDescent="0.3">
      <c r="A11" s="104">
        <f>'РОЗДІЛ 2'!E34</f>
        <v>0.56789208000000002</v>
      </c>
      <c r="B11">
        <f>'РОЗДІЛ 2'!M34</f>
        <v>0</v>
      </c>
      <c r="C11" s="97">
        <f t="shared" ref="C11:C16" si="9">IMREAL(K11)</f>
        <v>131.50800000000001</v>
      </c>
      <c r="D11" s="97">
        <f t="shared" si="6"/>
        <v>46.628999999999998</v>
      </c>
      <c r="E11">
        <f t="shared" si="8"/>
        <v>0.22800000000000001</v>
      </c>
      <c r="F11">
        <f>ROUND((C11^2+D11^2)/G11^2*B11,3)</f>
        <v>0</v>
      </c>
      <c r="G11">
        <v>220</v>
      </c>
      <c r="H11" s="102" t="s">
        <v>284</v>
      </c>
      <c r="I11" s="103" t="s">
        <v>280</v>
      </c>
      <c r="J11" s="103" t="str">
        <f>'Table 2-4'!M11</f>
        <v>-0.68i</v>
      </c>
      <c r="K11" s="103" t="str">
        <f>IMSUM(N7,N10,J11,N8,N5)</f>
        <v>131.508+46.629i</v>
      </c>
      <c r="L11" s="103" t="str">
        <f t="shared" si="0"/>
        <v>0.56789208</v>
      </c>
      <c r="M11" s="103" t="str">
        <f t="shared" si="1"/>
        <v>0.228</v>
      </c>
      <c r="N11" s="103" t="str">
        <f t="shared" si="7"/>
        <v>131.736+46.629i</v>
      </c>
    </row>
    <row r="12" spans="1:15" ht="19.5" thickBot="1" x14ac:dyDescent="0.3">
      <c r="A12" s="104">
        <f>'РОЗДІЛ 2'!E34</f>
        <v>0.56789208000000002</v>
      </c>
      <c r="B12">
        <f>'РОЗДІЛ 2'!N34</f>
        <v>43.38</v>
      </c>
      <c r="C12" s="97">
        <f t="shared" si="9"/>
        <v>16</v>
      </c>
      <c r="D12" s="97">
        <f t="shared" si="6"/>
        <v>3.9</v>
      </c>
      <c r="E12">
        <f t="shared" si="8"/>
        <v>3.0000000000000001E-3</v>
      </c>
      <c r="F12">
        <f>ROUND((C12^2+D12^2)/G12^2*B12,3)</f>
        <v>0.24299999999999999</v>
      </c>
      <c r="G12">
        <v>220</v>
      </c>
      <c r="H12" s="102" t="s">
        <v>285</v>
      </c>
      <c r="I12" s="103" t="s">
        <v>281</v>
      </c>
      <c r="J12" s="103" t="str">
        <f>'Table 2-4'!M12</f>
        <v>16+3.9i</v>
      </c>
      <c r="K12" s="103" t="str">
        <f>J12</f>
        <v>16+3.9i</v>
      </c>
      <c r="L12" s="103" t="str">
        <f t="shared" si="0"/>
        <v>0.56789208+43.38i</v>
      </c>
      <c r="M12" s="103" t="str">
        <f t="shared" si="1"/>
        <v>0.003+0.243i</v>
      </c>
      <c r="N12" s="103" t="str">
        <f t="shared" si="7"/>
        <v>16.003+4.143i</v>
      </c>
    </row>
    <row r="13" spans="1:15" ht="19.5" thickBot="1" x14ac:dyDescent="0.3">
      <c r="A13" s="104">
        <f>'РОЗДІЛ 2'!D34</f>
        <v>0.26661600000000002</v>
      </c>
      <c r="B13" s="104">
        <f>'РОЗДІЛ 2'!L34</f>
        <v>24.33</v>
      </c>
      <c r="C13" s="97">
        <f t="shared" si="9"/>
        <v>147.739</v>
      </c>
      <c r="D13" s="97">
        <f t="shared" si="6"/>
        <v>50.771999999999998</v>
      </c>
      <c r="E13">
        <f t="shared" si="8"/>
        <v>0.13400000000000001</v>
      </c>
      <c r="F13">
        <f>ROUND((C13^2+D13^2)/G13^2*B13,3)</f>
        <v>12.268000000000001</v>
      </c>
      <c r="G13">
        <v>220</v>
      </c>
      <c r="H13" s="102" t="s">
        <v>286</v>
      </c>
      <c r="I13" s="105">
        <v>0</v>
      </c>
      <c r="J13" s="103">
        <v>0</v>
      </c>
      <c r="K13" s="103" t="str">
        <f>IMSUM(N11,N12)</f>
        <v>147.739+50.772i</v>
      </c>
      <c r="L13" s="103" t="str">
        <f t="shared" si="0"/>
        <v>0.266616+24.33i</v>
      </c>
      <c r="M13" s="103" t="str">
        <f t="shared" si="1"/>
        <v>0.134+12.268i</v>
      </c>
      <c r="N13" s="103" t="str">
        <f>IMSUM(K13,M13)</f>
        <v>147.873+63.04i</v>
      </c>
    </row>
    <row r="14" spans="1:15" ht="19.5" thickBot="1" x14ac:dyDescent="0.3">
      <c r="A14">
        <f>'РОЗДІЛ 2'!S12</f>
        <v>0.38</v>
      </c>
      <c r="B14">
        <f>'РОЗДІЛ 2'!T12</f>
        <v>4.8499999999999996</v>
      </c>
      <c r="C14" s="97">
        <f t="shared" si="9"/>
        <v>148.00299999999999</v>
      </c>
      <c r="D14" s="97">
        <f t="shared" si="6"/>
        <v>61.15</v>
      </c>
      <c r="E14">
        <f t="shared" si="8"/>
        <v>0.20100000000000001</v>
      </c>
      <c r="F14">
        <f>ROUND((C14^2+D14^2)/G14^2*B14,3)</f>
        <v>2.57</v>
      </c>
      <c r="G14">
        <v>220</v>
      </c>
      <c r="H14" s="83" t="s">
        <v>317</v>
      </c>
      <c r="I14" s="33" t="s">
        <v>279</v>
      </c>
      <c r="J14" s="33" t="str">
        <f>'Table 2-4'!M10</f>
        <v>0.13-1.89i</v>
      </c>
      <c r="K14" s="33" t="str">
        <f>IMSUM(J14,N13)</f>
        <v>148.003+61.15i</v>
      </c>
      <c r="L14" s="36" t="str">
        <f t="shared" si="0"/>
        <v>0.38+4.85i</v>
      </c>
      <c r="M14" s="36" t="str">
        <f t="shared" si="1"/>
        <v>0.201+2.57i</v>
      </c>
      <c r="N14" s="36" t="str">
        <f t="shared" si="7"/>
        <v>148.204+63.72i</v>
      </c>
    </row>
    <row r="15" spans="1:15" ht="19.5" thickBot="1" x14ac:dyDescent="0.3">
      <c r="A15">
        <f>'РОЗДІЛ 2'!S13</f>
        <v>0.13</v>
      </c>
      <c r="B15">
        <f>'РОЗДІЛ 2'!T13</f>
        <v>2.3199999999999998</v>
      </c>
      <c r="C15" s="97">
        <f t="shared" si="9"/>
        <v>18.760999999999999</v>
      </c>
      <c r="D15" s="97">
        <f t="shared" si="2"/>
        <v>6.0460000000000003</v>
      </c>
      <c r="E15">
        <f t="shared" si="3"/>
        <v>1E-3</v>
      </c>
      <c r="F15">
        <f t="shared" si="4"/>
        <v>1.9E-2</v>
      </c>
      <c r="G15">
        <v>220</v>
      </c>
      <c r="H15" s="83" t="s">
        <v>92</v>
      </c>
      <c r="I15" s="33" t="s">
        <v>12</v>
      </c>
      <c r="J15" s="33" t="str">
        <f>'Table 2-4'!M5</f>
        <v>18.761+6.046i</v>
      </c>
      <c r="K15" s="33" t="str">
        <f>'Table 2-4'!M5</f>
        <v>18.761+6.046i</v>
      </c>
      <c r="L15" s="36" t="str">
        <f t="shared" si="0"/>
        <v>0.13+2.32i</v>
      </c>
      <c r="M15" s="36" t="str">
        <f t="shared" si="1"/>
        <v>0.001+0.019i</v>
      </c>
      <c r="N15" s="36" t="str">
        <f t="shared" si="7"/>
        <v>18.762+6.065i</v>
      </c>
      <c r="O15" s="107">
        <f>0.438+0.403+1.037+0.112</f>
        <v>1.99</v>
      </c>
    </row>
    <row r="16" spans="1:15" ht="19.5" thickBot="1" x14ac:dyDescent="0.3">
      <c r="A16">
        <f>'РОЗДІЛ 2'!S11</f>
        <v>0.56000000000000005</v>
      </c>
      <c r="B16">
        <f>'РОЗДІЛ 2'!T11</f>
        <v>3.11</v>
      </c>
      <c r="C16" s="97">
        <f t="shared" si="9"/>
        <v>179.33600000000001</v>
      </c>
      <c r="D16" s="97">
        <f t="shared" si="2"/>
        <v>69.784999999999997</v>
      </c>
      <c r="E16">
        <f t="shared" si="3"/>
        <v>0.42799999999999999</v>
      </c>
      <c r="F16">
        <f t="shared" si="4"/>
        <v>2.379</v>
      </c>
      <c r="G16">
        <v>220</v>
      </c>
      <c r="H16" s="126" t="s">
        <v>94</v>
      </c>
      <c r="I16" s="33">
        <v>3</v>
      </c>
      <c r="J16" s="33">
        <f>'Table 2-4'!M13</f>
        <v>12.370000000000001</v>
      </c>
      <c r="K16" s="33" t="str">
        <f>IMSUM(J16,N14,N15)</f>
        <v>179.336+69.785i</v>
      </c>
      <c r="L16" s="36" t="str">
        <f t="shared" si="0"/>
        <v>0.56+3.11i</v>
      </c>
      <c r="M16" s="36" t="str">
        <f t="shared" si="1"/>
        <v>0.428+2.379i</v>
      </c>
      <c r="N16" s="106" t="str">
        <f>IMSUM(K16,M16)</f>
        <v>179.764+72.164i</v>
      </c>
    </row>
    <row r="17" spans="8:15" ht="18.75" x14ac:dyDescent="0.25">
      <c r="M17" s="127">
        <f>'Табл1-1  1-2'!B11</f>
        <v>165</v>
      </c>
      <c r="N17" s="127">
        <f>'Табл1-1  1-2'!C11</f>
        <v>90.3</v>
      </c>
      <c r="O17">
        <f>SQRT(M17^2+N17^2)</f>
        <v>188.09330131612873</v>
      </c>
    </row>
    <row r="18" spans="8:15" ht="18.75" x14ac:dyDescent="0.25">
      <c r="N18">
        <f>'трансформ + компенс'!K23</f>
        <v>49.500000000000007</v>
      </c>
      <c r="O18" s="105">
        <f>N17-N18</f>
        <v>40.79999999999999</v>
      </c>
    </row>
    <row r="19" spans="8:15" x14ac:dyDescent="0.25">
      <c r="O19" t="s">
        <v>2</v>
      </c>
    </row>
    <row r="20" spans="8:15" x14ac:dyDescent="0.25">
      <c r="L20" t="s">
        <v>287</v>
      </c>
      <c r="M20" t="str">
        <f>IMSUM(M5,M6,M7,M8,M9,M10,M14,M15,M16)</f>
        <v>1.035+6.645i</v>
      </c>
      <c r="O20" s="104">
        <f>N19/O17*100</f>
        <v>0</v>
      </c>
    </row>
    <row r="21" spans="8:15" x14ac:dyDescent="0.25">
      <c r="L21" t="s">
        <v>282</v>
      </c>
      <c r="M21" t="str">
        <f>IMSUM(M11,M12,M13,)</f>
        <v>0.365+12.511i</v>
      </c>
      <c r="N21">
        <v>5.74</v>
      </c>
      <c r="O21" t="s">
        <v>288</v>
      </c>
    </row>
    <row r="22" spans="8:15" ht="54" customHeight="1" x14ac:dyDescent="0.25">
      <c r="O22" s="15">
        <f>N21/O17*100</f>
        <v>3.0516769921289075</v>
      </c>
    </row>
    <row r="24" spans="8:15" ht="18.75" x14ac:dyDescent="0.25">
      <c r="M24" s="128"/>
      <c r="N24" s="128"/>
      <c r="O24" s="129"/>
    </row>
    <row r="25" spans="8:15" ht="18.75" x14ac:dyDescent="0.25">
      <c r="M25" s="129"/>
      <c r="N25" s="129"/>
      <c r="O25" s="128"/>
    </row>
    <row r="26" spans="8:15" x14ac:dyDescent="0.25">
      <c r="M26" s="130"/>
      <c r="N26" s="130"/>
      <c r="O26" s="130"/>
    </row>
    <row r="27" spans="8:15" x14ac:dyDescent="0.25">
      <c r="O27" s="104"/>
    </row>
    <row r="29" spans="8:15" x14ac:dyDescent="0.25">
      <c r="H29" s="122" t="s">
        <v>305</v>
      </c>
      <c r="I29" s="122"/>
      <c r="O29" s="15"/>
    </row>
    <row r="30" spans="8:15" ht="19.5" thickBot="1" x14ac:dyDescent="0.3">
      <c r="H30" s="123" t="s">
        <v>306</v>
      </c>
      <c r="I30" s="123"/>
      <c r="M30" s="33" t="str">
        <f>IMPRODUCT(IMDIV(IMPRODUCT(K5,K5),G5^2),L5)</f>
        <v>-0.122169332763637+0.311776703368595i</v>
      </c>
    </row>
    <row r="31" spans="8:15" x14ac:dyDescent="0.25">
      <c r="H31" s="122" t="s">
        <v>307</v>
      </c>
      <c r="I31" s="122"/>
    </row>
  </sheetData>
  <mergeCells count="2">
    <mergeCell ref="H3:H4"/>
    <mergeCell ref="I3:I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5841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4"/>
      </mc:Fallback>
    </mc:AlternateContent>
    <mc:AlternateContent xmlns:mc="http://schemas.openxmlformats.org/markup-compatibility/2006">
      <mc:Choice Requires="x14">
        <oleObject progId="Equation.3" shapeId="35842" r:id="rId6">
          <objectPr defaultSize="0" autoPict="0" r:id="rId7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6"/>
      </mc:Fallback>
    </mc:AlternateContent>
    <mc:AlternateContent xmlns:mc="http://schemas.openxmlformats.org/markup-compatibility/2006">
      <mc:Choice Requires="x14">
        <oleObject progId="Equation.3" shapeId="35843" r:id="rId8">
          <objectPr defaultSize="0" autoPict="0" r:id="rId9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8"/>
      </mc:Fallback>
    </mc:AlternateContent>
    <mc:AlternateContent xmlns:mc="http://schemas.openxmlformats.org/markup-compatibility/2006">
      <mc:Choice Requires="x14">
        <oleObject progId="Equation.3" shapeId="35844" r:id="rId10">
          <objectPr defaultSize="0" autoPict="0" r:id="rId11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10"/>
      </mc:Fallback>
    </mc:AlternateContent>
    <mc:AlternateContent xmlns:mc="http://schemas.openxmlformats.org/markup-compatibility/2006">
      <mc:Choice Requires="x14">
        <oleObject progId="Equation.3" shapeId="35845" r:id="rId12">
          <objectPr defaultSize="0" autoPict="0" r:id="rId13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2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27"/>
  <sheetViews>
    <sheetView tabSelected="1" topLeftCell="L4" zoomScale="85" zoomScaleNormal="85" workbookViewId="0">
      <selection activeCell="S16" sqref="S16"/>
    </sheetView>
  </sheetViews>
  <sheetFormatPr defaultRowHeight="15" x14ac:dyDescent="0.25"/>
  <cols>
    <col min="7" max="7" width="17.42578125" customWidth="1"/>
    <col min="8" max="8" width="9.85546875" bestFit="1" customWidth="1"/>
    <col min="9" max="9" width="15.42578125" customWidth="1"/>
    <col min="10" max="10" width="33.7109375" customWidth="1"/>
    <col min="11" max="11" width="24.140625" customWidth="1"/>
    <col min="12" max="13" width="16" customWidth="1"/>
    <col min="15" max="15" width="14" bestFit="1" customWidth="1"/>
  </cols>
  <sheetData>
    <row r="2" spans="1:19" ht="15.75" thickBot="1" x14ac:dyDescent="0.3">
      <c r="M2" t="s">
        <v>298</v>
      </c>
    </row>
    <row r="3" spans="1:19" ht="53.45" customHeight="1" x14ac:dyDescent="0.25">
      <c r="G3" s="139" t="s">
        <v>297</v>
      </c>
      <c r="H3" s="70" t="s">
        <v>230</v>
      </c>
      <c r="I3" s="139" t="s">
        <v>221</v>
      </c>
      <c r="J3" s="70" t="s">
        <v>230</v>
      </c>
      <c r="K3" s="70" t="s">
        <v>230</v>
      </c>
      <c r="L3" s="70" t="s">
        <v>230</v>
      </c>
      <c r="M3" s="70" t="s">
        <v>296</v>
      </c>
      <c r="N3" s="139" t="s">
        <v>295</v>
      </c>
      <c r="O3" s="70" t="s">
        <v>230</v>
      </c>
    </row>
    <row r="4" spans="1:19" ht="19.5" thickBot="1" x14ac:dyDescent="0.3">
      <c r="G4" s="141"/>
      <c r="H4" s="33" t="s">
        <v>9</v>
      </c>
      <c r="I4" s="141"/>
      <c r="J4" s="33" t="s">
        <v>294</v>
      </c>
      <c r="K4" s="33" t="s">
        <v>147</v>
      </c>
      <c r="L4" s="33" t="s">
        <v>9</v>
      </c>
      <c r="M4" s="33"/>
      <c r="N4" s="141"/>
      <c r="O4" s="33" t="s">
        <v>9</v>
      </c>
    </row>
    <row r="5" spans="1:19" ht="19.5" thickBot="1" x14ac:dyDescent="0.3">
      <c r="A5" s="97">
        <f>IMREAL(J5)</f>
        <v>179.76400000000001</v>
      </c>
      <c r="B5" s="97">
        <f>IMAGINARY(J5)</f>
        <v>72.164000000000001</v>
      </c>
      <c r="C5" s="97">
        <f>IMREAL(K5)</f>
        <v>0.56000000000000005</v>
      </c>
      <c r="D5" s="97">
        <f>IMAGINARY(K5)</f>
        <v>3.11</v>
      </c>
      <c r="G5" s="83" t="s">
        <v>17</v>
      </c>
      <c r="H5" s="83">
        <f>ROUND(230*1.05,0)</f>
        <v>242</v>
      </c>
      <c r="I5" s="83" t="str">
        <f>'Tabl 2-5'!H16</f>
        <v>ДЖ-3</v>
      </c>
      <c r="J5" s="83" t="str">
        <f>'Tabl 2-5'!N16</f>
        <v>179.764+72.164i</v>
      </c>
      <c r="K5" s="83" t="str">
        <f>'Tabl 2-5'!L16</f>
        <v>0.56+3.11i</v>
      </c>
      <c r="L5" s="83">
        <f>ROUND((A5*C5+B5*D5)/H5,3)</f>
        <v>1.343</v>
      </c>
      <c r="M5" s="83">
        <f>ROUND((A5*D5-B5*C5)/H5,3)</f>
        <v>2.1429999999999998</v>
      </c>
      <c r="N5" s="83">
        <v>3</v>
      </c>
      <c r="O5" s="83">
        <f>ROUND(SQRT((H5-L5)^2+M5^2),2)</f>
        <v>240.67</v>
      </c>
    </row>
    <row r="6" spans="1:19" ht="19.5" thickBot="1" x14ac:dyDescent="0.3">
      <c r="A6" s="97">
        <f>IMREAL(J6)</f>
        <v>18.762</v>
      </c>
      <c r="B6" s="97">
        <f t="shared" ref="B6:B15" si="0">IMAGINARY(J6)</f>
        <v>6.0650000000000004</v>
      </c>
      <c r="C6" s="97">
        <f>IMREAL(K6)</f>
        <v>0.13</v>
      </c>
      <c r="D6" s="97">
        <f t="shared" ref="D6:D15" si="1">IMAGINARY(K6)</f>
        <v>2.3199999999999998</v>
      </c>
      <c r="G6" s="83">
        <v>3</v>
      </c>
      <c r="H6" s="131">
        <f>O5</f>
        <v>240.67</v>
      </c>
      <c r="I6" s="132" t="str">
        <f>'Tabl 2-5'!H15</f>
        <v>3-Б</v>
      </c>
      <c r="J6" s="83" t="str">
        <f>'Tabl 2-5'!N15</f>
        <v>18.762+6.065i</v>
      </c>
      <c r="K6" s="83" t="str">
        <f>'Tabl 2-5'!L15</f>
        <v>0.13+2.32i</v>
      </c>
      <c r="L6" s="83">
        <f>ROUND((A6*C6+B6*D6)/H6,3)</f>
        <v>6.9000000000000006E-2</v>
      </c>
      <c r="M6" s="83">
        <f t="shared" ref="M6:M15" si="2">ROUND((A6*D6-B6*C6)/H6,3)</f>
        <v>0.17799999999999999</v>
      </c>
      <c r="N6" s="83" t="s">
        <v>12</v>
      </c>
      <c r="O6" s="83">
        <f>ROUND(SQRT((H6-L6)^2+M6^2),2)</f>
        <v>240.6</v>
      </c>
    </row>
    <row r="7" spans="1:19" ht="19.5" thickBot="1" x14ac:dyDescent="0.3">
      <c r="A7" s="97">
        <f t="shared" ref="A7:A15" si="3">IMREAL(J7)</f>
        <v>148.20400000000001</v>
      </c>
      <c r="B7" s="97">
        <f t="shared" si="0"/>
        <v>63.72</v>
      </c>
      <c r="C7" s="97">
        <f t="shared" ref="C7:C15" si="4">IMREAL(K7)</f>
        <v>0.38</v>
      </c>
      <c r="D7" s="97">
        <f>IMAGINARY(K7)</f>
        <v>4.8499999999999996</v>
      </c>
      <c r="G7" s="83" t="str">
        <f>'Tabl 2-5'!H14</f>
        <v>3-А(ШВН)</v>
      </c>
      <c r="H7" s="131">
        <f>O6</f>
        <v>240.6</v>
      </c>
      <c r="I7" s="83" t="str">
        <f>'Tabl 2-5'!H14</f>
        <v>3-А(ШВН)</v>
      </c>
      <c r="J7" s="83" t="str">
        <f>'Tabl 2-5'!N14</f>
        <v>148.204+63.72i</v>
      </c>
      <c r="K7" s="83" t="str">
        <f>'Tabl 2-5'!L14</f>
        <v>0.38+4.85i</v>
      </c>
      <c r="L7" s="83">
        <f t="shared" ref="L7:L15" si="5">ROUND((A7*C7+B7*D7)/H7,3)</f>
        <v>1.5189999999999999</v>
      </c>
      <c r="M7" s="83">
        <f t="shared" si="2"/>
        <v>2.887</v>
      </c>
      <c r="N7" s="83" t="s">
        <v>11</v>
      </c>
      <c r="O7" s="83">
        <f>ROUND(SQRT((H7-L7)^2+M7^2),2)</f>
        <v>239.1</v>
      </c>
    </row>
    <row r="8" spans="1:19" ht="19.5" thickBot="1" x14ac:dyDescent="0.3">
      <c r="A8" s="97">
        <f t="shared" si="3"/>
        <v>147.87299999999999</v>
      </c>
      <c r="B8" s="97">
        <f t="shared" si="0"/>
        <v>63.04</v>
      </c>
      <c r="C8" s="97">
        <f t="shared" si="4"/>
        <v>0.26661600000000002</v>
      </c>
      <c r="D8" s="97">
        <f t="shared" si="1"/>
        <v>24.33</v>
      </c>
      <c r="G8" s="83" t="s">
        <v>279</v>
      </c>
      <c r="H8" s="83">
        <f>O7</f>
        <v>239.1</v>
      </c>
      <c r="I8" s="83" t="str">
        <f>'Tabl 2-5'!H13</f>
        <v>ШВН-0</v>
      </c>
      <c r="J8" s="83" t="str">
        <f>'Tabl 2-5'!N13</f>
        <v>147.873+63.04i</v>
      </c>
      <c r="K8" s="83" t="str">
        <f>'Tabl 2-5'!L13</f>
        <v>0.266616+24.33i</v>
      </c>
      <c r="L8" s="83">
        <f t="shared" si="5"/>
        <v>6.58</v>
      </c>
      <c r="M8" s="83">
        <f t="shared" si="2"/>
        <v>14.977</v>
      </c>
      <c r="N8" s="83">
        <v>0</v>
      </c>
      <c r="O8" s="109">
        <f>ROUND(SQRT((H8-L8)^2+M8^2),2)</f>
        <v>233</v>
      </c>
      <c r="P8" t="s">
        <v>293</v>
      </c>
    </row>
    <row r="9" spans="1:19" ht="21.75" customHeight="1" thickBot="1" x14ac:dyDescent="0.3">
      <c r="A9" s="97">
        <f t="shared" si="3"/>
        <v>16.003</v>
      </c>
      <c r="B9" s="97">
        <f t="shared" si="0"/>
        <v>4.1429999999999998</v>
      </c>
      <c r="C9" s="97">
        <f t="shared" si="4"/>
        <v>0.56789208000000002</v>
      </c>
      <c r="D9" s="97">
        <f t="shared" si="1"/>
        <v>43.38</v>
      </c>
      <c r="G9" s="83">
        <f>0</f>
        <v>0</v>
      </c>
      <c r="H9" s="83">
        <f>O7</f>
        <v>239.1</v>
      </c>
      <c r="I9" s="83" t="str">
        <f>'Tabl 2-5'!H12</f>
        <v>0-ШНН</v>
      </c>
      <c r="J9" s="83" t="str">
        <f>'Tabl 2-5'!N12</f>
        <v>16.003+4.143i</v>
      </c>
      <c r="K9" s="132" t="str">
        <f>'Tabl 2-5'!L12</f>
        <v>0.56789208+43.38i</v>
      </c>
      <c r="L9" s="83">
        <f t="shared" si="5"/>
        <v>0.79</v>
      </c>
      <c r="M9" s="83">
        <f t="shared" si="2"/>
        <v>2.8940000000000001</v>
      </c>
      <c r="N9" s="83" t="s">
        <v>281</v>
      </c>
      <c r="O9" s="109">
        <f>ROUND(SQRT((H9-L9)^2+M9^2),2)</f>
        <v>238.33</v>
      </c>
      <c r="P9" t="s">
        <v>292</v>
      </c>
    </row>
    <row r="10" spans="1:19" ht="19.5" thickBot="1" x14ac:dyDescent="0.3">
      <c r="A10" s="97">
        <f t="shared" si="3"/>
        <v>131.73599999999999</v>
      </c>
      <c r="B10" s="97">
        <f t="shared" si="0"/>
        <v>46.628999999999998</v>
      </c>
      <c r="C10" s="97">
        <f t="shared" si="4"/>
        <v>0.56789208000000002</v>
      </c>
      <c r="D10" s="97">
        <f t="shared" si="1"/>
        <v>0</v>
      </c>
      <c r="G10" s="132">
        <f>0</f>
        <v>0</v>
      </c>
      <c r="H10" s="132">
        <f>O9</f>
        <v>238.33</v>
      </c>
      <c r="I10" s="83" t="str">
        <f>'Tabl 2-5'!H11</f>
        <v>0-ШСН</v>
      </c>
      <c r="J10" s="83" t="str">
        <f>'Tabl 2-5'!N11</f>
        <v>131.736+46.629i</v>
      </c>
      <c r="K10" s="132" t="str">
        <f>'Tabl 2-5'!L11</f>
        <v>0.56789208</v>
      </c>
      <c r="L10" s="83">
        <f>ROUND((A10*C10+B10*D10)/H10,3)</f>
        <v>0.314</v>
      </c>
      <c r="M10" s="83">
        <f>ROUND((A10*D10-B10*C10)/H10,3)</f>
        <v>-0.111</v>
      </c>
      <c r="N10" s="83" t="s">
        <v>280</v>
      </c>
      <c r="O10" s="132">
        <f>ROUND(SQRT((H10-L10)^2+M10^2),2)</f>
        <v>238.02</v>
      </c>
    </row>
    <row r="11" spans="1:19" ht="19.5" thickBot="1" x14ac:dyDescent="0.3">
      <c r="A11" s="97">
        <f t="shared" si="3"/>
        <v>34.514000000000003</v>
      </c>
      <c r="B11" s="97">
        <f t="shared" si="0"/>
        <v>13.829000000000001</v>
      </c>
      <c r="C11" s="97">
        <f t="shared" si="4"/>
        <v>0.33</v>
      </c>
      <c r="D11" s="97">
        <f t="shared" si="1"/>
        <v>3.97</v>
      </c>
      <c r="G11" s="223" t="s">
        <v>319</v>
      </c>
      <c r="H11" s="223">
        <f>O10</f>
        <v>238.02</v>
      </c>
      <c r="I11" s="223" t="str">
        <f>'Tabl 2-5'!H10</f>
        <v>ВП1-Г</v>
      </c>
      <c r="J11" s="223" t="str">
        <f>'Tabl 2-5'!N10</f>
        <v>34.514+13.829i</v>
      </c>
      <c r="K11" s="223" t="str">
        <f>'Tabl 2-5'!L10</f>
        <v>0.33+3.97i</v>
      </c>
      <c r="L11" s="223">
        <f t="shared" si="5"/>
        <v>0.27900000000000003</v>
      </c>
      <c r="M11" s="223">
        <f t="shared" si="2"/>
        <v>0.55600000000000005</v>
      </c>
      <c r="N11" s="223" t="s">
        <v>14</v>
      </c>
      <c r="O11" s="224">
        <f>ROUND(SQRT((H11-L11)^2+M11^2),2)</f>
        <v>237.74</v>
      </c>
    </row>
    <row r="12" spans="1:19" ht="19.5" thickBot="1" x14ac:dyDescent="0.3">
      <c r="A12" s="97">
        <f t="shared" si="3"/>
        <v>2.7120000000000002</v>
      </c>
      <c r="B12" s="97">
        <f t="shared" si="0"/>
        <v>2.46</v>
      </c>
      <c r="C12" s="97">
        <f t="shared" si="4"/>
        <v>2.87</v>
      </c>
      <c r="D12" s="97">
        <f t="shared" si="1"/>
        <v>6.09</v>
      </c>
      <c r="G12" s="223" t="s">
        <v>14</v>
      </c>
      <c r="H12" s="223">
        <f>O10</f>
        <v>238.02</v>
      </c>
      <c r="I12" s="223" t="str">
        <f>'Tabl 2-5'!H9</f>
        <v>Г-Е//</v>
      </c>
      <c r="J12" s="223" t="str">
        <f>'Tabl 2-5'!N9</f>
        <v>2.712+2.46i</v>
      </c>
      <c r="K12" s="223" t="str">
        <f>'Tabl 2-5'!L9</f>
        <v>2.87+6.09i</v>
      </c>
      <c r="L12" s="223">
        <f t="shared" si="5"/>
        <v>9.6000000000000002E-2</v>
      </c>
      <c r="M12" s="223">
        <f t="shared" si="2"/>
        <v>0.04</v>
      </c>
      <c r="N12" s="223" t="s">
        <v>316</v>
      </c>
      <c r="O12" s="224">
        <f t="shared" ref="O11:O15" si="6">ROUND(SQRT((H12-L12)^2+M12^2),2)</f>
        <v>237.92</v>
      </c>
      <c r="S12" s="225" t="s">
        <v>321</v>
      </c>
    </row>
    <row r="13" spans="1:19" ht="19.5" thickBot="1" x14ac:dyDescent="0.3">
      <c r="A13" s="97">
        <f t="shared" si="3"/>
        <v>34.994999999999997</v>
      </c>
      <c r="B13" s="97">
        <f t="shared" si="0"/>
        <v>12.054</v>
      </c>
      <c r="C13" s="97">
        <f t="shared" si="4"/>
        <v>1.43</v>
      </c>
      <c r="D13" s="97">
        <f t="shared" si="1"/>
        <v>4.82</v>
      </c>
      <c r="G13" s="223" t="s">
        <v>318</v>
      </c>
      <c r="H13" s="223">
        <f>O9</f>
        <v>238.33</v>
      </c>
      <c r="I13" s="223" t="str">
        <f>'Tabl 2-5'!H8</f>
        <v>ВП2-Е/</v>
      </c>
      <c r="J13" s="223" t="str">
        <f>'Tabl 2-5'!N8</f>
        <v>34.995+12.054i</v>
      </c>
      <c r="K13" s="223" t="str">
        <f>'Tabl 2-5'!L8</f>
        <v>1.43+4.82i</v>
      </c>
      <c r="L13" s="223">
        <f t="shared" si="5"/>
        <v>0.45400000000000001</v>
      </c>
      <c r="M13" s="223">
        <f t="shared" si="2"/>
        <v>0.63500000000000001</v>
      </c>
      <c r="N13" s="223" t="s">
        <v>320</v>
      </c>
      <c r="O13" s="223">
        <f t="shared" si="6"/>
        <v>237.88</v>
      </c>
      <c r="S13" s="225">
        <f>1.05*'РОЗДІЛ 2'!B15</f>
        <v>241.5</v>
      </c>
    </row>
    <row r="14" spans="1:19" ht="19.5" thickBot="1" x14ac:dyDescent="0.3">
      <c r="A14" s="97">
        <f t="shared" si="3"/>
        <v>34.947000000000003</v>
      </c>
      <c r="B14" s="97">
        <f t="shared" si="0"/>
        <v>11.837999999999999</v>
      </c>
      <c r="C14" s="97">
        <f t="shared" si="4"/>
        <v>0.94</v>
      </c>
      <c r="D14" s="97">
        <f t="shared" si="1"/>
        <v>3.16</v>
      </c>
      <c r="G14" s="223" t="s">
        <v>318</v>
      </c>
      <c r="H14" s="223">
        <f>O13</f>
        <v>237.88</v>
      </c>
      <c r="I14" s="223" t="str">
        <f>'Tabl 2-5'!H7</f>
        <v>ВП2-Д</v>
      </c>
      <c r="J14" s="223" t="str">
        <f>'Tabl 2-5'!N7</f>
        <v>34.947+11.838i</v>
      </c>
      <c r="K14" s="223" t="str">
        <f>'Tabl 2-5'!L7</f>
        <v>0.94+3.16i</v>
      </c>
      <c r="L14" s="223">
        <f t="shared" si="5"/>
        <v>0.29499999999999998</v>
      </c>
      <c r="M14" s="223">
        <f t="shared" si="2"/>
        <v>0.41699999999999998</v>
      </c>
      <c r="N14" s="223" t="s">
        <v>15</v>
      </c>
      <c r="O14" s="224">
        <f t="shared" si="6"/>
        <v>237.59</v>
      </c>
      <c r="S14" s="225"/>
    </row>
    <row r="15" spans="1:19" ht="19.5" thickBot="1" x14ac:dyDescent="0.3">
      <c r="A15" s="97">
        <f t="shared" si="3"/>
        <v>7.9329999999999998</v>
      </c>
      <c r="B15" s="97">
        <f t="shared" si="0"/>
        <v>1.94</v>
      </c>
      <c r="C15" s="97">
        <f t="shared" si="4"/>
        <v>1.1100000000000001</v>
      </c>
      <c r="D15" s="97">
        <f t="shared" si="1"/>
        <v>2.35</v>
      </c>
      <c r="G15" s="223" t="s">
        <v>15</v>
      </c>
      <c r="H15" s="223">
        <f>O13</f>
        <v>237.88</v>
      </c>
      <c r="I15" s="223" t="str">
        <f>'Tabl 2-5'!H6</f>
        <v>Д-В//</v>
      </c>
      <c r="J15" s="223" t="str">
        <f>'Tabl 2-5'!N6</f>
        <v>7.933+1.94i</v>
      </c>
      <c r="K15" s="223" t="str">
        <f>'Tabl 2-5'!L6</f>
        <v>1.11+2.35i</v>
      </c>
      <c r="L15" s="223">
        <f t="shared" si="5"/>
        <v>5.6000000000000001E-2</v>
      </c>
      <c r="M15" s="223">
        <f t="shared" si="2"/>
        <v>6.9000000000000006E-2</v>
      </c>
      <c r="N15" s="223" t="s">
        <v>313</v>
      </c>
      <c r="O15" s="224">
        <f t="shared" si="6"/>
        <v>237.82</v>
      </c>
      <c r="S15" s="225">
        <f>ROUND(S13*N22/O9,3)</f>
        <v>0</v>
      </c>
    </row>
    <row r="16" spans="1:19" ht="19.5" thickBot="1" x14ac:dyDescent="0.3">
      <c r="G16" s="223" t="s">
        <v>319</v>
      </c>
      <c r="H16" s="223">
        <f>O14</f>
        <v>237.59</v>
      </c>
      <c r="I16" s="223" t="str">
        <f>'Tabl 2-5'!H5</f>
        <v>ВП1-В/</v>
      </c>
      <c r="J16" s="223" t="str">
        <f>'Tabl 2-5'!N5</f>
        <v>27.052+9.588i</v>
      </c>
      <c r="K16" s="223" t="str">
        <f>'Tabl 2-5'!L5</f>
        <v>1.42+4.78i</v>
      </c>
      <c r="L16" s="223">
        <f t="shared" ref="L16" si="7">ROUND((A16*C16+B16*D16)/H16,3)</f>
        <v>0</v>
      </c>
      <c r="M16" s="223">
        <f t="shared" ref="M16" si="8">ROUND((A16*D16-B16*C16)/H16,3)</f>
        <v>0</v>
      </c>
      <c r="N16" s="223" t="s">
        <v>314</v>
      </c>
      <c r="O16" s="224">
        <f t="shared" ref="O16" si="9">ROUND(SQRT((H16-L16)^2+M16^2),2)</f>
        <v>237.59</v>
      </c>
      <c r="S16" s="225"/>
    </row>
    <row r="17" spans="1:21" x14ac:dyDescent="0.25">
      <c r="G17" s="108" t="s">
        <v>291</v>
      </c>
      <c r="Q17" t="s">
        <v>322</v>
      </c>
      <c r="R17">
        <v>38.5</v>
      </c>
      <c r="S17" s="225">
        <f>D19/100*R17</f>
        <v>0.96250000000000002</v>
      </c>
      <c r="T17" t="s">
        <v>323</v>
      </c>
    </row>
    <row r="18" spans="1:21" x14ac:dyDescent="0.25">
      <c r="A18" t="s">
        <v>324</v>
      </c>
      <c r="B18" t="s">
        <v>325</v>
      </c>
      <c r="C18">
        <v>9</v>
      </c>
      <c r="D18">
        <v>1.78</v>
      </c>
      <c r="F18" t="s">
        <v>326</v>
      </c>
      <c r="S18" s="225"/>
    </row>
    <row r="19" spans="1:21" ht="15.75" thickBot="1" x14ac:dyDescent="0.3">
      <c r="A19" t="s">
        <v>327</v>
      </c>
      <c r="B19" t="s">
        <v>328</v>
      </c>
      <c r="C19">
        <v>2</v>
      </c>
      <c r="D19">
        <v>2.5</v>
      </c>
      <c r="F19" t="s">
        <v>328</v>
      </c>
      <c r="I19" t="s">
        <v>290</v>
      </c>
      <c r="S19" s="225">
        <f>ROUND((S15-R17)/S17,2)</f>
        <v>-40</v>
      </c>
    </row>
    <row r="20" spans="1:21" ht="18.75" x14ac:dyDescent="0.25">
      <c r="G20" s="139" t="s">
        <v>289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67"/>
      <c r="M20" s="167"/>
      <c r="N20" s="70" t="s">
        <v>230</v>
      </c>
      <c r="O20" s="70" t="s">
        <v>230</v>
      </c>
      <c r="P20" s="70" t="s">
        <v>230</v>
      </c>
      <c r="S20" s="225"/>
    </row>
    <row r="21" spans="1:21" ht="19.5" thickBot="1" x14ac:dyDescent="0.3">
      <c r="G21" s="141"/>
      <c r="H21" s="33" t="s">
        <v>9</v>
      </c>
      <c r="I21" s="33" t="s">
        <v>9</v>
      </c>
      <c r="J21" s="33" t="s">
        <v>9</v>
      </c>
      <c r="K21" s="33" t="s">
        <v>9</v>
      </c>
      <c r="L21" s="168"/>
      <c r="M21" s="168"/>
      <c r="N21" s="33" t="s">
        <v>9</v>
      </c>
      <c r="O21" s="33" t="s">
        <v>9</v>
      </c>
      <c r="P21" s="33" t="s">
        <v>265</v>
      </c>
      <c r="S21" s="225">
        <v>0</v>
      </c>
    </row>
    <row r="22" spans="1:21" ht="19.5" thickBot="1" x14ac:dyDescent="0.3">
      <c r="C22" s="4"/>
      <c r="D22" s="4"/>
      <c r="E22" s="4">
        <f>'Табл1-1  1-2'!F4</f>
        <v>6</v>
      </c>
      <c r="F22" s="4"/>
      <c r="G22" s="83" t="s">
        <v>11</v>
      </c>
      <c r="H22" s="64">
        <f>O11</f>
        <v>237.74</v>
      </c>
      <c r="I22" s="64"/>
      <c r="J22" s="64">
        <f>1.05*E22</f>
        <v>6.3000000000000007</v>
      </c>
      <c r="K22" s="64"/>
      <c r="L22" s="64"/>
      <c r="M22" s="64"/>
      <c r="N22" s="64"/>
      <c r="O22" s="64"/>
      <c r="P22" s="64"/>
      <c r="Q22">
        <f>D18/2</f>
        <v>0.89</v>
      </c>
      <c r="S22" s="225"/>
    </row>
    <row r="23" spans="1:21" ht="19.5" thickBot="1" x14ac:dyDescent="0.3">
      <c r="C23" s="4"/>
      <c r="D23" s="4"/>
      <c r="E23" s="4">
        <f>'Табл1-1  1-2'!F5</f>
        <v>10</v>
      </c>
      <c r="F23" s="4"/>
      <c r="G23" s="132" t="s">
        <v>12</v>
      </c>
      <c r="H23" s="64">
        <f>O5</f>
        <v>240.67</v>
      </c>
      <c r="I23" s="64"/>
      <c r="J23" s="64">
        <f>1.05*E23</f>
        <v>10.5</v>
      </c>
      <c r="K23" s="64"/>
      <c r="L23" s="64"/>
      <c r="M23" s="64"/>
      <c r="N23" s="64"/>
      <c r="O23" s="64"/>
      <c r="P23" s="64"/>
      <c r="Q23">
        <f>D23/2</f>
        <v>0</v>
      </c>
      <c r="S23" s="225">
        <f>R17+S21*S17</f>
        <v>38.5</v>
      </c>
    </row>
    <row r="24" spans="1:21" ht="19.5" thickBot="1" x14ac:dyDescent="0.3">
      <c r="C24" s="4"/>
      <c r="D24" s="4"/>
      <c r="E24" s="4">
        <f>'Табл1-1  1-2'!F6</f>
        <v>10</v>
      </c>
      <c r="F24" s="4"/>
      <c r="G24" s="132" t="s">
        <v>13</v>
      </c>
      <c r="H24" s="64">
        <f>O14</f>
        <v>237.59</v>
      </c>
      <c r="I24" s="64"/>
      <c r="J24" s="64">
        <f>1.05*E24</f>
        <v>10.5</v>
      </c>
      <c r="K24" s="64"/>
      <c r="L24" s="64"/>
      <c r="M24" s="64"/>
      <c r="N24" s="64"/>
      <c r="O24" s="64"/>
      <c r="P24" s="64"/>
      <c r="Q24">
        <f t="shared" ref="Q24:Q27" si="10">D24/2</f>
        <v>0</v>
      </c>
      <c r="S24" s="225"/>
    </row>
    <row r="25" spans="1:21" ht="19.5" thickBot="1" x14ac:dyDescent="0.3">
      <c r="C25" s="4"/>
      <c r="D25" s="4"/>
      <c r="E25" s="4">
        <f>'Табл1-1  1-2'!F7</f>
        <v>10</v>
      </c>
      <c r="F25" s="4"/>
      <c r="G25" s="132" t="s">
        <v>14</v>
      </c>
      <c r="H25" s="64">
        <f>O12</f>
        <v>237.92</v>
      </c>
      <c r="I25" s="64"/>
      <c r="J25" s="64">
        <f>1.05*E25</f>
        <v>10.5</v>
      </c>
      <c r="K25" s="64"/>
      <c r="L25" s="64"/>
      <c r="M25" s="64"/>
      <c r="N25" s="64"/>
      <c r="O25" s="64"/>
      <c r="P25" s="64"/>
      <c r="Q25">
        <f t="shared" si="10"/>
        <v>0</v>
      </c>
      <c r="S25" s="226" t="e">
        <f>O9*S23/N22</f>
        <v>#DIV/0!</v>
      </c>
    </row>
    <row r="26" spans="1:21" ht="19.5" thickBot="1" x14ac:dyDescent="0.3">
      <c r="C26" s="4"/>
      <c r="D26" s="4"/>
      <c r="E26" s="4">
        <f>'Табл1-1  1-2'!F8</f>
        <v>6</v>
      </c>
      <c r="F26" s="4"/>
      <c r="G26" s="132" t="s">
        <v>15</v>
      </c>
      <c r="H26" s="64">
        <f>O15</f>
        <v>237.82</v>
      </c>
      <c r="I26" s="64"/>
      <c r="J26" s="64">
        <f>1.05*E26</f>
        <v>6.3000000000000007</v>
      </c>
      <c r="K26" s="64"/>
      <c r="L26" s="64"/>
      <c r="M26" s="64"/>
      <c r="N26" s="64"/>
      <c r="O26" s="64"/>
      <c r="P26" s="64"/>
      <c r="Q26">
        <f t="shared" si="10"/>
        <v>0</v>
      </c>
      <c r="S26" s="225"/>
    </row>
    <row r="27" spans="1:21" ht="19.5" thickBot="1" x14ac:dyDescent="0.3">
      <c r="C27" s="4"/>
      <c r="D27" s="4"/>
      <c r="E27" s="4">
        <f>'Табл1-1  1-2'!F9</f>
        <v>6</v>
      </c>
      <c r="F27" s="4"/>
      <c r="G27" s="132" t="s">
        <v>16</v>
      </c>
      <c r="H27" s="64">
        <f>O16</f>
        <v>237.59</v>
      </c>
      <c r="I27" s="64"/>
      <c r="J27" s="64">
        <f>1.05*E27</f>
        <v>6.3000000000000007</v>
      </c>
      <c r="K27" s="64"/>
      <c r="L27" s="64"/>
      <c r="M27" s="64"/>
      <c r="N27" s="64"/>
      <c r="O27" s="64"/>
      <c r="P27" s="64"/>
      <c r="Q27">
        <f t="shared" si="10"/>
        <v>0</v>
      </c>
      <c r="S27" s="227" t="e">
        <f>ROUND(1*ABS((S13-S25)/S13*100),2)</f>
        <v>#DIV/0!</v>
      </c>
      <c r="T27" t="s">
        <v>329</v>
      </c>
      <c r="U27">
        <f>D19/2</f>
        <v>1.25</v>
      </c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6865" r:id="rId4">
          <objectPr defaultSize="0" autoPict="0" r:id="rId5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4"/>
      </mc:Fallback>
    </mc:AlternateContent>
    <mc:AlternateContent xmlns:mc="http://schemas.openxmlformats.org/markup-compatibility/2006">
      <mc:Choice Requires="x14">
        <oleObject progId="Equation.3" shapeId="36866" r:id="rId6">
          <objectPr defaultSize="0" autoPict="0" r:id="rId7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6"/>
      </mc:Fallback>
    </mc:AlternateContent>
    <mc:AlternateContent xmlns:mc="http://schemas.openxmlformats.org/markup-compatibility/2006">
      <mc:Choice Requires="x14">
        <oleObject progId="Equation.3" shapeId="36867" r:id="rId8">
          <objectPr defaultSize="0" autoPict="0" r:id="rId9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8"/>
      </mc:Fallback>
    </mc:AlternateContent>
    <mc:AlternateContent xmlns:mc="http://schemas.openxmlformats.org/markup-compatibility/2006">
      <mc:Choice Requires="x14">
        <oleObject progId="Equation.3" shapeId="36868" r:id="rId10">
          <objectPr defaultSize="0" autoPict="0" r:id="rId11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10"/>
      </mc:Fallback>
    </mc:AlternateContent>
    <mc:AlternateContent xmlns:mc="http://schemas.openxmlformats.org/markup-compatibility/2006">
      <mc:Choice Requires="x14">
        <oleObject progId="Equation.3" shapeId="36869" r:id="rId12">
          <objectPr defaultSize="0" autoPict="0" r:id="rId13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2"/>
      </mc:Fallback>
    </mc:AlternateContent>
    <mc:AlternateContent xmlns:mc="http://schemas.openxmlformats.org/markup-compatibility/2006">
      <mc:Choice Requires="x14">
        <oleObject progId="Equation.3" shapeId="36870" r:id="rId14">
          <objectPr defaultSize="0" autoPict="0" r:id="rId15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4"/>
      </mc:Fallback>
    </mc:AlternateContent>
    <mc:AlternateContent xmlns:mc="http://schemas.openxmlformats.org/markup-compatibility/2006">
      <mc:Choice Requires="x14">
        <oleObject progId="Equation.3" shapeId="36871" r:id="rId16">
          <objectPr defaultSize="0" autoPict="0" r:id="rId17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6"/>
      </mc:Fallback>
    </mc:AlternateContent>
    <mc:AlternateContent xmlns:mc="http://schemas.openxmlformats.org/markup-compatibility/2006">
      <mc:Choice Requires="x14">
        <oleObject progId="Equation.3" shapeId="36872" r:id="rId18">
          <objectPr defaultSize="0" autoPict="0" r:id="rId19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8"/>
      </mc:Fallback>
    </mc:AlternateContent>
    <mc:AlternateContent xmlns:mc="http://schemas.openxmlformats.org/markup-compatibility/2006">
      <mc:Choice Requires="x14">
        <oleObject progId="Equation.3" shapeId="36873" r:id="rId20">
          <objectPr defaultSize="0" autoPict="0" r:id="rId21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20"/>
      </mc:Fallback>
    </mc:AlternateContent>
    <mc:AlternateContent xmlns:mc="http://schemas.openxmlformats.org/markup-compatibility/2006">
      <mc:Choice Requires="x14">
        <oleObject progId="Equation.3" shapeId="36874" r:id="rId22">
          <objectPr defaultSize="0" autoPict="0" r:id="rId23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2"/>
      </mc:Fallback>
    </mc:AlternateContent>
    <mc:AlternateContent xmlns:mc="http://schemas.openxmlformats.org/markup-compatibility/2006">
      <mc:Choice Requires="x14">
        <oleObject progId="Equation.3" shapeId="36875" r:id="rId24">
          <objectPr defaultSize="0" autoPict="0" r:id="rId25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4"/>
      </mc:Fallback>
    </mc:AlternateContent>
    <mc:AlternateContent xmlns:mc="http://schemas.openxmlformats.org/markup-compatibility/2006">
      <mc:Choice Requires="x14">
        <oleObject progId="Equation.3" shapeId="36876" r:id="rId26">
          <objectPr defaultSize="0" autoPict="0" r:id="rId27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6"/>
      </mc:Fallback>
    </mc:AlternateContent>
    <mc:AlternateContent xmlns:mc="http://schemas.openxmlformats.org/markup-compatibility/2006">
      <mc:Choice Requires="x14">
        <oleObject progId="Equation.3" shapeId="36877" r:id="rId28">
          <objectPr defaultSize="0" autoPict="0" r:id="rId29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8"/>
      </mc:Fallback>
    </mc:AlternateContent>
    <mc:AlternateContent xmlns:mc="http://schemas.openxmlformats.org/markup-compatibility/2006">
      <mc:Choice Requires="x14">
        <oleObject progId="Equation.3" shapeId="36878" r:id="rId30">
          <objectPr defaultSize="0" autoPict="0" r:id="rId31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3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34" t="s">
        <v>48</v>
      </c>
      <c r="D3" s="136" t="s">
        <v>49</v>
      </c>
      <c r="E3" s="137"/>
      <c r="F3" s="137"/>
      <c r="G3" s="137"/>
      <c r="H3" s="138"/>
      <c r="I3" s="136" t="s">
        <v>50</v>
      </c>
      <c r="J3" s="137"/>
      <c r="K3" s="137"/>
      <c r="L3" s="137"/>
      <c r="M3" s="138"/>
    </row>
    <row r="4" spans="3:13" ht="16.5" thickBot="1" x14ac:dyDescent="0.3">
      <c r="C4" s="13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M14" sqref="M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39" t="s">
        <v>107</v>
      </c>
      <c r="D2" s="139" t="s">
        <v>106</v>
      </c>
      <c r="E2" s="139" t="s">
        <v>105</v>
      </c>
      <c r="F2" s="34" t="s">
        <v>104</v>
      </c>
      <c r="G2" s="34" t="s">
        <v>103</v>
      </c>
      <c r="H2" s="34" t="s">
        <v>102</v>
      </c>
      <c r="I2" s="142" t="s">
        <v>87</v>
      </c>
      <c r="J2" s="144" t="s">
        <v>101</v>
      </c>
      <c r="K2" s="34" t="s">
        <v>100</v>
      </c>
      <c r="L2" s="139" t="s">
        <v>99</v>
      </c>
      <c r="M2" s="139" t="s">
        <v>133</v>
      </c>
      <c r="N2" s="35">
        <v>0.8</v>
      </c>
      <c r="O2" t="s">
        <v>98</v>
      </c>
    </row>
    <row r="3" spans="1:15" ht="23.25" thickBot="1" x14ac:dyDescent="0.3">
      <c r="C3" s="141"/>
      <c r="D3" s="140"/>
      <c r="E3" s="140"/>
      <c r="F3" s="44" t="s">
        <v>97</v>
      </c>
      <c r="G3" s="44" t="s">
        <v>97</v>
      </c>
      <c r="H3" s="44" t="s">
        <v>9</v>
      </c>
      <c r="I3" s="143"/>
      <c r="J3" s="145"/>
      <c r="K3" s="44" t="s">
        <v>96</v>
      </c>
      <c r="L3" s="140"/>
      <c r="M3" s="140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46" t="s">
        <v>19</v>
      </c>
      <c r="D4" s="150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47"/>
      <c r="D5" s="151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47"/>
      <c r="D6" s="152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48"/>
      <c r="D7" s="140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49"/>
      <c r="D8" s="149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39" t="s">
        <v>20</v>
      </c>
      <c r="D9" s="139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48"/>
      <c r="D10" s="148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48"/>
      <c r="D11" s="149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48"/>
      <c r="D12" s="139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48"/>
      <c r="D13" s="148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150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49"/>
      <c r="D14" s="149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39"/>
      <c r="D15" s="139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48"/>
      <c r="D16" s="148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49"/>
      <c r="D17" s="149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53" t="s">
        <v>116</v>
      </c>
      <c r="D3" s="153" t="s">
        <v>115</v>
      </c>
      <c r="E3" s="153"/>
      <c r="F3" s="153" t="s">
        <v>114</v>
      </c>
      <c r="G3" s="153"/>
    </row>
    <row r="4" spans="3:7" ht="32.25" thickBot="1" x14ac:dyDescent="0.3">
      <c r="C4" s="153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9" zoomScaleNormal="100" workbookViewId="0">
      <selection activeCell="H25" sqref="H25:I2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7" t="s">
        <v>107</v>
      </c>
      <c r="D3" s="55" t="s">
        <v>145</v>
      </c>
      <c r="E3" s="157" t="s">
        <v>105</v>
      </c>
      <c r="F3" s="157" t="s">
        <v>116</v>
      </c>
      <c r="G3" s="155" t="s">
        <v>162</v>
      </c>
      <c r="H3" s="157" t="s">
        <v>167</v>
      </c>
      <c r="I3" s="157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7"/>
      <c r="D4" s="55" t="s">
        <v>146</v>
      </c>
      <c r="E4" s="157"/>
      <c r="F4" s="157"/>
      <c r="G4" s="156"/>
      <c r="H4" s="157"/>
      <c r="I4" s="157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55" t="s">
        <v>19</v>
      </c>
      <c r="D5" s="157" t="s">
        <v>154</v>
      </c>
      <c r="E5" s="157" t="s">
        <v>137</v>
      </c>
      <c r="F5" s="157"/>
      <c r="G5" s="157"/>
      <c r="H5" s="157"/>
      <c r="I5" s="157"/>
      <c r="J5" s="157"/>
      <c r="K5" s="157"/>
      <c r="L5" s="157"/>
      <c r="M5" s="157"/>
    </row>
    <row r="6" spans="3:14" ht="18.75" x14ac:dyDescent="0.3">
      <c r="C6" s="162"/>
      <c r="D6" s="158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62"/>
      <c r="D7" s="158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62"/>
      <c r="D8" s="158"/>
      <c r="E8" s="159" t="s">
        <v>157</v>
      </c>
      <c r="F8" s="160"/>
      <c r="G8" s="160"/>
      <c r="H8" s="160"/>
      <c r="I8" s="160"/>
      <c r="J8" s="160"/>
      <c r="K8" s="160"/>
      <c r="L8" s="161"/>
      <c r="M8" s="59">
        <f>M6+M7</f>
        <v>1.8504872727272728</v>
      </c>
    </row>
    <row r="9" spans="3:14" ht="18.75" x14ac:dyDescent="0.25">
      <c r="C9" s="162"/>
      <c r="D9" s="158"/>
      <c r="E9" s="159" t="str">
        <f>нагрів!D7</f>
        <v>відключення ВП-Д</v>
      </c>
      <c r="F9" s="160"/>
      <c r="G9" s="160"/>
      <c r="H9" s="160"/>
      <c r="I9" s="160"/>
      <c r="J9" s="160"/>
      <c r="K9" s="160"/>
      <c r="L9" s="160"/>
      <c r="M9" s="161"/>
    </row>
    <row r="10" spans="3:14" ht="19.5" customHeight="1" x14ac:dyDescent="0.25">
      <c r="C10" s="162"/>
      <c r="D10" s="158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62"/>
      <c r="D11" s="158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62"/>
      <c r="D12" s="158"/>
      <c r="E12" s="159" t="s">
        <v>158</v>
      </c>
      <c r="F12" s="160"/>
      <c r="G12" s="160"/>
      <c r="H12" s="160"/>
      <c r="I12" s="160"/>
      <c r="J12" s="160"/>
      <c r="K12" s="160"/>
      <c r="L12" s="161"/>
      <c r="M12" s="59">
        <f>M10+M11</f>
        <v>2.6022927272727272</v>
      </c>
    </row>
    <row r="13" spans="3:14" ht="18.75" x14ac:dyDescent="0.25">
      <c r="C13" s="162"/>
      <c r="D13" s="155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62"/>
      <c r="D14" s="162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63"/>
      <c r="D15" s="163"/>
      <c r="E15" s="159" t="s">
        <v>159</v>
      </c>
      <c r="F15" s="160"/>
      <c r="G15" s="160"/>
      <c r="H15" s="160"/>
      <c r="I15" s="160"/>
      <c r="J15" s="160"/>
      <c r="K15" s="160"/>
      <c r="L15" s="161"/>
      <c r="M15" s="59">
        <f>M13+M14</f>
        <v>2.2285745454545456</v>
      </c>
    </row>
    <row r="16" spans="3:14" ht="19.5" customHeight="1" x14ac:dyDescent="0.25">
      <c r="C16" s="157" t="s">
        <v>20</v>
      </c>
      <c r="D16" s="157" t="s">
        <v>154</v>
      </c>
      <c r="E16" s="159" t="s">
        <v>141</v>
      </c>
      <c r="F16" s="160"/>
      <c r="G16" s="160"/>
      <c r="H16" s="160"/>
      <c r="I16" s="160"/>
      <c r="J16" s="160"/>
      <c r="K16" s="160"/>
      <c r="L16" s="160"/>
      <c r="M16" s="161"/>
    </row>
    <row r="17" spans="3:14" ht="18.75" x14ac:dyDescent="0.25">
      <c r="C17" s="157"/>
      <c r="D17" s="158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7"/>
      <c r="D18" s="158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7"/>
      <c r="D19" s="158"/>
      <c r="E19" s="159" t="s">
        <v>160</v>
      </c>
      <c r="F19" s="160"/>
      <c r="G19" s="160"/>
      <c r="H19" s="160"/>
      <c r="I19" s="160"/>
      <c r="J19" s="160"/>
      <c r="K19" s="160"/>
      <c r="L19" s="161"/>
      <c r="M19" s="59">
        <f>M17+M18</f>
        <v>1.8346254545454546</v>
      </c>
    </row>
    <row r="20" spans="3:14" ht="19.350000000000001" customHeight="1" x14ac:dyDescent="0.25">
      <c r="C20" s="157"/>
      <c r="D20" s="158"/>
      <c r="E20" s="159" t="s">
        <v>140</v>
      </c>
      <c r="F20" s="160"/>
      <c r="G20" s="160"/>
      <c r="H20" s="160"/>
      <c r="I20" s="160"/>
      <c r="J20" s="160"/>
      <c r="K20" s="160"/>
      <c r="L20" s="160"/>
      <c r="M20" s="161"/>
    </row>
    <row r="21" spans="3:14" ht="18.75" x14ac:dyDescent="0.25">
      <c r="C21" s="157"/>
      <c r="D21" s="158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7"/>
      <c r="D22" s="158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7"/>
      <c r="D23" s="158"/>
      <c r="E23" s="159" t="s">
        <v>161</v>
      </c>
      <c r="F23" s="160"/>
      <c r="G23" s="160"/>
      <c r="H23" s="160"/>
      <c r="I23" s="160"/>
      <c r="J23" s="160"/>
      <c r="K23" s="160"/>
      <c r="L23" s="161"/>
      <c r="M23" s="59">
        <f>M21+M22</f>
        <v>2.3726354545454549</v>
      </c>
    </row>
    <row r="24" spans="3:14" ht="18.75" x14ac:dyDescent="0.25">
      <c r="C24" s="157"/>
      <c r="D24" s="157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7"/>
      <c r="D25" s="157"/>
      <c r="E25" s="55" t="str">
        <f>нагрів!D19</f>
        <v>Г-2</v>
      </c>
      <c r="F25" s="121" t="str">
        <f>нагрів!I19</f>
        <v>АС-150/34</v>
      </c>
      <c r="G25" s="55">
        <f>'Таблиця 1-4'!E12</f>
        <v>7.2</v>
      </c>
      <c r="H25" s="60">
        <v>0.19800000000000001</v>
      </c>
      <c r="I25" s="59">
        <v>0.42</v>
      </c>
      <c r="J25" s="55">
        <f>H25*G25</f>
        <v>1.4256000000000002</v>
      </c>
      <c r="K25" s="55">
        <f>I25*G25</f>
        <v>3.024</v>
      </c>
      <c r="L25" s="55" t="str">
        <f>нагрів!E19</f>
        <v>32+15.5i</v>
      </c>
      <c r="M25" s="59">
        <f t="shared" ref="M25:M26" si="0">(IMREAL(L25)*J25+IMAGINARY(L25)*K25)/$N$6</f>
        <v>1219.1142109090906</v>
      </c>
    </row>
    <row r="26" spans="3:14" ht="18.75" x14ac:dyDescent="0.25">
      <c r="C26" s="157"/>
      <c r="D26" s="157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7"/>
      <c r="D27" s="157"/>
      <c r="E27" s="159" t="s">
        <v>161</v>
      </c>
      <c r="F27" s="160"/>
      <c r="G27" s="160"/>
      <c r="H27" s="160"/>
      <c r="I27" s="160"/>
      <c r="J27" s="160"/>
      <c r="K27" s="160"/>
      <c r="L27" s="161"/>
      <c r="M27" s="59">
        <f>M26</f>
        <v>1.0616454545454546</v>
      </c>
    </row>
    <row r="28" spans="3:14" ht="18.75" x14ac:dyDescent="0.25">
      <c r="C28" s="157"/>
      <c r="D28" s="157"/>
      <c r="E28" s="159" t="s">
        <v>160</v>
      </c>
      <c r="F28" s="160"/>
      <c r="G28" s="160"/>
      <c r="H28" s="160"/>
      <c r="I28" s="160"/>
      <c r="J28" s="160"/>
      <c r="K28" s="160"/>
      <c r="L28" s="161"/>
      <c r="M28" s="59">
        <f>M24+M25</f>
        <v>1219.8721990909089</v>
      </c>
    </row>
    <row r="29" spans="3:14" ht="18.75" x14ac:dyDescent="0.25">
      <c r="C29" s="157" t="s">
        <v>150</v>
      </c>
      <c r="D29" s="155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7"/>
      <c r="D30" s="164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7"/>
      <c r="D31" s="165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54" t="s">
        <v>165</v>
      </c>
      <c r="D32" s="154"/>
      <c r="E32" s="154"/>
      <c r="F32" s="154"/>
      <c r="G32" s="154"/>
      <c r="H32" s="154"/>
      <c r="I32" s="154"/>
      <c r="J32" s="154"/>
      <c r="K32" s="154"/>
      <c r="L32" s="154"/>
      <c r="M32" s="59">
        <f>M29+M30</f>
        <v>9.2161288181818186</v>
      </c>
    </row>
    <row r="33" spans="3:14" ht="18.75" x14ac:dyDescent="0.25">
      <c r="C33" s="154" t="s">
        <v>166</v>
      </c>
      <c r="D33" s="154"/>
      <c r="E33" s="154"/>
      <c r="F33" s="154"/>
      <c r="G33" s="154"/>
      <c r="H33" s="154"/>
      <c r="I33" s="154"/>
      <c r="J33" s="154"/>
      <c r="K33" s="154"/>
      <c r="L33" s="154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Table 2-4</vt:lpstr>
      <vt:lpstr>пункт2.2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2021-05-22T22:16:39Z</dcterms:modified>
</cp:coreProperties>
</file>