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3"/>
  </bookViews>
  <sheets>
    <sheet name="Лист1" sheetId="1" r:id="rId1"/>
    <sheet name="Рис 1-2 Довжини" sheetId="2" r:id="rId2"/>
    <sheet name="Таблиця 1-3" sheetId="3" r:id="rId3"/>
    <sheet name="Потокорозподіл" sheetId="4" r:id="rId4"/>
  </sheets>
  <calcPr calcId="162913"/>
</workbook>
</file>

<file path=xl/calcChain.xml><?xml version="1.0" encoding="utf-8"?>
<calcChain xmlns="http://schemas.openxmlformats.org/spreadsheetml/2006/main">
  <c r="F13" i="4" l="1"/>
  <c r="E13" i="4"/>
  <c r="N16" i="4"/>
  <c r="M16" i="4"/>
  <c r="F12" i="4"/>
  <c r="E12" i="4"/>
  <c r="F11" i="4"/>
  <c r="E11" i="4"/>
  <c r="O21" i="4"/>
  <c r="N21" i="4"/>
  <c r="L21" i="4"/>
  <c r="K21" i="4"/>
  <c r="P18" i="4"/>
  <c r="M18" i="4"/>
  <c r="J18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D15" i="4"/>
  <c r="C16" i="4"/>
  <c r="D16" i="4"/>
  <c r="D14" i="4"/>
  <c r="C14" i="4"/>
  <c r="D11" i="4"/>
  <c r="D12" i="4"/>
  <c r="D13" i="4"/>
  <c r="C12" i="4"/>
  <c r="C13" i="4"/>
  <c r="C11" i="4"/>
  <c r="B14" i="4"/>
  <c r="B11" i="4"/>
  <c r="F8" i="4"/>
  <c r="E8" i="4"/>
  <c r="D5" i="4"/>
  <c r="L6" i="3"/>
  <c r="K6" i="3"/>
  <c r="K7" i="3" s="1"/>
  <c r="W7" i="2"/>
  <c r="V7" i="2" s="1"/>
  <c r="W6" i="2"/>
  <c r="W5" i="2"/>
  <c r="Q20" i="2"/>
  <c r="Q19" i="2"/>
  <c r="Q18" i="2"/>
  <c r="P21" i="2"/>
  <c r="J6" i="3"/>
  <c r="I6" i="3"/>
  <c r="I5" i="3"/>
  <c r="H6" i="3"/>
  <c r="H7" i="3" s="1"/>
  <c r="G6" i="3"/>
  <c r="F6" i="3"/>
  <c r="F7" i="3" s="1"/>
  <c r="E6" i="3"/>
  <c r="E7" i="3"/>
  <c r="G7" i="3"/>
  <c r="J7" i="3"/>
  <c r="M7" i="3"/>
  <c r="D7" i="3"/>
  <c r="D6" i="3"/>
  <c r="V6" i="2"/>
  <c r="V5" i="2"/>
  <c r="V4" i="2"/>
  <c r="W4" i="2"/>
  <c r="U4" i="2"/>
  <c r="P19" i="2"/>
  <c r="P20" i="2"/>
  <c r="P18" i="2"/>
  <c r="P17" i="2"/>
  <c r="Q17" i="2"/>
  <c r="O17" i="2"/>
  <c r="H17" i="2"/>
  <c r="H18" i="2"/>
  <c r="H19" i="2"/>
  <c r="G18" i="2"/>
  <c r="G19" i="2"/>
  <c r="G17" i="2"/>
  <c r="H6" i="2"/>
  <c r="H7" i="2"/>
  <c r="I7" i="2"/>
  <c r="I6" i="2"/>
  <c r="H5" i="2"/>
  <c r="I5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L8" i="2"/>
  <c r="M8" i="2"/>
  <c r="M2" i="2"/>
  <c r="L2" i="2"/>
  <c r="K2" i="2"/>
  <c r="R14" i="4" l="1"/>
  <c r="Q14" i="4"/>
  <c r="J16" i="4"/>
  <c r="K16" i="4"/>
  <c r="P16" i="4"/>
  <c r="Q13" i="4" s="1"/>
  <c r="Q16" i="4"/>
  <c r="L7" i="3"/>
  <c r="V8" i="2"/>
  <c r="I7" i="3"/>
  <c r="H20" i="1"/>
  <c r="H19" i="1"/>
  <c r="H18" i="1"/>
  <c r="H17" i="1"/>
  <c r="H16" i="1"/>
  <c r="H15" i="1"/>
  <c r="H21" i="1" s="1"/>
  <c r="J16" i="1" s="1"/>
  <c r="L16" i="1" s="1"/>
  <c r="J13" i="1"/>
  <c r="F20" i="1"/>
  <c r="F19" i="1"/>
  <c r="F18" i="1"/>
  <c r="F17" i="1"/>
  <c r="F16" i="1"/>
  <c r="F15" i="1"/>
  <c r="F21" i="1" s="1"/>
  <c r="K13" i="1" s="1"/>
  <c r="D21" i="1"/>
  <c r="D20" i="1"/>
  <c r="D19" i="1"/>
  <c r="D18" i="1"/>
  <c r="D17" i="1"/>
  <c r="D16" i="1"/>
  <c r="D15" i="1"/>
  <c r="J3" i="1"/>
  <c r="I3" i="1"/>
  <c r="R13" i="4" l="1"/>
  <c r="K3" i="1"/>
  <c r="L3" i="1" s="1"/>
  <c r="I6" i="1" s="1"/>
  <c r="I9" i="1" s="1"/>
  <c r="J6" i="1" l="1"/>
  <c r="J9" i="1" s="1"/>
  <c r="K9" i="1" s="1"/>
</calcChain>
</file>

<file path=xl/sharedStrings.xml><?xml version="1.0" encoding="utf-8"?>
<sst xmlns="http://schemas.openxmlformats.org/spreadsheetml/2006/main" count="140" uniqueCount="88">
  <si>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</si>
  <si>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</si>
  <si>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</si>
  <si>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</si>
  <si>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</si>
  <si>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</si>
  <si>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</si>
  <si>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</si>
  <si>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</si>
  <si>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</si>
  <si>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</si>
  <si>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</si>
  <si>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</si>
  <si>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</si>
  <si>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</si>
  <si>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</si>
  <si>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</si>
  <si>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</si>
  <si>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</si>
  <si>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</si>
  <si>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</si>
  <si>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</si>
  <si>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</si>
  <si>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</si>
  <si>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</si>
  <si>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</si>
  <si>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</si>
  <si>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</si>
  <si>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</si>
  <si>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</si>
  <si>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</si>
  <si>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</si>
  <si>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</si>
  <si>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</si>
  <si>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</si>
  <si>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</si>
  <si>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</si>
  <si>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</si>
  <si>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</si>
  <si>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t>Таб.1.2</t>
  </si>
  <si>
    <t>Таб. 1.1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</si>
  <si>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</si>
  <si>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</si>
  <si>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</si>
  <si>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</si>
  <si>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</si>
  <si>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ВП-Г</t>
  </si>
  <si>
    <t>ВП-Е</t>
  </si>
  <si>
    <t>Г-Е</t>
  </si>
  <si>
    <t>X</t>
  </si>
  <si>
    <t>mm</t>
  </si>
  <si>
    <t>ВП-1</t>
  </si>
  <si>
    <t>1-Г</t>
  </si>
  <si>
    <t>1-Е</t>
  </si>
  <si>
    <t>ВП-2</t>
  </si>
  <si>
    <t>2-Г</t>
  </si>
  <si>
    <t>2-Е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</si>
  <si>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</si>
  <si>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</si>
  <si>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</si>
  <si>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</si>
  <si>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</si>
  <si>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</si>
  <si>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</si>
  <si>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</si>
  <si>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</si>
  <si>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</si>
  <si>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а</t>
  </si>
  <si>
    <t>б</t>
  </si>
  <si>
    <t>в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</si>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</sst>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106680</xdr:rowOff>
    </xdr:from>
    <xdr:to>
      <xdr:col>5</xdr:col>
      <xdr:colOff>540668</xdr:colOff>
      <xdr:row>13</xdr:row>
      <xdr:rowOff>102596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" y="289560"/>
          <a:ext cx="2819048" cy="2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15</xdr:row>
      <xdr:rowOff>53340</xdr:rowOff>
    </xdr:from>
    <xdr:to>
      <xdr:col>5</xdr:col>
      <xdr:colOff>563528</xdr:colOff>
      <xdr:row>27</xdr:row>
      <xdr:rowOff>49256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2796540"/>
          <a:ext cx="2819048" cy="2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13</xdr:col>
      <xdr:colOff>437790</xdr:colOff>
      <xdr:row>27</xdr:row>
      <xdr:rowOff>178796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2926080"/>
          <a:ext cx="2876190" cy="2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550334</xdr:colOff>
      <xdr:row>0</xdr:row>
      <xdr:rowOff>67734</xdr:rowOff>
    </xdr:from>
    <xdr:to>
      <xdr:col>19</xdr:col>
      <xdr:colOff>321382</xdr:colOff>
      <xdr:row>12</xdr:row>
      <xdr:rowOff>23010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4734" y="67734"/>
          <a:ext cx="2819048" cy="2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60960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45720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365760</xdr:colOff>
          <xdr:row>7</xdr:row>
          <xdr:rowOff>7620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6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5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9" sqref="D9"/>
    </sheetView>
  </sheetViews>
  <sheetFormatPr defaultRowHeight="14.4" x14ac:dyDescent="0.3"/>
  <cols>
    <col min="6" max="6" width="10.88671875" customWidth="1"/>
    <col min="8" max="8" width="12.109375" customWidth="1"/>
    <col min="11" max="11" width="10" customWidth="1"/>
  </cols>
  <sheetData>
    <row r="1" spans="1:13" x14ac:dyDescent="0.3">
      <c r="A1" t="s">
        <v>40</v>
      </c>
    </row>
    <row r="2" spans="1:13" x14ac:dyDescent="0.3">
      <c r="A2" s="15" t="s">
        <v>0</v>
      </c>
      <c r="B2" s="2" t="s">
        <v>1</v>
      </c>
      <c r="C2" s="2" t="s">
        <v>3</v>
      </c>
      <c r="D2" s="2" t="s">
        <v>5</v>
      </c>
      <c r="E2" s="2" t="s">
        <v>7</v>
      </c>
      <c r="F2" s="2" t="s">
        <v>8</v>
      </c>
      <c r="G2" s="15" t="s">
        <v>10</v>
      </c>
      <c r="H2" s="6"/>
      <c r="I2" s="3" t="s">
        <v>23</v>
      </c>
      <c r="J2" s="3" t="s">
        <v>24</v>
      </c>
      <c r="K2" s="5" t="s">
        <v>21</v>
      </c>
      <c r="L2" s="2" t="s">
        <v>22</v>
      </c>
      <c r="M2" s="1"/>
    </row>
    <row r="3" spans="1:13" x14ac:dyDescent="0.3">
      <c r="A3" s="15"/>
      <c r="B3" s="2" t="s">
        <v>2</v>
      </c>
      <c r="C3" s="2" t="s">
        <v>4</v>
      </c>
      <c r="D3" s="2" t="s">
        <v>6</v>
      </c>
      <c r="E3" s="2" t="s">
        <v>6</v>
      </c>
      <c r="F3" s="2" t="s">
        <v>9</v>
      </c>
      <c r="G3" s="15"/>
      <c r="H3" s="6"/>
      <c r="I3" s="3">
        <f>POWER(B11,2)</f>
        <v>2209</v>
      </c>
      <c r="J3" s="2">
        <f>POWER(C11,2)</f>
        <v>900</v>
      </c>
      <c r="K3" s="2">
        <f>SUM(I3:J3)</f>
        <v>3109</v>
      </c>
      <c r="L3" s="2">
        <f>SQRT(K3)</f>
        <v>55.758407437802596</v>
      </c>
      <c r="M3" s="1"/>
    </row>
    <row r="4" spans="1:13" x14ac:dyDescent="0.3">
      <c r="A4" s="3" t="s">
        <v>11</v>
      </c>
      <c r="B4" s="4">
        <v>4</v>
      </c>
      <c r="C4" s="4">
        <v>3</v>
      </c>
      <c r="D4" s="4">
        <v>110</v>
      </c>
      <c r="E4" s="4">
        <v>235</v>
      </c>
      <c r="F4" s="4">
        <v>6</v>
      </c>
      <c r="G4" s="2" t="s">
        <v>19</v>
      </c>
      <c r="H4" s="7"/>
      <c r="I4" s="7"/>
      <c r="J4" s="7"/>
      <c r="K4" s="1"/>
      <c r="L4" s="1"/>
      <c r="M4" s="1"/>
    </row>
    <row r="5" spans="1:13" x14ac:dyDescent="0.3">
      <c r="A5" s="3" t="s">
        <v>12</v>
      </c>
      <c r="B5" s="4">
        <v>6</v>
      </c>
      <c r="C5" s="4">
        <v>2</v>
      </c>
      <c r="D5" s="4">
        <v>75</v>
      </c>
      <c r="E5" s="4">
        <v>250</v>
      </c>
      <c r="F5" s="4">
        <v>6</v>
      </c>
      <c r="G5" s="2" t="s">
        <v>19</v>
      </c>
      <c r="H5" s="7"/>
      <c r="I5" s="5" t="s">
        <v>25</v>
      </c>
      <c r="J5" s="2" t="s">
        <v>26</v>
      </c>
      <c r="K5" s="2" t="s">
        <v>27</v>
      </c>
      <c r="L5" s="2" t="s">
        <v>27</v>
      </c>
      <c r="M5" s="1"/>
    </row>
    <row r="6" spans="1:13" x14ac:dyDescent="0.3">
      <c r="A6" s="3" t="s">
        <v>13</v>
      </c>
      <c r="B6" s="4">
        <v>20</v>
      </c>
      <c r="C6" s="4">
        <v>15</v>
      </c>
      <c r="D6" s="4">
        <v>110</v>
      </c>
      <c r="E6" s="4">
        <v>205</v>
      </c>
      <c r="F6" s="4">
        <v>10</v>
      </c>
      <c r="G6" s="2" t="s">
        <v>20</v>
      </c>
      <c r="H6" s="7"/>
      <c r="I6" s="2">
        <f>PRODUCT(0.05,L3)</f>
        <v>2.78792037189013</v>
      </c>
      <c r="J6" s="2">
        <f>PRODUCT(0.15,L3)</f>
        <v>8.363761115670389</v>
      </c>
      <c r="K6" s="2">
        <v>0.95</v>
      </c>
      <c r="L6" s="2">
        <v>0.98</v>
      </c>
      <c r="M6" s="1"/>
    </row>
    <row r="7" spans="1:13" x14ac:dyDescent="0.3">
      <c r="A7" s="3" t="s">
        <v>14</v>
      </c>
      <c r="B7" s="4">
        <v>7</v>
      </c>
      <c r="C7" s="4">
        <v>5</v>
      </c>
      <c r="D7" s="4">
        <v>165</v>
      </c>
      <c r="E7" s="4">
        <v>240</v>
      </c>
      <c r="F7" s="4">
        <v>10</v>
      </c>
      <c r="G7" s="2" t="s">
        <v>20</v>
      </c>
      <c r="H7" s="7"/>
      <c r="I7" s="7"/>
      <c r="J7" s="1"/>
      <c r="K7" s="1"/>
      <c r="L7" s="1"/>
      <c r="M7" s="1"/>
    </row>
    <row r="8" spans="1:13" x14ac:dyDescent="0.3">
      <c r="A8" s="3" t="s">
        <v>15</v>
      </c>
      <c r="B8" s="4">
        <v>5</v>
      </c>
      <c r="C8" s="4">
        <v>2</v>
      </c>
      <c r="D8" s="4">
        <v>95</v>
      </c>
      <c r="E8" s="4">
        <v>280</v>
      </c>
      <c r="F8" s="4">
        <v>6</v>
      </c>
      <c r="G8" s="2" t="s">
        <v>19</v>
      </c>
      <c r="H8" s="7"/>
      <c r="I8" s="2" t="s">
        <v>28</v>
      </c>
      <c r="J8" s="2" t="s">
        <v>29</v>
      </c>
      <c r="K8" s="2" t="s">
        <v>30</v>
      </c>
      <c r="L8" s="1"/>
      <c r="M8" s="1"/>
    </row>
    <row r="9" spans="1:13" x14ac:dyDescent="0.3">
      <c r="A9" s="3" t="s">
        <v>16</v>
      </c>
      <c r="B9" s="4">
        <v>5</v>
      </c>
      <c r="C9" s="4">
        <v>3</v>
      </c>
      <c r="D9" s="4">
        <v>150</v>
      </c>
      <c r="E9" s="4">
        <v>200</v>
      </c>
      <c r="F9" s="4">
        <v>10</v>
      </c>
      <c r="G9" s="2" t="s">
        <v>20</v>
      </c>
      <c r="H9" s="7"/>
      <c r="I9" s="2">
        <f>PRODUCT(K6,B11)+I6</f>
        <v>47.437920371890129</v>
      </c>
      <c r="J9" s="2">
        <f>PRODUCT(L6,C11)+J6</f>
        <v>37.763761115670391</v>
      </c>
      <c r="K9" s="2">
        <f>SUM(I9:J9)</f>
        <v>85.201681487560521</v>
      </c>
      <c r="L9" s="1"/>
      <c r="M9" s="1"/>
    </row>
    <row r="10" spans="1:13" x14ac:dyDescent="0.3">
      <c r="A10" s="3" t="s">
        <v>17</v>
      </c>
      <c r="B10" s="4" t="s">
        <v>18</v>
      </c>
      <c r="C10" s="4" t="s">
        <v>18</v>
      </c>
      <c r="D10" s="4">
        <v>75</v>
      </c>
      <c r="E10" s="4">
        <v>105</v>
      </c>
      <c r="F10" s="4"/>
      <c r="G10" s="4"/>
      <c r="H10" s="8"/>
      <c r="I10" s="8"/>
    </row>
    <row r="11" spans="1:13" x14ac:dyDescent="0.3">
      <c r="A11" s="9" t="s">
        <v>21</v>
      </c>
      <c r="B11" s="10">
        <v>47</v>
      </c>
      <c r="C11" s="10">
        <v>30</v>
      </c>
      <c r="D11" s="10"/>
      <c r="E11" s="10"/>
      <c r="F11" s="10"/>
      <c r="G11" s="10"/>
      <c r="H11" s="8"/>
      <c r="I11" s="8"/>
      <c r="J11" s="13" t="s">
        <v>31</v>
      </c>
      <c r="K11" s="14"/>
    </row>
    <row r="12" spans="1:13" x14ac:dyDescent="0.3">
      <c r="A12" s="6" t="s">
        <v>39</v>
      </c>
      <c r="J12" s="14" t="s">
        <v>37</v>
      </c>
      <c r="K12" s="14" t="s">
        <v>38</v>
      </c>
    </row>
    <row r="13" spans="1:13" x14ac:dyDescent="0.3">
      <c r="A13" s="15" t="s">
        <v>0</v>
      </c>
      <c r="B13" s="2" t="s">
        <v>1</v>
      </c>
      <c r="C13" s="2" t="s">
        <v>5</v>
      </c>
      <c r="D13" s="2" t="s">
        <v>32</v>
      </c>
      <c r="E13" s="2" t="s">
        <v>7</v>
      </c>
      <c r="F13" s="2" t="s">
        <v>34</v>
      </c>
      <c r="G13" s="12" t="s">
        <v>35</v>
      </c>
      <c r="H13" s="2" t="s">
        <v>36</v>
      </c>
      <c r="J13" s="14">
        <f>QUOTIENT(D21,B21)</f>
        <v>116</v>
      </c>
      <c r="K13" s="14">
        <f>QUOTIENT(F21,B21)</f>
        <v>225</v>
      </c>
    </row>
    <row r="14" spans="1:13" x14ac:dyDescent="0.3">
      <c r="A14" s="15"/>
      <c r="B14" s="2" t="s">
        <v>2</v>
      </c>
      <c r="C14" s="2" t="s">
        <v>6</v>
      </c>
      <c r="D14" s="2" t="s">
        <v>33</v>
      </c>
      <c r="E14" s="2" t="s">
        <v>6</v>
      </c>
      <c r="F14" s="2" t="s">
        <v>33</v>
      </c>
      <c r="G14" s="2" t="s">
        <v>6</v>
      </c>
      <c r="H14" s="2" t="s">
        <v>33</v>
      </c>
    </row>
    <row r="15" spans="1:13" x14ac:dyDescent="0.3">
      <c r="A15" s="3" t="s">
        <v>11</v>
      </c>
      <c r="B15" s="4">
        <v>4</v>
      </c>
      <c r="C15" s="4">
        <v>110</v>
      </c>
      <c r="D15" s="4">
        <f>PRODUCT(B15:C15)</f>
        <v>440</v>
      </c>
      <c r="E15" s="4">
        <v>235</v>
      </c>
      <c r="F15" s="4">
        <f t="shared" ref="F15:F20" si="0">PRODUCT(B15,E15)</f>
        <v>940</v>
      </c>
      <c r="G15" s="4">
        <v>11</v>
      </c>
      <c r="H15" s="4">
        <f t="shared" ref="H15:H20" si="1">PRODUCT(B15,G15)</f>
        <v>44</v>
      </c>
      <c r="J15" s="11" t="s">
        <v>41</v>
      </c>
      <c r="K15" s="11" t="s">
        <v>42</v>
      </c>
    </row>
    <row r="16" spans="1:13" x14ac:dyDescent="0.3">
      <c r="A16" s="3" t="s">
        <v>12</v>
      </c>
      <c r="B16" s="4">
        <v>6</v>
      </c>
      <c r="C16" s="4">
        <v>75</v>
      </c>
      <c r="D16" s="4">
        <f>PRODUCT(B16,C16)</f>
        <v>450</v>
      </c>
      <c r="E16" s="4">
        <v>250</v>
      </c>
      <c r="F16" s="4">
        <f t="shared" si="0"/>
        <v>1500</v>
      </c>
      <c r="G16" s="4">
        <v>48</v>
      </c>
      <c r="H16" s="4">
        <f t="shared" si="1"/>
        <v>288</v>
      </c>
      <c r="J16">
        <f>H21/B21</f>
        <v>34.51063829787234</v>
      </c>
      <c r="K16">
        <v>128</v>
      </c>
      <c r="L16">
        <f>K16/J16</f>
        <v>3.7090012330456226</v>
      </c>
    </row>
    <row r="17" spans="1:8" x14ac:dyDescent="0.3">
      <c r="A17" s="3" t="s">
        <v>13</v>
      </c>
      <c r="B17" s="4">
        <v>20</v>
      </c>
      <c r="C17" s="4">
        <v>110</v>
      </c>
      <c r="D17" s="4">
        <f>PRODUCT(B17,C17)</f>
        <v>2200</v>
      </c>
      <c r="E17" s="4">
        <v>205</v>
      </c>
      <c r="F17" s="4">
        <f t="shared" si="0"/>
        <v>4100</v>
      </c>
      <c r="G17" s="4">
        <v>22</v>
      </c>
      <c r="H17" s="4">
        <f t="shared" si="1"/>
        <v>440</v>
      </c>
    </row>
    <row r="18" spans="1:8" x14ac:dyDescent="0.3">
      <c r="A18" s="3" t="s">
        <v>14</v>
      </c>
      <c r="B18" s="4">
        <v>7</v>
      </c>
      <c r="C18" s="4">
        <v>165</v>
      </c>
      <c r="D18" s="4">
        <f>PRODUCT(B18,C18)</f>
        <v>1155</v>
      </c>
      <c r="E18" s="4">
        <v>240</v>
      </c>
      <c r="F18" s="4">
        <f t="shared" si="0"/>
        <v>1680</v>
      </c>
      <c r="G18" s="4">
        <v>50</v>
      </c>
      <c r="H18" s="4">
        <f t="shared" si="1"/>
        <v>350</v>
      </c>
    </row>
    <row r="19" spans="1:8" x14ac:dyDescent="0.3">
      <c r="A19" s="3" t="s">
        <v>15</v>
      </c>
      <c r="B19" s="4">
        <v>5</v>
      </c>
      <c r="C19" s="4">
        <v>95</v>
      </c>
      <c r="D19" s="4">
        <f>PRODUCT(B19:C19)</f>
        <v>475</v>
      </c>
      <c r="E19" s="4">
        <v>280</v>
      </c>
      <c r="F19" s="4">
        <f t="shared" si="0"/>
        <v>1400</v>
      </c>
      <c r="G19" s="4">
        <v>58</v>
      </c>
      <c r="H19" s="4">
        <f t="shared" si="1"/>
        <v>290</v>
      </c>
    </row>
    <row r="20" spans="1:8" x14ac:dyDescent="0.3">
      <c r="A20" s="3" t="s">
        <v>16</v>
      </c>
      <c r="B20" s="4">
        <v>5</v>
      </c>
      <c r="C20" s="4">
        <v>150</v>
      </c>
      <c r="D20" s="4">
        <f>PRODUCT(B20:C20)</f>
        <v>750</v>
      </c>
      <c r="E20" s="4">
        <v>200</v>
      </c>
      <c r="F20" s="4">
        <f t="shared" si="0"/>
        <v>1000</v>
      </c>
      <c r="G20" s="4">
        <v>42</v>
      </c>
      <c r="H20" s="4">
        <f t="shared" si="1"/>
        <v>210</v>
      </c>
    </row>
    <row r="21" spans="1:8" x14ac:dyDescent="0.3">
      <c r="A21" s="9" t="s">
        <v>21</v>
      </c>
      <c r="B21" s="10">
        <v>47</v>
      </c>
      <c r="C21" s="10"/>
      <c r="D21" s="10">
        <f>SUM(D15:D20)</f>
        <v>5470</v>
      </c>
      <c r="E21" s="10"/>
      <c r="F21" s="10">
        <f>SUM(F15:F20)</f>
        <v>10620</v>
      </c>
      <c r="G21" s="10"/>
      <c r="H21" s="10">
        <f>SUM(H15:H20)</f>
        <v>1622</v>
      </c>
    </row>
  </sheetData>
  <mergeCells count="3">
    <mergeCell ref="A2:A3"/>
    <mergeCell ref="G2:G3"/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29"/>
  <sheetViews>
    <sheetView topLeftCell="B1" zoomScale="110" zoomScaleNormal="110" workbookViewId="0">
      <selection activeCell="R26" sqref="R26"/>
    </sheetView>
  </sheetViews>
  <sheetFormatPr defaultRowHeight="14.4" x14ac:dyDescent="0.3"/>
  <sheetData>
    <row r="1" spans="4:23" x14ac:dyDescent="0.3">
      <c r="L1" t="s">
        <v>49</v>
      </c>
      <c r="M1" t="s">
        <v>7</v>
      </c>
    </row>
    <row r="2" spans="4:23" x14ac:dyDescent="0.3">
      <c r="K2" t="str">
        <f>Лист1!A4</f>
        <v>А</v>
      </c>
      <c r="L2">
        <f>Лист1!D4</f>
        <v>110</v>
      </c>
      <c r="M2">
        <f>Лист1!E4</f>
        <v>235</v>
      </c>
    </row>
    <row r="3" spans="4:23" x14ac:dyDescent="0.3">
      <c r="K3" t="str">
        <f>Лист1!A5</f>
        <v>Б</v>
      </c>
      <c r="L3">
        <f>Лист1!D5</f>
        <v>75</v>
      </c>
      <c r="M3">
        <f>Лист1!E5</f>
        <v>250</v>
      </c>
    </row>
    <row r="4" spans="4:23" x14ac:dyDescent="0.3">
      <c r="G4" s="16" t="s">
        <v>45</v>
      </c>
      <c r="H4" s="17" t="s">
        <v>44</v>
      </c>
      <c r="I4" t="s">
        <v>50</v>
      </c>
      <c r="K4" t="str">
        <f>Лист1!A6</f>
        <v>В</v>
      </c>
      <c r="L4">
        <f>Лист1!D6</f>
        <v>110</v>
      </c>
      <c r="M4">
        <f>Лист1!E6</f>
        <v>205</v>
      </c>
      <c r="U4" s="1" t="str">
        <f>G4</f>
        <v>Ділянка</v>
      </c>
      <c r="V4" s="17" t="str">
        <f t="shared" ref="V4:W4" si="0">H4</f>
        <v>l, км</v>
      </c>
      <c r="W4" t="str">
        <f t="shared" si="0"/>
        <v>mm</v>
      </c>
    </row>
    <row r="5" spans="4:23" x14ac:dyDescent="0.3">
      <c r="G5" s="1" t="s">
        <v>46</v>
      </c>
      <c r="H5" s="1">
        <f>ROUND(1.1*I5/10*2,1)</f>
        <v>12.1</v>
      </c>
      <c r="I5">
        <f>SQRT(($L$2-L5)^2+($M$2-M5)^2)</f>
        <v>55.226805085936306</v>
      </c>
      <c r="K5" t="str">
        <f>Лист1!A7</f>
        <v>Г</v>
      </c>
      <c r="L5">
        <f>Лист1!D7</f>
        <v>165</v>
      </c>
      <c r="M5">
        <f>Лист1!E7</f>
        <v>240</v>
      </c>
      <c r="U5" s="1" t="s">
        <v>54</v>
      </c>
      <c r="V5" s="1">
        <f>ROUND(1.1*W5/10*2,1)</f>
        <v>7.2</v>
      </c>
      <c r="W5">
        <f>SQRT(($L$2-L10)^2+($M$2-M10)^2)</f>
        <v>32.572994949804659</v>
      </c>
    </row>
    <row r="6" spans="4:23" x14ac:dyDescent="0.3">
      <c r="G6" s="1" t="s">
        <v>47</v>
      </c>
      <c r="H6" s="1">
        <f t="shared" ref="H6:H7" si="1">ROUND(1.1*I6/10*2,1)</f>
        <v>11.7</v>
      </c>
      <c r="I6">
        <f>SQRT(($L$2-L7)^2+($M$2-M7)^2)</f>
        <v>53.150729063673246</v>
      </c>
      <c r="K6" t="str">
        <f>Лист1!A8</f>
        <v>Д</v>
      </c>
      <c r="L6">
        <f>Лист1!D8</f>
        <v>95</v>
      </c>
      <c r="M6">
        <f>Лист1!E8</f>
        <v>280</v>
      </c>
      <c r="U6" s="1" t="s">
        <v>55</v>
      </c>
      <c r="V6" s="1">
        <f t="shared" ref="V6:V7" si="2">ROUND(1.1*W6/10*2,1)</f>
        <v>6.2</v>
      </c>
      <c r="W6">
        <f>SQRT(($L$10-L5)^2+($M$10-M5)^2)</f>
        <v>28.301943396169811</v>
      </c>
    </row>
    <row r="7" spans="4:23" x14ac:dyDescent="0.3">
      <c r="G7" s="1" t="s">
        <v>48</v>
      </c>
      <c r="H7" s="1">
        <f t="shared" si="1"/>
        <v>9.4</v>
      </c>
      <c r="I7">
        <f>SQRT(($L$5-L7)^2+($M$5-M7)^2)</f>
        <v>42.720018726587654</v>
      </c>
      <c r="K7" t="str">
        <f>Лист1!A9</f>
        <v>Е</v>
      </c>
      <c r="L7">
        <f>Лист1!D9</f>
        <v>150</v>
      </c>
      <c r="M7">
        <f>Лист1!E9</f>
        <v>200</v>
      </c>
      <c r="U7" s="1" t="s">
        <v>56</v>
      </c>
      <c r="V7" s="1">
        <f t="shared" si="2"/>
        <v>5.8</v>
      </c>
      <c r="W7">
        <f>SQRT(($L$10-L7)^2+($M$10-M7)^2)</f>
        <v>26.570660511172846</v>
      </c>
    </row>
    <row r="8" spans="4:23" x14ac:dyDescent="0.3">
      <c r="L8">
        <f>Лист1!D10</f>
        <v>75</v>
      </c>
      <c r="M8">
        <f>Лист1!E10</f>
        <v>105</v>
      </c>
      <c r="V8">
        <f>SUM(V5:V7)</f>
        <v>19.2</v>
      </c>
    </row>
    <row r="9" spans="4:23" x14ac:dyDescent="0.3">
      <c r="K9">
        <v>1</v>
      </c>
      <c r="L9">
        <v>147</v>
      </c>
      <c r="M9">
        <v>238</v>
      </c>
    </row>
    <row r="10" spans="4:23" x14ac:dyDescent="0.3">
      <c r="K10">
        <v>2</v>
      </c>
      <c r="L10">
        <v>141</v>
      </c>
      <c r="M10">
        <v>225</v>
      </c>
    </row>
    <row r="15" spans="4:23" x14ac:dyDescent="0.3">
      <c r="D15" t="s">
        <v>67</v>
      </c>
    </row>
    <row r="16" spans="4:23" x14ac:dyDescent="0.3">
      <c r="G16">
        <v>2</v>
      </c>
    </row>
    <row r="17" spans="4:17" x14ac:dyDescent="0.3">
      <c r="G17" s="1" t="str">
        <f>G4</f>
        <v>Ділянка</v>
      </c>
      <c r="H17" s="17" t="str">
        <f>H4</f>
        <v>l, км</v>
      </c>
      <c r="O17" s="1" t="str">
        <f>G4</f>
        <v>Ділянка</v>
      </c>
      <c r="P17" s="17" t="str">
        <f t="shared" ref="P17:Q17" si="3">H4</f>
        <v>l, км</v>
      </c>
      <c r="Q17" t="str">
        <f t="shared" si="3"/>
        <v>mm</v>
      </c>
    </row>
    <row r="18" spans="4:17" x14ac:dyDescent="0.3">
      <c r="G18" s="1" t="str">
        <f t="shared" ref="G18:H19" si="4">G5</f>
        <v>ВП-Г</v>
      </c>
      <c r="H18" s="1">
        <f t="shared" si="4"/>
        <v>12.1</v>
      </c>
      <c r="O18" s="1" t="s">
        <v>51</v>
      </c>
      <c r="P18" s="1">
        <f t="shared" ref="P18:P20" si="5">H5</f>
        <v>12.1</v>
      </c>
      <c r="Q18">
        <f>SQRT(($L$2-L9)^2+($M$2-M9)^2)</f>
        <v>37.12142238654117</v>
      </c>
    </row>
    <row r="19" spans="4:17" x14ac:dyDescent="0.3">
      <c r="G19" s="1" t="str">
        <f t="shared" si="4"/>
        <v>ВП-Е</v>
      </c>
      <c r="H19" s="1">
        <f t="shared" si="4"/>
        <v>11.7</v>
      </c>
      <c r="O19" s="1" t="s">
        <v>52</v>
      </c>
      <c r="P19" s="1">
        <f t="shared" si="5"/>
        <v>11.7</v>
      </c>
      <c r="Q19">
        <f>SQRT(($L$9-L5)^2+($M$9-M5)^2)</f>
        <v>18.110770276274835</v>
      </c>
    </row>
    <row r="20" spans="4:17" x14ac:dyDescent="0.3">
      <c r="O20" s="1" t="s">
        <v>53</v>
      </c>
      <c r="P20" s="1">
        <f t="shared" si="5"/>
        <v>9.4</v>
      </c>
      <c r="Q20">
        <f>SQRT(($L$9-L7)^2+($M$9-M7)^2)</f>
        <v>38.118237105091836</v>
      </c>
    </row>
    <row r="21" spans="4:17" x14ac:dyDescent="0.3">
      <c r="P21" s="1">
        <f>SUM(P18:P20)</f>
        <v>33.199999999999996</v>
      </c>
    </row>
    <row r="28" spans="4:17" x14ac:dyDescent="0.3">
      <c r="F28">
        <v>2</v>
      </c>
    </row>
    <row r="29" spans="4:17" x14ac:dyDescent="0.3">
      <c r="D29" t="s">
        <v>68</v>
      </c>
      <c r="L29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zoomScale="160" zoomScaleNormal="160" workbookViewId="0">
      <selection activeCell="F11" sqref="F11"/>
    </sheetView>
  </sheetViews>
  <sheetFormatPr defaultRowHeight="14.4" x14ac:dyDescent="0.3"/>
  <sheetData>
    <row r="2" spans="3:13" ht="15" thickBot="1" x14ac:dyDescent="0.35"/>
    <row r="3" spans="3:13" ht="46.2" customHeight="1" thickBot="1" x14ac:dyDescent="0.35">
      <c r="C3" s="20" t="s">
        <v>57</v>
      </c>
      <c r="D3" s="23" t="s">
        <v>58</v>
      </c>
      <c r="E3" s="22"/>
      <c r="F3" s="22"/>
      <c r="G3" s="22"/>
      <c r="H3" s="24"/>
      <c r="I3" s="23" t="s">
        <v>59</v>
      </c>
      <c r="J3" s="22"/>
      <c r="K3" s="22"/>
      <c r="L3" s="22"/>
      <c r="M3" s="24"/>
    </row>
    <row r="4" spans="3:13" ht="16.2" thickBot="1" x14ac:dyDescent="0.35">
      <c r="C4" s="21"/>
      <c r="D4" s="18" t="s">
        <v>60</v>
      </c>
      <c r="E4" s="18" t="s">
        <v>61</v>
      </c>
      <c r="F4" s="18" t="s">
        <v>62</v>
      </c>
      <c r="G4" s="18" t="s">
        <v>63</v>
      </c>
      <c r="H4" s="18" t="s">
        <v>64</v>
      </c>
      <c r="I4" s="18" t="s">
        <v>60</v>
      </c>
      <c r="J4" s="18" t="s">
        <v>61</v>
      </c>
      <c r="K4" s="18" t="s">
        <v>62</v>
      </c>
      <c r="L4" s="18" t="s">
        <v>63</v>
      </c>
      <c r="M4" s="18" t="s">
        <v>64</v>
      </c>
    </row>
    <row r="5" spans="3:13" ht="16.2" thickBot="1" x14ac:dyDescent="0.35">
      <c r="C5" s="19" t="s">
        <v>65</v>
      </c>
      <c r="D5" s="18">
        <v>4</v>
      </c>
      <c r="E5" s="18">
        <v>4</v>
      </c>
      <c r="F5" s="18">
        <v>2</v>
      </c>
      <c r="G5" s="18">
        <v>2</v>
      </c>
      <c r="H5" s="18">
        <v>2</v>
      </c>
      <c r="I5" s="18">
        <f>4</f>
        <v>4</v>
      </c>
      <c r="J5" s="18">
        <v>4</v>
      </c>
      <c r="K5" s="18">
        <v>2</v>
      </c>
      <c r="L5" s="18">
        <v>2</v>
      </c>
      <c r="M5" s="18">
        <v>2</v>
      </c>
    </row>
    <row r="6" spans="3:13" ht="16.2" thickBot="1" x14ac:dyDescent="0.35">
      <c r="C6" s="19" t="s">
        <v>66</v>
      </c>
      <c r="D6" s="18">
        <f>8.25*2+10.45*2</f>
        <v>37.4</v>
      </c>
      <c r="E6" s="18">
        <f>8.25+10.45+7.92</f>
        <v>26.619999999999997</v>
      </c>
      <c r="F6" s="18">
        <f>(6.05+6.38+5.5)*2</f>
        <v>35.86</v>
      </c>
      <c r="G6" s="18">
        <f>(5.17+5.28+6.05)*2</f>
        <v>33</v>
      </c>
      <c r="H6" s="18">
        <f>(6.71+1.54+7.7)*2</f>
        <v>31.9</v>
      </c>
      <c r="I6" s="18">
        <f>'Рис 1-2 Довжини'!H5+'Рис 1-2 Довжини'!H6+'Рис 1-2 Довжини'!H7</f>
        <v>33.199999999999996</v>
      </c>
      <c r="J6" s="18">
        <f>'Рис 1-2 Довжини'!H18*1.6+'Рис 1-2 Довжини'!H19*1.6</f>
        <v>38.08</v>
      </c>
      <c r="K6" s="18">
        <f>('Рис 1-2 Довжини'!P21)*1.6</f>
        <v>53.12</v>
      </c>
      <c r="L6" s="18">
        <f>('Рис 1-2 Довжини'!V8)*1.6</f>
        <v>30.72</v>
      </c>
      <c r="M6" s="18"/>
    </row>
    <row r="7" spans="3:13" ht="16.2" thickBot="1" x14ac:dyDescent="0.35">
      <c r="C7" s="19" t="s">
        <v>66</v>
      </c>
      <c r="D7" s="18">
        <f>D6+D5*3</f>
        <v>49.4</v>
      </c>
      <c r="E7" s="25">
        <f t="shared" ref="E7:M7" si="0">E6+E5*3</f>
        <v>38.619999999999997</v>
      </c>
      <c r="F7" s="18">
        <f t="shared" si="0"/>
        <v>41.86</v>
      </c>
      <c r="G7" s="18">
        <f t="shared" si="0"/>
        <v>39</v>
      </c>
      <c r="H7" s="25">
        <f t="shared" si="0"/>
        <v>37.9</v>
      </c>
      <c r="I7" s="18">
        <f t="shared" si="0"/>
        <v>45.199999999999996</v>
      </c>
      <c r="J7" s="18">
        <f t="shared" si="0"/>
        <v>50.08</v>
      </c>
      <c r="K7" s="18">
        <f t="shared" si="0"/>
        <v>59.12</v>
      </c>
      <c r="L7" s="25">
        <f t="shared" si="0"/>
        <v>36.72</v>
      </c>
      <c r="M7" s="18">
        <f t="shared" si="0"/>
        <v>6</v>
      </c>
    </row>
    <row r="8" spans="3:13" x14ac:dyDescent="0.3">
      <c r="D8" t="s">
        <v>70</v>
      </c>
      <c r="E8" t="s">
        <v>71</v>
      </c>
      <c r="F8" t="s">
        <v>72</v>
      </c>
      <c r="G8" t="s">
        <v>72</v>
      </c>
      <c r="H8" t="s">
        <v>72</v>
      </c>
      <c r="I8" t="s">
        <v>71</v>
      </c>
      <c r="J8" t="s">
        <v>70</v>
      </c>
      <c r="K8" t="s">
        <v>72</v>
      </c>
      <c r="L8" t="s">
        <v>72</v>
      </c>
      <c r="M8" t="s">
        <v>72</v>
      </c>
    </row>
    <row r="9" spans="3:13" x14ac:dyDescent="0.3">
      <c r="E9" t="s">
        <v>73</v>
      </c>
      <c r="F9" t="s">
        <v>74</v>
      </c>
      <c r="G9" t="s">
        <v>74</v>
      </c>
      <c r="H9" t="s">
        <v>73</v>
      </c>
      <c r="I9" t="s">
        <v>73</v>
      </c>
      <c r="J9" t="s">
        <v>74</v>
      </c>
      <c r="K9" t="s">
        <v>74</v>
      </c>
      <c r="L9" t="s">
        <v>73</v>
      </c>
    </row>
  </sheetData>
  <mergeCells count="3">
    <mergeCell ref="C3:C4"/>
    <mergeCell ref="D3:H3"/>
    <mergeCell ref="I3:M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8" r:id="rId3">
          <objectPr defaultSize="0" autoPict="0" r:id="rId4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60960</xdr:rowOff>
              </to>
            </anchor>
          </objectPr>
        </oleObject>
      </mc:Choice>
      <mc:Fallback>
        <oleObject progId="Equation.3" shapeId="3078" r:id="rId3"/>
      </mc:Fallback>
    </mc:AlternateContent>
    <mc:AlternateContent xmlns:mc="http://schemas.openxmlformats.org/markup-compatibility/2006">
      <mc:Choice Requires="x14">
        <oleObject progId="Equation.3" shapeId="3077" r:id="rId5">
          <objectPr defaultSize="0" autoPict="0" r:id="rId6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45720</xdr:rowOff>
              </to>
            </anchor>
          </objectPr>
        </oleObject>
      </mc:Choice>
      <mc:Fallback>
        <oleObject progId="Equation.3" shapeId="3077" r:id="rId5"/>
      </mc:Fallback>
    </mc:AlternateContent>
    <mc:AlternateContent xmlns:mc="http://schemas.openxmlformats.org/markup-compatibility/2006">
      <mc:Choice Requires="x14">
        <oleObject progId="Equation.3" shapeId="3076" r:id="rId7">
          <objectPr defaultSize="0" autoPict="0" r:id="rId8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365760</xdr:colOff>
                <xdr:row>7</xdr:row>
                <xdr:rowOff>7620</xdr:rowOff>
              </to>
            </anchor>
          </objectPr>
        </oleObject>
      </mc:Choice>
      <mc:Fallback>
        <oleObject progId="Equation.3" shapeId="3076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abSelected="1" workbookViewId="0">
      <selection activeCell="H10" sqref="H10"/>
    </sheetView>
  </sheetViews>
  <sheetFormatPr defaultRowHeight="14.4" x14ac:dyDescent="0.3"/>
  <sheetData>
    <row r="2" spans="1:18" x14ac:dyDescent="0.3">
      <c r="P2" t="s">
        <v>87</v>
      </c>
      <c r="Q2">
        <f>J5+P5</f>
        <v>11</v>
      </c>
      <c r="R2">
        <f>K5+Q5</f>
        <v>4</v>
      </c>
    </row>
    <row r="3" spans="1:18" x14ac:dyDescent="0.3">
      <c r="A3" t="s">
        <v>78</v>
      </c>
      <c r="B3" t="s">
        <v>79</v>
      </c>
      <c r="C3" t="s">
        <v>45</v>
      </c>
      <c r="D3" t="s">
        <v>43</v>
      </c>
      <c r="E3" t="s">
        <v>75</v>
      </c>
      <c r="F3" t="s">
        <v>76</v>
      </c>
      <c r="Q3">
        <f>K10+N10</f>
        <v>11</v>
      </c>
      <c r="R3">
        <f>L10+O10</f>
        <v>4</v>
      </c>
    </row>
    <row r="4" spans="1:18" x14ac:dyDescent="0.3">
      <c r="D4" t="s">
        <v>77</v>
      </c>
    </row>
    <row r="5" spans="1:18" x14ac:dyDescent="0.3">
      <c r="A5">
        <v>1</v>
      </c>
      <c r="B5" t="s">
        <v>68</v>
      </c>
      <c r="C5" t="s">
        <v>81</v>
      </c>
      <c r="D5">
        <f>8.25</f>
        <v>8.25</v>
      </c>
      <c r="E5" s="26">
        <f>J5</f>
        <v>6.1040000000000001</v>
      </c>
      <c r="F5" s="26">
        <f>K5</f>
        <v>2.1659999999999999</v>
      </c>
      <c r="J5" s="27">
        <f>ROUND((K10*(M7+P7)+N10*P7)/(J7+M7+P7),3)</f>
        <v>6.1040000000000001</v>
      </c>
      <c r="K5" s="27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27">
        <f>ROUND((K10*J7+N10*(J7+M7))/(J7+M7+P7),3)</f>
        <v>4.8959999999999999</v>
      </c>
      <c r="Q5" s="27">
        <f>ROUND((L10*J7+O10*(J7+M7))/(J7+M7+P7),3)</f>
        <v>1.8340000000000001</v>
      </c>
    </row>
    <row r="6" spans="1:18" x14ac:dyDescent="0.3">
      <c r="C6" t="s">
        <v>82</v>
      </c>
      <c r="D6">
        <v>10.45</v>
      </c>
      <c r="E6" s="26">
        <f>P5</f>
        <v>4.8959999999999999</v>
      </c>
      <c r="F6" s="26">
        <f>Q5</f>
        <v>1.8340000000000001</v>
      </c>
      <c r="K6" s="29" t="s">
        <v>12</v>
      </c>
      <c r="N6" s="29" t="s">
        <v>15</v>
      </c>
    </row>
    <row r="7" spans="1:18" x14ac:dyDescent="0.3">
      <c r="C7" t="s">
        <v>83</v>
      </c>
      <c r="D7">
        <v>7.82</v>
      </c>
      <c r="E7" s="26">
        <f>M5</f>
        <v>0.10400000000000009</v>
      </c>
      <c r="F7" s="26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3">
      <c r="B8" t="s">
        <v>80</v>
      </c>
      <c r="C8" t="s">
        <v>84</v>
      </c>
      <c r="D8">
        <v>6.71</v>
      </c>
      <c r="E8">
        <f>E9+E10</f>
        <v>11</v>
      </c>
      <c r="F8">
        <f>F9+F10</f>
        <v>4</v>
      </c>
    </row>
    <row r="9" spans="1:18" x14ac:dyDescent="0.3">
      <c r="C9" t="s">
        <v>85</v>
      </c>
      <c r="D9">
        <v>1.54</v>
      </c>
      <c r="E9" s="27">
        <v>6</v>
      </c>
      <c r="F9" s="27">
        <v>2</v>
      </c>
    </row>
    <row r="10" spans="1:18" x14ac:dyDescent="0.3">
      <c r="C10" t="s">
        <v>86</v>
      </c>
      <c r="D10">
        <v>6.71</v>
      </c>
      <c r="E10" s="27">
        <v>5</v>
      </c>
      <c r="F10" s="27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3">
      <c r="A11">
        <v>2</v>
      </c>
      <c r="B11" t="str">
        <f>'Таблиця 1-3'!I4</f>
        <v>а)</v>
      </c>
      <c r="C11" s="28" t="str">
        <f>'Рис 1-2 Довжини'!G5</f>
        <v>ВП-Г</v>
      </c>
      <c r="D11" s="28">
        <f>'Рис 1-2 Довжини'!H5</f>
        <v>12.1</v>
      </c>
      <c r="E11">
        <f>J16</f>
        <v>6.2110000000000003</v>
      </c>
      <c r="F11">
        <f>K16</f>
        <v>4.2350000000000003</v>
      </c>
    </row>
    <row r="12" spans="1:18" x14ac:dyDescent="0.3">
      <c r="C12" s="28" t="str">
        <f>'Рис 1-2 Довжини'!G6</f>
        <v>ВП-Е</v>
      </c>
      <c r="D12" s="28">
        <f>'Рис 1-2 Довжини'!H6</f>
        <v>11.7</v>
      </c>
      <c r="E12">
        <f>P16</f>
        <v>5.7889999999999997</v>
      </c>
      <c r="F12">
        <f>Q16</f>
        <v>3.7650000000000001</v>
      </c>
    </row>
    <row r="13" spans="1:18" x14ac:dyDescent="0.3">
      <c r="C13" s="28" t="str">
        <f>'Рис 1-2 Довжини'!G7</f>
        <v>Г-Е</v>
      </c>
      <c r="D13" s="28">
        <f>'Рис 1-2 Довжини'!H7</f>
        <v>9.4</v>
      </c>
      <c r="E13">
        <f>M16</f>
        <v>0.7889999999999997</v>
      </c>
      <c r="F13">
        <f>N16</f>
        <v>0.76500000000000012</v>
      </c>
      <c r="P13" t="s">
        <v>87</v>
      </c>
      <c r="Q13">
        <f>J16+P16</f>
        <v>12</v>
      </c>
      <c r="R13">
        <f>K16+Q16</f>
        <v>8</v>
      </c>
    </row>
    <row r="14" spans="1:18" x14ac:dyDescent="0.3">
      <c r="B14" t="str">
        <f>'Таблиця 1-3'!L4</f>
        <v>г)</v>
      </c>
      <c r="C14" s="28" t="str">
        <f>'Рис 1-2 Довжини'!U5</f>
        <v>ВП-2</v>
      </c>
      <c r="D14" s="28">
        <f>'Рис 1-2 Довжини'!V5</f>
        <v>7.2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3">
      <c r="C15" s="28" t="str">
        <f>'Рис 1-2 Довжини'!U6</f>
        <v>2-Г</v>
      </c>
      <c r="D15" s="28">
        <f>'Рис 1-2 Довжини'!V6</f>
        <v>6.2</v>
      </c>
      <c r="E15" s="27">
        <v>7</v>
      </c>
      <c r="F15" s="27">
        <v>5</v>
      </c>
    </row>
    <row r="16" spans="1:18" x14ac:dyDescent="0.3">
      <c r="C16" s="28" t="str">
        <f>'Рис 1-2 Довжини'!U7</f>
        <v>2-Е</v>
      </c>
      <c r="D16" s="28">
        <f>'Рис 1-2 Довжини'!V7</f>
        <v>5.8</v>
      </c>
      <c r="E16" s="27">
        <v>5</v>
      </c>
      <c r="F16" s="27">
        <v>3</v>
      </c>
      <c r="J16" s="27">
        <f>ROUND((K21*(M18+P18)+N21*P18)/(J18+M18+P18),3)</f>
        <v>6.2110000000000003</v>
      </c>
      <c r="K16" s="27">
        <f>ROUND((L21*(M18+P18)+O21*P18)/(J18+M18+P18),3)</f>
        <v>4.2350000000000003</v>
      </c>
      <c r="M16">
        <f>P16-N21</f>
        <v>0.7889999999999997</v>
      </c>
      <c r="N16">
        <f>Q16-O21</f>
        <v>0.76500000000000012</v>
      </c>
      <c r="P16" s="27">
        <f>ROUND((K21*J18+N21*(J18+M18))/(J18+M18+P18),3)</f>
        <v>5.7889999999999997</v>
      </c>
      <c r="Q16" s="27">
        <f>ROUND((L21*J18+O21*(J18+M18))/(J18+M18+P18),3)</f>
        <v>3.7650000000000001</v>
      </c>
    </row>
    <row r="17" spans="10:16" x14ac:dyDescent="0.3">
      <c r="K17" s="29" t="s">
        <v>14</v>
      </c>
      <c r="N17" s="29" t="s">
        <v>16</v>
      </c>
    </row>
    <row r="18" spans="10:16" x14ac:dyDescent="0.3">
      <c r="J18">
        <f>D11</f>
        <v>12.1</v>
      </c>
      <c r="M18">
        <f>D13</f>
        <v>9.4</v>
      </c>
      <c r="P18">
        <f>D12</f>
        <v>11.7</v>
      </c>
    </row>
    <row r="21" spans="10:16" x14ac:dyDescent="0.3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Рис 1-2 Довжини</vt:lpstr>
      <vt:lpstr>Таблиця 1-3</vt:lpstr>
      <vt:lpstr>Потокорозподіл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2021-02-25T11:09:53Z</dcterms:modified>
</cp:coreProperties>
</file>