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8985" firstSheet="6" activeTab="10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мех міцн" sheetId="9" r:id="rId6"/>
    <sheet name="Таблиця 1-4" sheetId="6" r:id="rId7"/>
    <sheet name="Fрозр" sheetId="8" r:id="rId8"/>
    <sheet name="нагрів" sheetId="10" r:id="rId9"/>
    <sheet name="Потокорозподіл" sheetId="4" r:id="rId10"/>
    <sheet name="падіння напруги" sheetId="11" r:id="rId11"/>
  </sheets>
  <calcPr calcId="162913"/>
</workbook>
</file>

<file path=xl/calcChain.xml><?xml version="1.0" encoding="utf-8"?>
<calcChain xmlns="http://schemas.openxmlformats.org/spreadsheetml/2006/main">
  <c r="M30" i="11" l="1"/>
  <c r="M31" i="11"/>
  <c r="M29" i="11"/>
  <c r="M24" i="11"/>
  <c r="M28" i="11"/>
  <c r="L30" i="11"/>
  <c r="L31" i="11"/>
  <c r="L29" i="11"/>
  <c r="K30" i="11"/>
  <c r="K31" i="11"/>
  <c r="K29" i="11"/>
  <c r="K25" i="11"/>
  <c r="K24" i="11"/>
  <c r="J30" i="11"/>
  <c r="J31" i="11"/>
  <c r="J29" i="11"/>
  <c r="J26" i="11"/>
  <c r="H30" i="11"/>
  <c r="I31" i="11"/>
  <c r="I30" i="11"/>
  <c r="I24" i="11"/>
  <c r="H24" i="11"/>
  <c r="F30" i="11"/>
  <c r="F31" i="11"/>
  <c r="F29" i="11"/>
  <c r="F16" i="10" l="1"/>
  <c r="F33" i="4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L21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L6" i="11"/>
  <c r="L7" i="11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5" i="10"/>
  <c r="E6" i="10"/>
  <c r="E7" i="11"/>
  <c r="M22" i="11" l="1"/>
  <c r="K13" i="11"/>
  <c r="J18" i="11"/>
  <c r="M18" i="11" s="1"/>
  <c r="I26" i="11"/>
  <c r="J21" i="11"/>
  <c r="M21" i="11" s="1"/>
  <c r="M23" i="11" s="1"/>
  <c r="H16" i="10"/>
  <c r="H14" i="10"/>
  <c r="H17" i="10"/>
  <c r="E17" i="10"/>
  <c r="E16" i="10"/>
  <c r="E14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E8" i="10" l="1"/>
  <c r="A12" i="8"/>
  <c r="B8" i="8"/>
  <c r="B7" i="8"/>
  <c r="A8" i="8"/>
  <c r="F8" i="8" s="1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4" i="11" l="1"/>
  <c r="L11" i="11"/>
  <c r="I9" i="10"/>
  <c r="H13" i="10"/>
  <c r="H9" i="10"/>
  <c r="F17" i="10"/>
  <c r="F14" i="10"/>
  <c r="F13" i="10"/>
  <c r="F6" i="10"/>
  <c r="H6" i="10" s="1"/>
  <c r="E13" i="10"/>
  <c r="E9" i="10"/>
  <c r="F9" i="10" s="1"/>
  <c r="F8" i="10"/>
  <c r="H8" i="10" s="1"/>
  <c r="G21" i="10"/>
  <c r="G22" i="10"/>
  <c r="G23" i="10"/>
  <c r="F10" i="9"/>
  <c r="B13" i="8"/>
  <c r="F13" i="8" s="1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H7" i="7"/>
  <c r="I6" i="7"/>
  <c r="F19" i="10" l="1"/>
  <c r="J13" i="8"/>
  <c r="K13" i="8" s="1"/>
  <c r="L7" i="3"/>
  <c r="K6" i="3"/>
  <c r="Q26" i="5"/>
  <c r="Q25" i="5"/>
  <c r="P26" i="5"/>
  <c r="P25" i="5"/>
  <c r="H6" i="5"/>
  <c r="G6" i="5"/>
  <c r="P23" i="5"/>
  <c r="Q24" i="5"/>
  <c r="P24" i="5"/>
  <c r="H17" i="8"/>
  <c r="H16" i="8"/>
  <c r="H15" i="8"/>
  <c r="A14" i="8"/>
  <c r="F14" i="8" s="1"/>
  <c r="E8" i="6"/>
  <c r="E20" i="10" l="1"/>
  <c r="L26" i="11" s="1"/>
  <c r="G14" i="8"/>
  <c r="G27" i="4"/>
  <c r="B17" i="8" s="1"/>
  <c r="B15" i="8"/>
  <c r="H6" i="7"/>
  <c r="H5" i="7"/>
  <c r="K14" i="8" l="1"/>
  <c r="J14" i="8"/>
  <c r="G26" i="4"/>
  <c r="A15" i="8"/>
  <c r="F15" i="8" s="1"/>
  <c r="G15" i="8" s="1"/>
  <c r="A17" i="8"/>
  <c r="F17" i="8" s="1"/>
  <c r="G17" i="8" s="1"/>
  <c r="J17" i="8" l="1"/>
  <c r="K17" i="8" s="1"/>
  <c r="J15" i="8"/>
  <c r="K15" i="8" s="1"/>
  <c r="B16" i="8"/>
  <c r="A16" i="8"/>
  <c r="F16" i="8" s="1"/>
  <c r="G16" i="8" s="1"/>
  <c r="F15" i="6"/>
  <c r="K7" i="3"/>
  <c r="D6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E21" i="10"/>
  <c r="K20" i="4"/>
  <c r="E22" i="10" l="1"/>
  <c r="F21" i="10" l="1"/>
  <c r="H21" i="10" s="1"/>
  <c r="F23" i="10"/>
  <c r="H23" i="10" s="1"/>
  <c r="E15" i="6"/>
  <c r="E16" i="6"/>
  <c r="H16" i="6" s="1"/>
  <c r="E14" i="6"/>
  <c r="D16" i="6"/>
  <c r="D23" i="10" s="1"/>
  <c r="D15" i="6"/>
  <c r="D22" i="10" s="1"/>
  <c r="D14" i="6"/>
  <c r="D21" i="10" s="1"/>
  <c r="H4" i="7"/>
  <c r="G5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13" i="6"/>
  <c r="G26" i="11" s="1"/>
  <c r="E12" i="6"/>
  <c r="E11" i="6"/>
  <c r="E9" i="6"/>
  <c r="E10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G25" i="11" l="1"/>
  <c r="H12" i="6"/>
  <c r="G24" i="11"/>
  <c r="H11" i="6"/>
  <c r="K26" i="11"/>
  <c r="F22" i="10"/>
  <c r="H22" i="10" s="1"/>
  <c r="E16" i="8"/>
  <c r="D26" i="4"/>
  <c r="H14" i="6"/>
  <c r="E25" i="4"/>
  <c r="H15" i="6"/>
  <c r="E26" i="4"/>
  <c r="E15" i="8"/>
  <c r="D25" i="4"/>
  <c r="E17" i="8"/>
  <c r="D27" i="4"/>
  <c r="E27" i="4"/>
  <c r="H13" i="6"/>
  <c r="M26" i="11" l="1"/>
  <c r="M27" i="11" s="1"/>
  <c r="J25" i="11"/>
  <c r="J24" i="11"/>
  <c r="F11" i="10"/>
  <c r="H11" i="10" s="1"/>
  <c r="H19" i="10"/>
  <c r="F20" i="10"/>
  <c r="H20" i="10" s="1"/>
  <c r="P18" i="2"/>
  <c r="M25" i="11" l="1"/>
  <c r="F14" i="4"/>
  <c r="B12" i="8" s="1"/>
  <c r="F12" i="8" s="1"/>
  <c r="E18" i="10" l="1"/>
  <c r="L24" i="11" s="1"/>
  <c r="G12" i="8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K5" i="4"/>
  <c r="N5" i="4" s="1"/>
  <c r="F7" i="4" s="1"/>
  <c r="B6" i="8" s="1"/>
  <c r="L6" i="3"/>
  <c r="Y24" i="5"/>
  <c r="Y25" i="5"/>
  <c r="Y23" i="5"/>
  <c r="E6" i="3"/>
  <c r="F6" i="3"/>
  <c r="F7" i="3" s="1"/>
  <c r="G6" i="3"/>
  <c r="H6" i="3"/>
  <c r="Q23" i="5"/>
  <c r="T5" i="5"/>
  <c r="M6" i="3"/>
  <c r="I6" i="3"/>
  <c r="J6" i="3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Z25" i="5"/>
  <c r="Z23" i="5"/>
  <c r="Y22" i="5"/>
  <c r="Z22" i="5"/>
  <c r="X22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H19" i="2" l="1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P15" i="4" s="1"/>
  <c r="J7" i="3"/>
  <c r="M15" i="4" l="1"/>
  <c r="E13" i="4" s="1"/>
  <c r="E12" i="4"/>
  <c r="J15" i="4"/>
  <c r="E11" i="4" s="1"/>
  <c r="K15" i="4"/>
  <c r="F11" i="4" s="1"/>
  <c r="B9" i="8" s="1"/>
  <c r="Q15" i="4"/>
  <c r="A9" i="8" l="1"/>
  <c r="F9" i="8" s="1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Q12" i="4"/>
  <c r="R12" i="4"/>
  <c r="F10" i="8" l="1"/>
  <c r="G10" i="8" s="1"/>
  <c r="J10" i="8" s="1"/>
  <c r="K10" i="8" s="1"/>
  <c r="F11" i="8"/>
  <c r="G11" i="8" s="1"/>
  <c r="J11" i="8" s="1"/>
  <c r="K11" i="8" s="1"/>
  <c r="F6" i="6"/>
  <c r="H6" i="6" s="1"/>
  <c r="A7" i="8"/>
  <c r="F7" i="8" s="1"/>
  <c r="K10" i="4"/>
  <c r="Q3" i="4" l="1"/>
  <c r="J5" i="4"/>
  <c r="E5" i="4" s="1"/>
  <c r="G7" i="8"/>
  <c r="J7" i="8" s="1"/>
  <c r="K7" i="8" s="1"/>
  <c r="E10" i="10"/>
  <c r="P5" i="4"/>
  <c r="E6" i="4" s="1"/>
  <c r="L10" i="11" l="1"/>
  <c r="M10" i="11" s="1"/>
  <c r="M12" i="11" s="1"/>
  <c r="L13" i="11"/>
  <c r="M13" i="11" s="1"/>
  <c r="M15" i="11" s="1"/>
  <c r="Q2" i="4"/>
  <c r="M5" i="4"/>
  <c r="E7" i="4" s="1"/>
  <c r="A5" i="8"/>
  <c r="F5" i="8" s="1"/>
  <c r="G5" i="8" s="1"/>
  <c r="J5" i="8" s="1"/>
  <c r="K5" i="8" s="1"/>
  <c r="F4" i="6"/>
  <c r="H4" i="6" s="1"/>
  <c r="F10" i="10"/>
  <c r="H10" i="10" s="1"/>
  <c r="F3" i="6" l="1"/>
  <c r="H3" i="6" s="1"/>
  <c r="A4" i="8"/>
  <c r="F4" i="8" s="1"/>
  <c r="G4" i="8" s="1"/>
  <c r="F5" i="6"/>
  <c r="H5" i="6" s="1"/>
  <c r="A6" i="8"/>
  <c r="F6" i="8" s="1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<sst xmlns="http://schemas.openxmlformats.org/spreadsheetml/2006/main" count="337" uniqueCount="172">
  <si>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</si>
  <si>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</si>
  <si>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</si>
  <si>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</si>
  <si>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</si>
  <si>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</si>
  <si>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</si>
  <si>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</si>
  <si>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</si>
  <si>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</si>
  <si>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</si>
  <si>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</si>
  <si>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</si>
  <si>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</si>
  <si>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</si>
  <si>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</si>
  <si>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</si>
  <si>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</si>
  <si>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</si>
  <si>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</si>
  <si>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</si>
  <si>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</si>
  <si>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</si>
  <si>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</si>
  <si>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</si>
  <si>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</si>
  <si>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</si>
  <si>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</si>
  <si>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</si>
  <si>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</si>
  <si>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</si>
  <si>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</si>
  <si>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</si>
  <si>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</si>
  <si>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</si>
  <si>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</si>
  <si>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</si>
  <si>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</si>
  <si>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</si>
  <si>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</si>
  <si>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</si>
  <si>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</si>
  <si>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</si>
  <si>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</si>
  <si>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</si>
  <si>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</si>
  <si>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</si>
  <si>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</si>
  <si>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</si>
  <si>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</si>
  <si>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</si>
  <si>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</si>
  <si>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</si>
  <si>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</si>
  <si>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</si>
  <si>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</si>
  <si>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</si>
  <si>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</si>
  <si>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</si>
  <si>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</si>
  <si>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</si>
  <si>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</si>
  <si>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</si>
  <si>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</si>
  <si>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</si>
  <si>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</si>
  <si>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</si>
  <si>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</si>
  <si>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</si>
  <si>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</si>
  <si>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</si>
  <si>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</si>
  <si>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</si>
  <si>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</si>
  <si>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</si>
  <si>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</si>
  <si>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</si>
  <si>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</si>
  <si>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</si>
  <si>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</si>
  <si>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</si>
  <si>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</si>
  <si>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</si>
  <si>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</si>
  <si>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</si>
  <si>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</si>
  <si>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</si>
  <si>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</si>
  <si>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</si>
  <si>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</si>
  <si>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д</t>
  </si>
  <si>
    <t>г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</si>
  <si>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</si>
  <si>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</si>
  <si>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</si>
  <si>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</si>
  <si>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</si>
  <si>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</si>
  <si>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</si>
  <si>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</si>
  <si>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</si>
  <si>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</si>
  <si>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</si>
  <si>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</si>
  <si>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</si>
  <si>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</si>
  <si>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</si>
  <si>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</si>
  <si>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</si>
  <si>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</si>
  <si>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</si>
  <si>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</si>
  <si>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</si>
  <si>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</si>
  <si>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</si>
  <si>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</si>
  <si>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</si>
  <si>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</si>
  <si>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</si>
  <si>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</si>
  <si>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</si>
  <si>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</si>
  <si>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</si>
  <si>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</si>
  <si>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</si>
  <si>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</si>
  <si>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</si>
  <si>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</si>
  <si>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</si>
  <si>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</si>
  <si>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</si>
  <si>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</si>
  <si>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</si>
  <si>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</si>
  <si>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</si>
  <si>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</si>
  <si>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</si>
  <si>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</si>
  <si>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</si>
  <si>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</si>
  <si>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</si>
  <si>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</si>
  <si>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</si>
  <si>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</si>
  <si>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</si>
  <si>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</si>
  <si>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</si>
  <si>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</si>
  <si>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</si>
  <si>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</si>
  <si>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</si>
  <si>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</si>
  <si>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</si>
  <si>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</si>
  <si>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До точки Г</t>
  </si>
  <si>
    <t>До точки Д</t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</si>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</sst>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0" xfId="0" applyFont="1"/>
    <xf numFmtId="0" fontId="12" fillId="0" borderId="43" xfId="0" applyFont="1" applyBorder="1" applyAlignment="1">
      <alignment horizontal="right" vertical="center" wrapText="1"/>
    </xf>
    <xf numFmtId="0" fontId="12" fillId="0" borderId="44" xfId="0" applyFont="1" applyBorder="1" applyAlignment="1">
      <alignment horizontal="right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164" fontId="12" fillId="0" borderId="45" xfId="0" applyNumberFormat="1" applyFont="1" applyBorder="1" applyAlignment="1">
      <alignment horizontal="center"/>
    </xf>
    <xf numFmtId="164" fontId="12" fillId="0" borderId="45" xfId="0" applyNumberFormat="1" applyFont="1" applyBorder="1" applyAlignment="1">
      <alignment horizontal="center" vertical="center" wrapText="1"/>
    </xf>
    <xf numFmtId="2" fontId="12" fillId="0" borderId="45" xfId="0" applyNumberFormat="1" applyFont="1" applyBorder="1" applyAlignment="1">
      <alignment horizontal="center" vertical="center" wrapText="1"/>
    </xf>
    <xf numFmtId="169" fontId="12" fillId="0" borderId="45" xfId="0" applyNumberFormat="1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45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50" xfId="0" applyFont="1" applyBorder="1" applyAlignment="1">
      <alignment vertical="center" wrapText="1"/>
    </xf>
    <xf numFmtId="0" fontId="12" fillId="0" borderId="5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wmf"/><Relationship Id="rId1" Type="http://schemas.openxmlformats.org/officeDocument/2006/relationships/image" Target="../media/image15.wmf"/><Relationship Id="rId5" Type="http://schemas.openxmlformats.org/officeDocument/2006/relationships/image" Target="../media/image19.emf"/><Relationship Id="rId4" Type="http://schemas.openxmlformats.org/officeDocument/2006/relationships/image" Target="../media/image18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4.wmf"/><Relationship Id="rId1" Type="http://schemas.openxmlformats.org/officeDocument/2006/relationships/image" Target="../media/image23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0</xdr:row>
          <xdr:rowOff>0</xdr:rowOff>
        </xdr:from>
        <xdr:to>
          <xdr:col>7</xdr:col>
          <xdr:colOff>238125</xdr:colOff>
          <xdr:row>1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85725</xdr:colOff>
          <xdr:row>24</xdr:row>
          <xdr:rowOff>66675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0</xdr:rowOff>
        </xdr:from>
        <xdr:to>
          <xdr:col>7</xdr:col>
          <xdr:colOff>228600</xdr:colOff>
          <xdr:row>2</xdr:row>
          <xdr:rowOff>238125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0</xdr:rowOff>
        </xdr:from>
        <xdr:to>
          <xdr:col>8</xdr:col>
          <xdr:colOff>266700</xdr:colOff>
          <xdr:row>2</xdr:row>
          <xdr:rowOff>238125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2.emf"/><Relationship Id="rId4" Type="http://schemas.openxmlformats.org/officeDocument/2006/relationships/package" Target="../embeddings/Microsoft_Visio_Drawing13.vsdx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24.w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23.wmf"/><Relationship Id="rId4" Type="http://schemas.openxmlformats.org/officeDocument/2006/relationships/oleObject" Target="../embeddings/oleObject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8.wmf"/><Relationship Id="rId5" Type="http://schemas.openxmlformats.org/officeDocument/2006/relationships/image" Target="../media/image15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7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2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package" Target="../embeddings/Microsoft_Visio_Drawing12.vsdx"/><Relationship Id="rId5" Type="http://schemas.openxmlformats.org/officeDocument/2006/relationships/image" Target="../media/image20.emf"/><Relationship Id="rId4" Type="http://schemas.openxmlformats.org/officeDocument/2006/relationships/package" Target="../embeddings/Microsoft_Visio_Drawing1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8" workbookViewId="0">
      <selection activeCell="B27" sqref="B27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54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54" t="s">
        <v>10</v>
      </c>
      <c r="H2" s="2"/>
      <c r="M2" s="1"/>
    </row>
    <row r="3" spans="1:13" x14ac:dyDescent="0.25">
      <c r="A3" s="54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54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54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54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A9" zoomScale="86" zoomScaleNormal="86" workbookViewId="0">
      <selection activeCell="O28" sqref="O28:O29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99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122</v>
      </c>
      <c r="E31" t="s">
        <v>121</v>
      </c>
      <c r="F31">
        <f>SQRT(D29^2+E29^2)</f>
        <v>188.09330131612873</v>
      </c>
    </row>
    <row r="33" spans="4:18" x14ac:dyDescent="0.25">
      <c r="D33" t="s">
        <v>123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Z39"/>
  <sheetViews>
    <sheetView tabSelected="1" workbookViewId="0">
      <selection activeCell="H3" sqref="H3:H4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26" ht="18.75" x14ac:dyDescent="0.25">
      <c r="C3" s="120" t="s">
        <v>111</v>
      </c>
      <c r="D3" s="119" t="s">
        <v>149</v>
      </c>
      <c r="E3" s="120" t="s">
        <v>109</v>
      </c>
      <c r="F3" s="120" t="s">
        <v>120</v>
      </c>
      <c r="G3" s="119" t="s">
        <v>168</v>
      </c>
      <c r="H3" s="120" t="s">
        <v>171</v>
      </c>
      <c r="I3" s="120" t="s">
        <v>151</v>
      </c>
      <c r="J3" s="121" t="s">
        <v>152</v>
      </c>
      <c r="K3" s="121" t="s">
        <v>153</v>
      </c>
      <c r="L3" s="121" t="s">
        <v>108</v>
      </c>
      <c r="M3" s="121" t="s">
        <v>170</v>
      </c>
    </row>
    <row r="4" spans="3:26" ht="18.75" x14ac:dyDescent="0.25">
      <c r="C4" s="120"/>
      <c r="D4" s="119" t="s">
        <v>150</v>
      </c>
      <c r="E4" s="120"/>
      <c r="F4" s="120"/>
      <c r="G4" s="119"/>
      <c r="H4" s="120"/>
      <c r="I4" s="120"/>
      <c r="J4" s="119" t="s">
        <v>151</v>
      </c>
      <c r="K4" s="119" t="s">
        <v>151</v>
      </c>
      <c r="L4" s="119" t="s">
        <v>169</v>
      </c>
      <c r="M4" s="119" t="s">
        <v>9</v>
      </c>
    </row>
    <row r="5" spans="3:26" ht="19.5" customHeight="1" x14ac:dyDescent="0.25">
      <c r="C5" s="128" t="s">
        <v>19</v>
      </c>
      <c r="D5" s="120" t="s">
        <v>160</v>
      </c>
      <c r="E5" s="120" t="s">
        <v>141</v>
      </c>
      <c r="F5" s="120"/>
      <c r="G5" s="120"/>
      <c r="H5" s="120"/>
      <c r="I5" s="120"/>
      <c r="J5" s="120"/>
      <c r="K5" s="120"/>
      <c r="L5" s="120"/>
      <c r="M5" s="120"/>
    </row>
    <row r="6" spans="3:26" ht="18.75" x14ac:dyDescent="0.3">
      <c r="C6" s="129"/>
      <c r="D6" s="130"/>
      <c r="E6" s="119" t="str">
        <f>нагрів!D5</f>
        <v>ВП-Д</v>
      </c>
      <c r="F6" s="119" t="str">
        <f>нагрів!I5</f>
        <v>АС-300/67</v>
      </c>
      <c r="G6" s="124">
        <f>'Таблиця 1-4'!E4</f>
        <v>7.8</v>
      </c>
      <c r="H6" s="127">
        <v>3.4000000000000002E-2</v>
      </c>
      <c r="I6" s="127">
        <v>0.40500000000000003</v>
      </c>
      <c r="J6" s="126">
        <f>H6*G6</f>
        <v>0.26519999999999999</v>
      </c>
      <c r="K6" s="126">
        <f>I6*G6</f>
        <v>3.1590000000000003</v>
      </c>
      <c r="L6" s="119" t="str">
        <f>нагрів!E5</f>
        <v>62+38i</v>
      </c>
      <c r="M6" s="126">
        <f>(IMREAL(L6)*J6+IMAGINARY(L6)*K6)/$N$6</f>
        <v>1.2407672727272729</v>
      </c>
      <c r="N6" s="115">
        <v>110</v>
      </c>
    </row>
    <row r="7" spans="3:26" ht="19.5" thickBot="1" x14ac:dyDescent="0.35">
      <c r="C7" s="129"/>
      <c r="D7" s="130"/>
      <c r="E7" s="119" t="str">
        <f>нагрів!D6</f>
        <v>Д-В</v>
      </c>
      <c r="F7" s="119" t="str">
        <f>нагрів!I6</f>
        <v>АС-150/34</v>
      </c>
      <c r="G7" s="125">
        <f>'Таблиця 1-4'!E5</f>
        <v>5.6</v>
      </c>
      <c r="H7" s="127">
        <v>0.19800000000000001</v>
      </c>
      <c r="I7" s="126">
        <v>0.42</v>
      </c>
      <c r="J7" s="126">
        <f>H7*G7</f>
        <v>1.1088</v>
      </c>
      <c r="K7" s="126">
        <f>I7*G7</f>
        <v>2.3519999999999999</v>
      </c>
      <c r="L7" s="119" t="str">
        <f>нагрів!E6</f>
        <v>27+19i</v>
      </c>
      <c r="M7" s="126">
        <f>(IMREAL(L7)*J7+IMAGINARY(L7)*K7)/$N$6</f>
        <v>0.67841454545454538</v>
      </c>
      <c r="N7" s="115"/>
    </row>
    <row r="8" spans="3:26" ht="19.5" thickBot="1" x14ac:dyDescent="0.3">
      <c r="C8" s="129"/>
      <c r="D8" s="130"/>
      <c r="E8" s="123" t="s">
        <v>163</v>
      </c>
      <c r="F8" s="131"/>
      <c r="G8" s="131"/>
      <c r="H8" s="131"/>
      <c r="I8" s="131"/>
      <c r="J8" s="131"/>
      <c r="K8" s="131"/>
      <c r="L8" s="132"/>
      <c r="M8" s="126">
        <f>M6+M7</f>
        <v>1.9191818181818183</v>
      </c>
      <c r="P8" s="116" t="s">
        <v>154</v>
      </c>
      <c r="Q8" s="117"/>
      <c r="R8" s="117"/>
      <c r="S8" s="117"/>
      <c r="T8" s="117"/>
      <c r="U8" s="117"/>
      <c r="V8" s="117"/>
      <c r="W8" s="117"/>
      <c r="X8" s="117"/>
      <c r="Y8" s="118"/>
      <c r="Z8" s="33"/>
    </row>
    <row r="9" spans="3:26" ht="19.5" thickBot="1" x14ac:dyDescent="0.3">
      <c r="C9" s="129"/>
      <c r="D9" s="130"/>
      <c r="E9" s="123" t="str">
        <f>нагрів!D7</f>
        <v>відключення ВП-Д</v>
      </c>
      <c r="F9" s="131"/>
      <c r="G9" s="131"/>
      <c r="H9" s="131"/>
      <c r="I9" s="131"/>
      <c r="J9" s="131"/>
      <c r="K9" s="131"/>
      <c r="L9" s="131"/>
      <c r="M9" s="132"/>
      <c r="P9" s="116" t="s">
        <v>155</v>
      </c>
      <c r="Q9" s="117"/>
      <c r="R9" s="117"/>
      <c r="S9" s="117"/>
      <c r="T9" s="117"/>
      <c r="U9" s="117"/>
      <c r="V9" s="117"/>
      <c r="W9" s="117"/>
      <c r="X9" s="117"/>
      <c r="Y9" s="118"/>
      <c r="Z9" s="33"/>
    </row>
    <row r="10" spans="3:26" ht="19.5" customHeight="1" x14ac:dyDescent="0.25">
      <c r="C10" s="129"/>
      <c r="D10" s="130"/>
      <c r="E10" s="119" t="str">
        <f>нагрів!D8</f>
        <v>ВП-В</v>
      </c>
      <c r="F10" s="119" t="str">
        <f>нагрів!I8</f>
        <v>АС-240/56</v>
      </c>
      <c r="G10" s="119">
        <f>'Таблиця 1-4'!E3</f>
        <v>11.8</v>
      </c>
      <c r="H10" s="127">
        <v>0.12</v>
      </c>
      <c r="I10" s="127">
        <v>0.40500000000000003</v>
      </c>
      <c r="J10" s="126">
        <f>H10*G10</f>
        <v>1.4159999999999999</v>
      </c>
      <c r="K10" s="126">
        <f>I10*G10</f>
        <v>4.7790000000000008</v>
      </c>
      <c r="L10" s="119" t="str">
        <f>нагрів!E10</f>
        <v>35+19i</v>
      </c>
      <c r="M10" s="126">
        <f>(IMREAL(L10)*J10+IMAGINARY(L10)*K10)/$N$6</f>
        <v>1.2760090909090911</v>
      </c>
    </row>
    <row r="11" spans="3:26" ht="18.75" x14ac:dyDescent="0.25">
      <c r="C11" s="129"/>
      <c r="D11" s="130"/>
      <c r="E11" s="119" t="str">
        <f>нагрів!D9</f>
        <v>В-Д</v>
      </c>
      <c r="F11" s="119" t="str">
        <f>нагрів!I9</f>
        <v>АС-150/34</v>
      </c>
      <c r="G11" s="119">
        <f>G7</f>
        <v>5.6</v>
      </c>
      <c r="H11" s="127">
        <v>0.19800000000000001</v>
      </c>
      <c r="I11" s="126">
        <v>0.42</v>
      </c>
      <c r="J11" s="126">
        <f>H11*G11</f>
        <v>1.1088</v>
      </c>
      <c r="K11" s="126">
        <f>I11*G11</f>
        <v>2.3519999999999999</v>
      </c>
      <c r="L11" s="119" t="str">
        <f>нагрів!E11</f>
        <v>62+32.8i</v>
      </c>
      <c r="M11" s="126">
        <f>(IMREAL(L11)*J11+IMAGINARY(L11)*K11)/$N$6</f>
        <v>1.3262836363636361</v>
      </c>
    </row>
    <row r="12" spans="3:26" ht="18.75" x14ac:dyDescent="0.25">
      <c r="C12" s="129"/>
      <c r="D12" s="130"/>
      <c r="E12" s="123" t="s">
        <v>164</v>
      </c>
      <c r="F12" s="131"/>
      <c r="G12" s="131"/>
      <c r="H12" s="131"/>
      <c r="I12" s="131"/>
      <c r="J12" s="131"/>
      <c r="K12" s="131"/>
      <c r="L12" s="132"/>
      <c r="M12" s="126">
        <f>M10+M11</f>
        <v>2.6022927272727272</v>
      </c>
    </row>
    <row r="13" spans="3:26" ht="18.75" x14ac:dyDescent="0.25">
      <c r="C13" s="129"/>
      <c r="D13" s="128" t="s">
        <v>161</v>
      </c>
      <c r="E13" s="119" t="str">
        <f>Fрозр!E7</f>
        <v>В-Д</v>
      </c>
      <c r="F13" s="119" t="str">
        <f>нагрів!I10</f>
        <v>АС-150/34</v>
      </c>
      <c r="G13" s="119">
        <f>Потокорозподіл!D8</f>
        <v>5.6</v>
      </c>
      <c r="H13" s="127">
        <f>H11</f>
        <v>0.19800000000000001</v>
      </c>
      <c r="I13" s="126">
        <f>I11</f>
        <v>0.42</v>
      </c>
      <c r="J13" s="119">
        <f>H13*G13</f>
        <v>1.1088</v>
      </c>
      <c r="K13" s="119">
        <f>I13*G13</f>
        <v>2.3519999999999999</v>
      </c>
      <c r="L13" s="119" t="str">
        <f>нагрів!E10</f>
        <v>35+19i</v>
      </c>
      <c r="M13" s="126">
        <f>(IMREAL(L13)*J13+IMAGINARY(L13)*K13)/$N$6</f>
        <v>0.75905454545454543</v>
      </c>
    </row>
    <row r="14" spans="3:26" ht="18.75" x14ac:dyDescent="0.25">
      <c r="C14" s="129"/>
      <c r="D14" s="129"/>
      <c r="E14" s="119" t="str">
        <f>Fрозр!E8</f>
        <v>ВП-Д</v>
      </c>
      <c r="F14" s="119" t="str">
        <f>нагрів!I11</f>
        <v>АС-240/56</v>
      </c>
      <c r="G14" s="119">
        <f>Потокорозподіл!D9</f>
        <v>7.8</v>
      </c>
      <c r="H14" s="127">
        <f>H10</f>
        <v>0.12</v>
      </c>
      <c r="I14" s="127">
        <f>I10</f>
        <v>0.40500000000000003</v>
      </c>
      <c r="J14" s="119">
        <f>H14*G14</f>
        <v>0.93599999999999994</v>
      </c>
      <c r="K14" s="119">
        <f>I14*G14</f>
        <v>3.1590000000000003</v>
      </c>
      <c r="L14" s="119" t="str">
        <f>нагрів!E11</f>
        <v>62+32.8i</v>
      </c>
      <c r="M14" s="126">
        <f>(IMREAL(L14)*J14+IMAGINARY(L14)*K14)/$N$6</f>
        <v>1.4695199999999999</v>
      </c>
    </row>
    <row r="15" spans="3:26" ht="18.75" x14ac:dyDescent="0.25">
      <c r="C15" s="133"/>
      <c r="D15" s="133"/>
      <c r="E15" s="123" t="s">
        <v>165</v>
      </c>
      <c r="F15" s="131"/>
      <c r="G15" s="131"/>
      <c r="H15" s="131"/>
      <c r="I15" s="131"/>
      <c r="J15" s="131"/>
      <c r="K15" s="131"/>
      <c r="L15" s="132"/>
      <c r="M15" s="126">
        <f>M13+M14</f>
        <v>2.2285745454545456</v>
      </c>
    </row>
    <row r="16" spans="3:26" ht="19.5" customHeight="1" x14ac:dyDescent="0.25">
      <c r="C16" s="120" t="s">
        <v>20</v>
      </c>
      <c r="D16" s="120" t="s">
        <v>160</v>
      </c>
      <c r="E16" s="123" t="s">
        <v>145</v>
      </c>
      <c r="F16" s="131"/>
      <c r="G16" s="131"/>
      <c r="H16" s="131"/>
      <c r="I16" s="131"/>
      <c r="J16" s="131"/>
      <c r="K16" s="131"/>
      <c r="L16" s="131"/>
      <c r="M16" s="132"/>
    </row>
    <row r="17" spans="3:14" ht="18.75" x14ac:dyDescent="0.25">
      <c r="C17" s="120"/>
      <c r="D17" s="130"/>
      <c r="E17" s="119" t="str">
        <f>нагрів!D13</f>
        <v>ВП-Е</v>
      </c>
      <c r="F17" s="119" t="str">
        <f>нагрів!I13</f>
        <v>АС-240/56</v>
      </c>
      <c r="G17" s="119">
        <v>7.8</v>
      </c>
      <c r="H17" s="127">
        <f>H10</f>
        <v>0.12</v>
      </c>
      <c r="I17" s="127">
        <f>I10</f>
        <v>0.40500000000000003</v>
      </c>
      <c r="J17" s="119">
        <f>H17*G17</f>
        <v>0.93599999999999994</v>
      </c>
      <c r="K17" s="119">
        <f>I17*G17</f>
        <v>3.1590000000000003</v>
      </c>
      <c r="L17" s="119" t="str">
        <f>нагрів!E13</f>
        <v>62+32.5i</v>
      </c>
      <c r="M17" s="126">
        <f>(IMREAL(L17)*J17+IMAGINARY(L14)*K17)/$N$6</f>
        <v>1.4695199999999999</v>
      </c>
    </row>
    <row r="18" spans="3:14" ht="18.75" x14ac:dyDescent="0.25">
      <c r="C18" s="120"/>
      <c r="D18" s="130"/>
      <c r="E18" s="119" t="str">
        <f>нагрів!D14</f>
        <v>Е-Г</v>
      </c>
      <c r="F18" s="119" t="str">
        <f>нагрів!I14</f>
        <v>АС-150/34</v>
      </c>
      <c r="G18" s="119">
        <v>5.6</v>
      </c>
      <c r="H18" s="127">
        <f>H11</f>
        <v>0.19800000000000001</v>
      </c>
      <c r="I18" s="126">
        <f>I11</f>
        <v>0.42</v>
      </c>
      <c r="J18" s="119">
        <f>H18*G18</f>
        <v>1.1088</v>
      </c>
      <c r="K18" s="119">
        <f>I18*G18</f>
        <v>2.3519999999999999</v>
      </c>
      <c r="L18" s="119" t="str">
        <f>нагрів!E14</f>
        <v>27+15.5i</v>
      </c>
      <c r="M18" s="126">
        <f>(IMREAL(L18)*J18+IMAGINARY(L15)*K18)/$N$6</f>
        <v>0.27216000000000001</v>
      </c>
    </row>
    <row r="19" spans="3:14" ht="18.75" x14ac:dyDescent="0.25">
      <c r="C19" s="120"/>
      <c r="D19" s="130"/>
      <c r="E19" s="123" t="s">
        <v>166</v>
      </c>
      <c r="F19" s="131"/>
      <c r="G19" s="131"/>
      <c r="H19" s="131"/>
      <c r="I19" s="131"/>
      <c r="J19" s="131"/>
      <c r="K19" s="131"/>
      <c r="L19" s="132"/>
      <c r="M19" s="126">
        <f>M17+M18</f>
        <v>1.7416799999999999</v>
      </c>
    </row>
    <row r="20" spans="3:14" ht="19.350000000000001" customHeight="1" x14ac:dyDescent="0.25">
      <c r="C20" s="120"/>
      <c r="D20" s="130"/>
      <c r="E20" s="123" t="s">
        <v>144</v>
      </c>
      <c r="F20" s="131"/>
      <c r="G20" s="131"/>
      <c r="H20" s="131"/>
      <c r="I20" s="131"/>
      <c r="J20" s="131"/>
      <c r="K20" s="131"/>
      <c r="L20" s="131"/>
      <c r="M20" s="132"/>
    </row>
    <row r="21" spans="3:14" ht="18.75" x14ac:dyDescent="0.25">
      <c r="C21" s="120"/>
      <c r="D21" s="130"/>
      <c r="E21" s="119" t="str">
        <f>нагрів!D16</f>
        <v>ВП-Г</v>
      </c>
      <c r="F21" s="119" t="str">
        <f>нагрів!I16</f>
        <v>АС-300/67</v>
      </c>
      <c r="G21" s="119">
        <f>11.8</f>
        <v>11.8</v>
      </c>
      <c r="H21" s="119">
        <v>3.4000000000000002E-2</v>
      </c>
      <c r="I21" s="119">
        <v>0.40500000000000003</v>
      </c>
      <c r="J21" s="125">
        <f>H21*G21</f>
        <v>0.40120000000000006</v>
      </c>
      <c r="K21" s="125">
        <f>G21*I21</f>
        <v>4.7790000000000008</v>
      </c>
      <c r="L21" s="119" t="str">
        <f>нагрів!E16</f>
        <v>62+32.5i</v>
      </c>
      <c r="M21" s="126">
        <f>(IMREAL(L21)*J21+IMAGINARY(L21)*K21)/$N$6</f>
        <v>1.6381081818181822</v>
      </c>
    </row>
    <row r="22" spans="3:14" ht="18.75" x14ac:dyDescent="0.25">
      <c r="C22" s="120"/>
      <c r="D22" s="130"/>
      <c r="E22" s="119" t="str">
        <f>нагрів!D17</f>
        <v>Г-Е</v>
      </c>
      <c r="F22" s="119" t="str">
        <f>нагрів!I17</f>
        <v>АС-150/34</v>
      </c>
      <c r="G22" s="119">
        <v>5.6</v>
      </c>
      <c r="H22" s="119">
        <v>0.19800000000000001</v>
      </c>
      <c r="I22" s="119">
        <v>0.42</v>
      </c>
      <c r="J22" s="125">
        <f>H22*G22</f>
        <v>1.1088</v>
      </c>
      <c r="K22" s="125">
        <f>G22*I22</f>
        <v>2.3519999999999999</v>
      </c>
      <c r="L22" s="119" t="str">
        <f>нагрів!E17</f>
        <v>35+17i</v>
      </c>
      <c r="M22" s="126">
        <f>(IMREAL(L22)*J22+IMAGINARY(L22)*K22)/$N$6</f>
        <v>0.71629090909090909</v>
      </c>
    </row>
    <row r="23" spans="3:14" ht="18.75" x14ac:dyDescent="0.25">
      <c r="C23" s="120"/>
      <c r="D23" s="130"/>
      <c r="E23" s="123" t="s">
        <v>167</v>
      </c>
      <c r="F23" s="131"/>
      <c r="G23" s="131"/>
      <c r="H23" s="131"/>
      <c r="I23" s="131"/>
      <c r="J23" s="131"/>
      <c r="K23" s="131"/>
      <c r="L23" s="132"/>
      <c r="M23" s="126">
        <f>M21+M22</f>
        <v>2.3543990909090913</v>
      </c>
    </row>
    <row r="24" spans="3:14" ht="18.75" x14ac:dyDescent="0.25">
      <c r="C24" s="120"/>
      <c r="D24" s="120" t="s">
        <v>161</v>
      </c>
      <c r="E24" s="119" t="str">
        <f>нагрів!D18</f>
        <v>ВП-2</v>
      </c>
      <c r="F24" s="119" t="str">
        <f>нагрів!I18</f>
        <v>АС-300/67</v>
      </c>
      <c r="G24" s="119">
        <f>'Таблиця 1-4'!E11</f>
        <v>5.4</v>
      </c>
      <c r="H24" s="119">
        <f>H21</f>
        <v>3.4000000000000002E-2</v>
      </c>
      <c r="I24" s="119">
        <f>I21</f>
        <v>0.40500000000000003</v>
      </c>
      <c r="J24" s="119">
        <f>H24*G24</f>
        <v>0.18360000000000001</v>
      </c>
      <c r="K24" s="119">
        <f>I24*G24</f>
        <v>2.1870000000000003</v>
      </c>
      <c r="L24" s="119" t="str">
        <f>нагрів!E18</f>
        <v>67+32.5i</v>
      </c>
      <c r="M24" s="126">
        <f>(IMREAL(L24)*J24+IMAGINARY(L24)*K24)/$N$6</f>
        <v>0.75798818181818195</v>
      </c>
    </row>
    <row r="25" spans="3:14" ht="18.75" x14ac:dyDescent="0.25">
      <c r="C25" s="120"/>
      <c r="D25" s="120"/>
      <c r="E25" s="119" t="str">
        <f>нагрів!D19</f>
        <v>Г-2</v>
      </c>
      <c r="F25" s="119" t="str">
        <f>нагрів!I19</f>
        <v>АС-120/27</v>
      </c>
      <c r="G25" s="119">
        <f>'Таблиця 1-4'!E12</f>
        <v>7.2</v>
      </c>
      <c r="H25" s="119">
        <f>0.249</f>
        <v>0.249</v>
      </c>
      <c r="I25" s="119">
        <v>0.42699999999999999</v>
      </c>
      <c r="J25" s="119">
        <f>H25*G25</f>
        <v>1.7927999999999999</v>
      </c>
      <c r="K25" s="119">
        <f>I25*G25</f>
        <v>3.0743999999999998</v>
      </c>
      <c r="L25" s="119" t="str">
        <f>нагрів!E19</f>
        <v>32+15.5i</v>
      </c>
      <c r="M25" s="126">
        <f t="shared" ref="M25:M26" si="0">(IMREAL(L25)*J25+IMAGINARY(L25)*K25)/$N$6</f>
        <v>0.9547527272727272</v>
      </c>
    </row>
    <row r="26" spans="3:14" ht="18.75" x14ac:dyDescent="0.25">
      <c r="C26" s="120"/>
      <c r="D26" s="120"/>
      <c r="E26" s="119" t="str">
        <f>нагрів!D20</f>
        <v>Е-2</v>
      </c>
      <c r="F26" s="119" t="str">
        <f>нагрів!I20</f>
        <v>АС-150/34</v>
      </c>
      <c r="G26" s="119">
        <f>'Таблиця 1-4'!E13</f>
        <v>8.3000000000000007</v>
      </c>
      <c r="H26" s="127">
        <f>H18</f>
        <v>0.19800000000000001</v>
      </c>
      <c r="I26" s="126">
        <f>I18</f>
        <v>0.42</v>
      </c>
      <c r="J26" s="119">
        <f>H26*G26</f>
        <v>1.6434000000000002</v>
      </c>
      <c r="K26" s="119">
        <f>I26*G26</f>
        <v>3.4860000000000002</v>
      </c>
      <c r="L26" s="119" t="str">
        <f>нагрів!E20</f>
        <v>35+17i</v>
      </c>
      <c r="M26" s="126">
        <f t="shared" si="0"/>
        <v>1.0616454545454546</v>
      </c>
    </row>
    <row r="27" spans="3:14" ht="18.75" x14ac:dyDescent="0.25">
      <c r="C27" s="120"/>
      <c r="D27" s="120"/>
      <c r="E27" s="123" t="s">
        <v>167</v>
      </c>
      <c r="F27" s="131"/>
      <c r="G27" s="131"/>
      <c r="H27" s="131"/>
      <c r="I27" s="131"/>
      <c r="J27" s="131"/>
      <c r="K27" s="131"/>
      <c r="L27" s="132"/>
      <c r="M27" s="126">
        <f>M26</f>
        <v>1.0616454545454546</v>
      </c>
    </row>
    <row r="28" spans="3:14" ht="18.75" x14ac:dyDescent="0.25">
      <c r="C28" s="120"/>
      <c r="D28" s="120"/>
      <c r="E28" s="123" t="s">
        <v>166</v>
      </c>
      <c r="F28" s="131"/>
      <c r="G28" s="131"/>
      <c r="H28" s="131"/>
      <c r="I28" s="131"/>
      <c r="J28" s="131"/>
      <c r="K28" s="131"/>
      <c r="L28" s="132"/>
      <c r="M28" s="126">
        <f>M24+M25</f>
        <v>1.7127409090909091</v>
      </c>
    </row>
    <row r="29" spans="3:14" ht="18.75" x14ac:dyDescent="0.25">
      <c r="C29" s="120" t="s">
        <v>156</v>
      </c>
      <c r="D29" s="128"/>
      <c r="E29" s="119" t="s">
        <v>157</v>
      </c>
      <c r="F29" s="119" t="str">
        <f>нагрів!I21</f>
        <v>АС-400/51</v>
      </c>
      <c r="G29" s="119">
        <v>14.8</v>
      </c>
      <c r="H29" s="119">
        <v>7.4999999999999997E-2</v>
      </c>
      <c r="I29" s="119">
        <v>0.42</v>
      </c>
      <c r="J29" s="126">
        <f>H29*G29</f>
        <v>1.1100000000000001</v>
      </c>
      <c r="K29" s="126">
        <f>I29*G29</f>
        <v>6.2160000000000002</v>
      </c>
      <c r="L29" s="119" t="str">
        <f>нагрів!E21</f>
        <v>166.15+116.7i</v>
      </c>
      <c r="M29" s="119">
        <f>(IMREAL(L29)*J29+IMAGINARY(L29)*K29)/$N$29</f>
        <v>4.1356077272727276</v>
      </c>
      <c r="N29">
        <v>220</v>
      </c>
    </row>
    <row r="30" spans="3:14" ht="18.75" x14ac:dyDescent="0.25">
      <c r="C30" s="120"/>
      <c r="D30" s="134"/>
      <c r="E30" s="119" t="s">
        <v>158</v>
      </c>
      <c r="F30" s="119" t="str">
        <f>нагрів!I22</f>
        <v>АС-300/67</v>
      </c>
      <c r="G30" s="119">
        <v>22.6</v>
      </c>
      <c r="H30" s="119">
        <f>0.034</f>
        <v>3.4000000000000002E-2</v>
      </c>
      <c r="I30" s="119">
        <f>0.429</f>
        <v>0.42899999999999999</v>
      </c>
      <c r="J30" s="126">
        <f t="shared" ref="J30:J31" si="1">H30*G30</f>
        <v>0.76840000000000008</v>
      </c>
      <c r="K30" s="126">
        <f t="shared" ref="K30:K31" si="2">I30*G30</f>
        <v>9.6954000000000011</v>
      </c>
      <c r="L30" s="119" t="str">
        <f>нагрів!E22</f>
        <v>146.15+103.7i</v>
      </c>
      <c r="M30" s="119">
        <f>(IMREAL(L30)*J30+IMAGINARY(L30)*K30)/$N$29</f>
        <v>5.0805210909090919</v>
      </c>
    </row>
    <row r="31" spans="3:14" ht="18.75" x14ac:dyDescent="0.25">
      <c r="C31" s="120"/>
      <c r="D31" s="135"/>
      <c r="E31" s="119" t="s">
        <v>159</v>
      </c>
      <c r="F31" s="119" t="str">
        <f>нагрів!I23</f>
        <v>АС-240/56</v>
      </c>
      <c r="G31" s="119">
        <v>10.8</v>
      </c>
      <c r="H31" s="127">
        <v>2.4E-2</v>
      </c>
      <c r="I31" s="127">
        <f>0.429</f>
        <v>0.42899999999999999</v>
      </c>
      <c r="J31" s="126">
        <f t="shared" si="1"/>
        <v>0.25920000000000004</v>
      </c>
      <c r="K31" s="126">
        <f t="shared" si="2"/>
        <v>4.6332000000000004</v>
      </c>
      <c r="L31" s="119" t="str">
        <f>нагрів!E23</f>
        <v>20+13i</v>
      </c>
      <c r="M31" s="119">
        <f t="shared" ref="M30:M31" si="3">(IMREAL(L31)*J31+IMAGINARY(L31)*K31)/$N$29</f>
        <v>0.29734363636363642</v>
      </c>
    </row>
    <row r="32" spans="3:14" ht="18.75" x14ac:dyDescent="0.25">
      <c r="C32" s="122" t="s">
        <v>154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19"/>
    </row>
    <row r="35" spans="14:14" ht="19.5" customHeight="1" x14ac:dyDescent="0.25"/>
    <row r="39" spans="14:14" x14ac:dyDescent="0.25">
      <c r="N39" t="s">
        <v>162</v>
      </c>
    </row>
  </sheetData>
  <mergeCells count="27">
    <mergeCell ref="E23:L23"/>
    <mergeCell ref="E27:L27"/>
    <mergeCell ref="E28:L28"/>
    <mergeCell ref="D29:D31"/>
    <mergeCell ref="C16:C28"/>
    <mergeCell ref="D16:D23"/>
    <mergeCell ref="D24:D28"/>
    <mergeCell ref="E5:M5"/>
    <mergeCell ref="E9:M9"/>
    <mergeCell ref="E8:L8"/>
    <mergeCell ref="E12:L12"/>
    <mergeCell ref="D13:D15"/>
    <mergeCell ref="C5:C15"/>
    <mergeCell ref="E15:L15"/>
    <mergeCell ref="P8:Y8"/>
    <mergeCell ref="P9:Y9"/>
    <mergeCell ref="C29:C31"/>
    <mergeCell ref="C32:L32"/>
    <mergeCell ref="D5:D12"/>
    <mergeCell ref="E16:M16"/>
    <mergeCell ref="E20:M20"/>
    <mergeCell ref="E19:L19"/>
    <mergeCell ref="C3:C4"/>
    <mergeCell ref="E3:E4"/>
    <mergeCell ref="F3:F4"/>
    <mergeCell ref="H3:H4"/>
    <mergeCell ref="I3:I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9458" r:id="rId4">
          <objectPr defaultSize="0" autoPict="0" r:id="rId5">
            <anchor moveWithCells="1" sizeWithCells="1">
              <from>
                <xdr:col>7</xdr:col>
                <xdr:colOff>0</xdr:colOff>
                <xdr:row>2</xdr:row>
                <xdr:rowOff>0</xdr:rowOff>
              </from>
              <to>
                <xdr:col>7</xdr:col>
                <xdr:colOff>228600</xdr:colOff>
                <xdr:row>2</xdr:row>
                <xdr:rowOff>238125</xdr:rowOff>
              </to>
            </anchor>
          </objectPr>
        </oleObject>
      </mc:Choice>
      <mc:Fallback>
        <oleObject progId="Equation.3" shapeId="19458" r:id="rId4"/>
      </mc:Fallback>
    </mc:AlternateContent>
    <mc:AlternateContent xmlns:mc="http://schemas.openxmlformats.org/markup-compatibility/2006">
      <mc:Choice Requires="x14">
        <oleObject progId="Equation.3" shapeId="19457" r:id="rId6">
          <objectPr defaultSize="0" autoPict="0" r:id="rId7">
            <anchor moveWithCells="1" sizeWithCells="1">
              <from>
                <xdr:col>8</xdr:col>
                <xdr:colOff>0</xdr:colOff>
                <xdr:row>2</xdr:row>
                <xdr:rowOff>0</xdr:rowOff>
              </from>
              <to>
                <xdr:col>8</xdr:col>
                <xdr:colOff>266700</xdr:colOff>
                <xdr:row>2</xdr:row>
                <xdr:rowOff>238125</xdr:rowOff>
              </to>
            </anchor>
          </objectPr>
        </oleObject>
      </mc:Choice>
      <mc:Fallback>
        <oleObject progId="Equation.3" shapeId="1945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R41" sqref="R41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3" zoomScale="85" zoomScaleNormal="85" workbookViewId="0">
      <selection activeCell="P31" sqref="P31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124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98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97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93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126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8" sqref="L8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55" t="s">
        <v>48</v>
      </c>
      <c r="D3" s="57" t="s">
        <v>49</v>
      </c>
      <c r="E3" s="58"/>
      <c r="F3" s="58"/>
      <c r="G3" s="58"/>
      <c r="H3" s="59"/>
      <c r="I3" s="57" t="s">
        <v>50</v>
      </c>
      <c r="J3" s="58"/>
      <c r="K3" s="58"/>
      <c r="L3" s="58"/>
      <c r="M3" s="59"/>
    </row>
    <row r="4" spans="3:13" ht="16.5" thickBot="1" x14ac:dyDescent="0.3">
      <c r="C4" s="56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Длинна'!P24*1.6+'Вар2. Длинна'!P26*2</f>
        <v>39.480000000000004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45.480000000000004</v>
      </c>
      <c r="L7" s="38">
        <f>L6+L5*3</f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40" zoomScaleNormal="140" workbookViewId="0">
      <selection activeCell="C7" sqref="C7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78" t="s">
        <v>120</v>
      </c>
      <c r="D3" s="78" t="s">
        <v>119</v>
      </c>
      <c r="E3" s="78"/>
      <c r="F3" s="78" t="s">
        <v>118</v>
      </c>
      <c r="G3" s="78"/>
    </row>
    <row r="4" spans="3:7" ht="32.25" thickBot="1" x14ac:dyDescent="0.3">
      <c r="C4" s="78"/>
      <c r="D4" s="40" t="s">
        <v>117</v>
      </c>
      <c r="E4" s="40" t="s">
        <v>116</v>
      </c>
      <c r="F4" s="40" t="s">
        <v>115</v>
      </c>
      <c r="G4" s="40" t="s">
        <v>114</v>
      </c>
    </row>
    <row r="5" spans="3:7" ht="16.5" thickBot="1" x14ac:dyDescent="0.3">
      <c r="C5" s="40" t="s">
        <v>140</v>
      </c>
      <c r="D5" s="40">
        <v>114</v>
      </c>
      <c r="E5" s="40">
        <v>26.6</v>
      </c>
      <c r="F5" s="42">
        <f>D5/E5</f>
        <v>4.2857142857142856</v>
      </c>
      <c r="G5" s="40" t="s">
        <v>112</v>
      </c>
    </row>
    <row r="6" spans="3:7" ht="16.5" thickBot="1" x14ac:dyDescent="0.3">
      <c r="C6" s="40" t="s">
        <v>113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112</v>
      </c>
    </row>
    <row r="7" spans="3:7" ht="16.5" thickBot="1" x14ac:dyDescent="0.3">
      <c r="C7" s="40" t="s">
        <v>128</v>
      </c>
      <c r="D7" s="40">
        <v>185</v>
      </c>
      <c r="E7" s="40">
        <v>43.1</v>
      </c>
      <c r="F7" s="42">
        <f t="shared" si="0"/>
        <v>4.2923433874709973</v>
      </c>
      <c r="G7" s="40" t="s">
        <v>112</v>
      </c>
    </row>
    <row r="8" spans="3:7" ht="16.5" thickBot="1" x14ac:dyDescent="0.3">
      <c r="C8" s="43" t="s">
        <v>129</v>
      </c>
      <c r="D8" s="40">
        <v>241</v>
      </c>
      <c r="E8" s="40">
        <v>56.3</v>
      </c>
      <c r="F8" s="42">
        <f t="shared" si="0"/>
        <v>4.2806394316163416</v>
      </c>
      <c r="G8" s="40" t="s">
        <v>112</v>
      </c>
    </row>
    <row r="9" spans="3:7" ht="16.5" thickBot="1" x14ac:dyDescent="0.3">
      <c r="C9" s="40" t="s">
        <v>130</v>
      </c>
      <c r="D9" s="40">
        <v>288.5</v>
      </c>
      <c r="E9" s="40">
        <v>67.3</v>
      </c>
      <c r="F9" s="42">
        <f t="shared" si="0"/>
        <v>4.2867756315007428</v>
      </c>
      <c r="G9" s="40" t="s">
        <v>112</v>
      </c>
    </row>
    <row r="10" spans="3:7" ht="16.5" thickBot="1" x14ac:dyDescent="0.3">
      <c r="C10" s="40" t="s">
        <v>139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138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H5" sqref="H5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96</v>
      </c>
      <c r="F2" s="23" t="s">
        <v>95</v>
      </c>
      <c r="G2" s="24" t="s">
        <v>87</v>
      </c>
      <c r="H2" s="23" t="s">
        <v>88</v>
      </c>
      <c r="I2" s="25" t="s">
        <v>94</v>
      </c>
    </row>
    <row r="3" spans="2:9" ht="20.25" thickTop="1" thickBot="1" x14ac:dyDescent="0.3">
      <c r="B3" s="68" t="s">
        <v>19</v>
      </c>
      <c r="C3" s="70" t="s">
        <v>89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66">
        <v>110</v>
      </c>
    </row>
    <row r="4" spans="2:9" ht="20.25" thickTop="1" thickBot="1" x14ac:dyDescent="0.3">
      <c r="B4" s="61"/>
      <c r="C4" s="71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64"/>
    </row>
    <row r="5" spans="2:9" ht="20.25" thickTop="1" thickBot="1" x14ac:dyDescent="0.3">
      <c r="B5" s="61"/>
      <c r="C5" s="72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4:H12" si="0">ROUND(4.34*SQRT(E5+16*F5/G5),1)</f>
        <v>50.3</v>
      </c>
      <c r="I5" s="67"/>
    </row>
    <row r="6" spans="2:9" ht="20.25" thickTop="1" thickBot="1" x14ac:dyDescent="0.3">
      <c r="B6" s="61"/>
      <c r="C6" s="73" t="s">
        <v>90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63">
        <v>110</v>
      </c>
    </row>
    <row r="7" spans="2:9" ht="20.25" thickTop="1" thickBot="1" x14ac:dyDescent="0.3">
      <c r="B7" s="69"/>
      <c r="C7" s="72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67"/>
    </row>
    <row r="8" spans="2:9" ht="20.25" thickTop="1" thickBot="1" x14ac:dyDescent="0.3">
      <c r="B8" s="74" t="s">
        <v>20</v>
      </c>
      <c r="C8" s="73" t="s">
        <v>89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75">
        <v>110</v>
      </c>
    </row>
    <row r="9" spans="2:9" ht="20.25" thickTop="1" thickBot="1" x14ac:dyDescent="0.3">
      <c r="B9" s="61"/>
      <c r="C9" s="71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76"/>
    </row>
    <row r="10" spans="2:9" ht="20.25" thickTop="1" thickBot="1" x14ac:dyDescent="0.3">
      <c r="B10" s="61"/>
      <c r="C10" s="72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77"/>
    </row>
    <row r="11" spans="2:9" ht="20.25" thickTop="1" thickBot="1" x14ac:dyDescent="0.3">
      <c r="B11" s="61"/>
      <c r="C11" s="73" t="s">
        <v>91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75">
        <v>110</v>
      </c>
    </row>
    <row r="12" spans="2:9" ht="20.25" thickTop="1" thickBot="1" x14ac:dyDescent="0.3">
      <c r="B12" s="61"/>
      <c r="C12" s="71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76"/>
    </row>
    <row r="13" spans="2:9" ht="20.25" thickTop="1" thickBot="1" x14ac:dyDescent="0.3">
      <c r="B13" s="69"/>
      <c r="C13" s="72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4:H15" si="1">ROUND(4.34*SQRT(E13+16*F13/G13),1)</f>
        <v>73.7</v>
      </c>
      <c r="I13" s="77"/>
    </row>
    <row r="14" spans="2:9" ht="20.25" thickTop="1" thickBot="1" x14ac:dyDescent="0.3">
      <c r="B14" s="60" t="s">
        <v>92</v>
      </c>
      <c r="C14" s="63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75">
        <v>220</v>
      </c>
    </row>
    <row r="15" spans="2:9" ht="22.5" customHeight="1" thickTop="1" thickBot="1" x14ac:dyDescent="0.3">
      <c r="B15" s="61"/>
      <c r="C15" s="64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76"/>
    </row>
    <row r="16" spans="2:9" ht="20.25" thickTop="1" thickBot="1" x14ac:dyDescent="0.3">
      <c r="B16" s="62"/>
      <c r="C16" s="65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77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7</xdr:col>
                <xdr:colOff>0</xdr:colOff>
                <xdr:row>0</xdr:row>
                <xdr:rowOff>0</xdr:rowOff>
              </from>
              <to>
                <xdr:col>7</xdr:col>
                <xdr:colOff>238125</xdr:colOff>
                <xdr:row>1</xdr:row>
                <xdr:rowOff>171450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D1" zoomScaleNormal="100" workbookViewId="0">
      <selection activeCell="J21" sqref="J21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79" t="s">
        <v>111</v>
      </c>
      <c r="D2" s="79" t="s">
        <v>110</v>
      </c>
      <c r="E2" s="79" t="s">
        <v>109</v>
      </c>
      <c r="F2" s="34" t="s">
        <v>108</v>
      </c>
      <c r="G2" s="34" t="s">
        <v>107</v>
      </c>
      <c r="H2" s="34" t="s">
        <v>106</v>
      </c>
      <c r="I2" s="82" t="s">
        <v>87</v>
      </c>
      <c r="J2" s="84" t="s">
        <v>105</v>
      </c>
      <c r="K2" s="34" t="s">
        <v>104</v>
      </c>
      <c r="L2" s="79" t="s">
        <v>103</v>
      </c>
      <c r="M2" s="79" t="s">
        <v>137</v>
      </c>
      <c r="N2" s="35">
        <v>0.8</v>
      </c>
      <c r="O2" t="s">
        <v>102</v>
      </c>
    </row>
    <row r="3" spans="1:15" ht="23.25" thickBot="1" x14ac:dyDescent="0.3">
      <c r="C3" s="81"/>
      <c r="D3" s="80"/>
      <c r="E3" s="80"/>
      <c r="F3" s="44" t="s">
        <v>101</v>
      </c>
      <c r="G3" s="44" t="s">
        <v>101</v>
      </c>
      <c r="H3" s="44" t="s">
        <v>9</v>
      </c>
      <c r="I3" s="83"/>
      <c r="J3" s="85"/>
      <c r="K3" s="44" t="s">
        <v>100</v>
      </c>
      <c r="L3" s="80"/>
      <c r="M3" s="80"/>
      <c r="N3" t="s">
        <v>89</v>
      </c>
    </row>
    <row r="4" spans="1:15" ht="19.5" thickBot="1" x14ac:dyDescent="0.3">
      <c r="A4">
        <f>Потокорозподіл!E5</f>
        <v>26.968</v>
      </c>
      <c r="B4">
        <f>Потокорозподіл!F5</f>
        <v>14.375</v>
      </c>
      <c r="C4" s="86" t="s">
        <v>19</v>
      </c>
      <c r="D4" s="90" t="s">
        <v>89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>
        <f>Потокорозподіл!E6</f>
        <v>35.031999999999996</v>
      </c>
      <c r="B5">
        <f>Потокорозподіл!F6</f>
        <v>18.425000000000001</v>
      </c>
      <c r="C5" s="87"/>
      <c r="D5" s="91"/>
      <c r="E5" s="33" t="str">
        <f>'Таблиця 1-4'!D4</f>
        <v>ВП-Д</v>
      </c>
      <c r="F5" s="45" t="str">
        <f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>
        <f>Потокорозподіл!E7</f>
        <v>-8.032</v>
      </c>
      <c r="B6">
        <f>Потокорозподіл!F7</f>
        <v>-4.625</v>
      </c>
      <c r="C6" s="87"/>
      <c r="D6" s="92"/>
      <c r="E6" s="39" t="str">
        <f>'Таблиця 1-4'!D5</f>
        <v>В-Д</v>
      </c>
      <c r="F6" s="45" t="str">
        <f>COMPLEX(A6,B6)</f>
        <v>-8.032-4.625i</v>
      </c>
      <c r="G6" s="45">
        <f t="shared" ref="G5:G17" si="0">ROUND(1*IMABS(F6),2)</f>
        <v>9.27</v>
      </c>
      <c r="H6" s="45">
        <f>110</f>
        <v>110</v>
      </c>
      <c r="I6" s="39">
        <f>'Таблиця 1-4'!G5</f>
        <v>1</v>
      </c>
      <c r="J6" s="45">
        <f t="shared" ref="J5:J7" si="1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>
        <f>Потокорозподіл!E8</f>
        <v>35</v>
      </c>
      <c r="B7">
        <f>Потокорозподіл!F8</f>
        <v>19</v>
      </c>
      <c r="C7" s="88"/>
      <c r="D7" s="80" t="s">
        <v>90</v>
      </c>
      <c r="E7" s="36" t="str">
        <f>'Таблиця 1-4'!D6</f>
        <v>В-Д</v>
      </c>
      <c r="F7" s="45" t="str">
        <f t="shared" ref="F5:F17" si="2">COMPLEX(A7,B7)</f>
        <v>35+19i</v>
      </c>
      <c r="G7" s="45">
        <f t="shared" si="0"/>
        <v>39.82</v>
      </c>
      <c r="H7" s="45">
        <f>110</f>
        <v>110</v>
      </c>
      <c r="I7" s="36">
        <f>'Таблиця 1-4'!G6</f>
        <v>2</v>
      </c>
      <c r="J7" s="45">
        <f t="shared" si="1"/>
        <v>104.5</v>
      </c>
      <c r="K7" s="46">
        <f t="shared" ref="K5:K17" si="3">J7/$N$2</f>
        <v>130.625</v>
      </c>
      <c r="L7" s="36">
        <v>150</v>
      </c>
      <c r="M7" s="36">
        <v>150</v>
      </c>
    </row>
    <row r="8" spans="1:15" ht="19.5" thickBot="1" x14ac:dyDescent="0.3">
      <c r="A8">
        <f>Потокорозподіл!E9</f>
        <v>62</v>
      </c>
      <c r="B8">
        <f>Потокорозподіл!F9</f>
        <v>32.799999999999997</v>
      </c>
      <c r="C8" s="89"/>
      <c r="D8" s="89"/>
      <c r="E8" s="36" t="str">
        <f>'Таблиця 1-4'!D7</f>
        <v>ВП-Д</v>
      </c>
      <c r="F8" s="45" t="str">
        <f t="shared" si="2"/>
        <v>62+32.8i</v>
      </c>
      <c r="G8" s="45">
        <f t="shared" si="0"/>
        <v>70.14</v>
      </c>
      <c r="H8" s="45">
        <f>110</f>
        <v>110</v>
      </c>
      <c r="I8" s="36">
        <f>'Таблиця 1-4'!G7</f>
        <v>2</v>
      </c>
      <c r="J8" s="45">
        <f t="shared" ref="J5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>
        <f>Потокорозподіл!E11</f>
        <v>34.843000000000004</v>
      </c>
      <c r="B9">
        <f>Потокорозподіл!F11</f>
        <v>16.891999999999999</v>
      </c>
      <c r="C9" s="79" t="s">
        <v>20</v>
      </c>
      <c r="D9" s="79" t="s">
        <v>89</v>
      </c>
      <c r="E9" s="33" t="str">
        <f>'Таблиця 1-4'!D8</f>
        <v>ВП-Г</v>
      </c>
      <c r="F9" s="45" t="str">
        <f t="shared" si="2"/>
        <v>34.843+16.892i</v>
      </c>
      <c r="G9" s="45">
        <f t="shared" si="0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>
        <f>Потокорозподіл!E12</f>
        <v>32.156999999999996</v>
      </c>
      <c r="B10">
        <f>Потокорозподіл!F12</f>
        <v>15.608000000000001</v>
      </c>
      <c r="C10" s="88"/>
      <c r="D10" s="88"/>
      <c r="E10" s="36" t="str">
        <f>'Таблиця 1-4'!D9</f>
        <v>ВП-Е</v>
      </c>
      <c r="F10" s="45" t="str">
        <f t="shared" si="2"/>
        <v>32.157+15.608i</v>
      </c>
      <c r="G10" s="45">
        <f t="shared" si="0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>
        <f>Потокорозподіл!E13</f>
        <v>2.8430000000000035</v>
      </c>
      <c r="B11">
        <f>Потокорозподіл!F13</f>
        <v>1.3919999999999995</v>
      </c>
      <c r="C11" s="88"/>
      <c r="D11" s="89"/>
      <c r="E11" s="33" t="str">
        <f>'Таблиця 1-4'!D10</f>
        <v>Е-Г</v>
      </c>
      <c r="F11" s="45" t="str">
        <f t="shared" si="2"/>
        <v>2.843+1.392i</v>
      </c>
      <c r="G11" s="45">
        <f t="shared" si="0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>
        <f>Потокорозподіл!E14</f>
        <v>67</v>
      </c>
      <c r="B12">
        <f>Потокорозподіл!F14</f>
        <v>32.5</v>
      </c>
      <c r="C12" s="88"/>
      <c r="D12" s="79" t="s">
        <v>91</v>
      </c>
      <c r="E12" s="33" t="str">
        <f>'Таблиця 1-4'!D11</f>
        <v>ВП-2</v>
      </c>
      <c r="F12" s="45" t="str">
        <f t="shared" si="2"/>
        <v>67+32.5i</v>
      </c>
      <c r="G12" s="45">
        <f t="shared" si="0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>
        <f>'Таблиця 1-4'!F12</f>
        <v>32</v>
      </c>
      <c r="B13">
        <f>Потокорозподіл!F15</f>
        <v>15.5</v>
      </c>
      <c r="C13" s="88"/>
      <c r="D13" s="88"/>
      <c r="E13" s="33" t="str">
        <f>'Таблиця 1-4'!D12</f>
        <v>Г-2</v>
      </c>
      <c r="F13" s="45" t="str">
        <f t="shared" si="2"/>
        <v>32+15.5i</v>
      </c>
      <c r="G13" s="45">
        <f t="shared" si="0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>
        <f>'Таблиця 1-4'!F13</f>
        <v>35</v>
      </c>
      <c r="B14">
        <f>Потокорозподіл!F16</f>
        <v>17</v>
      </c>
      <c r="C14" s="89"/>
      <c r="D14" s="89"/>
      <c r="E14" s="33" t="str">
        <f>'Таблиця 1-4'!D13</f>
        <v>Е-2</v>
      </c>
      <c r="F14" s="45" t="str">
        <f t="shared" si="2"/>
        <v>35+17i</v>
      </c>
      <c r="G14" s="45">
        <f t="shared" si="0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>
        <f>Потокорозподіл!F25</f>
        <v>166.15</v>
      </c>
      <c r="B15">
        <f>Потокорозподіл!G25</f>
        <v>116.7</v>
      </c>
      <c r="C15" s="79"/>
      <c r="D15" s="79"/>
      <c r="E15" s="33" t="str">
        <f>'Таблиця 1-4'!D14</f>
        <v>ДЖ-3</v>
      </c>
      <c r="F15" s="45" t="str">
        <f t="shared" si="2"/>
        <v>166.15+116.7i</v>
      </c>
      <c r="G15" s="45">
        <f t="shared" si="0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>
        <f>Потокорозподіл!F26</f>
        <v>146.15</v>
      </c>
      <c r="B16">
        <f>Потокорозподіл!G26</f>
        <v>103.7</v>
      </c>
      <c r="C16" s="88"/>
      <c r="D16" s="88"/>
      <c r="E16" s="33" t="str">
        <f>'Таблиця 1-4'!D15</f>
        <v>3-ВП</v>
      </c>
      <c r="F16" s="45" t="str">
        <f t="shared" si="2"/>
        <v>146.15+103.7i</v>
      </c>
      <c r="G16" s="45">
        <f t="shared" si="0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>
        <f>Потокорозподіл!F27</f>
        <v>20</v>
      </c>
      <c r="B17">
        <f>Потокорозподіл!G27</f>
        <v>13</v>
      </c>
      <c r="C17" s="89"/>
      <c r="D17" s="89"/>
      <c r="E17" s="33" t="str">
        <f>'Таблиця 1-4'!D16</f>
        <v>3-Б</v>
      </c>
      <c r="F17" s="45" t="str">
        <f t="shared" si="2"/>
        <v>20+13i</v>
      </c>
      <c r="G17" s="45">
        <f t="shared" si="0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zoomScale="80" zoomScaleNormal="80" workbookViewId="0">
      <selection activeCell="E21" sqref="E21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07" t="s">
        <v>111</v>
      </c>
      <c r="C2" s="109" t="s">
        <v>67</v>
      </c>
      <c r="D2" s="109" t="s">
        <v>109</v>
      </c>
      <c r="E2" s="113" t="s">
        <v>132</v>
      </c>
      <c r="F2" s="113" t="s">
        <v>133</v>
      </c>
      <c r="G2" s="113" t="s">
        <v>125</v>
      </c>
      <c r="H2" s="113" t="s">
        <v>134</v>
      </c>
      <c r="I2" s="109" t="s">
        <v>120</v>
      </c>
      <c r="J2" s="113" t="s">
        <v>135</v>
      </c>
      <c r="K2" s="111" t="s">
        <v>136</v>
      </c>
    </row>
    <row r="3" spans="2:11" ht="50.25" customHeight="1" thickBot="1" x14ac:dyDescent="0.3">
      <c r="B3" s="108"/>
      <c r="C3" s="110"/>
      <c r="D3" s="110"/>
      <c r="E3" s="114"/>
      <c r="F3" s="114"/>
      <c r="G3" s="114"/>
      <c r="H3" s="114"/>
      <c r="I3" s="110"/>
      <c r="J3" s="114"/>
      <c r="K3" s="112"/>
    </row>
    <row r="4" spans="2:11" ht="24.75" customHeight="1" thickBot="1" x14ac:dyDescent="0.3">
      <c r="B4" s="103" t="s">
        <v>19</v>
      </c>
      <c r="C4" s="103" t="s">
        <v>147</v>
      </c>
      <c r="D4" s="97" t="s">
        <v>141</v>
      </c>
      <c r="E4" s="98"/>
      <c r="F4" s="98"/>
      <c r="G4" s="98"/>
      <c r="H4" s="98"/>
      <c r="I4" s="98"/>
      <c r="J4" s="98"/>
      <c r="K4" s="99"/>
    </row>
    <row r="5" spans="2:11" ht="19.5" thickBot="1" x14ac:dyDescent="0.3">
      <c r="B5" s="103"/>
      <c r="C5" s="105"/>
      <c r="D5" s="41" t="s">
        <v>68</v>
      </c>
      <c r="E5" s="41" t="str">
        <f>COMPLEX(62,38)</f>
        <v>62+38i</v>
      </c>
      <c r="F5" s="41">
        <f>IMABS(E5)</f>
        <v>72.718635850791372</v>
      </c>
      <c r="G5" s="41">
        <v>110</v>
      </c>
      <c r="H5" s="51">
        <f>(F5/SQRT(3)/G5)*1000</f>
        <v>381.67385439597064</v>
      </c>
      <c r="I5" s="41" t="s">
        <v>130</v>
      </c>
      <c r="J5" s="41">
        <v>680</v>
      </c>
      <c r="K5" s="41" t="s">
        <v>131</v>
      </c>
    </row>
    <row r="6" spans="2:11" ht="19.5" thickBot="1" x14ac:dyDescent="0.3">
      <c r="B6" s="103"/>
      <c r="C6" s="105"/>
      <c r="D6" s="41" t="s">
        <v>143</v>
      </c>
      <c r="E6" s="41" t="str">
        <f>COMPLEX(27,19)</f>
        <v>27+19i</v>
      </c>
      <c r="F6" s="41">
        <f>IMABS(E6)</f>
        <v>33.015148038438355</v>
      </c>
      <c r="G6" s="41">
        <v>110</v>
      </c>
      <c r="H6" s="41">
        <f>(F6/SQRT(3)/G6)*1000</f>
        <v>173.28458733934301</v>
      </c>
      <c r="I6" s="41" t="s">
        <v>113</v>
      </c>
      <c r="J6" s="41">
        <v>450</v>
      </c>
      <c r="K6" s="41" t="s">
        <v>131</v>
      </c>
    </row>
    <row r="7" spans="2:11" ht="21" customHeight="1" thickBot="1" x14ac:dyDescent="0.3">
      <c r="B7" s="106"/>
      <c r="C7" s="105"/>
      <c r="D7" s="100" t="s">
        <v>142</v>
      </c>
      <c r="E7" s="101"/>
      <c r="F7" s="101"/>
      <c r="G7" s="101"/>
      <c r="H7" s="101"/>
      <c r="I7" s="101"/>
      <c r="J7" s="101"/>
      <c r="K7" s="102"/>
    </row>
    <row r="8" spans="2:11" ht="19.5" thickBot="1" x14ac:dyDescent="0.3">
      <c r="B8" s="106"/>
      <c r="C8" s="105"/>
      <c r="D8" s="41" t="s">
        <v>73</v>
      </c>
      <c r="E8" s="41" t="str">
        <f>E5</f>
        <v>62+38i</v>
      </c>
      <c r="F8" s="41">
        <f>IMABS(E8)</f>
        <v>72.718635850791372</v>
      </c>
      <c r="G8" s="41">
        <v>110</v>
      </c>
      <c r="H8" s="51">
        <f>(F8/SQRT(3)/G8)*1000</f>
        <v>381.67385439597064</v>
      </c>
      <c r="I8" s="41" t="s">
        <v>129</v>
      </c>
      <c r="J8" s="41">
        <v>610</v>
      </c>
      <c r="K8" s="41" t="s">
        <v>131</v>
      </c>
    </row>
    <row r="9" spans="2:11" ht="19.5" thickBot="1" x14ac:dyDescent="0.3">
      <c r="B9" s="106"/>
      <c r="C9" s="105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131</v>
      </c>
    </row>
    <row r="10" spans="2:11" ht="19.5" thickBot="1" x14ac:dyDescent="0.3">
      <c r="B10" s="106"/>
      <c r="C10" s="103" t="s">
        <v>148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113</v>
      </c>
      <c r="J10" s="53">
        <v>450</v>
      </c>
      <c r="K10" s="53" t="s">
        <v>131</v>
      </c>
    </row>
    <row r="11" spans="2:11" ht="19.5" thickBot="1" x14ac:dyDescent="0.3">
      <c r="B11" s="106"/>
      <c r="C11" s="104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129</v>
      </c>
      <c r="J11" s="53">
        <v>450</v>
      </c>
      <c r="K11" s="53" t="s">
        <v>131</v>
      </c>
    </row>
    <row r="12" spans="2:11" ht="21" customHeight="1" thickBot="1" x14ac:dyDescent="0.3">
      <c r="B12" s="103" t="s">
        <v>20</v>
      </c>
      <c r="C12" s="103" t="s">
        <v>147</v>
      </c>
      <c r="D12" s="100" t="s">
        <v>145</v>
      </c>
      <c r="E12" s="101"/>
      <c r="F12" s="101"/>
      <c r="G12" s="101"/>
      <c r="H12" s="101"/>
      <c r="I12" s="101"/>
      <c r="J12" s="101"/>
      <c r="K12" s="102"/>
    </row>
    <row r="13" spans="2:11" ht="19.5" thickBot="1" x14ac:dyDescent="0.3">
      <c r="B13" s="103"/>
      <c r="C13" s="105"/>
      <c r="D13" s="41" t="s">
        <v>80</v>
      </c>
      <c r="E13" s="41" t="str">
        <f>COMPLEX(62,32.5)</f>
        <v>62+32.5i</v>
      </c>
      <c r="F13" s="41">
        <f>IMABS(E13)</f>
        <v>70.001785691509326</v>
      </c>
      <c r="G13" s="41">
        <v>110</v>
      </c>
      <c r="H13" s="51">
        <f>(F13/SQRT(3)/G13)*1000</f>
        <v>367.41408920679464</v>
      </c>
      <c r="I13" s="41" t="s">
        <v>129</v>
      </c>
      <c r="J13" s="41">
        <v>610</v>
      </c>
      <c r="K13" s="41" t="s">
        <v>131</v>
      </c>
    </row>
    <row r="14" spans="2:11" ht="19.5" thickBot="1" x14ac:dyDescent="0.3">
      <c r="B14" s="103"/>
      <c r="C14" s="105"/>
      <c r="D14" s="41" t="s">
        <v>81</v>
      </c>
      <c r="E14" s="41" t="str">
        <f>COMPLEX(27,15.5)</f>
        <v>27+15.5i</v>
      </c>
      <c r="F14" s="41">
        <f>IMABS(E14)</f>
        <v>31.132780152116194</v>
      </c>
      <c r="G14" s="41">
        <v>110</v>
      </c>
      <c r="H14" s="41">
        <f>(F14/SQRT(3)/G14)*1000</f>
        <v>163.40471819496113</v>
      </c>
      <c r="I14" s="41" t="s">
        <v>113</v>
      </c>
      <c r="J14" s="41">
        <v>450</v>
      </c>
      <c r="K14" s="41" t="s">
        <v>131</v>
      </c>
    </row>
    <row r="15" spans="2:11" ht="18.75" customHeight="1" thickBot="1" x14ac:dyDescent="0.3">
      <c r="B15" s="106"/>
      <c r="C15" s="105"/>
      <c r="D15" s="100" t="s">
        <v>144</v>
      </c>
      <c r="E15" s="101"/>
      <c r="F15" s="101"/>
      <c r="G15" s="101"/>
      <c r="H15" s="101"/>
      <c r="I15" s="101"/>
      <c r="J15" s="101"/>
      <c r="K15" s="102"/>
    </row>
    <row r="16" spans="2:11" ht="27" customHeight="1" thickBot="1" x14ac:dyDescent="0.3">
      <c r="B16" s="106"/>
      <c r="C16" s="105"/>
      <c r="D16" s="41" t="s">
        <v>79</v>
      </c>
      <c r="E16" s="41" t="str">
        <f>E13</f>
        <v>62+32.5i</v>
      </c>
      <c r="F16" s="41">
        <f>IMABS(E16)</f>
        <v>70.001785691509326</v>
      </c>
      <c r="G16" s="41">
        <v>110</v>
      </c>
      <c r="H16" s="51">
        <f>(F16/SQRT(3)/G16)*1000</f>
        <v>367.41408920679464</v>
      </c>
      <c r="I16" s="41" t="s">
        <v>130</v>
      </c>
      <c r="J16" s="41">
        <v>680</v>
      </c>
      <c r="K16" s="41" t="s">
        <v>131</v>
      </c>
    </row>
    <row r="17" spans="2:11" ht="22.5" customHeight="1" thickBot="1" x14ac:dyDescent="0.3">
      <c r="B17" s="106"/>
      <c r="C17" s="105"/>
      <c r="D17" s="41" t="s">
        <v>146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113</v>
      </c>
      <c r="J17" s="41">
        <v>450</v>
      </c>
      <c r="K17" s="41" t="s">
        <v>131</v>
      </c>
    </row>
    <row r="18" spans="2:11" ht="19.5" thickBot="1" x14ac:dyDescent="0.3">
      <c r="B18" s="106"/>
      <c r="C18" s="103" t="s">
        <v>148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130</v>
      </c>
      <c r="J18" s="52">
        <v>680</v>
      </c>
      <c r="K18" s="52" t="s">
        <v>131</v>
      </c>
    </row>
    <row r="19" spans="2:11" ht="19.5" thickBot="1" x14ac:dyDescent="0.3">
      <c r="B19" s="106"/>
      <c r="C19" s="104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140</v>
      </c>
      <c r="J19" s="52">
        <v>375</v>
      </c>
      <c r="K19" s="52" t="s">
        <v>131</v>
      </c>
    </row>
    <row r="20" spans="2:11" ht="19.5" thickBot="1" x14ac:dyDescent="0.3">
      <c r="B20" s="106"/>
      <c r="C20" s="104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113</v>
      </c>
      <c r="J20" s="52">
        <v>450</v>
      </c>
      <c r="K20" s="52" t="s">
        <v>131</v>
      </c>
    </row>
    <row r="21" spans="2:11" ht="19.5" thickBot="1" x14ac:dyDescent="0.3">
      <c r="B21" s="93" t="s">
        <v>127</v>
      </c>
      <c r="C21" s="93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139</v>
      </c>
      <c r="J21" s="52">
        <v>825</v>
      </c>
      <c r="K21" s="52" t="s">
        <v>131</v>
      </c>
    </row>
    <row r="22" spans="2:11" ht="19.5" thickBot="1" x14ac:dyDescent="0.3">
      <c r="B22" s="64"/>
      <c r="C22" s="95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130</v>
      </c>
      <c r="J22" s="52">
        <v>680</v>
      </c>
      <c r="K22" s="52" t="s">
        <v>131</v>
      </c>
    </row>
    <row r="23" spans="2:11" ht="19.5" thickBot="1" x14ac:dyDescent="0.3">
      <c r="B23" s="94"/>
      <c r="C23" s="96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129</v>
      </c>
      <c r="J23" s="52">
        <v>610</v>
      </c>
      <c r="K23" s="52" t="s">
        <v>131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85725</xdr:colOff>
                <xdr:row>24</xdr:row>
                <xdr:rowOff>66675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мех міцн</vt:lpstr>
      <vt:lpstr>Таблиця 1-4</vt:lpstr>
      <vt:lpstr>Fрозр</vt:lpstr>
      <vt:lpstr>нагрів</vt:lpstr>
      <vt:lpstr>Потокорозподіл</vt:lpstr>
      <vt:lpstr>падіння напруги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2021-04-02T13:55:12Z</dcterms:modified>
</cp:coreProperties>
</file>