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2" activeTab="1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Table 2-4" sheetId="16" r:id="rId16"/>
    <sheet name="Tabl 2-5" sheetId="17" r:id="rId17"/>
    <sheet name="Table 2-6" sheetId="18" r:id="rId18"/>
    <sheet name="пункт2.2" sheetId="19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P8" i="19" l="1"/>
  <c r="O8" i="19"/>
  <c r="M9" i="19"/>
  <c r="J9" i="19"/>
  <c r="N8" i="19"/>
  <c r="M8" i="19"/>
  <c r="K8" i="19"/>
  <c r="J8" i="19"/>
  <c r="O10" i="19"/>
  <c r="K10" i="19"/>
  <c r="F33" i="19"/>
  <c r="F31" i="19"/>
  <c r="F34" i="19" s="1"/>
  <c r="G27" i="19"/>
  <c r="F27" i="19"/>
  <c r="E27" i="19"/>
  <c r="D27" i="19"/>
  <c r="E26" i="19"/>
  <c r="D26" i="19"/>
  <c r="G25" i="19"/>
  <c r="G26" i="19" s="1"/>
  <c r="F25" i="19"/>
  <c r="F26" i="19" s="1"/>
  <c r="E25" i="19"/>
  <c r="D25" i="19"/>
  <c r="O20" i="19"/>
  <c r="N20" i="19"/>
  <c r="L20" i="19"/>
  <c r="K20" i="19"/>
  <c r="D16" i="19"/>
  <c r="C16" i="19"/>
  <c r="D15" i="19"/>
  <c r="C15" i="19"/>
  <c r="F14" i="19"/>
  <c r="E14" i="19"/>
  <c r="D14" i="19"/>
  <c r="C14" i="19"/>
  <c r="B14" i="19"/>
  <c r="R13" i="19"/>
  <c r="Q13" i="19"/>
  <c r="D13" i="19"/>
  <c r="M17" i="19" s="1"/>
  <c r="C13" i="19"/>
  <c r="D12" i="19"/>
  <c r="P17" i="19" s="1"/>
  <c r="C12" i="19"/>
  <c r="D11" i="19"/>
  <c r="J17" i="19" s="1"/>
  <c r="P15" i="19" s="1"/>
  <c r="C11" i="19"/>
  <c r="B11" i="19"/>
  <c r="E9" i="19"/>
  <c r="D9" i="19"/>
  <c r="C9" i="19"/>
  <c r="F8" i="19"/>
  <c r="E8" i="19"/>
  <c r="D8" i="19"/>
  <c r="C8" i="19"/>
  <c r="D7" i="19"/>
  <c r="C7" i="19"/>
  <c r="D6" i="19"/>
  <c r="C6" i="19"/>
  <c r="D5" i="19"/>
  <c r="C5" i="19"/>
  <c r="R3" i="19"/>
  <c r="Q3" i="19"/>
  <c r="O9" i="19" l="1"/>
  <c r="K5" i="19"/>
  <c r="P5" i="19"/>
  <c r="E6" i="19" s="1"/>
  <c r="J5" i="19"/>
  <c r="E12" i="19"/>
  <c r="M15" i="19"/>
  <c r="E13" i="19" s="1"/>
  <c r="J15" i="19"/>
  <c r="Q5" i="19"/>
  <c r="F6" i="19" s="1"/>
  <c r="Q15" i="19"/>
  <c r="K15" i="19"/>
  <c r="G5" i="16"/>
  <c r="M11" i="16"/>
  <c r="M10" i="16"/>
  <c r="L11" i="16"/>
  <c r="L10" i="16"/>
  <c r="H12" i="16"/>
  <c r="M12" i="16"/>
  <c r="U12" i="15"/>
  <c r="J9" i="16"/>
  <c r="K10" i="16"/>
  <c r="M7" i="16"/>
  <c r="M8" i="16"/>
  <c r="M9" i="16"/>
  <c r="M5" i="16"/>
  <c r="L5" i="16"/>
  <c r="L6" i="16"/>
  <c r="L7" i="16"/>
  <c r="I5" i="16"/>
  <c r="N15" i="19" l="1"/>
  <c r="F13" i="19" s="1"/>
  <c r="F12" i="19"/>
  <c r="Q12" i="19"/>
  <c r="E11" i="19"/>
  <c r="R12" i="19"/>
  <c r="F11" i="19"/>
  <c r="M5" i="19"/>
  <c r="E7" i="19" s="1"/>
  <c r="E5" i="19"/>
  <c r="Q2" i="19"/>
  <c r="N5" i="19"/>
  <c r="F7" i="19" s="1"/>
  <c r="F5" i="19"/>
  <c r="R2" i="19"/>
  <c r="D29" i="15" l="1"/>
  <c r="C12" i="16" l="1"/>
  <c r="B12" i="16"/>
  <c r="A12" i="16"/>
  <c r="E10" i="16"/>
  <c r="D10" i="16"/>
  <c r="L9" i="16" l="1"/>
  <c r="L8" i="16"/>
  <c r="K5" i="16"/>
  <c r="H6" i="16" l="1"/>
  <c r="J5" i="16"/>
  <c r="E6" i="16"/>
  <c r="E7" i="16"/>
  <c r="E8" i="16"/>
  <c r="E9" i="16"/>
  <c r="E5" i="16"/>
  <c r="D6" i="16"/>
  <c r="D7" i="16"/>
  <c r="D8" i="16"/>
  <c r="D9" i="16"/>
  <c r="D5" i="16"/>
  <c r="C6" i="16"/>
  <c r="C7" i="16"/>
  <c r="C8" i="16"/>
  <c r="C9" i="16"/>
  <c r="C5" i="16"/>
  <c r="B6" i="16"/>
  <c r="B7" i="16"/>
  <c r="B8" i="16"/>
  <c r="B9" i="16"/>
  <c r="B5" i="16"/>
  <c r="A6" i="16"/>
  <c r="A7" i="16"/>
  <c r="A8" i="16"/>
  <c r="A9" i="16"/>
  <c r="A5" i="16"/>
  <c r="H5" i="16" s="1"/>
  <c r="F31" i="12"/>
  <c r="D44" i="12"/>
  <c r="N34" i="15"/>
  <c r="M34" i="15"/>
  <c r="L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34" i="15" l="1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D6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L5" i="15"/>
  <c r="U7" i="15" l="1"/>
  <c r="T7" i="15"/>
  <c r="U8" i="15"/>
  <c r="S8" i="15"/>
  <c r="T8" i="15"/>
  <c r="S9" i="15"/>
  <c r="U9" i="15"/>
  <c r="T9" i="15"/>
  <c r="U13" i="15"/>
  <c r="S13" i="15"/>
  <c r="T13" i="15"/>
  <c r="S5" i="15"/>
  <c r="T5" i="15"/>
  <c r="U6" i="15"/>
  <c r="S6" i="15"/>
  <c r="T6" i="15"/>
  <c r="S10" i="15"/>
  <c r="U10" i="15"/>
  <c r="T10" i="15"/>
  <c r="U11" i="15"/>
  <c r="T11" i="15"/>
  <c r="S11" i="15"/>
  <c r="T12" i="15"/>
  <c r="S12" i="15"/>
  <c r="H5" i="18"/>
  <c r="I5" i="18"/>
  <c r="J5" i="18"/>
  <c r="B5" i="18" s="1"/>
  <c r="K5" i="18"/>
  <c r="D5" i="18" s="1"/>
  <c r="I6" i="18"/>
  <c r="J6" i="18"/>
  <c r="A6" i="18" s="1"/>
  <c r="K6" i="18"/>
  <c r="C6" i="18" s="1"/>
  <c r="I7" i="18"/>
  <c r="J7" i="18"/>
  <c r="B7" i="18" s="1"/>
  <c r="K7" i="18"/>
  <c r="D7" i="18" s="1"/>
  <c r="I8" i="18"/>
  <c r="J8" i="18"/>
  <c r="A8" i="18" s="1"/>
  <c r="K8" i="18"/>
  <c r="C8" i="18" s="1"/>
  <c r="I9" i="18"/>
  <c r="J9" i="18"/>
  <c r="B9" i="18" s="1"/>
  <c r="K9" i="18"/>
  <c r="D9" i="18" s="1"/>
  <c r="I10" i="18"/>
  <c r="J10" i="18"/>
  <c r="A10" i="18" s="1"/>
  <c r="K10" i="18"/>
  <c r="C10" i="18" s="1"/>
  <c r="I11" i="18"/>
  <c r="J11" i="18"/>
  <c r="B11" i="18" s="1"/>
  <c r="K11" i="18"/>
  <c r="D11" i="18" s="1"/>
  <c r="I12" i="18"/>
  <c r="J12" i="18"/>
  <c r="A12" i="18" s="1"/>
  <c r="K12" i="18"/>
  <c r="C12" i="18" s="1"/>
  <c r="I13" i="18"/>
  <c r="J13" i="18"/>
  <c r="B13" i="18" s="1"/>
  <c r="K13" i="18"/>
  <c r="D13" i="18" s="1"/>
  <c r="I14" i="18"/>
  <c r="J14" i="18"/>
  <c r="A14" i="18" s="1"/>
  <c r="K14" i="18"/>
  <c r="C14" i="18" s="1"/>
  <c r="I15" i="18"/>
  <c r="J15" i="18"/>
  <c r="B15" i="18" s="1"/>
  <c r="K15" i="18"/>
  <c r="D15" i="18" s="1"/>
  <c r="E22" i="18"/>
  <c r="G22" i="18"/>
  <c r="J22" i="18"/>
  <c r="E23" i="18"/>
  <c r="G23" i="18"/>
  <c r="J23" i="18"/>
  <c r="E24" i="18"/>
  <c r="G24" i="18"/>
  <c r="J24" i="18"/>
  <c r="E25" i="18"/>
  <c r="G25" i="18"/>
  <c r="J25" i="18"/>
  <c r="E26" i="18"/>
  <c r="G26" i="18"/>
  <c r="J26" i="18"/>
  <c r="N17" i="17"/>
  <c r="N16" i="17"/>
  <c r="M16" i="17"/>
  <c r="O15" i="17"/>
  <c r="J15" i="17"/>
  <c r="K15" i="17" s="1"/>
  <c r="B15" i="17"/>
  <c r="A15" i="17"/>
  <c r="J14" i="17"/>
  <c r="B14" i="17"/>
  <c r="A14" i="17"/>
  <c r="B13" i="17"/>
  <c r="A13" i="17"/>
  <c r="J12" i="17"/>
  <c r="K12" i="17" s="1"/>
  <c r="B12" i="17"/>
  <c r="A12" i="17"/>
  <c r="J11" i="17"/>
  <c r="B11" i="17"/>
  <c r="A11" i="17"/>
  <c r="J10" i="17"/>
  <c r="H10" i="17"/>
  <c r="B10" i="17"/>
  <c r="A10" i="17"/>
  <c r="J9" i="17"/>
  <c r="K9" i="17" s="1"/>
  <c r="N9" i="17" s="1"/>
  <c r="H9" i="17"/>
  <c r="B9" i="17"/>
  <c r="A9" i="17"/>
  <c r="J8" i="17"/>
  <c r="K8" i="17" s="1"/>
  <c r="N8" i="17" s="1"/>
  <c r="K10" i="17" s="1"/>
  <c r="H8" i="17"/>
  <c r="B8" i="17"/>
  <c r="A8" i="17"/>
  <c r="J7" i="17"/>
  <c r="H7" i="17"/>
  <c r="B7" i="17"/>
  <c r="A7" i="17"/>
  <c r="K6" i="17"/>
  <c r="N6" i="17" s="1"/>
  <c r="J6" i="17"/>
  <c r="H6" i="17"/>
  <c r="B6" i="17"/>
  <c r="A6" i="17"/>
  <c r="J5" i="17"/>
  <c r="K5" i="17" s="1"/>
  <c r="N5" i="17" s="1"/>
  <c r="K7" i="17" s="1"/>
  <c r="H5" i="17"/>
  <c r="B5" i="17"/>
  <c r="A5" i="17"/>
  <c r="M14" i="16"/>
  <c r="M13" i="16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D12" i="17" l="1"/>
  <c r="N15" i="17"/>
  <c r="D15" i="17"/>
  <c r="L12" i="17"/>
  <c r="L15" i="17"/>
  <c r="O16" i="17"/>
  <c r="J6" i="16"/>
  <c r="M6" i="16" s="1"/>
  <c r="I7" i="16"/>
  <c r="J7" i="16" s="1"/>
  <c r="K7" i="16"/>
  <c r="I8" i="16"/>
  <c r="J8" i="16" s="1"/>
  <c r="K8" i="16"/>
  <c r="I9" i="16"/>
  <c r="K9" i="16"/>
  <c r="L5" i="17"/>
  <c r="C5" i="17"/>
  <c r="L6" i="17"/>
  <c r="C6" i="17"/>
  <c r="L7" i="17"/>
  <c r="L8" i="17"/>
  <c r="C8" i="17"/>
  <c r="L9" i="17"/>
  <c r="C9" i="17"/>
  <c r="L10" i="17"/>
  <c r="L11" i="17"/>
  <c r="L13" i="17"/>
  <c r="L14" i="17"/>
  <c r="O17" i="17"/>
  <c r="C15" i="18"/>
  <c r="B14" i="18"/>
  <c r="C13" i="18"/>
  <c r="B12" i="18"/>
  <c r="C11" i="18"/>
  <c r="B10" i="18"/>
  <c r="C9" i="18"/>
  <c r="B8" i="18"/>
  <c r="C7" i="18"/>
  <c r="B6" i="18"/>
  <c r="C5" i="18"/>
  <c r="A15" i="18"/>
  <c r="D14" i="18"/>
  <c r="A13" i="18"/>
  <c r="D12" i="18"/>
  <c r="A11" i="18"/>
  <c r="D10" i="18"/>
  <c r="A9" i="18"/>
  <c r="D8" i="18"/>
  <c r="A7" i="18"/>
  <c r="D6" i="18"/>
  <c r="A5" i="18"/>
  <c r="N7" i="17"/>
  <c r="K11" i="17" s="1"/>
  <c r="D7" i="17"/>
  <c r="C7" i="17"/>
  <c r="N10" i="17"/>
  <c r="D10" i="17"/>
  <c r="C10" i="17"/>
  <c r="O21" i="17"/>
  <c r="O19" i="17"/>
  <c r="M22" i="17"/>
  <c r="D5" i="17"/>
  <c r="E5" i="17" s="1"/>
  <c r="M5" i="17" s="1"/>
  <c r="M18" i="17" s="1"/>
  <c r="D6" i="17"/>
  <c r="F6" i="17" s="1"/>
  <c r="D8" i="17"/>
  <c r="E8" i="17" s="1"/>
  <c r="M8" i="17" s="1"/>
  <c r="D9" i="17"/>
  <c r="C12" i="17"/>
  <c r="C15" i="17"/>
  <c r="K17" i="15"/>
  <c r="K19" i="15"/>
  <c r="H9" i="15"/>
  <c r="K15" i="16" l="1"/>
  <c r="I15" i="16"/>
  <c r="F9" i="17"/>
  <c r="E9" i="17"/>
  <c r="M9" i="17" s="1"/>
  <c r="E6" i="17"/>
  <c r="M6" i="17" s="1"/>
  <c r="M5" i="18"/>
  <c r="L5" i="18"/>
  <c r="E12" i="17"/>
  <c r="F12" i="17"/>
  <c r="F8" i="17"/>
  <c r="F5" i="17"/>
  <c r="F7" i="17"/>
  <c r="E7" i="17"/>
  <c r="M7" i="17" s="1"/>
  <c r="D11" i="17"/>
  <c r="N11" i="17"/>
  <c r="K13" i="17" s="1"/>
  <c r="C11" i="17"/>
  <c r="E15" i="17"/>
  <c r="M15" i="17" s="1"/>
  <c r="F15" i="17"/>
  <c r="F10" i="17"/>
  <c r="E10" i="17"/>
  <c r="M10" i="17" s="1"/>
  <c r="M12" i="17" l="1"/>
  <c r="N12" i="17" s="1"/>
  <c r="O5" i="18"/>
  <c r="H6" i="18" s="1"/>
  <c r="F11" i="17"/>
  <c r="E11" i="17"/>
  <c r="M11" i="17" s="1"/>
  <c r="M19" i="17" s="1"/>
  <c r="N13" i="17"/>
  <c r="K14" i="17" s="1"/>
  <c r="D13" i="17"/>
  <c r="C13" i="17"/>
  <c r="C14" i="17" l="1"/>
  <c r="N14" i="17"/>
  <c r="D14" i="17"/>
  <c r="H23" i="18"/>
  <c r="L6" i="18"/>
  <c r="M6" i="18"/>
  <c r="F13" i="17"/>
  <c r="E13" i="17"/>
  <c r="M13" i="17" s="1"/>
  <c r="E14" i="17" l="1"/>
  <c r="M14" i="17" s="1"/>
  <c r="F14" i="17"/>
  <c r="O6" i="18"/>
  <c r="H7" i="18" s="1"/>
  <c r="M7" i="18" s="1"/>
  <c r="L7" i="18" l="1"/>
  <c r="O7" i="18" s="1"/>
  <c r="H8" i="18" s="1"/>
  <c r="H9" i="18" l="1"/>
  <c r="M9" i="18" s="1"/>
  <c r="L8" i="18"/>
  <c r="M8" i="18"/>
  <c r="L9" i="18" l="1"/>
  <c r="O9" i="18" s="1"/>
  <c r="O8" i="18"/>
  <c r="H13" i="18" l="1"/>
  <c r="L13" i="18" s="1"/>
  <c r="H10" i="18"/>
  <c r="L10" i="18" s="1"/>
  <c r="M10" i="18" l="1"/>
  <c r="M13" i="18"/>
  <c r="O13" i="18" s="1"/>
  <c r="H15" i="18" s="1"/>
  <c r="O10" i="18"/>
  <c r="H12" i="18" s="1"/>
  <c r="H11" i="18" l="1"/>
  <c r="L11" i="18" s="1"/>
  <c r="H14" i="18"/>
  <c r="L14" i="18" s="1"/>
  <c r="L12" i="18"/>
  <c r="M12" i="18"/>
  <c r="M11" i="18"/>
  <c r="M15" i="18"/>
  <c r="L15" i="18"/>
  <c r="O12" i="18" l="1"/>
  <c r="H25" i="18" s="1"/>
  <c r="O15" i="18"/>
  <c r="H26" i="18" s="1"/>
  <c r="O11" i="18"/>
  <c r="H22" i="18" s="1"/>
  <c r="M14" i="18"/>
  <c r="O14" i="18" s="1"/>
  <c r="H24" i="18" s="1"/>
  <c r="AF7" i="13"/>
  <c r="AH7" i="13"/>
  <c r="AE7" i="13"/>
  <c r="AC10" i="13"/>
  <c r="AC9" i="13"/>
  <c r="AC8" i="13"/>
  <c r="AC7" i="13"/>
  <c r="X7" i="13"/>
  <c r="T7" i="13"/>
  <c r="L7" i="13"/>
  <c r="J19" i="13"/>
  <c r="J20" i="13"/>
  <c r="J18" i="13"/>
  <c r="J15" i="13"/>
  <c r="J16" i="13"/>
  <c r="J14" i="13"/>
  <c r="J12" i="13"/>
  <c r="J11" i="13"/>
  <c r="J8" i="13"/>
  <c r="L8" i="13" s="1"/>
  <c r="J9" i="13"/>
  <c r="J7" i="13"/>
  <c r="G7" i="13"/>
  <c r="H9" i="13"/>
  <c r="G9" i="13"/>
  <c r="F9" i="13"/>
  <c r="E9" i="13"/>
  <c r="H8" i="13"/>
  <c r="G8" i="13"/>
  <c r="F8" i="13"/>
  <c r="E8" i="13"/>
  <c r="H11" i="13"/>
  <c r="H12" i="13"/>
  <c r="L9" i="13" l="1"/>
  <c r="AT8" i="13"/>
  <c r="AT7" i="13"/>
  <c r="AT10" i="13"/>
  <c r="AT9" i="13"/>
  <c r="AM10" i="13"/>
  <c r="AM9" i="13"/>
  <c r="AQ9" i="13" s="1"/>
  <c r="AW9" i="13" s="1"/>
  <c r="AM8" i="13"/>
  <c r="AM7" i="13"/>
  <c r="AQ7" i="13" s="1"/>
  <c r="AW7" i="13" s="1"/>
  <c r="AQ8" i="13"/>
  <c r="AW8" i="13" s="1"/>
  <c r="AW10" i="13" l="1"/>
  <c r="AQ10" i="13"/>
  <c r="M8" i="14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F9" i="13" l="1"/>
  <c r="X10" i="13"/>
  <c r="X9" i="13"/>
  <c r="T10" i="13"/>
  <c r="AF10" i="13" s="1"/>
  <c r="T9" i="13"/>
  <c r="X8" i="13"/>
  <c r="T8" i="13"/>
  <c r="AF8" i="13" s="1"/>
  <c r="J5" i="13" l="1"/>
  <c r="F19" i="13"/>
  <c r="F20" i="13"/>
  <c r="F18" i="13"/>
  <c r="F15" i="13"/>
  <c r="F16" i="13"/>
  <c r="F14" i="13"/>
  <c r="F12" i="13"/>
  <c r="F11" i="13"/>
  <c r="F6" i="13"/>
  <c r="F7" i="13"/>
  <c r="F5" i="13"/>
  <c r="L5" i="13" l="1"/>
  <c r="L11" i="13"/>
  <c r="E18" i="13"/>
  <c r="E15" i="13"/>
  <c r="E16" i="13"/>
  <c r="E14" i="13"/>
  <c r="E12" i="13"/>
  <c r="E11" i="13"/>
  <c r="E19" i="13"/>
  <c r="E20" i="13"/>
  <c r="E6" i="13"/>
  <c r="E7" i="13"/>
  <c r="E5" i="13"/>
  <c r="L19" i="13"/>
  <c r="H20" i="13"/>
  <c r="H19" i="13"/>
  <c r="H18" i="13"/>
  <c r="H16" i="13"/>
  <c r="G16" i="13"/>
  <c r="H15" i="13"/>
  <c r="G15" i="13"/>
  <c r="L14" i="13"/>
  <c r="H14" i="13"/>
  <c r="G14" i="13"/>
  <c r="G12" i="13"/>
  <c r="G11" i="13"/>
  <c r="L16" i="13" l="1"/>
  <c r="L12" i="13"/>
  <c r="L13" i="13" s="1"/>
  <c r="L15" i="13"/>
  <c r="L17" i="13" s="1"/>
  <c r="AU9" i="13" s="1"/>
  <c r="L18" i="13"/>
  <c r="L21" i="13" s="1"/>
  <c r="L20" i="13"/>
  <c r="J6" i="13"/>
  <c r="L6" i="13" s="1"/>
  <c r="H6" i="13"/>
  <c r="H5" i="13"/>
  <c r="AU10" i="13" l="1"/>
  <c r="AE10" i="13"/>
  <c r="AE9" i="13"/>
  <c r="AU8" i="13"/>
  <c r="AE8" i="13"/>
  <c r="H7" i="13"/>
  <c r="G6" i="13"/>
  <c r="G5" i="13"/>
  <c r="D5" i="13"/>
  <c r="AU7" i="13" l="1"/>
  <c r="L10" i="13"/>
  <c r="AH8" i="13"/>
  <c r="AI8" i="13" s="1"/>
  <c r="AV8" i="13" s="1"/>
  <c r="AX8" i="13" s="1"/>
  <c r="AY8" i="13" s="1"/>
  <c r="AH10" i="13"/>
  <c r="AI10" i="13" s="1"/>
  <c r="AV10" i="13" s="1"/>
  <c r="AX10" i="13" s="1"/>
  <c r="AY10" i="13" s="1"/>
  <c r="AH9" i="13"/>
  <c r="AI9" i="13" s="1"/>
  <c r="AV9" i="13" s="1"/>
  <c r="AX9" i="13" s="1"/>
  <c r="AY9" i="13" s="1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7" i="13" l="1"/>
  <c r="AV7" i="13" s="1"/>
  <c r="AX7" i="13" s="1"/>
  <c r="AZ10" i="13"/>
  <c r="BA10" i="13" s="1"/>
  <c r="AY7" i="13"/>
  <c r="AZ8" i="13" s="1"/>
  <c r="BA8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F34" i="12" l="1"/>
  <c r="J34" i="12" s="1"/>
  <c r="F32" i="12"/>
  <c r="J32" i="12" s="1"/>
  <c r="G23" i="12"/>
  <c r="D45" i="12"/>
  <c r="E45" i="12" s="1"/>
  <c r="E10" i="12"/>
  <c r="E8" i="12"/>
  <c r="E6" i="12"/>
  <c r="E5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<sst xmlns="http://schemas.openxmlformats.org/spreadsheetml/2006/main" count="785" uniqueCount="309">
  <si>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</si>
  <si>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</si>
  <si>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</si>
  <si>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</si>
  <si>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</si>
  <si>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</si>
  <si>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</si>
  <si>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</si>
  <si>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</si>
  <si>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</si>
  <si>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</si>
  <si>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</si>
  <si>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</si>
  <si>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</si>
  <si>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</si>
  <si>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</si>
  <si>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</si>
  <si>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</si>
  <si>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</si>
  <si>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</si>
  <si>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</si>
  <si>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</si>
  <si>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</si>
  <si>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</si>
  <si>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</si>
  <si>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</si>
  <si>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</si>
  <si>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</si>
  <si>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</si>
  <si>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</si>
  <si>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</si>
  <si>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</si>
  <si>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</si>
  <si>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</si>
  <si>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</si>
  <si>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</si>
  <si>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</si>
  <si>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</si>
  <si>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</si>
  <si>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</si>
  <si>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</si>
  <si>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</si>
  <si>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</si>
  <si>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</si>
  <si>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</si>
  <si>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</si>
  <si>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</si>
  <si>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</si>
  <si>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</si>
  <si>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</si>
  <si>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</si>
  <si>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</si>
  <si>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</si>
  <si>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</si>
  <si>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</si>
  <si>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</si>
  <si>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</si>
  <si>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</si>
  <si>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</si>
  <si>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</si>
  <si>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</si>
  <si>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</si>
  <si>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</si>
  <si>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</si>
  <si>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</si>
  <si>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</si>
  <si>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</si>
  <si>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</si>
  <si>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</si>
  <si>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</si>
  <si>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</si>
  <si>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</si>
  <si>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</si>
  <si>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</si>
  <si>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</si>
  <si>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</si>
  <si>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</si>
  <si>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</si>
  <si>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</si>
  <si>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</si>
  <si>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</si>
  <si>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</si>
  <si>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</si>
  <si>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</si>
  <si>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</si>
  <si>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</si>
  <si>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</si>
  <si>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</si>
  <si>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</si>
  <si>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</si>
  <si>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</si>
  <si>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</si>
  <si>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</si>
  <si>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</si>
  <si>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</si>
  <si>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</si>
  <si>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</si>
  <si>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</si>
  <si>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</si>
  <si>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</si>
  <si>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</si>
  <si>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</si>
  <si>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</si>
  <si>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</si>
  <si>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</si>
  <si>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</si>
  <si>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</si>
  <si>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</si>
  <si>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</si>
  <si>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</si>
  <si>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</si>
  <si>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</si>
  <si>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</si>
  <si>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</si>
  <si>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</si>
  <si>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</si>
  <si>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</si>
  <si>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</si>
  <si>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</si>
  <si>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</si>
  <si>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</si>
  <si>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</si>
  <si>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</si>
  <si>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</si>
  <si>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</si>
  <si>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</si>
  <si>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</si>
  <si>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</si>
  <si>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</si>
  <si>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</si>
  <si>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</si>
  <si>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</si>
  <si>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</si>
  <si>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</si>
  <si>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</si>
  <si>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</si>
  <si>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</si>
  <si>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</si>
  <si>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</si>
  <si>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</si>
  <si>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</si>
  <si>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</si>
  <si>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</si>
  <si>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</si>
  <si>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</si>
  <si>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</si>
  <si>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</si>
  <si>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</si>
  <si>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</si>
  <si>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</si>
  <si>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</si>
  <si>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</si>
  <si>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</si>
  <si>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</si>
  <si>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</si>
  <si>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</si>
  <si>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</si>
  <si>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</si>
  <si>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</si>
  <si>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</si>
  <si>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</si>
  <si>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</si>
  <si>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</si>
  <si>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</si>
  <si>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</si>
  <si>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</si>
  <si>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</si>
  <si>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</si>
  <si>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</si>
  <si>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</si>
  <si>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</si>
  <si>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</si>
  <si>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</si>
  <si>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</si>
  <si>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</si>
  <si>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</si>
  <si>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</si>
  <si>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</si>
  <si>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</si>
  <si>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</si>
  <si>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</si>
  <si>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</si>
  <si>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</si>
  <si>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</si>
  <si>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</si>
  <si>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</si>
  <si>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</si>
  <si>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</si>
  <si>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</si>
  <si>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</si>
  <si>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</si>
  <si>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</si>
  <si>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</si>
  <si>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</si>
  <si>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</si>
  <si>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</si>
  <si>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</si>
  <si>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</si>
  <si>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</si>
  <si>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</si>
  <si>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</si>
  <si>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</si>
  <si>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</si>
  <si>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</si>
  <si>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</si>
  <si>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</si>
  <si>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</si>
  <si>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</si>
  <si>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</si>
  <si>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</si>
  <si>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</si>
  <si>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</si>
  <si>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</si>
  <si>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</si>
  <si>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</si>
  <si>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</si>
  <si>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</si>
  <si>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</si>
  <si>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</si>
  <si>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</si>
  <si>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</si>
  <si>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</si>
  <si>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</si>
  <si>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</si>
  <si>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</si>
  <si>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</si>
  <si>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</si>
  <si>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</si>
  <si>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</si>
  <si>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</si>
  <si>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</si>
  <si>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</si>
  <si>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</si>
  <si>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</si>
  <si>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</si>
  <si>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</si>
  <si>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</si>
  <si>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</si>
  <si>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</si>
  <si>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</si>
  <si>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</si>
  <si>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</si>
  <si>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</si>
  <si>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</si>
  <si>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</si>
  <si>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</si>
  <si>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</si>
  <si>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</si>
  <si>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</si>
  <si>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</si>
  <si>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</si>
  <si>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</si>
  <si>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</si>
  <si>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</si>
  <si>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</si>
  <si>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</si>
  <si>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</si>
  <si>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</si>
  <si>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</si>
  <si>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</si>
  <si>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</si>
  <si>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</si>
  <si>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</si>
  <si>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</si>
  <si>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</si>
  <si>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</si>
  <si>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</si>
  <si>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</si>
  <si>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</si>
  <si>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</si>
  <si>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</si>
  <si>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</si>
  <si>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</si>
  <si>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</si>
  <si>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</si>
  <si>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</si>
  <si>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</si>
  <si>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</si>
  <si>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</si>
  <si>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</si>
  <si>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</si>
  <si>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</si>
  <si>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</si>
  <si>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</si>
  <si>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</si>
  <si>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</si>
  <si>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</si>
  <si>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В-А(ШВН)</t>
  </si>
  <si>
    <t>ДЖ-В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</si>
  <si>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</si>
  <si>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</si>
  <si>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</si>
  <si>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</si>
  <si>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</si>
  <si>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</si>
  <si>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</si>
  <si>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ШНЕ</t>
  </si>
  <si>
    <t>B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</si>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</sst>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4" name="Прямая со стрелкой 3"/>
        <xdr:cNvCxnSpPr/>
      </xdr:nvCxnSpPr>
      <xdr:spPr>
        <a:xfrm>
          <a:off x="8500907" y="1093824"/>
          <a:ext cx="22860" cy="6083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5" name="Прямая со стрелкой 4"/>
        <xdr:cNvCxnSpPr/>
      </xdr:nvCxnSpPr>
      <xdr:spPr>
        <a:xfrm flipV="1">
          <a:off x="7176135" y="10134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6" name="Прямая со стрелкой 5"/>
        <xdr:cNvCxnSpPr/>
      </xdr:nvCxnSpPr>
      <xdr:spPr>
        <a:xfrm flipV="1">
          <a:off x="5334000" y="998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7" name="Прямая со стрелкой 6"/>
        <xdr:cNvCxnSpPr/>
      </xdr:nvCxnSpPr>
      <xdr:spPr>
        <a:xfrm flipH="1">
          <a:off x="9317355" y="10058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8" name="Прямая соединительная линия 7"/>
        <xdr:cNvCxnSpPr/>
      </xdr:nvCxnSpPr>
      <xdr:spPr>
        <a:xfrm>
          <a:off x="5074920" y="307086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9" name="Прямая со стрелкой 8"/>
        <xdr:cNvCxnSpPr/>
      </xdr:nvCxnSpPr>
      <xdr:spPr>
        <a:xfrm>
          <a:off x="6734838" y="3054629"/>
          <a:ext cx="7620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0" name="Прямая со стрелкой 9"/>
        <xdr:cNvCxnSpPr/>
      </xdr:nvCxnSpPr>
      <xdr:spPr>
        <a:xfrm flipH="1">
          <a:off x="8500028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1" name="Прямая со стрелкой 10"/>
        <xdr:cNvCxnSpPr/>
      </xdr:nvCxnSpPr>
      <xdr:spPr>
        <a:xfrm flipH="1">
          <a:off x="7107555" y="292608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2" name="Прямая со стрелкой 11"/>
        <xdr:cNvCxnSpPr/>
      </xdr:nvCxnSpPr>
      <xdr:spPr>
        <a:xfrm flipV="1">
          <a:off x="5334000" y="2903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3" name="Прямая со стрелкой 12"/>
        <xdr:cNvCxnSpPr/>
      </xdr:nvCxnSpPr>
      <xdr:spPr>
        <a:xfrm flipH="1">
          <a:off x="9317355" y="29108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  <row r="5">
          <cell r="F5">
            <v>6</v>
          </cell>
        </row>
        <row r="6">
          <cell r="F6">
            <v>10</v>
          </cell>
        </row>
        <row r="7">
          <cell r="F7">
            <v>10</v>
          </cell>
        </row>
        <row r="8">
          <cell r="F8">
            <v>6</v>
          </cell>
        </row>
        <row r="11">
          <cell r="B11">
            <v>47</v>
          </cell>
          <cell r="C1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H12">
            <v>0.19800000000000001</v>
          </cell>
        </row>
      </sheetData>
      <sheetData sheetId="9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/>
      <sheetData sheetId="11"/>
      <sheetData sheetId="12">
        <row r="5">
          <cell r="S5">
            <v>1.89</v>
          </cell>
          <cell r="T5">
            <v>4.8099999999999996</v>
          </cell>
        </row>
        <row r="6">
          <cell r="C6" t="str">
            <v>Б</v>
          </cell>
          <cell r="S6">
            <v>0.65</v>
          </cell>
          <cell r="T6">
            <v>1.39</v>
          </cell>
        </row>
        <row r="7">
          <cell r="C7" t="str">
            <v>В</v>
          </cell>
          <cell r="L7" t="str">
            <v>ВП-3</v>
          </cell>
          <cell r="S7">
            <v>0.65</v>
          </cell>
          <cell r="T7">
            <v>1.34</v>
          </cell>
        </row>
        <row r="8">
          <cell r="C8" t="str">
            <v>Г</v>
          </cell>
          <cell r="L8" t="str">
            <v>3-Б</v>
          </cell>
          <cell r="S8">
            <v>0.18</v>
          </cell>
          <cell r="T8">
            <v>0.37</v>
          </cell>
        </row>
        <row r="9">
          <cell r="C9" t="str">
            <v>Д</v>
          </cell>
          <cell r="L9" t="str">
            <v>3-Д</v>
          </cell>
          <cell r="S9">
            <v>0.77</v>
          </cell>
          <cell r="T9">
            <v>1.58</v>
          </cell>
        </row>
        <row r="10">
          <cell r="C10" t="str">
            <v>Е</v>
          </cell>
          <cell r="L10" t="str">
            <v>ВП-2</v>
          </cell>
          <cell r="S10">
            <v>0.81</v>
          </cell>
          <cell r="T10">
            <v>1.66</v>
          </cell>
        </row>
        <row r="11">
          <cell r="L11" t="str">
            <v>2-Г</v>
          </cell>
          <cell r="S11">
            <v>0.5</v>
          </cell>
          <cell r="T11">
            <v>0.83</v>
          </cell>
        </row>
        <row r="12">
          <cell r="L12" t="str">
            <v>2-Е</v>
          </cell>
          <cell r="S12">
            <v>1.05</v>
          </cell>
          <cell r="T12">
            <v>1.74</v>
          </cell>
        </row>
        <row r="34">
          <cell r="D34">
            <v>0.74060000000000004</v>
          </cell>
          <cell r="E34">
            <v>0.74060000000000004</v>
          </cell>
          <cell r="L34">
            <v>28.43</v>
          </cell>
          <cell r="M34">
            <v>0</v>
          </cell>
          <cell r="N34">
            <v>17.850000000000001</v>
          </cell>
        </row>
      </sheetData>
      <sheetData sheetId="13">
        <row r="5">
          <cell r="G5" t="str">
            <v>Б</v>
          </cell>
          <cell r="M5" t="str">
            <v>6,038+1,727i</v>
          </cell>
        </row>
        <row r="6">
          <cell r="G6" t="str">
            <v>В</v>
          </cell>
          <cell r="M6" t="str">
            <v>20,107+5,732i</v>
          </cell>
        </row>
        <row r="7">
          <cell r="G7" t="str">
            <v>Г</v>
          </cell>
          <cell r="M7" t="str">
            <v>7,047+2,263i</v>
          </cell>
        </row>
        <row r="8">
          <cell r="G8" t="str">
            <v>Д</v>
          </cell>
          <cell r="M8" t="str">
            <v>5,039+1,725i</v>
          </cell>
        </row>
        <row r="9">
          <cell r="G9" t="str">
            <v>Е</v>
          </cell>
          <cell r="M9" t="str">
            <v>5,039+1,52i</v>
          </cell>
        </row>
        <row r="10">
          <cell r="M10" t="str">
            <v>0.057+0.135i</v>
          </cell>
        </row>
        <row r="11">
          <cell r="M11" t="str">
            <v>0</v>
          </cell>
        </row>
        <row r="12">
          <cell r="M12" t="str">
            <v>4+1.2i</v>
          </cell>
        </row>
        <row r="13">
          <cell r="L13" t="str">
            <v>0</v>
          </cell>
        </row>
        <row r="14">
          <cell r="M14" t="str">
            <v>0</v>
          </cell>
        </row>
      </sheetData>
      <sheetData sheetId="14">
        <row r="5">
          <cell r="H5" t="str">
            <v>2-Е</v>
          </cell>
          <cell r="L5" t="str">
            <v>1.05+1.74i</v>
          </cell>
          <cell r="N5" t="e">
            <v>#NUM!</v>
          </cell>
        </row>
        <row r="6">
          <cell r="H6" t="str">
            <v>2-Г</v>
          </cell>
          <cell r="L6" t="str">
            <v>0,5+0,83i</v>
          </cell>
          <cell r="N6" t="str">
            <v>7,069+2,3i</v>
          </cell>
        </row>
        <row r="7">
          <cell r="H7" t="str">
            <v>ВП-2</v>
          </cell>
          <cell r="L7" t="str">
            <v>0,81+1,66i</v>
          </cell>
          <cell r="N7" t="e">
            <v>#NUM!</v>
          </cell>
        </row>
        <row r="8">
          <cell r="H8" t="str">
            <v>3-Д</v>
          </cell>
          <cell r="L8" t="str">
            <v>0,77+1,58i</v>
          </cell>
          <cell r="N8" t="str">
            <v>5,057+1,762i</v>
          </cell>
        </row>
        <row r="9">
          <cell r="H9" t="str">
            <v>3-Б</v>
          </cell>
          <cell r="L9" t="str">
            <v>0,18+0,37i</v>
          </cell>
          <cell r="N9" t="str">
            <v>6,044+1,739i</v>
          </cell>
        </row>
        <row r="10">
          <cell r="H10" t="str">
            <v>ВП-3</v>
          </cell>
          <cell r="L10" t="str">
            <v>0,65+1,34i</v>
          </cell>
          <cell r="N10" t="str">
            <v>11,173+3,649i</v>
          </cell>
        </row>
        <row r="11">
          <cell r="H11" t="str">
            <v>0-ШСН</v>
          </cell>
          <cell r="L11" t="str">
            <v>0,7406</v>
          </cell>
          <cell r="N11" t="e">
            <v>#NUM!</v>
          </cell>
        </row>
        <row r="12">
          <cell r="H12" t="str">
            <v>0-ШНН</v>
          </cell>
          <cell r="L12" t="str">
            <v>0,7406+17,85i</v>
          </cell>
          <cell r="N12" t="str">
            <v>4.001+1.226i</v>
          </cell>
        </row>
        <row r="13">
          <cell r="H13" t="str">
            <v>ШВН-0</v>
          </cell>
          <cell r="L13" t="str">
            <v>0,7406+28,43i</v>
          </cell>
          <cell r="N13" t="e">
            <v>#NUM!</v>
          </cell>
        </row>
        <row r="14">
          <cell r="H14" t="str">
            <v>В-А(ШВН)</v>
          </cell>
          <cell r="L14" t="str">
            <v>0.65+1.39i</v>
          </cell>
          <cell r="N14" t="e">
            <v>#NUM!</v>
          </cell>
        </row>
        <row r="15">
          <cell r="H15" t="str">
            <v>ДЖ-В</v>
          </cell>
          <cell r="L15" t="str">
            <v>1.89+4.81i</v>
          </cell>
          <cell r="N15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wmf"/><Relationship Id="rId3" Type="http://schemas.openxmlformats.org/officeDocument/2006/relationships/oleObject" Target="../embeddings/oleObject79.bin"/><Relationship Id="rId7" Type="http://schemas.openxmlformats.org/officeDocument/2006/relationships/oleObject" Target="../embeddings/oleObject81.bin"/><Relationship Id="rId12" Type="http://schemas.openxmlformats.org/officeDocument/2006/relationships/image" Target="../media/image96.w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93.wmf"/><Relationship Id="rId11" Type="http://schemas.openxmlformats.org/officeDocument/2006/relationships/oleObject" Target="../embeddings/oleObject83.bin"/><Relationship Id="rId5" Type="http://schemas.openxmlformats.org/officeDocument/2006/relationships/oleObject" Target="../embeddings/oleObject80.bin"/><Relationship Id="rId10" Type="http://schemas.openxmlformats.org/officeDocument/2006/relationships/image" Target="../media/image95.wmf"/><Relationship Id="rId4" Type="http://schemas.openxmlformats.org/officeDocument/2006/relationships/image" Target="../media/image92.wmf"/><Relationship Id="rId9" Type="http://schemas.openxmlformats.org/officeDocument/2006/relationships/oleObject" Target="../embeddings/oleObject8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wmf"/><Relationship Id="rId13" Type="http://schemas.openxmlformats.org/officeDocument/2006/relationships/oleObject" Target="../embeddings/oleObject89.bin"/><Relationship Id="rId18" Type="http://schemas.openxmlformats.org/officeDocument/2006/relationships/image" Target="../media/image104.wmf"/><Relationship Id="rId26" Type="http://schemas.openxmlformats.org/officeDocument/2006/relationships/image" Target="../media/image108.wmf"/><Relationship Id="rId3" Type="http://schemas.openxmlformats.org/officeDocument/2006/relationships/oleObject" Target="../embeddings/oleObject84.bin"/><Relationship Id="rId21" Type="http://schemas.openxmlformats.org/officeDocument/2006/relationships/oleObject" Target="../embeddings/oleObject93.bin"/><Relationship Id="rId7" Type="http://schemas.openxmlformats.org/officeDocument/2006/relationships/oleObject" Target="../embeddings/oleObject86.bin"/><Relationship Id="rId12" Type="http://schemas.openxmlformats.org/officeDocument/2006/relationships/image" Target="../media/image101.wmf"/><Relationship Id="rId17" Type="http://schemas.openxmlformats.org/officeDocument/2006/relationships/oleObject" Target="../embeddings/oleObject91.bin"/><Relationship Id="rId25" Type="http://schemas.openxmlformats.org/officeDocument/2006/relationships/oleObject" Target="../embeddings/oleObject95.bin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3.wmf"/><Relationship Id="rId20" Type="http://schemas.openxmlformats.org/officeDocument/2006/relationships/image" Target="../media/image105.wmf"/><Relationship Id="rId29" Type="http://schemas.openxmlformats.org/officeDocument/2006/relationships/oleObject" Target="../embeddings/oleObject97.bin"/><Relationship Id="rId1" Type="http://schemas.openxmlformats.org/officeDocument/2006/relationships/drawing" Target="../drawings/drawing13.xml"/><Relationship Id="rId6" Type="http://schemas.openxmlformats.org/officeDocument/2006/relationships/image" Target="../media/image98.wmf"/><Relationship Id="rId11" Type="http://schemas.openxmlformats.org/officeDocument/2006/relationships/oleObject" Target="../embeddings/oleObject88.bin"/><Relationship Id="rId24" Type="http://schemas.openxmlformats.org/officeDocument/2006/relationships/image" Target="../media/image107.wmf"/><Relationship Id="rId5" Type="http://schemas.openxmlformats.org/officeDocument/2006/relationships/oleObject" Target="../embeddings/oleObject85.bin"/><Relationship Id="rId15" Type="http://schemas.openxmlformats.org/officeDocument/2006/relationships/oleObject" Target="../embeddings/oleObject90.bin"/><Relationship Id="rId23" Type="http://schemas.openxmlformats.org/officeDocument/2006/relationships/oleObject" Target="../embeddings/oleObject94.bin"/><Relationship Id="rId28" Type="http://schemas.openxmlformats.org/officeDocument/2006/relationships/image" Target="../media/image109.wmf"/><Relationship Id="rId10" Type="http://schemas.openxmlformats.org/officeDocument/2006/relationships/image" Target="../media/image100.wmf"/><Relationship Id="rId19" Type="http://schemas.openxmlformats.org/officeDocument/2006/relationships/oleObject" Target="../embeddings/oleObject92.bin"/><Relationship Id="rId4" Type="http://schemas.openxmlformats.org/officeDocument/2006/relationships/image" Target="../media/image97.wmf"/><Relationship Id="rId9" Type="http://schemas.openxmlformats.org/officeDocument/2006/relationships/oleObject" Target="../embeddings/oleObject87.bin"/><Relationship Id="rId14" Type="http://schemas.openxmlformats.org/officeDocument/2006/relationships/image" Target="../media/image102.wmf"/><Relationship Id="rId22" Type="http://schemas.openxmlformats.org/officeDocument/2006/relationships/image" Target="../media/image106.wmf"/><Relationship Id="rId27" Type="http://schemas.openxmlformats.org/officeDocument/2006/relationships/oleObject" Target="../embeddings/oleObject96.bin"/><Relationship Id="rId30" Type="http://schemas.openxmlformats.org/officeDocument/2006/relationships/image" Target="../media/image110.w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4.vsd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26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26" t="s">
        <v>10</v>
      </c>
      <c r="H2" s="2"/>
      <c r="M2" s="1"/>
    </row>
    <row r="3" spans="1:13" x14ac:dyDescent="0.25">
      <c r="A3" s="126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26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26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26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F31" sqref="F31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32" t="s">
        <v>173</v>
      </c>
      <c r="D3" s="63" t="s">
        <v>174</v>
      </c>
      <c r="E3" s="132" t="s">
        <v>175</v>
      </c>
      <c r="F3" s="132" t="s">
        <v>176</v>
      </c>
      <c r="G3" s="132" t="s">
        <v>177</v>
      </c>
      <c r="H3" s="132" t="s">
        <v>178</v>
      </c>
      <c r="I3" s="160" t="s">
        <v>179</v>
      </c>
      <c r="J3" s="160" t="s">
        <v>180</v>
      </c>
      <c r="K3" s="160" t="s">
        <v>181</v>
      </c>
    </row>
    <row r="4" spans="1:11" ht="19.5" thickBot="1" x14ac:dyDescent="0.3">
      <c r="C4" s="134"/>
      <c r="D4" s="33" t="s">
        <v>9</v>
      </c>
      <c r="E4" s="142"/>
      <c r="F4" s="142"/>
      <c r="G4" s="142"/>
      <c r="H4" s="142"/>
      <c r="I4" s="161"/>
      <c r="J4" s="161"/>
      <c r="K4" s="161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50" t="s">
        <v>184</v>
      </c>
      <c r="D15" s="150" t="s">
        <v>194</v>
      </c>
      <c r="E15" s="150" t="s">
        <v>193</v>
      </c>
      <c r="F15" s="150" t="s">
        <v>189</v>
      </c>
      <c r="G15" s="150" t="s">
        <v>192</v>
      </c>
      <c r="H15" s="150" t="s">
        <v>185</v>
      </c>
      <c r="I15" s="150" t="s">
        <v>190</v>
      </c>
      <c r="J15" s="150" t="s">
        <v>186</v>
      </c>
      <c r="K15" s="150" t="s">
        <v>191</v>
      </c>
    </row>
    <row r="16" spans="1:11" ht="18" customHeight="1" x14ac:dyDescent="0.25">
      <c r="C16" s="150"/>
      <c r="D16" s="159"/>
      <c r="E16" s="159"/>
      <c r="F16" s="150"/>
      <c r="G16" s="159"/>
      <c r="H16" s="150"/>
      <c r="I16" s="159"/>
      <c r="J16" s="150"/>
      <c r="K16" s="159"/>
    </row>
    <row r="17" spans="1:12" ht="42.75" customHeight="1" x14ac:dyDescent="0.25">
      <c r="A17">
        <f>'Табл1-1  1-2'!B4</f>
        <v>16</v>
      </c>
      <c r="B17">
        <f>'Табл1-1  1-2'!C4</f>
        <v>12</v>
      </c>
      <c r="C17" s="115" t="str">
        <f>C5</f>
        <v>А</v>
      </c>
      <c r="D17" s="115">
        <f>A17</f>
        <v>16</v>
      </c>
      <c r="E17" s="115">
        <f>B17</f>
        <v>12</v>
      </c>
      <c r="F17" s="115">
        <f>E17/D17</f>
        <v>0.75</v>
      </c>
      <c r="G17" s="115">
        <f>D17*(F17-0.25)</f>
        <v>8</v>
      </c>
      <c r="H17" s="115" t="s">
        <v>195</v>
      </c>
      <c r="I17" s="115">
        <f>'Табл1-1  1-2'!F4</f>
        <v>6</v>
      </c>
      <c r="J17" s="115" t="s">
        <v>200</v>
      </c>
      <c r="K17" s="115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15" t="str">
        <f t="shared" ref="C18:C22" si="5">C6</f>
        <v>Б</v>
      </c>
      <c r="D18" s="115">
        <f t="shared" ref="D18:D22" si="6">A18</f>
        <v>20</v>
      </c>
      <c r="E18" s="115">
        <f t="shared" ref="E18:E22" si="7">B18</f>
        <v>13</v>
      </c>
      <c r="F18" s="115">
        <f>E18/D18</f>
        <v>0.65</v>
      </c>
      <c r="G18" s="115">
        <f>D18*(F18-0.25)</f>
        <v>8</v>
      </c>
      <c r="H18" s="115" t="s">
        <v>307</v>
      </c>
      <c r="I18" s="115">
        <f>'Табл1-1  1-2'!F5</f>
        <v>10</v>
      </c>
      <c r="J18" s="115" t="s">
        <v>201</v>
      </c>
      <c r="K18" s="115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15" t="str">
        <f t="shared" si="5"/>
        <v>В</v>
      </c>
      <c r="D19" s="115">
        <f t="shared" si="6"/>
        <v>35</v>
      </c>
      <c r="E19" s="115">
        <f t="shared" si="7"/>
        <v>19</v>
      </c>
      <c r="F19" s="59">
        <f t="shared" ref="F19:F22" si="8">E19/D19</f>
        <v>0.54285714285714282</v>
      </c>
      <c r="G19" s="115">
        <f t="shared" ref="G19:G22" si="9">D19*(F19-0.25)</f>
        <v>10.249999999999998</v>
      </c>
      <c r="H19" s="115" t="s">
        <v>196</v>
      </c>
      <c r="I19" s="115">
        <f>'Табл1-1  1-2'!F6</f>
        <v>10</v>
      </c>
      <c r="J19" s="115" t="s">
        <v>198</v>
      </c>
      <c r="K19" s="115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15" t="str">
        <f t="shared" si="5"/>
        <v>Г</v>
      </c>
      <c r="D20" s="115">
        <f t="shared" si="6"/>
        <v>32</v>
      </c>
      <c r="E20" s="115">
        <f t="shared" si="7"/>
        <v>15.5</v>
      </c>
      <c r="F20" s="59">
        <f t="shared" si="8"/>
        <v>0.484375</v>
      </c>
      <c r="G20" s="115">
        <f t="shared" si="9"/>
        <v>7.5</v>
      </c>
      <c r="H20" s="115" t="s">
        <v>197</v>
      </c>
      <c r="I20" s="115">
        <f>'Табл1-1  1-2'!F7</f>
        <v>10</v>
      </c>
      <c r="J20" s="115" t="s">
        <v>202</v>
      </c>
      <c r="K20" s="115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15" t="str">
        <f t="shared" si="5"/>
        <v>Д</v>
      </c>
      <c r="D21" s="115">
        <f t="shared" si="6"/>
        <v>27</v>
      </c>
      <c r="E21" s="115">
        <f t="shared" si="7"/>
        <v>13.8</v>
      </c>
      <c r="F21" s="59">
        <f t="shared" si="8"/>
        <v>0.51111111111111118</v>
      </c>
      <c r="G21" s="115">
        <f t="shared" si="9"/>
        <v>7.0500000000000016</v>
      </c>
      <c r="H21" s="115" t="s">
        <v>197</v>
      </c>
      <c r="I21" s="115">
        <f>'Табл1-1  1-2'!F8</f>
        <v>6</v>
      </c>
      <c r="J21" s="115" t="s">
        <v>199</v>
      </c>
      <c r="K21" s="115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15" t="str">
        <f t="shared" si="5"/>
        <v>Е</v>
      </c>
      <c r="D22" s="115">
        <f t="shared" si="6"/>
        <v>35</v>
      </c>
      <c r="E22" s="115">
        <f t="shared" si="7"/>
        <v>17</v>
      </c>
      <c r="F22" s="59">
        <f t="shared" si="8"/>
        <v>0.48571428571428571</v>
      </c>
      <c r="G22" s="115">
        <f t="shared" si="9"/>
        <v>8.25</v>
      </c>
      <c r="H22" s="115" t="s">
        <v>196</v>
      </c>
      <c r="I22" s="115">
        <f>'Табл1-1  1-2'!F9</f>
        <v>6</v>
      </c>
      <c r="J22" s="115" t="str">
        <f>J17</f>
        <v>4xУК-6-900 4xУК-6-1125</v>
      </c>
      <c r="K22" s="115">
        <f>3*2.7</f>
        <v>8.1000000000000014</v>
      </c>
    </row>
    <row r="23" spans="1:12" ht="18.75" x14ac:dyDescent="0.25">
      <c r="C23" s="150" t="s">
        <v>187</v>
      </c>
      <c r="D23" s="150"/>
      <c r="E23" s="150"/>
      <c r="F23" s="150"/>
      <c r="G23" s="122">
        <f>SUM(G17:G22)</f>
        <v>49.050000000000004</v>
      </c>
      <c r="H23" s="115" t="s">
        <v>188</v>
      </c>
      <c r="I23" s="115" t="s">
        <v>188</v>
      </c>
      <c r="J23" s="115" t="s">
        <v>188</v>
      </c>
      <c r="K23" s="122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15" t="s">
        <v>204</v>
      </c>
      <c r="D28" s="150" t="s">
        <v>175</v>
      </c>
      <c r="E28" s="150" t="s">
        <v>206</v>
      </c>
      <c r="F28" s="150" t="s">
        <v>207</v>
      </c>
      <c r="G28" s="150" t="s">
        <v>208</v>
      </c>
      <c r="H28" s="150" t="s">
        <v>209</v>
      </c>
      <c r="I28" s="151" t="str">
        <f>I3</f>
        <v>nт</v>
      </c>
      <c r="J28" s="151" t="str">
        <f>J3</f>
        <v>Kз</v>
      </c>
      <c r="K28" s="151" t="str">
        <f>K3</f>
        <v>Kзав</v>
      </c>
    </row>
    <row r="29" spans="1:12" ht="23.25" customHeight="1" x14ac:dyDescent="0.25">
      <c r="C29" s="115" t="s">
        <v>205</v>
      </c>
      <c r="D29" s="159"/>
      <c r="E29" s="159"/>
      <c r="F29" s="159"/>
      <c r="G29" s="159"/>
      <c r="H29" s="159"/>
      <c r="I29" s="151"/>
      <c r="J29" s="151"/>
      <c r="K29" s="151"/>
    </row>
    <row r="30" spans="1:12" ht="37.5" customHeight="1" x14ac:dyDescent="0.25">
      <c r="A30">
        <f>A5</f>
        <v>146.15</v>
      </c>
      <c r="B30">
        <f>B5</f>
        <v>103.7</v>
      </c>
      <c r="C30" s="115" t="str">
        <f>C17</f>
        <v>А</v>
      </c>
      <c r="D30" s="119" t="str">
        <f>E5</f>
        <v>146.15+103.7i</v>
      </c>
      <c r="E30" s="119">
        <f>K17+K19+K20+K21+K22</f>
        <v>41.4</v>
      </c>
      <c r="F30" s="119" t="str">
        <f>COMPLEX(A30,B30-E30)</f>
        <v>146.15+62.3i</v>
      </c>
      <c r="G30" s="119" t="str">
        <f>H17</f>
        <v>АТДЦТН-125000/220/110/35</v>
      </c>
      <c r="H30" s="119">
        <f>H5</f>
        <v>125</v>
      </c>
      <c r="I30" s="119">
        <v>2</v>
      </c>
      <c r="J30" s="121">
        <f>IMABS(F30)/I30/H30</f>
        <v>0.63549807238102607</v>
      </c>
      <c r="K30" s="121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15" t="str">
        <f t="shared" ref="C31:C35" si="11">C18</f>
        <v>Б</v>
      </c>
      <c r="D31" s="119" t="str">
        <f t="shared" ref="D31:D35" si="12">E6</f>
        <v>20+13i</v>
      </c>
      <c r="E31" s="119">
        <f>K18</f>
        <v>8.1</v>
      </c>
      <c r="F31" s="119" t="str">
        <f>COMPLEX(A31,B31-E31)</f>
        <v>20+4.9i</v>
      </c>
      <c r="G31" s="119" t="s">
        <v>307</v>
      </c>
      <c r="H31" s="119">
        <f>32</f>
        <v>32</v>
      </c>
      <c r="I31" s="119">
        <v>2</v>
      </c>
      <c r="J31" s="121">
        <f>IMABS(F31)/I31/H31</f>
        <v>0.32174223596887308</v>
      </c>
      <c r="K31" s="121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15" t="str">
        <f t="shared" si="11"/>
        <v>В</v>
      </c>
      <c r="D32" s="119" t="str">
        <f t="shared" si="12"/>
        <v>35+19i</v>
      </c>
      <c r="E32" s="119">
        <f t="shared" ref="E32:E35" si="14">K19</f>
        <v>10.8</v>
      </c>
      <c r="F32" s="119" t="str">
        <f t="shared" ref="F32:F35" si="15">COMPLEX(A32,B32-E32)</f>
        <v>35+8.2i</v>
      </c>
      <c r="G32" s="119" t="str">
        <f t="shared" ref="G32:G35" si="16">H19</f>
        <v>ТРДН-40000/110/35</v>
      </c>
      <c r="H32" s="119">
        <f t="shared" ref="H32:H35" si="17">H7</f>
        <v>40</v>
      </c>
      <c r="I32" s="119">
        <v>2</v>
      </c>
      <c r="J32" s="121">
        <f t="shared" ref="J32:J35" si="18">IMABS(F32)/I32/H32</f>
        <v>0.44934674806879371</v>
      </c>
      <c r="K32" s="121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15" t="str">
        <f t="shared" si="11"/>
        <v>Г</v>
      </c>
      <c r="D33" s="119" t="str">
        <f t="shared" si="12"/>
        <v>32+15.5i</v>
      </c>
      <c r="E33" s="119">
        <f t="shared" si="14"/>
        <v>7.2</v>
      </c>
      <c r="F33" s="119" t="str">
        <f t="shared" si="15"/>
        <v>32+8.3i</v>
      </c>
      <c r="G33" s="119" t="str">
        <f t="shared" si="16"/>
        <v>ТРДН-25000/110/35</v>
      </c>
      <c r="H33" s="119">
        <f t="shared" si="17"/>
        <v>25</v>
      </c>
      <c r="I33" s="119">
        <v>2</v>
      </c>
      <c r="J33" s="121">
        <f t="shared" si="18"/>
        <v>0.66117773707226424</v>
      </c>
      <c r="K33" s="121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15" t="str">
        <f t="shared" si="11"/>
        <v>Д</v>
      </c>
      <c r="D34" s="119" t="str">
        <f t="shared" si="12"/>
        <v>27+13.8i</v>
      </c>
      <c r="E34" s="119">
        <f t="shared" si="14"/>
        <v>7.2</v>
      </c>
      <c r="F34" s="119" t="str">
        <f t="shared" si="15"/>
        <v>27+6.6i</v>
      </c>
      <c r="G34" s="119" t="str">
        <f t="shared" si="16"/>
        <v>ТРДН-25000/110/35</v>
      </c>
      <c r="H34" s="119">
        <f t="shared" si="17"/>
        <v>25</v>
      </c>
      <c r="I34" s="119">
        <v>2</v>
      </c>
      <c r="J34" s="121">
        <f t="shared" si="18"/>
        <v>0.55589927145122253</v>
      </c>
      <c r="K34" s="121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15" t="str">
        <f t="shared" si="11"/>
        <v>Е</v>
      </c>
      <c r="D35" s="119" t="str">
        <f t="shared" si="12"/>
        <v>35+17i</v>
      </c>
      <c r="E35" s="119">
        <f t="shared" si="14"/>
        <v>8.1000000000000014</v>
      </c>
      <c r="F35" s="119" t="str">
        <f t="shared" si="15"/>
        <v>35+8.9i</v>
      </c>
      <c r="G35" s="119" t="str">
        <f t="shared" si="16"/>
        <v>ТРДН-40000/110/35</v>
      </c>
      <c r="H35" s="119">
        <f t="shared" si="17"/>
        <v>40</v>
      </c>
      <c r="I35" s="119">
        <v>2</v>
      </c>
      <c r="J35" s="121">
        <f t="shared" si="18"/>
        <v>0.45142309699438288</v>
      </c>
      <c r="K35" s="121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50" t="s">
        <v>173</v>
      </c>
      <c r="D40" s="162" t="s">
        <v>217</v>
      </c>
      <c r="E40" s="162" t="s">
        <v>218</v>
      </c>
      <c r="F40" s="162" t="s">
        <v>211</v>
      </c>
      <c r="G40" s="162"/>
      <c r="H40" s="162" t="s">
        <v>212</v>
      </c>
      <c r="I40" s="150" t="s">
        <v>213</v>
      </c>
      <c r="J40" s="150"/>
      <c r="K40" s="150"/>
    </row>
    <row r="41" spans="1:12" ht="54" customHeight="1" x14ac:dyDescent="0.25">
      <c r="C41" s="159"/>
      <c r="D41" s="159"/>
      <c r="E41" s="159"/>
      <c r="F41" s="150" t="s">
        <v>214</v>
      </c>
      <c r="G41" s="150" t="s">
        <v>215</v>
      </c>
      <c r="H41" s="162"/>
      <c r="I41" s="151" t="str">
        <f>J28</f>
        <v>Kз</v>
      </c>
      <c r="J41" s="151" t="str">
        <f>K28</f>
        <v>Kзав</v>
      </c>
      <c r="K41" s="150" t="s">
        <v>216</v>
      </c>
    </row>
    <row r="42" spans="1:12" ht="19.5" hidden="1" customHeight="1" thickBot="1" x14ac:dyDescent="0.3">
      <c r="C42" s="159"/>
      <c r="D42" s="163"/>
      <c r="E42" s="163"/>
      <c r="F42" s="163"/>
      <c r="G42" s="150"/>
      <c r="H42" s="162"/>
      <c r="I42" s="151"/>
      <c r="J42" s="151"/>
      <c r="K42" s="150"/>
    </row>
    <row r="43" spans="1:12" x14ac:dyDescent="0.25">
      <c r="C43" s="159"/>
      <c r="D43" s="163"/>
      <c r="E43" s="163"/>
      <c r="F43" s="163"/>
      <c r="G43" s="163"/>
      <c r="H43" s="163"/>
      <c r="I43" s="163"/>
      <c r="J43" s="163"/>
      <c r="K43" s="163"/>
    </row>
    <row r="44" spans="1:12" ht="57.75" customHeight="1" x14ac:dyDescent="0.25">
      <c r="C44" s="115" t="s">
        <v>12</v>
      </c>
      <c r="D44" s="119" t="str">
        <f>F31</f>
        <v>20+4.9i</v>
      </c>
      <c r="E44" s="119">
        <f>IMABS(D44)</f>
        <v>20.591503102007877</v>
      </c>
      <c r="F44" s="119">
        <f>H31</f>
        <v>32</v>
      </c>
      <c r="G44" s="119">
        <f>16</f>
        <v>16</v>
      </c>
      <c r="H44" s="119">
        <v>2</v>
      </c>
      <c r="I44" s="119">
        <f>E44/H44/F44</f>
        <v>0.32174223596887308</v>
      </c>
      <c r="J44" s="119">
        <f>E44/G44</f>
        <v>1.2869689438754923</v>
      </c>
      <c r="K44" s="119" t="s">
        <v>308</v>
      </c>
    </row>
    <row r="45" spans="1:12" ht="57.75" customHeight="1" x14ac:dyDescent="0.25">
      <c r="C45" s="115" t="s">
        <v>13</v>
      </c>
      <c r="D45" s="119" t="str">
        <f>F32</f>
        <v>35+8.2i</v>
      </c>
      <c r="E45" s="119">
        <f>IMABS(D45)</f>
        <v>35.947739845503499</v>
      </c>
      <c r="F45" s="119">
        <f>H32</f>
        <v>40</v>
      </c>
      <c r="G45" s="119">
        <v>25</v>
      </c>
      <c r="H45" s="119">
        <v>2</v>
      </c>
      <c r="I45" s="119">
        <f t="shared" ref="I45:I46" si="19">E45/H45/F45</f>
        <v>0.44934674806879371</v>
      </c>
      <c r="J45" s="119">
        <f t="shared" ref="J45:J46" si="20">E45/G45</f>
        <v>1.4379095938201401</v>
      </c>
      <c r="K45" s="123" t="s">
        <v>220</v>
      </c>
    </row>
    <row r="46" spans="1:12" ht="37.5" x14ac:dyDescent="0.25">
      <c r="C46" s="115" t="s">
        <v>14</v>
      </c>
      <c r="D46" s="119" t="str">
        <f>F33</f>
        <v>32+8.3i</v>
      </c>
      <c r="E46" s="119">
        <f>IMABS(D46)</f>
        <v>33.05888685361321</v>
      </c>
      <c r="F46" s="119">
        <f>H33</f>
        <v>25</v>
      </c>
      <c r="G46" s="119">
        <v>16</v>
      </c>
      <c r="H46" s="119">
        <v>2</v>
      </c>
      <c r="I46" s="119">
        <f t="shared" si="19"/>
        <v>0.66117773707226424</v>
      </c>
      <c r="J46" s="119">
        <f t="shared" si="20"/>
        <v>2.0661804283508256</v>
      </c>
      <c r="K46" s="116" t="s">
        <v>219</v>
      </c>
    </row>
  </sheetData>
  <mergeCells count="37"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  <mergeCell ref="D28:D29"/>
    <mergeCell ref="E28:E29"/>
    <mergeCell ref="F28:F29"/>
    <mergeCell ref="G28:G29"/>
    <mergeCell ref="H28:H29"/>
    <mergeCell ref="K15:K16"/>
    <mergeCell ref="I15:I16"/>
    <mergeCell ref="I28:I29"/>
    <mergeCell ref="J28:J29"/>
    <mergeCell ref="K28:K29"/>
    <mergeCell ref="C3:C4"/>
    <mergeCell ref="I3:I4"/>
    <mergeCell ref="J3:J4"/>
    <mergeCell ref="K3:K4"/>
    <mergeCell ref="E3:E4"/>
    <mergeCell ref="F3:F4"/>
    <mergeCell ref="G3:G4"/>
    <mergeCell ref="H3:H4"/>
    <mergeCell ref="C15:C16"/>
    <mergeCell ref="F15:F16"/>
    <mergeCell ref="H15:H16"/>
    <mergeCell ref="J15:J16"/>
    <mergeCell ref="C23:F23"/>
    <mergeCell ref="D15:D16"/>
    <mergeCell ref="E15:E16"/>
    <mergeCell ref="G15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21" sqref="I2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79" t="s">
        <v>107</v>
      </c>
      <c r="C2" s="181" t="s">
        <v>67</v>
      </c>
      <c r="D2" s="181" t="s">
        <v>105</v>
      </c>
      <c r="E2" s="185" t="s">
        <v>128</v>
      </c>
      <c r="F2" s="185" t="s">
        <v>129</v>
      </c>
      <c r="G2" s="185" t="s">
        <v>121</v>
      </c>
      <c r="H2" s="185" t="s">
        <v>130</v>
      </c>
      <c r="I2" s="181" t="s">
        <v>116</v>
      </c>
      <c r="J2" s="185" t="s">
        <v>131</v>
      </c>
      <c r="K2" s="183" t="s">
        <v>132</v>
      </c>
    </row>
    <row r="3" spans="2:11" ht="50.25" customHeight="1" thickBot="1" x14ac:dyDescent="0.3">
      <c r="B3" s="180"/>
      <c r="C3" s="182"/>
      <c r="D3" s="182"/>
      <c r="E3" s="186"/>
      <c r="F3" s="186"/>
      <c r="G3" s="186"/>
      <c r="H3" s="186"/>
      <c r="I3" s="182"/>
      <c r="J3" s="186"/>
      <c r="K3" s="184"/>
    </row>
    <row r="4" spans="2:11" ht="24.75" customHeight="1" thickBot="1" x14ac:dyDescent="0.3">
      <c r="B4" s="175" t="s">
        <v>19</v>
      </c>
      <c r="C4" s="175" t="s">
        <v>143</v>
      </c>
      <c r="D4" s="169" t="s">
        <v>137</v>
      </c>
      <c r="E4" s="170"/>
      <c r="F4" s="170"/>
      <c r="G4" s="170"/>
      <c r="H4" s="170"/>
      <c r="I4" s="170"/>
      <c r="J4" s="170"/>
      <c r="K4" s="171"/>
    </row>
    <row r="5" spans="2:11" ht="19.5" thickBot="1" x14ac:dyDescent="0.3">
      <c r="B5" s="175"/>
      <c r="C5" s="177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75"/>
      <c r="C6" s="177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78"/>
      <c r="C7" s="177"/>
      <c r="D7" s="172" t="s">
        <v>138</v>
      </c>
      <c r="E7" s="173"/>
      <c r="F7" s="173"/>
      <c r="G7" s="173"/>
      <c r="H7" s="173"/>
      <c r="I7" s="173"/>
      <c r="J7" s="173"/>
      <c r="K7" s="174"/>
    </row>
    <row r="8" spans="2:11" ht="19.5" thickBot="1" x14ac:dyDescent="0.3">
      <c r="B8" s="178"/>
      <c r="C8" s="177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78"/>
      <c r="C9" s="177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78"/>
      <c r="C10" s="175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78"/>
      <c r="C11" s="176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75" t="s">
        <v>20</v>
      </c>
      <c r="C12" s="175" t="s">
        <v>143</v>
      </c>
      <c r="D12" s="172" t="s">
        <v>141</v>
      </c>
      <c r="E12" s="173"/>
      <c r="F12" s="173"/>
      <c r="G12" s="173"/>
      <c r="H12" s="173"/>
      <c r="I12" s="173"/>
      <c r="J12" s="173"/>
      <c r="K12" s="174"/>
    </row>
    <row r="13" spans="2:11" ht="19.5" thickBot="1" x14ac:dyDescent="0.3">
      <c r="B13" s="175"/>
      <c r="C13" s="177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75"/>
      <c r="C14" s="177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78"/>
      <c r="C15" s="177"/>
      <c r="D15" s="172" t="s">
        <v>140</v>
      </c>
      <c r="E15" s="173"/>
      <c r="F15" s="173"/>
      <c r="G15" s="173"/>
      <c r="H15" s="173"/>
      <c r="I15" s="173"/>
      <c r="J15" s="173"/>
      <c r="K15" s="174"/>
    </row>
    <row r="16" spans="2:11" ht="27" customHeight="1" thickBot="1" x14ac:dyDescent="0.3">
      <c r="B16" s="178"/>
      <c r="C16" s="177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78"/>
      <c r="C17" s="177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78"/>
      <c r="C18" s="175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78"/>
      <c r="C19" s="176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78"/>
      <c r="C20" s="176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64" t="s">
        <v>123</v>
      </c>
      <c r="C21" s="164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65"/>
      <c r="C22" s="167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66"/>
      <c r="C23" s="168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E10" sqref="E10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97" t="s">
        <v>19</v>
      </c>
      <c r="C3" s="199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95">
        <v>110</v>
      </c>
    </row>
    <row r="4" spans="2:9" ht="20.25" thickTop="1" thickBot="1" x14ac:dyDescent="0.3">
      <c r="B4" s="191"/>
      <c r="C4" s="200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65"/>
    </row>
    <row r="5" spans="2:9" ht="20.25" thickTop="1" thickBot="1" x14ac:dyDescent="0.3">
      <c r="B5" s="191"/>
      <c r="C5" s="201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96"/>
    </row>
    <row r="6" spans="2:9" ht="20.25" thickTop="1" thickBot="1" x14ac:dyDescent="0.3">
      <c r="B6" s="191"/>
      <c r="C6" s="202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93">
        <v>110</v>
      </c>
    </row>
    <row r="7" spans="2:9" ht="20.25" thickTop="1" thickBot="1" x14ac:dyDescent="0.3">
      <c r="B7" s="198"/>
      <c r="C7" s="201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96"/>
    </row>
    <row r="8" spans="2:9" ht="20.25" thickTop="1" thickBot="1" x14ac:dyDescent="0.3">
      <c r="B8" s="203" t="s">
        <v>20</v>
      </c>
      <c r="C8" s="202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04">
        <v>110</v>
      </c>
    </row>
    <row r="9" spans="2:9" ht="20.25" thickTop="1" thickBot="1" x14ac:dyDescent="0.3">
      <c r="B9" s="191"/>
      <c r="C9" s="200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05"/>
    </row>
    <row r="10" spans="2:9" ht="20.25" thickTop="1" thickBot="1" x14ac:dyDescent="0.3">
      <c r="B10" s="191"/>
      <c r="C10" s="201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06"/>
    </row>
    <row r="11" spans="2:9" ht="20.25" thickTop="1" thickBot="1" x14ac:dyDescent="0.3">
      <c r="B11" s="191"/>
      <c r="C11" s="202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04">
        <v>110</v>
      </c>
    </row>
    <row r="12" spans="2:9" ht="20.25" thickTop="1" thickBot="1" x14ac:dyDescent="0.3">
      <c r="B12" s="191"/>
      <c r="C12" s="200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05"/>
    </row>
    <row r="13" spans="2:9" ht="20.25" thickTop="1" thickBot="1" x14ac:dyDescent="0.3">
      <c r="B13" s="198"/>
      <c r="C13" s="201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06"/>
    </row>
    <row r="14" spans="2:9" ht="20.25" thickTop="1" thickBot="1" x14ac:dyDescent="0.3">
      <c r="B14" s="190" t="s">
        <v>91</v>
      </c>
      <c r="C14" s="193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04">
        <v>220</v>
      </c>
    </row>
    <row r="15" spans="2:9" ht="22.5" customHeight="1" thickTop="1" thickBot="1" x14ac:dyDescent="0.3">
      <c r="B15" s="191"/>
      <c r="C15" s="165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05"/>
    </row>
    <row r="16" spans="2:9" ht="20.25" thickTop="1" thickBot="1" x14ac:dyDescent="0.3">
      <c r="B16" s="192"/>
      <c r="C16" s="194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06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3" workbookViewId="0">
      <selection activeCell="G28" sqref="G28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50"/>
      <c r="D5" s="150" t="s">
        <v>67</v>
      </c>
      <c r="E5" s="150" t="s">
        <v>248</v>
      </c>
      <c r="F5" s="150" t="s">
        <v>9</v>
      </c>
      <c r="G5" s="150" t="s">
        <v>97</v>
      </c>
      <c r="H5" s="150" t="s">
        <v>116</v>
      </c>
      <c r="I5" s="148" t="s">
        <v>252</v>
      </c>
      <c r="J5" s="148" t="s">
        <v>253</v>
      </c>
      <c r="K5" s="150" t="s">
        <v>87</v>
      </c>
      <c r="L5" s="150" t="s">
        <v>147</v>
      </c>
      <c r="M5" s="150" t="s">
        <v>2</v>
      </c>
      <c r="N5" s="150" t="s">
        <v>249</v>
      </c>
    </row>
    <row r="6" spans="1:16" ht="15" customHeight="1" x14ac:dyDescent="0.25">
      <c r="C6" s="150"/>
      <c r="D6" s="150"/>
      <c r="E6" s="150"/>
      <c r="F6" s="150"/>
      <c r="G6" s="150"/>
      <c r="H6" s="150"/>
      <c r="I6" s="187"/>
      <c r="J6" s="187"/>
      <c r="K6" s="150"/>
      <c r="L6" s="150"/>
      <c r="M6" s="150"/>
      <c r="N6" s="150"/>
    </row>
    <row r="7" spans="1:16" ht="15" customHeight="1" x14ac:dyDescent="0.25">
      <c r="C7" s="150"/>
      <c r="D7" s="150"/>
      <c r="E7" s="150"/>
      <c r="F7" s="150"/>
      <c r="G7" s="150"/>
      <c r="H7" s="150"/>
      <c r="I7" s="149"/>
      <c r="J7" s="149"/>
      <c r="K7" s="150"/>
      <c r="L7" s="150"/>
      <c r="M7" s="150"/>
      <c r="N7" s="150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48" t="s">
        <v>19</v>
      </c>
      <c r="D8" s="150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187"/>
      <c r="D9" s="188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187"/>
      <c r="D10" s="188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187"/>
      <c r="D11" s="188"/>
      <c r="E11" s="189"/>
      <c r="F11" s="189"/>
      <c r="G11" s="189"/>
      <c r="H11" s="189"/>
      <c r="I11" s="189"/>
      <c r="J11" s="189"/>
      <c r="K11" s="189"/>
      <c r="L11" s="189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187"/>
      <c r="D12" s="148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187"/>
      <c r="D13" s="187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49"/>
      <c r="D14" s="149"/>
      <c r="E14" s="150"/>
      <c r="F14" s="188"/>
      <c r="G14" s="188"/>
      <c r="H14" s="188"/>
      <c r="I14" s="188"/>
      <c r="J14" s="188"/>
      <c r="K14" s="188"/>
      <c r="L14" s="188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50" t="s">
        <v>241</v>
      </c>
      <c r="D15" s="150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50"/>
      <c r="D16" s="150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50"/>
      <c r="D17" s="150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50"/>
      <c r="D18" s="150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50"/>
      <c r="D19" s="150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50"/>
      <c r="D20" s="188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АС-120/27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50"/>
      <c r="D21" s="188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50"/>
      <c r="D22" s="188"/>
      <c r="E22" s="150"/>
      <c r="F22" s="188"/>
      <c r="G22" s="188"/>
      <c r="H22" s="188"/>
      <c r="I22" s="188"/>
      <c r="J22" s="188"/>
      <c r="K22" s="188"/>
      <c r="L22" s="188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opLeftCell="Q1" zoomScale="98" zoomScaleNormal="98" workbookViewId="0">
      <selection activeCell="AW17" sqref="AW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48" t="s">
        <v>66</v>
      </c>
      <c r="D2" s="148" t="s">
        <v>106</v>
      </c>
      <c r="E2" s="148" t="s">
        <v>221</v>
      </c>
      <c r="F2" s="148" t="s">
        <v>42</v>
      </c>
      <c r="G2" s="148" t="s">
        <v>223</v>
      </c>
      <c r="H2" s="148" t="s">
        <v>116</v>
      </c>
      <c r="I2" s="148" t="s">
        <v>222</v>
      </c>
      <c r="J2" s="148" t="s">
        <v>225</v>
      </c>
      <c r="K2" s="148" t="s">
        <v>224</v>
      </c>
      <c r="L2" s="148" t="s">
        <v>228</v>
      </c>
    </row>
    <row r="3" spans="3:53" ht="15.75" thickBot="1" x14ac:dyDescent="0.3">
      <c r="C3" s="187"/>
      <c r="D3" s="155"/>
      <c r="E3" s="155"/>
      <c r="F3" s="187"/>
      <c r="G3" s="155"/>
      <c r="H3" s="155"/>
      <c r="I3" s="155"/>
      <c r="J3" s="187"/>
      <c r="K3" s="155"/>
      <c r="L3" s="187"/>
    </row>
    <row r="4" spans="3:53" ht="86.25" customHeight="1" thickBot="1" x14ac:dyDescent="0.3">
      <c r="C4" s="149"/>
      <c r="D4" s="156"/>
      <c r="E4" s="156"/>
      <c r="F4" s="149"/>
      <c r="G4" s="156"/>
      <c r="H4" s="156"/>
      <c r="I4" s="156"/>
      <c r="J4" s="149"/>
      <c r="K4" s="156"/>
      <c r="L4" s="149"/>
      <c r="O4" s="132" t="s">
        <v>107</v>
      </c>
      <c r="P4" s="132" t="s">
        <v>67</v>
      </c>
      <c r="Q4" s="132" t="s">
        <v>229</v>
      </c>
      <c r="R4" s="70" t="s">
        <v>230</v>
      </c>
      <c r="S4" s="70" t="s">
        <v>230</v>
      </c>
      <c r="T4" s="70" t="s">
        <v>231</v>
      </c>
      <c r="U4" s="132" t="s">
        <v>232</v>
      </c>
      <c r="V4" s="70" t="s">
        <v>230</v>
      </c>
      <c r="W4" s="71" t="s">
        <v>233</v>
      </c>
      <c r="X4" s="70" t="s">
        <v>231</v>
      </c>
      <c r="AA4" s="148" t="s">
        <v>66</v>
      </c>
      <c r="AB4" s="148" t="s">
        <v>106</v>
      </c>
      <c r="AC4" s="148" t="s">
        <v>242</v>
      </c>
      <c r="AD4" s="148" t="s">
        <v>243</v>
      </c>
      <c r="AE4" s="148" t="s">
        <v>244</v>
      </c>
      <c r="AF4" s="148" t="s">
        <v>245</v>
      </c>
      <c r="AG4" s="148" t="s">
        <v>246</v>
      </c>
      <c r="AH4" s="148" t="s">
        <v>247</v>
      </c>
      <c r="AI4" s="148" t="s">
        <v>247</v>
      </c>
      <c r="AK4" s="148" t="s">
        <v>66</v>
      </c>
      <c r="AL4" s="148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48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33"/>
      <c r="P5" s="133"/>
      <c r="Q5" s="133"/>
      <c r="R5" s="44" t="s">
        <v>234</v>
      </c>
      <c r="S5" s="72" t="s">
        <v>235</v>
      </c>
      <c r="T5" s="44" t="s">
        <v>236</v>
      </c>
      <c r="U5" s="133"/>
      <c r="V5" s="44" t="s">
        <v>234</v>
      </c>
      <c r="W5" s="44" t="s">
        <v>237</v>
      </c>
      <c r="X5" s="44" t="s">
        <v>236</v>
      </c>
      <c r="AA5" s="155"/>
      <c r="AB5" s="155"/>
      <c r="AC5" s="211"/>
      <c r="AD5" s="211"/>
      <c r="AE5" s="187"/>
      <c r="AF5" s="211"/>
      <c r="AG5" s="211"/>
      <c r="AH5" s="187"/>
      <c r="AI5" s="187"/>
      <c r="AK5" s="155"/>
      <c r="AL5" s="155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187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34"/>
      <c r="P6" s="134"/>
      <c r="Q6" s="134"/>
      <c r="R6" s="73"/>
      <c r="S6" s="33" t="s">
        <v>237</v>
      </c>
      <c r="T6" s="73"/>
      <c r="U6" s="134"/>
      <c r="V6" s="73"/>
      <c r="W6" s="73"/>
      <c r="X6" s="73"/>
      <c r="AA6" s="156"/>
      <c r="AB6" s="156"/>
      <c r="AC6" s="212"/>
      <c r="AD6" s="212"/>
      <c r="AE6" s="149"/>
      <c r="AF6" s="212"/>
      <c r="AG6" s="212"/>
      <c r="AH6" s="149"/>
      <c r="AI6" s="149"/>
      <c r="AK6" s="156"/>
      <c r="AL6" s="156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48" t="s">
        <v>19</v>
      </c>
      <c r="D7" s="187"/>
      <c r="E7" s="80" t="str">
        <f>'Таблиця 1-4'!D5</f>
        <v>В-Д</v>
      </c>
      <c r="F7" s="80">
        <f>'Таблиця 1-4'!E5</f>
        <v>5.6</v>
      </c>
      <c r="G7" s="80">
        <f>Fрозр!H6</f>
        <v>110</v>
      </c>
      <c r="H7" s="80" t="str">
        <f>нагрів!I6</f>
        <v>АС-150/34</v>
      </c>
      <c r="I7" s="80" t="s">
        <v>226</v>
      </c>
      <c r="J7" s="80">
        <f>'Таблиця 1-4'!E3</f>
        <v>11.8</v>
      </c>
      <c r="K7" s="80">
        <v>1</v>
      </c>
      <c r="L7" s="80">
        <f>J7*F7*K7</f>
        <v>66.08</v>
      </c>
      <c r="O7" s="207" t="s">
        <v>19</v>
      </c>
      <c r="P7" s="33" t="s">
        <v>51</v>
      </c>
      <c r="Q7" s="74" t="s">
        <v>238</v>
      </c>
      <c r="R7" s="33">
        <v>2</v>
      </c>
      <c r="S7" s="33">
        <v>9.1</v>
      </c>
      <c r="T7" s="33">
        <f>R7*S7</f>
        <v>18.2</v>
      </c>
      <c r="U7" s="74" t="s">
        <v>239</v>
      </c>
      <c r="V7" s="33">
        <v>2</v>
      </c>
      <c r="W7" s="33">
        <v>21</v>
      </c>
      <c r="X7" s="33">
        <f>V7*W7</f>
        <v>42</v>
      </c>
      <c r="AA7" s="148" t="s">
        <v>19</v>
      </c>
      <c r="AB7" s="80" t="s">
        <v>51</v>
      </c>
      <c r="AC7" s="80">
        <f>L10</f>
        <v>153.44</v>
      </c>
      <c r="AD7" s="148">
        <v>7.2</v>
      </c>
      <c r="AE7" s="80">
        <f>ROUND($AD$7/100*AC7,2)</f>
        <v>11.05</v>
      </c>
      <c r="AF7" s="80">
        <f>T7+X7</f>
        <v>60.2</v>
      </c>
      <c r="AG7" s="148">
        <v>14.4</v>
      </c>
      <c r="AH7" s="80">
        <f>ROUND($AG$7/100*AF7,2)</f>
        <v>8.67</v>
      </c>
      <c r="AI7" s="80">
        <f>AE7+AH7</f>
        <v>19.72</v>
      </c>
      <c r="AK7" s="148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48" t="s">
        <v>19</v>
      </c>
      <c r="AT7" s="80" t="str">
        <f>AL7</f>
        <v>а)</v>
      </c>
      <c r="AU7" s="80">
        <f>AC7+AF7</f>
        <v>213.64</v>
      </c>
      <c r="AV7" s="80">
        <f>AI7</f>
        <v>19.72</v>
      </c>
      <c r="AW7" s="80">
        <f>AQ7</f>
        <v>2456.6999999999998</v>
      </c>
      <c r="AX7" s="80">
        <f>AV7+AW7</f>
        <v>2476.4199999999996</v>
      </c>
      <c r="AY7" s="76">
        <f>0.2*AU7+AX7</f>
        <v>2519.1479999999997</v>
      </c>
      <c r="AZ7" s="80"/>
      <c r="BA7" s="58"/>
    </row>
    <row r="8" spans="3:53" ht="24.95" customHeight="1" thickBot="1" x14ac:dyDescent="0.3">
      <c r="C8" s="187"/>
      <c r="D8" s="187"/>
      <c r="E8" s="80" t="str">
        <f>'Таблиця 1-4'!D6</f>
        <v>В-Д</v>
      </c>
      <c r="F8" s="80">
        <f>'Таблиця 1-4'!E6</f>
        <v>5.6</v>
      </c>
      <c r="G8" s="80">
        <f>Fрозр!H7</f>
        <v>110</v>
      </c>
      <c r="H8" s="80" t="str">
        <f>нагрів!I11</f>
        <v>АС-240/56</v>
      </c>
      <c r="I8" s="80" t="s">
        <v>226</v>
      </c>
      <c r="J8" s="80">
        <f>'Таблиця 1-4'!E4</f>
        <v>7.8</v>
      </c>
      <c r="K8" s="80">
        <v>1</v>
      </c>
      <c r="L8" s="80">
        <f>J8*F8*K8</f>
        <v>43.68</v>
      </c>
      <c r="O8" s="208"/>
      <c r="P8" s="33" t="s">
        <v>55</v>
      </c>
      <c r="Q8" s="74" t="s">
        <v>238</v>
      </c>
      <c r="R8" s="33">
        <v>2</v>
      </c>
      <c r="S8" s="33">
        <v>9.1</v>
      </c>
      <c r="T8" s="33">
        <f>R8*S8</f>
        <v>18.2</v>
      </c>
      <c r="U8" s="74" t="s">
        <v>240</v>
      </c>
      <c r="V8" s="33">
        <v>2</v>
      </c>
      <c r="W8" s="33">
        <v>10.8</v>
      </c>
      <c r="X8" s="33">
        <f>V8*W8</f>
        <v>21.6</v>
      </c>
      <c r="AA8" s="156"/>
      <c r="AB8" s="80" t="s">
        <v>55</v>
      </c>
      <c r="AC8" s="80">
        <f>L13</f>
        <v>184.39999999999998</v>
      </c>
      <c r="AD8" s="156"/>
      <c r="AE8" s="80">
        <f>ROUND($AD$7/100*AC8,2)</f>
        <v>13.28</v>
      </c>
      <c r="AF8" s="80">
        <f t="shared" ref="AF8:AF10" si="0">T8+X8</f>
        <v>39.799999999999997</v>
      </c>
      <c r="AG8" s="156"/>
      <c r="AH8" s="80">
        <f t="shared" ref="AH8:AH10" si="1">ROUND($AE$8/100*AF8,2)</f>
        <v>5.29</v>
      </c>
      <c r="AI8" s="80">
        <f t="shared" ref="AI8:AI10" si="2">AE8+AH8</f>
        <v>18.57</v>
      </c>
      <c r="AK8" s="156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56"/>
      <c r="AT8" s="80" t="str">
        <f>AL8</f>
        <v>д)</v>
      </c>
      <c r="AU8" s="80">
        <f t="shared" ref="AU8:AU10" si="3">AC8+AF8</f>
        <v>224.2</v>
      </c>
      <c r="AV8" s="80">
        <f t="shared" ref="AV8:AV10" si="4">AI8</f>
        <v>18.57</v>
      </c>
      <c r="AW8" s="80">
        <f t="shared" ref="AW8:AW10" si="5">AQ8</f>
        <v>2692.1</v>
      </c>
      <c r="AX8" s="80">
        <f t="shared" ref="AX8:AX10" si="6">AV8+AW8</f>
        <v>2710.67</v>
      </c>
      <c r="AY8" s="80">
        <f t="shared" ref="AY8:AY10" si="7">0.2*AU8+AX8</f>
        <v>2755.51</v>
      </c>
      <c r="AZ8" s="80">
        <f>AY8-AY7</f>
        <v>236.36200000000053</v>
      </c>
      <c r="BA8" s="58">
        <f>AZ8/AY8*100</f>
        <v>8.5777950361276325</v>
      </c>
    </row>
    <row r="9" spans="3:53" ht="24.95" customHeight="1" thickBot="1" x14ac:dyDescent="0.3">
      <c r="C9" s="187"/>
      <c r="D9" s="149"/>
      <c r="E9" s="80" t="str">
        <f>'Таблиця 1-4'!D7</f>
        <v>ВП-Д</v>
      </c>
      <c r="F9" s="80">
        <f>'Таблиця 1-4'!E7</f>
        <v>7.8</v>
      </c>
      <c r="G9" s="80">
        <f>Fрозр!H8</f>
        <v>110</v>
      </c>
      <c r="H9" s="80" t="str">
        <f>нагрів!I8</f>
        <v>АС-240/56</v>
      </c>
      <c r="I9" s="80" t="s">
        <v>226</v>
      </c>
      <c r="J9" s="80">
        <f>'Таблиця 1-4'!E5</f>
        <v>5.6</v>
      </c>
      <c r="K9" s="80">
        <v>1</v>
      </c>
      <c r="L9" s="80">
        <f>J9*F9*K9</f>
        <v>43.68</v>
      </c>
      <c r="O9" s="207" t="s">
        <v>20</v>
      </c>
      <c r="P9" s="33" t="s">
        <v>51</v>
      </c>
      <c r="Q9" s="74" t="s">
        <v>238</v>
      </c>
      <c r="R9" s="33">
        <v>2</v>
      </c>
      <c r="S9" s="33">
        <v>9.1</v>
      </c>
      <c r="T9" s="33">
        <f>R9*S9</f>
        <v>18.2</v>
      </c>
      <c r="U9" s="74" t="s">
        <v>239</v>
      </c>
      <c r="V9" s="33">
        <v>2</v>
      </c>
      <c r="W9" s="33">
        <v>21</v>
      </c>
      <c r="X9" s="33">
        <f>V9*W9</f>
        <v>42</v>
      </c>
      <c r="AA9" s="148" t="s">
        <v>241</v>
      </c>
      <c r="AB9" s="80" t="s">
        <v>51</v>
      </c>
      <c r="AC9" s="80">
        <f>L17</f>
        <v>447.90000000000003</v>
      </c>
      <c r="AD9" s="148">
        <v>7.2</v>
      </c>
      <c r="AE9" s="80">
        <f>ROUND($AD$9/100*AC10,2)</f>
        <v>21.58</v>
      </c>
      <c r="AF9" s="80">
        <f t="shared" si="0"/>
        <v>60.2</v>
      </c>
      <c r="AG9" s="148">
        <v>14.4</v>
      </c>
      <c r="AH9" s="80">
        <f t="shared" si="1"/>
        <v>7.99</v>
      </c>
      <c r="AI9" s="80">
        <f t="shared" si="2"/>
        <v>29.57</v>
      </c>
      <c r="AK9" s="148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48" t="s">
        <v>20</v>
      </c>
      <c r="AT9" s="80" t="str">
        <f>AL9</f>
        <v>а)</v>
      </c>
      <c r="AU9" s="80">
        <f>AC9+AF9</f>
        <v>508.1</v>
      </c>
      <c r="AV9" s="80">
        <f t="shared" si="4"/>
        <v>29.57</v>
      </c>
      <c r="AW9" s="80">
        <f t="shared" si="5"/>
        <v>3060.6</v>
      </c>
      <c r="AX9" s="80">
        <f>AV9+AW9</f>
        <v>3090.17</v>
      </c>
      <c r="AY9" s="76">
        <f t="shared" si="7"/>
        <v>3191.79</v>
      </c>
      <c r="AZ9" s="80"/>
      <c r="BA9" s="58"/>
    </row>
    <row r="10" spans="3:53" ht="24.95" customHeight="1" thickBot="1" x14ac:dyDescent="0.3">
      <c r="C10" s="187"/>
      <c r="D10" s="152"/>
      <c r="E10" s="209"/>
      <c r="F10" s="209"/>
      <c r="G10" s="209"/>
      <c r="H10" s="209"/>
      <c r="I10" s="209"/>
      <c r="J10" s="209"/>
      <c r="K10" s="210"/>
      <c r="L10" s="80">
        <f>SUM(L7:L9)</f>
        <v>153.44</v>
      </c>
      <c r="O10" s="208"/>
      <c r="P10" s="33" t="s">
        <v>54</v>
      </c>
      <c r="Q10" s="74" t="s">
        <v>238</v>
      </c>
      <c r="R10" s="33">
        <v>2</v>
      </c>
      <c r="S10" s="33">
        <v>9.1</v>
      </c>
      <c r="T10" s="33">
        <f>R10*S10</f>
        <v>18.2</v>
      </c>
      <c r="U10" s="74" t="s">
        <v>240</v>
      </c>
      <c r="V10" s="33">
        <v>2</v>
      </c>
      <c r="W10" s="33">
        <v>10.8</v>
      </c>
      <c r="X10" s="33">
        <f>V10*W10</f>
        <v>21.6</v>
      </c>
      <c r="AA10" s="156"/>
      <c r="AB10" s="80" t="s">
        <v>54</v>
      </c>
      <c r="AC10" s="80">
        <f>L21</f>
        <v>299.78000000000003</v>
      </c>
      <c r="AD10" s="156"/>
      <c r="AE10" s="80">
        <f>ROUND($AD$9/100*AC10,2)</f>
        <v>21.58</v>
      </c>
      <c r="AF10" s="80">
        <f t="shared" si="0"/>
        <v>39.799999999999997</v>
      </c>
      <c r="AG10" s="156"/>
      <c r="AH10" s="80">
        <f t="shared" si="1"/>
        <v>5.29</v>
      </c>
      <c r="AI10" s="80">
        <f t="shared" si="2"/>
        <v>26.869999999999997</v>
      </c>
      <c r="AK10" s="149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49"/>
      <c r="AT10" s="80" t="str">
        <f>AL10</f>
        <v>г)</v>
      </c>
      <c r="AU10" s="80">
        <f t="shared" si="3"/>
        <v>339.58000000000004</v>
      </c>
      <c r="AV10" s="80">
        <f t="shared" si="4"/>
        <v>26.869999999999997</v>
      </c>
      <c r="AW10" s="80">
        <f t="shared" si="5"/>
        <v>3521.3</v>
      </c>
      <c r="AX10" s="80">
        <f t="shared" si="6"/>
        <v>3548.17</v>
      </c>
      <c r="AY10" s="80">
        <f t="shared" si="7"/>
        <v>3616.0860000000002</v>
      </c>
      <c r="AZ10" s="80">
        <f>AY10-AY9</f>
        <v>424.29600000000028</v>
      </c>
      <c r="BA10" s="58">
        <f>AZ10/AY10*100</f>
        <v>11.733570495834453</v>
      </c>
    </row>
    <row r="11" spans="3:53" ht="15" customHeight="1" x14ac:dyDescent="0.25">
      <c r="C11" s="187"/>
      <c r="D11" s="148" t="s">
        <v>89</v>
      </c>
      <c r="E11" s="80" t="str">
        <f>'Таблиця 1-4'!D6</f>
        <v>В-Д</v>
      </c>
      <c r="F11" s="80">
        <f>'Таблиця 1-4'!E6</f>
        <v>5.6</v>
      </c>
      <c r="G11" s="80">
        <f>Fрозр!H8</f>
        <v>110</v>
      </c>
      <c r="H11" s="80" t="str">
        <f>нагрів!I10</f>
        <v>АС-150/34</v>
      </c>
      <c r="I11" s="80" t="s">
        <v>227</v>
      </c>
      <c r="J11" s="80">
        <f>'Таблиця 1-4'!E6</f>
        <v>5.6</v>
      </c>
      <c r="K11" s="80">
        <v>2</v>
      </c>
      <c r="L11" s="80">
        <f>J11*F11*K11</f>
        <v>62.719999999999992</v>
      </c>
    </row>
    <row r="12" spans="3:53" ht="15" customHeight="1" x14ac:dyDescent="0.25">
      <c r="C12" s="187"/>
      <c r="D12" s="149"/>
      <c r="E12" s="80" t="str">
        <f>'Таблиця 1-4'!D7</f>
        <v>ВП-Д</v>
      </c>
      <c r="F12" s="80">
        <f>'Таблиця 1-4'!E7</f>
        <v>7.8</v>
      </c>
      <c r="G12" s="80">
        <f>Fрозр!H9</f>
        <v>110</v>
      </c>
      <c r="H12" s="80" t="str">
        <f>нагрів!I9</f>
        <v>АС-150/34</v>
      </c>
      <c r="I12" s="80" t="s">
        <v>227</v>
      </c>
      <c r="J12" s="80">
        <f>'Таблиця 1-4'!E7</f>
        <v>7.8</v>
      </c>
      <c r="K12" s="80">
        <v>2</v>
      </c>
      <c r="L12" s="80">
        <f t="shared" ref="L12" si="8">J12*F12*K12</f>
        <v>121.67999999999999</v>
      </c>
    </row>
    <row r="13" spans="3:53" ht="15" customHeight="1" x14ac:dyDescent="0.25">
      <c r="C13" s="149"/>
      <c r="D13" s="152"/>
      <c r="E13" s="209"/>
      <c r="F13" s="209"/>
      <c r="G13" s="209"/>
      <c r="H13" s="209"/>
      <c r="I13" s="209"/>
      <c r="J13" s="209"/>
      <c r="K13" s="210"/>
      <c r="L13" s="80">
        <f>SUM(L11:L12)</f>
        <v>184.39999999999998</v>
      </c>
    </row>
    <row r="14" spans="3:53" ht="15" customHeight="1" x14ac:dyDescent="0.25">
      <c r="C14" s="150" t="s">
        <v>20</v>
      </c>
      <c r="D14" s="150" t="s">
        <v>88</v>
      </c>
      <c r="E14" s="80" t="str">
        <f>'Таблиця 1-4'!D8</f>
        <v>ВП-Г</v>
      </c>
      <c r="F14" s="80">
        <f>'Таблиця 1-4'!E8</f>
        <v>9.8000000000000007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f>'Таблиця 1-4'!E8</f>
        <v>9.8000000000000007</v>
      </c>
      <c r="K14" s="80">
        <v>1</v>
      </c>
      <c r="L14" s="80">
        <f>J14*F14*K14</f>
        <v>96.04000000000002</v>
      </c>
    </row>
    <row r="15" spans="3:53" ht="15" customHeight="1" x14ac:dyDescent="0.25">
      <c r="C15" s="159"/>
      <c r="D15" s="159"/>
      <c r="E15" s="80" t="str">
        <f>'Таблиця 1-4'!D9</f>
        <v>ВП-Е</v>
      </c>
      <c r="F15" s="80">
        <f>'Таблиця 1-4'!E9</f>
        <v>11.9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f>'Таблиця 1-4'!E9</f>
        <v>11.9</v>
      </c>
      <c r="K15" s="80">
        <v>1</v>
      </c>
      <c r="L15" s="80">
        <f t="shared" ref="L15:L16" si="9">J15*F15*K15</f>
        <v>141.61000000000001</v>
      </c>
    </row>
    <row r="16" spans="3:53" ht="15" customHeight="1" x14ac:dyDescent="0.25">
      <c r="C16" s="159"/>
      <c r="D16" s="159"/>
      <c r="E16" s="80" t="str">
        <f>'Таблиця 1-4'!D10</f>
        <v>Е-Г</v>
      </c>
      <c r="F16" s="80">
        <f>'Таблиця 1-4'!E10</f>
        <v>14.5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f>'Таблиця 1-4'!E10</f>
        <v>14.5</v>
      </c>
      <c r="K16" s="80">
        <v>1</v>
      </c>
      <c r="L16" s="80">
        <f t="shared" si="9"/>
        <v>210.25</v>
      </c>
    </row>
    <row r="17" spans="3:12" ht="15" customHeight="1" x14ac:dyDescent="0.25">
      <c r="C17" s="159"/>
      <c r="D17" s="150"/>
      <c r="E17" s="159"/>
      <c r="F17" s="159"/>
      <c r="G17" s="159"/>
      <c r="H17" s="159"/>
      <c r="I17" s="159"/>
      <c r="J17" s="159"/>
      <c r="K17" s="159"/>
      <c r="L17" s="80">
        <f>SUM(L14:L16)</f>
        <v>447.90000000000003</v>
      </c>
    </row>
    <row r="18" spans="3:12" ht="15" customHeight="1" x14ac:dyDescent="0.25">
      <c r="C18" s="159"/>
      <c r="D18" s="150" t="s">
        <v>90</v>
      </c>
      <c r="E18" s="80" t="str">
        <f>'Таблиця 1-4'!D11</f>
        <v>ВП-2</v>
      </c>
      <c r="F18" s="80">
        <f>'Таблиця 1-4'!E11</f>
        <v>5.4</v>
      </c>
      <c r="G18" s="80">
        <v>110</v>
      </c>
      <c r="H18" s="80" t="str">
        <f>нагрів!I20</f>
        <v>АС-150/34</v>
      </c>
      <c r="I18" s="80" t="s">
        <v>227</v>
      </c>
      <c r="J18" s="80">
        <f>'Таблиця 1-4'!E11</f>
        <v>5.4</v>
      </c>
      <c r="K18" s="80">
        <v>2</v>
      </c>
      <c r="L18" s="80">
        <f>J18*F18*K18</f>
        <v>58.320000000000007</v>
      </c>
    </row>
    <row r="19" spans="3:12" ht="15" customHeight="1" x14ac:dyDescent="0.25">
      <c r="C19" s="159"/>
      <c r="D19" s="159"/>
      <c r="E19" s="80" t="str">
        <f>'Таблиця 1-4'!D12</f>
        <v>Г-2</v>
      </c>
      <c r="F19" s="80">
        <f>'Таблиця 1-4'!E12</f>
        <v>7.2</v>
      </c>
      <c r="G19" s="80">
        <v>110</v>
      </c>
      <c r="H19" s="80" t="str">
        <f>нагрів!I17</f>
        <v>АС-150/34</v>
      </c>
      <c r="I19" s="80" t="s">
        <v>227</v>
      </c>
      <c r="J19" s="80">
        <f>'Таблиця 1-4'!E12</f>
        <v>7.2</v>
      </c>
      <c r="K19" s="80">
        <v>2</v>
      </c>
      <c r="L19" s="80">
        <f>J19*F19*K19</f>
        <v>103.68</v>
      </c>
    </row>
    <row r="20" spans="3:12" ht="15" customHeight="1" x14ac:dyDescent="0.25">
      <c r="C20" s="159"/>
      <c r="D20" s="159"/>
      <c r="E20" s="80" t="str">
        <f>'Таблиця 1-4'!D13</f>
        <v>Е-2</v>
      </c>
      <c r="F20" s="80">
        <f>'Таблиця 1-4'!E13</f>
        <v>8.3000000000000007</v>
      </c>
      <c r="G20" s="80">
        <v>110</v>
      </c>
      <c r="H20" s="80" t="str">
        <f>нагрів!I18</f>
        <v>АС-300/67</v>
      </c>
      <c r="I20" s="80" t="s">
        <v>227</v>
      </c>
      <c r="J20" s="80">
        <f>'Таблиця 1-4'!E13</f>
        <v>8.3000000000000007</v>
      </c>
      <c r="K20" s="80">
        <v>2</v>
      </c>
      <c r="L20" s="80">
        <f t="shared" ref="L20" si="10">J20*F20*K20</f>
        <v>137.78000000000003</v>
      </c>
    </row>
    <row r="21" spans="3:12" ht="15" customHeight="1" x14ac:dyDescent="0.25">
      <c r="C21" s="159"/>
      <c r="D21" s="150"/>
      <c r="E21" s="159"/>
      <c r="F21" s="159"/>
      <c r="G21" s="159"/>
      <c r="H21" s="159"/>
      <c r="I21" s="159"/>
      <c r="J21" s="159"/>
      <c r="K21" s="159"/>
      <c r="L21" s="80">
        <f>SUM(L18:L20)</f>
        <v>299.78000000000003</v>
      </c>
    </row>
    <row r="23" spans="3:12" ht="26.25" customHeight="1" x14ac:dyDescent="0.25"/>
    <row r="41" ht="18.75" customHeight="1" x14ac:dyDescent="0.25"/>
  </sheetData>
  <mergeCells count="47">
    <mergeCell ref="AK7:AK8"/>
    <mergeCell ref="AS7:AS8"/>
    <mergeCell ref="AK9:AK10"/>
    <mergeCell ref="AS9:AS10"/>
    <mergeCell ref="AK4:AK6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AD7:AD8"/>
    <mergeCell ref="AG7:AG8"/>
    <mergeCell ref="AA9:AA10"/>
    <mergeCell ref="AD9:AD10"/>
    <mergeCell ref="AG9:AG10"/>
    <mergeCell ref="AA7:AA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J1" zoomScale="75" zoomScaleNormal="75" workbookViewId="0">
      <selection activeCell="S8" sqref="S8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304</v>
      </c>
      <c r="L2" t="s">
        <v>303</v>
      </c>
    </row>
    <row r="3" spans="1:23" ht="53.45" customHeight="1" x14ac:dyDescent="0.25">
      <c r="C3" s="132" t="s">
        <v>173</v>
      </c>
      <c r="D3" s="132" t="s">
        <v>267</v>
      </c>
      <c r="E3" s="160"/>
      <c r="F3" s="70" t="s">
        <v>230</v>
      </c>
      <c r="G3" s="70" t="s">
        <v>230</v>
      </c>
      <c r="H3" s="160"/>
      <c r="I3" s="70" t="s">
        <v>230</v>
      </c>
      <c r="J3" s="70" t="s">
        <v>230</v>
      </c>
      <c r="L3" s="84" t="s">
        <v>204</v>
      </c>
      <c r="M3" s="150" t="s">
        <v>116</v>
      </c>
      <c r="N3" s="84" t="s">
        <v>230</v>
      </c>
      <c r="O3" s="151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34"/>
      <c r="D4" s="134"/>
      <c r="E4" s="161"/>
      <c r="F4" s="33" t="s">
        <v>97</v>
      </c>
      <c r="G4" s="33" t="s">
        <v>97</v>
      </c>
      <c r="H4" s="161"/>
      <c r="I4" s="33" t="s">
        <v>2</v>
      </c>
      <c r="J4" s="33" t="s">
        <v>2</v>
      </c>
      <c r="L4" s="84" t="s">
        <v>268</v>
      </c>
      <c r="M4" s="150"/>
      <c r="N4" s="84" t="s">
        <v>65</v>
      </c>
      <c r="O4" s="151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9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9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9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9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9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9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9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32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8" t="s">
        <v>230</v>
      </c>
      <c r="L12" s="84" t="str">
        <f>'Таблиця 1-4'!D15</f>
        <v>3-ВП</v>
      </c>
      <c r="M12" s="119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34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7" t="s">
        <v>4</v>
      </c>
      <c r="L13" s="84" t="str">
        <f>'Таблиця 1-4'!D16</f>
        <v>3-Б</v>
      </c>
      <c r="M13" s="119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50" t="s">
        <v>173</v>
      </c>
      <c r="D26" s="150" t="s">
        <v>267</v>
      </c>
      <c r="E26" s="84" t="s">
        <v>230</v>
      </c>
      <c r="F26" s="151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50"/>
      <c r="D27" s="150"/>
      <c r="E27" s="84" t="s">
        <v>97</v>
      </c>
      <c r="F27" s="151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305</v>
      </c>
      <c r="C34" s="84" t="s">
        <v>306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24">
        <v>0</v>
      </c>
      <c r="K34" s="84">
        <f>0.5*(-G34+H34+F34)</f>
        <v>20.5</v>
      </c>
      <c r="L34" s="59">
        <f>ROUND(I34/100/F29*A29^2/E29,2)</f>
        <v>24.33</v>
      </c>
      <c r="M34" s="125">
        <f>J34</f>
        <v>0</v>
      </c>
      <c r="N34" s="84">
        <f>ROUND(K34/100/F29*A29^2/E29,2)</f>
        <v>43.38</v>
      </c>
    </row>
    <row r="35" spans="1:14" ht="18.75" x14ac:dyDescent="0.25">
      <c r="J35" s="120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N5" sqref="N5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13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14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15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9" si="1">IMSUM(H6,I6)</f>
        <v>35.124+10.913i</v>
      </c>
      <c r="K6" s="91" t="str">
        <f t="shared" ref="K6:K9" si="2">COMPLEX(D6,E6)</f>
        <v>0.05+0.325i</v>
      </c>
      <c r="L6" s="91">
        <f>-('РОЗДІЛ 2'!U5+'РОЗДІЛ 2'!U7)/2</f>
        <v>-0.29000000000000004</v>
      </c>
      <c r="M6" s="91" t="str">
        <f t="shared" ref="M6:M9" si="3"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4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>IMSUM(J7,K7,L7)</f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4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>IMSUM(J8,K8,L8)</f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4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>IMSUM(J9,K9,L9)</f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1</v>
      </c>
      <c r="H13" s="93" t="s">
        <v>62</v>
      </c>
      <c r="I13" s="93" t="s">
        <v>62</v>
      </c>
      <c r="J13" s="93" t="s">
        <v>62</v>
      </c>
      <c r="K13" s="93" t="s">
        <v>62</v>
      </c>
      <c r="L13" s="91" t="s">
        <v>62</v>
      </c>
      <c r="M13" s="91" t="str">
        <f>L13</f>
        <v>-</v>
      </c>
    </row>
    <row r="14" spans="1:13" ht="19.5" thickBot="1" x14ac:dyDescent="0.3">
      <c r="G14" s="94">
        <v>2</v>
      </c>
      <c r="H14" s="93" t="s">
        <v>62</v>
      </c>
      <c r="I14" s="93" t="s">
        <v>62</v>
      </c>
      <c r="J14" s="93" t="s">
        <v>62</v>
      </c>
      <c r="K14" s="93" t="s">
        <v>62</v>
      </c>
      <c r="L14" s="91" t="s">
        <v>62</v>
      </c>
      <c r="M14" s="91" t="str">
        <f>L14</f>
        <v>-</v>
      </c>
    </row>
    <row r="15" spans="1:13" ht="18" x14ac:dyDescent="0.25">
      <c r="H15" s="95" t="s">
        <v>282</v>
      </c>
      <c r="I15" t="str">
        <f>IMSUM(I5,I6,I7,I8,I9)</f>
        <v>0.403+9.104i</v>
      </c>
      <c r="K15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2"/>
  <sheetViews>
    <sheetView workbookViewId="0">
      <selection activeCell="C5" sqref="C5:D5"/>
    </sheetView>
  </sheetViews>
  <sheetFormatPr defaultRowHeight="15" x14ac:dyDescent="0.25"/>
  <cols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25.570312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32" t="s">
        <v>221</v>
      </c>
      <c r="I3" s="132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34"/>
      <c r="I4" s="134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19.5" thickBot="1" x14ac:dyDescent="0.3">
      <c r="A5">
        <f>'[1]РОЗДІЛ 2'!S12</f>
        <v>1.05</v>
      </c>
      <c r="B5">
        <f>'[1]РОЗДІЛ 2'!T12</f>
        <v>1.74</v>
      </c>
      <c r="C5" s="97" t="e">
        <f>IMREAL(K5)</f>
        <v>#NUM!</v>
      </c>
      <c r="D5" s="97" t="e">
        <f>IMAGINARY(K5)</f>
        <v>#NUM!</v>
      </c>
      <c r="E5" t="e">
        <f>ROUND((C5^2+D5^2)/G5^2*A5,3)</f>
        <v>#NUM!</v>
      </c>
      <c r="F5" t="e">
        <f>ROUND((C5^2+D5^2)/G5^2*B5,3)</f>
        <v>#NUM!</v>
      </c>
      <c r="G5">
        <v>35</v>
      </c>
      <c r="H5" s="98" t="str">
        <f>'[1]РОЗДІЛ 2'!L12</f>
        <v>2-Е</v>
      </c>
      <c r="I5" s="99" t="s">
        <v>16</v>
      </c>
      <c r="J5" s="99" t="str">
        <f>'[1]Table 2-4'!M9</f>
        <v>5,039+1,52i</v>
      </c>
      <c r="K5" s="99" t="str">
        <f>J5</f>
        <v>5,039+1,52i</v>
      </c>
      <c r="L5" s="99" t="str">
        <f>COMPLEX(A5,B5)</f>
        <v>1.05+1.74i</v>
      </c>
      <c r="M5" s="99" t="e">
        <f t="shared" ref="M5:M15" si="0">COMPLEX(E5,F5)</f>
        <v>#NUM!</v>
      </c>
      <c r="N5" s="99" t="e">
        <f t="shared" ref="N5:N15" si="1">IMSUM(K5,M5)</f>
        <v>#NUM!</v>
      </c>
    </row>
    <row r="6" spans="1:15" ht="19.5" thickBot="1" x14ac:dyDescent="0.3">
      <c r="A6">
        <f>'[1]РОЗДІЛ 2'!S11</f>
        <v>0.5</v>
      </c>
      <c r="B6">
        <f>'[1]РОЗДІЛ 2'!T11</f>
        <v>0.83</v>
      </c>
      <c r="C6" s="97" t="e">
        <f t="shared" ref="C6:C15" si="2">IMREAL(K6)</f>
        <v>#NUM!</v>
      </c>
      <c r="D6" s="97" t="e">
        <f t="shared" ref="D6:D15" si="3">IMAGINARY(K6)</f>
        <v>#NUM!</v>
      </c>
      <c r="E6" t="e">
        <f t="shared" ref="E6:E15" si="4">ROUND((C6^2+D6^2)/G6^2*A6,3)</f>
        <v>#NUM!</v>
      </c>
      <c r="F6" t="e">
        <f t="shared" ref="F6:F15" si="5">ROUND((C6^2+D6^2)/G6^2*B6,3)</f>
        <v>#NUM!</v>
      </c>
      <c r="G6">
        <v>35</v>
      </c>
      <c r="H6" s="98" t="str">
        <f>'[1]РОЗДІЛ 2'!L11</f>
        <v>2-Г</v>
      </c>
      <c r="I6" s="99" t="s">
        <v>14</v>
      </c>
      <c r="J6" s="99" t="str">
        <f>'[1]Table 2-4'!M7</f>
        <v>7,047+2,263i</v>
      </c>
      <c r="K6" s="99" t="str">
        <f>J6</f>
        <v>7,047+2,263i</v>
      </c>
      <c r="L6" s="99" t="str">
        <f>COMPLEX(A6,B6)</f>
        <v>0.5+0.83i</v>
      </c>
      <c r="M6" s="99" t="e">
        <f t="shared" si="0"/>
        <v>#NUM!</v>
      </c>
      <c r="N6" s="99" t="e">
        <f t="shared" si="1"/>
        <v>#NUM!</v>
      </c>
    </row>
    <row r="7" spans="1:15" ht="19.5" thickBot="1" x14ac:dyDescent="0.3">
      <c r="A7">
        <f>'[1]РОЗДІЛ 2'!S10</f>
        <v>0.81</v>
      </c>
      <c r="B7">
        <f>'[1]РОЗДІЛ 2'!T10</f>
        <v>1.66</v>
      </c>
      <c r="C7" s="97" t="e">
        <f t="shared" si="2"/>
        <v>#NUM!</v>
      </c>
      <c r="D7" s="97" t="e">
        <f t="shared" si="3"/>
        <v>#NUM!</v>
      </c>
      <c r="E7" t="e">
        <f t="shared" si="4"/>
        <v>#NUM!</v>
      </c>
      <c r="F7" t="e">
        <f t="shared" si="5"/>
        <v>#NUM!</v>
      </c>
      <c r="G7">
        <v>35</v>
      </c>
      <c r="H7" s="98" t="str">
        <f>'[1]РОЗДІЛ 2'!L10</f>
        <v>ВП-2</v>
      </c>
      <c r="I7" s="99">
        <v>2</v>
      </c>
      <c r="J7" s="99" t="str">
        <f>'[1]Table 2-4'!M14</f>
        <v>0</v>
      </c>
      <c r="K7" s="99" t="e">
        <f>IMSUM(N5,N6,J7)</f>
        <v>#NUM!</v>
      </c>
      <c r="L7" s="99" t="str">
        <f>COMPLEX(A7,B7)</f>
        <v>0.81+1.66i</v>
      </c>
      <c r="M7" s="99" t="e">
        <f t="shared" si="0"/>
        <v>#NUM!</v>
      </c>
      <c r="N7" s="100" t="e">
        <f t="shared" si="1"/>
        <v>#NUM!</v>
      </c>
    </row>
    <row r="8" spans="1:15" ht="19.5" thickBot="1" x14ac:dyDescent="0.3">
      <c r="A8">
        <f>'[1]РОЗДІЛ 2'!S9</f>
        <v>0.77</v>
      </c>
      <c r="B8">
        <f>'[1]РОЗДІЛ 2'!T9</f>
        <v>1.58</v>
      </c>
      <c r="C8" s="97" t="e">
        <f t="shared" si="2"/>
        <v>#NUM!</v>
      </c>
      <c r="D8" s="97" t="e">
        <f t="shared" si="3"/>
        <v>#NUM!</v>
      </c>
      <c r="E8" t="e">
        <f t="shared" si="4"/>
        <v>#NUM!</v>
      </c>
      <c r="F8" t="e">
        <f t="shared" si="5"/>
        <v>#NUM!</v>
      </c>
      <c r="G8">
        <v>35</v>
      </c>
      <c r="H8" s="101" t="str">
        <f>'[1]РОЗДІЛ 2'!L9</f>
        <v>3-Д</v>
      </c>
      <c r="I8" s="102" t="s">
        <v>15</v>
      </c>
      <c r="J8" s="102" t="str">
        <f>'[1]Table 2-4'!M8</f>
        <v>5,039+1,725i</v>
      </c>
      <c r="K8" s="102" t="str">
        <f>J8</f>
        <v>5,039+1,725i</v>
      </c>
      <c r="L8" s="102" t="str">
        <f t="shared" ref="L8:L15" si="6">COMPLEX(A8,B8)</f>
        <v>0.77+1.58i</v>
      </c>
      <c r="M8" s="102" t="e">
        <f t="shared" si="0"/>
        <v>#NUM!</v>
      </c>
      <c r="N8" s="102" t="e">
        <f t="shared" si="1"/>
        <v>#NUM!</v>
      </c>
    </row>
    <row r="9" spans="1:15" ht="19.5" thickBot="1" x14ac:dyDescent="0.3">
      <c r="A9">
        <f>'[1]РОЗДІЛ 2'!S8</f>
        <v>0.18</v>
      </c>
      <c r="B9">
        <f>'[1]РОЗДІЛ 2'!T8</f>
        <v>0.37</v>
      </c>
      <c r="C9" s="97" t="e">
        <f t="shared" si="2"/>
        <v>#NUM!</v>
      </c>
      <c r="D9" s="97" t="e">
        <f t="shared" si="3"/>
        <v>#NUM!</v>
      </c>
      <c r="E9" t="e">
        <f t="shared" si="4"/>
        <v>#NUM!</v>
      </c>
      <c r="F9" t="e">
        <f t="shared" si="5"/>
        <v>#NUM!</v>
      </c>
      <c r="G9">
        <v>35</v>
      </c>
      <c r="H9" s="101" t="str">
        <f>'[1]РОЗДІЛ 2'!L8</f>
        <v>3-Б</v>
      </c>
      <c r="I9" s="102" t="s">
        <v>12</v>
      </c>
      <c r="J9" s="102" t="str">
        <f>'[1]Table 2-4'!M5</f>
        <v>6,038+1,727i</v>
      </c>
      <c r="K9" s="102" t="str">
        <f>J9</f>
        <v>6,038+1,727i</v>
      </c>
      <c r="L9" s="102" t="str">
        <f t="shared" si="6"/>
        <v>0.18+0.37i</v>
      </c>
      <c r="M9" s="102" t="e">
        <f t="shared" si="0"/>
        <v>#NUM!</v>
      </c>
      <c r="N9" s="102" t="e">
        <f t="shared" si="1"/>
        <v>#NUM!</v>
      </c>
    </row>
    <row r="10" spans="1:15" ht="19.5" thickBot="1" x14ac:dyDescent="0.3">
      <c r="A10">
        <f>'[1]РОЗДІЛ 2'!S7</f>
        <v>0.65</v>
      </c>
      <c r="B10">
        <f>'[1]РОЗДІЛ 2'!T7</f>
        <v>1.34</v>
      </c>
      <c r="C10" s="97" t="e">
        <f t="shared" si="2"/>
        <v>#NUM!</v>
      </c>
      <c r="D10" s="97" t="e">
        <f t="shared" si="3"/>
        <v>#NUM!</v>
      </c>
      <c r="E10" t="e">
        <f t="shared" si="4"/>
        <v>#NUM!</v>
      </c>
      <c r="F10" t="e">
        <f t="shared" si="5"/>
        <v>#NUM!</v>
      </c>
      <c r="G10">
        <v>35</v>
      </c>
      <c r="H10" s="101" t="str">
        <f>'[1]РОЗДІЛ 2'!L7</f>
        <v>ВП-3</v>
      </c>
      <c r="I10" s="102">
        <v>3</v>
      </c>
      <c r="J10" s="102" t="str">
        <f>'[1]Table 2-4'!L13</f>
        <v>0</v>
      </c>
      <c r="K10" s="102" t="e">
        <f>IMSUM(N8,N9,J10)</f>
        <v>#NUM!</v>
      </c>
      <c r="L10" s="102" t="str">
        <f t="shared" si="6"/>
        <v>0.65+1.34i</v>
      </c>
      <c r="M10" s="102" t="e">
        <f t="shared" si="0"/>
        <v>#NUM!</v>
      </c>
      <c r="N10" s="103" t="e">
        <f t="shared" si="1"/>
        <v>#NUM!</v>
      </c>
    </row>
    <row r="11" spans="1:15" ht="19.5" thickBot="1" x14ac:dyDescent="0.3">
      <c r="A11">
        <f>'[1]РОЗДІЛ 2'!D34</f>
        <v>0.74060000000000004</v>
      </c>
      <c r="B11">
        <f>'[1]РОЗДІЛ 2'!M34</f>
        <v>0</v>
      </c>
      <c r="C11" s="97" t="e">
        <f t="shared" si="2"/>
        <v>#NUM!</v>
      </c>
      <c r="D11" s="97" t="e">
        <f t="shared" si="3"/>
        <v>#NUM!</v>
      </c>
      <c r="E11" t="e">
        <f t="shared" si="4"/>
        <v>#NUM!</v>
      </c>
      <c r="F11" t="e">
        <f t="shared" si="5"/>
        <v>#NUM!</v>
      </c>
      <c r="G11">
        <v>110</v>
      </c>
      <c r="H11" s="104" t="s">
        <v>284</v>
      </c>
      <c r="I11" s="105" t="s">
        <v>280</v>
      </c>
      <c r="J11" s="105" t="str">
        <f>'[1]Table 2-4'!M11</f>
        <v>0</v>
      </c>
      <c r="K11" s="105" t="e">
        <f>IMSUM(N7,N10,J11)</f>
        <v>#NUM!</v>
      </c>
      <c r="L11" s="105" t="str">
        <f t="shared" si="6"/>
        <v>0.7406</v>
      </c>
      <c r="M11" s="105" t="e">
        <f t="shared" si="0"/>
        <v>#NUM!</v>
      </c>
      <c r="N11" s="105" t="e">
        <f t="shared" si="1"/>
        <v>#NUM!</v>
      </c>
    </row>
    <row r="12" spans="1:15" ht="19.5" thickBot="1" x14ac:dyDescent="0.3">
      <c r="A12">
        <f>'[1]РОЗДІЛ 2'!E34</f>
        <v>0.74060000000000004</v>
      </c>
      <c r="B12">
        <f>'[1]РОЗДІЛ 2'!N34</f>
        <v>17.850000000000001</v>
      </c>
      <c r="C12" s="97">
        <f t="shared" si="2"/>
        <v>4</v>
      </c>
      <c r="D12" s="97">
        <f t="shared" si="3"/>
        <v>1.2</v>
      </c>
      <c r="E12">
        <f t="shared" si="4"/>
        <v>1E-3</v>
      </c>
      <c r="F12">
        <f t="shared" si="5"/>
        <v>2.5999999999999999E-2</v>
      </c>
      <c r="G12">
        <v>110</v>
      </c>
      <c r="H12" s="104" t="s">
        <v>285</v>
      </c>
      <c r="I12" s="105" t="s">
        <v>281</v>
      </c>
      <c r="J12" s="105" t="str">
        <f>'[1]Table 2-4'!M12</f>
        <v>4+1.2i</v>
      </c>
      <c r="K12" s="105" t="str">
        <f>J12</f>
        <v>4+1.2i</v>
      </c>
      <c r="L12" s="105" t="str">
        <f t="shared" si="6"/>
        <v>0.7406+17.85i</v>
      </c>
      <c r="M12" s="105" t="str">
        <f t="shared" si="0"/>
        <v>0.001+0.026i</v>
      </c>
      <c r="N12" s="105" t="str">
        <f t="shared" si="1"/>
        <v>4.001+1.226i</v>
      </c>
    </row>
    <row r="13" spans="1:15" ht="19.5" thickBot="1" x14ac:dyDescent="0.3">
      <c r="A13">
        <f>'[1]РОЗДІЛ 2'!D34</f>
        <v>0.74060000000000004</v>
      </c>
      <c r="B13" s="106">
        <f>'[1]РОЗДІЛ 2'!L34</f>
        <v>28.43</v>
      </c>
      <c r="C13" s="97" t="e">
        <f t="shared" si="2"/>
        <v>#NUM!</v>
      </c>
      <c r="D13" s="97" t="e">
        <f t="shared" si="3"/>
        <v>#NUM!</v>
      </c>
      <c r="E13" t="e">
        <f t="shared" si="4"/>
        <v>#NUM!</v>
      </c>
      <c r="F13" t="e">
        <f t="shared" si="5"/>
        <v>#NUM!</v>
      </c>
      <c r="G13">
        <v>110</v>
      </c>
      <c r="H13" s="104" t="s">
        <v>286</v>
      </c>
      <c r="I13" s="107">
        <v>0</v>
      </c>
      <c r="J13" s="105">
        <v>0</v>
      </c>
      <c r="K13" s="105" t="e">
        <f>IMSUM(N11,N12)</f>
        <v>#NUM!</v>
      </c>
      <c r="L13" s="105" t="str">
        <f t="shared" si="6"/>
        <v>0.7406+28.43i</v>
      </c>
      <c r="M13" s="105" t="e">
        <f t="shared" si="0"/>
        <v>#NUM!</v>
      </c>
      <c r="N13" s="108" t="e">
        <f t="shared" si="1"/>
        <v>#NUM!</v>
      </c>
    </row>
    <row r="14" spans="1:15" ht="19.5" thickBot="1" x14ac:dyDescent="0.3">
      <c r="A14">
        <f>'[1]РОЗДІЛ 2'!S6</f>
        <v>0.65</v>
      </c>
      <c r="B14">
        <f>'[1]РОЗДІЛ 2'!T6</f>
        <v>1.39</v>
      </c>
      <c r="C14" s="97" t="e">
        <f t="shared" si="2"/>
        <v>#NUM!</v>
      </c>
      <c r="D14" s="97" t="e">
        <f t="shared" si="3"/>
        <v>#NUM!</v>
      </c>
      <c r="E14" t="e">
        <f t="shared" si="4"/>
        <v>#NUM!</v>
      </c>
      <c r="F14" t="e">
        <f t="shared" si="5"/>
        <v>#NUM!</v>
      </c>
      <c r="G14">
        <v>110</v>
      </c>
      <c r="H14" s="83" t="s">
        <v>287</v>
      </c>
      <c r="I14" s="33" t="s">
        <v>279</v>
      </c>
      <c r="J14" s="33" t="str">
        <f>'[1]Table 2-4'!M10</f>
        <v>0.057+0.135i</v>
      </c>
      <c r="K14" s="33" t="e">
        <f>IMSUM(J14,N13)</f>
        <v>#NUM!</v>
      </c>
      <c r="L14" s="36" t="str">
        <f t="shared" si="6"/>
        <v>0.65+1.39i</v>
      </c>
      <c r="M14" s="36" t="e">
        <f t="shared" si="0"/>
        <v>#NUM!</v>
      </c>
      <c r="N14" s="36" t="e">
        <f t="shared" si="1"/>
        <v>#NUM!</v>
      </c>
    </row>
    <row r="15" spans="1:15" ht="19.5" thickBot="1" x14ac:dyDescent="0.3">
      <c r="A15">
        <f>'[1]РОЗДІЛ 2'!S5</f>
        <v>1.89</v>
      </c>
      <c r="B15">
        <f>'[1]РОЗДІЛ 2'!T5</f>
        <v>4.8099999999999996</v>
      </c>
      <c r="C15" s="97" t="e">
        <f t="shared" si="2"/>
        <v>#NUM!</v>
      </c>
      <c r="D15" s="97" t="e">
        <f t="shared" si="3"/>
        <v>#NUM!</v>
      </c>
      <c r="E15" t="e">
        <f t="shared" si="4"/>
        <v>#NUM!</v>
      </c>
      <c r="F15" t="e">
        <f t="shared" si="5"/>
        <v>#NUM!</v>
      </c>
      <c r="G15">
        <v>110</v>
      </c>
      <c r="H15" s="83" t="s">
        <v>288</v>
      </c>
      <c r="I15" s="33" t="s">
        <v>13</v>
      </c>
      <c r="J15" s="33" t="str">
        <f>'[1]Table 2-4'!M6</f>
        <v>20,107+5,732i</v>
      </c>
      <c r="K15" s="33" t="e">
        <f>IMSUM(J15,N14)</f>
        <v>#NUM!</v>
      </c>
      <c r="L15" s="36" t="str">
        <f t="shared" si="6"/>
        <v>1.89+4.81i</v>
      </c>
      <c r="M15" s="36" t="e">
        <f t="shared" si="0"/>
        <v>#NUM!</v>
      </c>
      <c r="N15" s="109" t="e">
        <f t="shared" si="1"/>
        <v>#NUM!</v>
      </c>
      <c r="O15" s="110">
        <f>0.147+0.18+0.089+0.696</f>
        <v>1.1119999999999999</v>
      </c>
    </row>
    <row r="16" spans="1:15" ht="18.75" x14ac:dyDescent="0.25">
      <c r="M16" s="107">
        <f>[1]Лист1!B11</f>
        <v>47</v>
      </c>
      <c r="N16" s="107">
        <f>[1]Лист1!C11</f>
        <v>30</v>
      </c>
      <c r="O16">
        <f>SQRT(M16^2+N16^2)</f>
        <v>55.758407437802596</v>
      </c>
    </row>
    <row r="17" spans="12:15" ht="18.75" x14ac:dyDescent="0.25">
      <c r="N17">
        <f>[1]Трансформатори!K21</f>
        <v>17.850000000000001</v>
      </c>
      <c r="O17" s="107">
        <f>N16-N17</f>
        <v>12.149999999999999</v>
      </c>
    </row>
    <row r="18" spans="12:15" x14ac:dyDescent="0.25">
      <c r="L18" t="s">
        <v>289</v>
      </c>
      <c r="M18" t="e">
        <f>IMSUM(M5,M6,M7,M8,M9,M10,M14,M15)</f>
        <v>#NUM!</v>
      </c>
      <c r="N18">
        <v>1.1120000000000001</v>
      </c>
      <c r="O18" t="s">
        <v>2</v>
      </c>
    </row>
    <row r="19" spans="12:15" x14ac:dyDescent="0.25">
      <c r="L19" t="s">
        <v>282</v>
      </c>
      <c r="M19" t="e">
        <f>IMSUM(M11,M12,M13)</f>
        <v>#NUM!</v>
      </c>
      <c r="O19" s="106">
        <f>N18/O16*100</f>
        <v>1.9943180788303796</v>
      </c>
    </row>
    <row r="20" spans="12:15" x14ac:dyDescent="0.25">
      <c r="N20">
        <v>5.74</v>
      </c>
      <c r="O20" t="s">
        <v>290</v>
      </c>
    </row>
    <row r="21" spans="12:15" x14ac:dyDescent="0.25">
      <c r="O21" s="15">
        <f>N20/O16*100</f>
        <v>10.294411665905015</v>
      </c>
    </row>
    <row r="22" spans="12:15" ht="19.5" thickBot="1" x14ac:dyDescent="0.3">
      <c r="M22" s="33" t="e">
        <f>IMPRODUCT(IMDIV(IMPRODUCT(K5,K5),G5^2),L5)</f>
        <v>#NUM!</v>
      </c>
    </row>
  </sheetData>
  <mergeCells count="2">
    <mergeCell ref="H3:H4"/>
    <mergeCell ref="I3:I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5841" r:id="rId3">
          <objectPr defaultSize="0" autoPict="0" r:id="rId4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3"/>
      </mc:Fallback>
    </mc:AlternateContent>
    <mc:AlternateContent xmlns:mc="http://schemas.openxmlformats.org/markup-compatibility/2006">
      <mc:Choice Requires="x14">
        <oleObject progId="Equation.3" shapeId="35842" r:id="rId5">
          <objectPr defaultSize="0" autoPict="0" r:id="rId6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5"/>
      </mc:Fallback>
    </mc:AlternateContent>
    <mc:AlternateContent xmlns:mc="http://schemas.openxmlformats.org/markup-compatibility/2006">
      <mc:Choice Requires="x14">
        <oleObject progId="Equation.3" shapeId="35843" r:id="rId7">
          <objectPr defaultSize="0" autoPict="0" r:id="rId8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7"/>
      </mc:Fallback>
    </mc:AlternateContent>
    <mc:AlternateContent xmlns:mc="http://schemas.openxmlformats.org/markup-compatibility/2006">
      <mc:Choice Requires="x14">
        <oleObject progId="Equation.3" shapeId="35844" r:id="rId9">
          <objectPr defaultSize="0" autoPict="0" r:id="rId10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9"/>
      </mc:Fallback>
    </mc:AlternateContent>
    <mc:AlternateContent xmlns:mc="http://schemas.openxmlformats.org/markup-compatibility/2006">
      <mc:Choice Requires="x14">
        <oleObject progId="Equation.3" shapeId="35845" r:id="rId11">
          <objectPr defaultSize="0" autoPict="0" r:id="rId12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1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6"/>
  <sheetViews>
    <sheetView topLeftCell="E5" workbookViewId="0">
      <selection activeCell="J22" sqref="J22"/>
    </sheetView>
  </sheetViews>
  <sheetFormatPr defaultRowHeight="15" x14ac:dyDescent="0.25"/>
  <cols>
    <col min="7" max="7" width="17.42578125" customWidth="1"/>
    <col min="9" max="9" width="15.42578125" customWidth="1"/>
    <col min="10" max="10" width="33.7109375" customWidth="1"/>
    <col min="11" max="11" width="20.7109375" customWidth="1"/>
    <col min="12" max="13" width="16" customWidth="1"/>
    <col min="15" max="15" width="14" bestFit="1" customWidth="1"/>
  </cols>
  <sheetData>
    <row r="2" spans="1:16" ht="15.75" thickBot="1" x14ac:dyDescent="0.3">
      <c r="M2" t="s">
        <v>302</v>
      </c>
    </row>
    <row r="3" spans="1:16" ht="53.45" customHeight="1" x14ac:dyDescent="0.25">
      <c r="G3" s="132" t="s">
        <v>301</v>
      </c>
      <c r="H3" s="70" t="s">
        <v>230</v>
      </c>
      <c r="I3" s="132" t="s">
        <v>221</v>
      </c>
      <c r="J3" s="70" t="s">
        <v>230</v>
      </c>
      <c r="K3" s="70" t="s">
        <v>230</v>
      </c>
      <c r="L3" s="70" t="s">
        <v>230</v>
      </c>
      <c r="M3" s="70" t="s">
        <v>300</v>
      </c>
      <c r="N3" s="132" t="s">
        <v>299</v>
      </c>
      <c r="O3" s="70" t="s">
        <v>230</v>
      </c>
    </row>
    <row r="4" spans="1:16" ht="19.5" thickBot="1" x14ac:dyDescent="0.3">
      <c r="G4" s="134"/>
      <c r="H4" s="33" t="s">
        <v>9</v>
      </c>
      <c r="I4" s="134"/>
      <c r="J4" s="33" t="s">
        <v>298</v>
      </c>
      <c r="K4" s="33" t="s">
        <v>147</v>
      </c>
      <c r="L4" s="33" t="s">
        <v>9</v>
      </c>
      <c r="M4" s="33"/>
      <c r="N4" s="134"/>
      <c r="O4" s="33" t="s">
        <v>9</v>
      </c>
    </row>
    <row r="5" spans="1:16" ht="19.5" thickBot="1" x14ac:dyDescent="0.3">
      <c r="A5" s="97" t="e">
        <f t="shared" ref="A5:A15" si="0">IMREAL(J5)</f>
        <v>#NUM!</v>
      </c>
      <c r="B5" s="97" t="e">
        <f t="shared" ref="B5:B15" si="1">IMAGINARY(J5)</f>
        <v>#NUM!</v>
      </c>
      <c r="C5" s="97">
        <f t="shared" ref="C5:C15" si="2">IMREAL(K5)</f>
        <v>1.89</v>
      </c>
      <c r="D5" s="97">
        <f t="shared" ref="D5:D15" si="3">IMAGINARY(K5)</f>
        <v>4.8099999999999996</v>
      </c>
      <c r="G5" s="83" t="s">
        <v>17</v>
      </c>
      <c r="H5" s="83">
        <f>ROUND(115*1.05,0)</f>
        <v>121</v>
      </c>
      <c r="I5" s="83" t="str">
        <f>'[1]Tabl 2-5'!H15</f>
        <v>ДЖ-В</v>
      </c>
      <c r="J5" s="83" t="e">
        <f>'[1]Tabl 2-5'!N15</f>
        <v>#NUM!</v>
      </c>
      <c r="K5" s="83" t="str">
        <f>'[1]Tabl 2-5'!L15</f>
        <v>1.89+4.81i</v>
      </c>
      <c r="L5" s="83" t="e">
        <f t="shared" ref="L5:L15" si="4">ROUND((A5*C5+B5*D5)/H5,3)</f>
        <v>#NUM!</v>
      </c>
      <c r="M5" s="83" t="e">
        <f t="shared" ref="M5:M15" si="5">ROUND((A5*D5-B5*C5)/H5,3)</f>
        <v>#NUM!</v>
      </c>
      <c r="N5" s="83" t="s">
        <v>13</v>
      </c>
      <c r="O5" s="83" t="e">
        <f t="shared" ref="O5:O15" si="6">ROUND(SQRT((H5-L5)^2+M5^2),2)</f>
        <v>#NUM!</v>
      </c>
    </row>
    <row r="6" spans="1:16" ht="19.5" thickBot="1" x14ac:dyDescent="0.3">
      <c r="A6" s="97" t="e">
        <f t="shared" si="0"/>
        <v>#NUM!</v>
      </c>
      <c r="B6" s="97" t="e">
        <f t="shared" si="1"/>
        <v>#NUM!</v>
      </c>
      <c r="C6" s="97">
        <f t="shared" si="2"/>
        <v>0.65</v>
      </c>
      <c r="D6" s="97">
        <f t="shared" si="3"/>
        <v>1.39</v>
      </c>
      <c r="G6" s="83" t="s">
        <v>297</v>
      </c>
      <c r="H6" s="83" t="e">
        <f>O5</f>
        <v>#NUM!</v>
      </c>
      <c r="I6" s="83" t="str">
        <f>'[1]Tabl 2-5'!H14</f>
        <v>В-А(ШВН)</v>
      </c>
      <c r="J6" s="83" t="e">
        <f>'[1]Tabl 2-5'!N14</f>
        <v>#NUM!</v>
      </c>
      <c r="K6" s="83" t="str">
        <f>'[1]Tabl 2-5'!L14</f>
        <v>0.65+1.39i</v>
      </c>
      <c r="L6" s="83" t="e">
        <f t="shared" si="4"/>
        <v>#NUM!</v>
      </c>
      <c r="M6" s="83" t="e">
        <f t="shared" si="5"/>
        <v>#NUM!</v>
      </c>
      <c r="N6" s="83" t="s">
        <v>279</v>
      </c>
      <c r="O6" s="83" t="e">
        <f t="shared" si="6"/>
        <v>#NUM!</v>
      </c>
    </row>
    <row r="7" spans="1:16" ht="19.5" thickBot="1" x14ac:dyDescent="0.3">
      <c r="A7" s="97" t="e">
        <f t="shared" si="0"/>
        <v>#NUM!</v>
      </c>
      <c r="B7" s="97" t="e">
        <f t="shared" si="1"/>
        <v>#NUM!</v>
      </c>
      <c r="C7" s="97" t="e">
        <f t="shared" si="2"/>
        <v>#NUM!</v>
      </c>
      <c r="D7" s="97" t="e">
        <f t="shared" si="3"/>
        <v>#NUM!</v>
      </c>
      <c r="G7" s="83" t="s">
        <v>279</v>
      </c>
      <c r="H7" s="83" t="e">
        <f>O6</f>
        <v>#NUM!</v>
      </c>
      <c r="I7" s="83" t="str">
        <f>'[1]Tabl 2-5'!H13</f>
        <v>ШВН-0</v>
      </c>
      <c r="J7" s="83" t="e">
        <f>'[1]Tabl 2-5'!N13</f>
        <v>#NUM!</v>
      </c>
      <c r="K7" s="83" t="str">
        <f>'[1]Tabl 2-5'!L13</f>
        <v>0,7406+28,43i</v>
      </c>
      <c r="L7" s="83" t="e">
        <f t="shared" si="4"/>
        <v>#NUM!</v>
      </c>
      <c r="M7" s="83" t="e">
        <f t="shared" si="5"/>
        <v>#NUM!</v>
      </c>
      <c r="N7" s="83">
        <v>0</v>
      </c>
      <c r="O7" s="83" t="e">
        <f t="shared" si="6"/>
        <v>#NUM!</v>
      </c>
    </row>
    <row r="8" spans="1:16" ht="19.5" thickBot="1" x14ac:dyDescent="0.3">
      <c r="A8" s="97">
        <f t="shared" si="0"/>
        <v>4.0010000000000003</v>
      </c>
      <c r="B8" s="97">
        <f t="shared" si="1"/>
        <v>1.226</v>
      </c>
      <c r="C8" s="97" t="e">
        <f t="shared" si="2"/>
        <v>#NUM!</v>
      </c>
      <c r="D8" s="97" t="e">
        <f t="shared" si="3"/>
        <v>#NUM!</v>
      </c>
      <c r="G8" s="83">
        <v>0</v>
      </c>
      <c r="H8" s="83" t="e">
        <f>O7</f>
        <v>#NUM!</v>
      </c>
      <c r="I8" s="83" t="str">
        <f>'[1]Tabl 2-5'!H12</f>
        <v>0-ШНН</v>
      </c>
      <c r="J8" s="83" t="str">
        <f>'[1]Tabl 2-5'!N12</f>
        <v>4.001+1.226i</v>
      </c>
      <c r="K8" s="83" t="str">
        <f>'[1]Tabl 2-5'!L12</f>
        <v>0,7406+17,85i</v>
      </c>
      <c r="L8" s="83" t="e">
        <f t="shared" si="4"/>
        <v>#NUM!</v>
      </c>
      <c r="M8" s="83" t="e">
        <f t="shared" si="5"/>
        <v>#NUM!</v>
      </c>
      <c r="N8" s="83" t="s">
        <v>296</v>
      </c>
      <c r="O8" s="114" t="e">
        <f t="shared" si="6"/>
        <v>#NUM!</v>
      </c>
      <c r="P8" t="s">
        <v>295</v>
      </c>
    </row>
    <row r="9" spans="1:16" ht="19.5" thickBot="1" x14ac:dyDescent="0.3">
      <c r="A9" s="97" t="e">
        <f t="shared" si="0"/>
        <v>#NUM!</v>
      </c>
      <c r="B9" s="97" t="e">
        <f t="shared" si="1"/>
        <v>#NUM!</v>
      </c>
      <c r="C9" s="97" t="e">
        <f t="shared" si="2"/>
        <v>#NUM!</v>
      </c>
      <c r="D9" s="97" t="e">
        <f t="shared" si="3"/>
        <v>#NUM!</v>
      </c>
      <c r="G9" s="83">
        <v>0</v>
      </c>
      <c r="H9" s="83" t="e">
        <f>O7</f>
        <v>#NUM!</v>
      </c>
      <c r="I9" s="83" t="str">
        <f>'[1]Tabl 2-5'!H11</f>
        <v>0-ШСН</v>
      </c>
      <c r="J9" s="83" t="e">
        <f>'[1]Tabl 2-5'!N11</f>
        <v>#NUM!</v>
      </c>
      <c r="K9" s="83" t="str">
        <f>'[1]Tabl 2-5'!L11</f>
        <v>0,7406</v>
      </c>
      <c r="L9" s="83" t="e">
        <f t="shared" si="4"/>
        <v>#NUM!</v>
      </c>
      <c r="M9" s="83" t="e">
        <f t="shared" si="5"/>
        <v>#NUM!</v>
      </c>
      <c r="N9" s="83" t="s">
        <v>280</v>
      </c>
      <c r="O9" s="114" t="e">
        <f t="shared" si="6"/>
        <v>#NUM!</v>
      </c>
      <c r="P9" t="s">
        <v>294</v>
      </c>
    </row>
    <row r="10" spans="1:16" ht="19.5" thickBot="1" x14ac:dyDescent="0.3">
      <c r="A10" s="97" t="e">
        <f t="shared" si="0"/>
        <v>#NUM!</v>
      </c>
      <c r="B10" s="97" t="e">
        <f t="shared" si="1"/>
        <v>#NUM!</v>
      </c>
      <c r="C10" s="97" t="e">
        <f t="shared" si="2"/>
        <v>#NUM!</v>
      </c>
      <c r="D10" s="97" t="e">
        <f t="shared" si="3"/>
        <v>#NUM!</v>
      </c>
      <c r="G10" s="83" t="s">
        <v>280</v>
      </c>
      <c r="H10" s="113" t="e">
        <f>O9</f>
        <v>#NUM!</v>
      </c>
      <c r="I10" s="83" t="str">
        <f>'[1]Tabl 2-5'!H10</f>
        <v>ВП-3</v>
      </c>
      <c r="J10" s="83" t="str">
        <f>'[1]Tabl 2-5'!N10</f>
        <v>11,173+3,649i</v>
      </c>
      <c r="K10" s="83" t="str">
        <f>'[1]Tabl 2-5'!L10</f>
        <v>0,65+1,34i</v>
      </c>
      <c r="L10" s="83" t="e">
        <f t="shared" si="4"/>
        <v>#NUM!</v>
      </c>
      <c r="M10" s="83" t="e">
        <f t="shared" si="5"/>
        <v>#NUM!</v>
      </c>
      <c r="N10" s="83">
        <v>3</v>
      </c>
      <c r="O10" s="113" t="e">
        <f t="shared" si="6"/>
        <v>#NUM!</v>
      </c>
    </row>
    <row r="11" spans="1:16" ht="19.5" thickBot="1" x14ac:dyDescent="0.3">
      <c r="A11" s="97" t="e">
        <f t="shared" si="0"/>
        <v>#NUM!</v>
      </c>
      <c r="B11" s="97" t="e">
        <f t="shared" si="1"/>
        <v>#NUM!</v>
      </c>
      <c r="C11" s="97" t="e">
        <f t="shared" si="2"/>
        <v>#NUM!</v>
      </c>
      <c r="D11" s="97" t="e">
        <f t="shared" si="3"/>
        <v>#NUM!</v>
      </c>
      <c r="G11" s="83">
        <v>3</v>
      </c>
      <c r="H11" s="83" t="e">
        <f>O10</f>
        <v>#NUM!</v>
      </c>
      <c r="I11" s="83" t="str">
        <f>'[1]Tabl 2-5'!H9</f>
        <v>3-Б</v>
      </c>
      <c r="J11" s="83" t="str">
        <f>'[1]Tabl 2-5'!N9</f>
        <v>6,044+1,739i</v>
      </c>
      <c r="K11" s="83" t="str">
        <f>'[1]Tabl 2-5'!L9</f>
        <v>0,18+0,37i</v>
      </c>
      <c r="L11" s="83" t="e">
        <f t="shared" si="4"/>
        <v>#NUM!</v>
      </c>
      <c r="M11" s="83" t="e">
        <f t="shared" si="5"/>
        <v>#NUM!</v>
      </c>
      <c r="N11" s="83" t="s">
        <v>12</v>
      </c>
      <c r="O11" s="112" t="e">
        <f t="shared" si="6"/>
        <v>#NUM!</v>
      </c>
    </row>
    <row r="12" spans="1:16" ht="19.5" thickBot="1" x14ac:dyDescent="0.3">
      <c r="A12" s="97" t="e">
        <f t="shared" si="0"/>
        <v>#NUM!</v>
      </c>
      <c r="B12" s="97" t="e">
        <f t="shared" si="1"/>
        <v>#NUM!</v>
      </c>
      <c r="C12" s="97" t="e">
        <f t="shared" si="2"/>
        <v>#NUM!</v>
      </c>
      <c r="D12" s="97" t="e">
        <f t="shared" si="3"/>
        <v>#NUM!</v>
      </c>
      <c r="G12" s="83">
        <v>3</v>
      </c>
      <c r="H12" s="83" t="e">
        <f>O10</f>
        <v>#NUM!</v>
      </c>
      <c r="I12" s="83" t="str">
        <f>'[1]Tabl 2-5'!H8</f>
        <v>3-Д</v>
      </c>
      <c r="J12" s="83" t="str">
        <f>'[1]Tabl 2-5'!N8</f>
        <v>5,057+1,762i</v>
      </c>
      <c r="K12" s="83" t="str">
        <f>'[1]Tabl 2-5'!L8</f>
        <v>0,77+1,58i</v>
      </c>
      <c r="L12" s="83" t="e">
        <f t="shared" si="4"/>
        <v>#NUM!</v>
      </c>
      <c r="M12" s="83" t="e">
        <f t="shared" si="5"/>
        <v>#NUM!</v>
      </c>
      <c r="N12" s="83" t="s">
        <v>15</v>
      </c>
      <c r="O12" s="112" t="e">
        <f t="shared" si="6"/>
        <v>#NUM!</v>
      </c>
    </row>
    <row r="13" spans="1:16" ht="19.5" thickBot="1" x14ac:dyDescent="0.3">
      <c r="A13" s="97" t="e">
        <f t="shared" si="0"/>
        <v>#NUM!</v>
      </c>
      <c r="B13" s="97" t="e">
        <f t="shared" si="1"/>
        <v>#NUM!</v>
      </c>
      <c r="C13" s="97" t="e">
        <f t="shared" si="2"/>
        <v>#NUM!</v>
      </c>
      <c r="D13" s="97" t="e">
        <f t="shared" si="3"/>
        <v>#NUM!</v>
      </c>
      <c r="G13" s="83" t="s">
        <v>280</v>
      </c>
      <c r="H13" s="113" t="e">
        <f>O9</f>
        <v>#NUM!</v>
      </c>
      <c r="I13" s="83" t="str">
        <f>'[1]Tabl 2-5'!H7</f>
        <v>ВП-2</v>
      </c>
      <c r="J13" s="83" t="e">
        <f>'[1]Tabl 2-5'!N7</f>
        <v>#NUM!</v>
      </c>
      <c r="K13" s="83" t="str">
        <f>'[1]Tabl 2-5'!L7</f>
        <v>0,81+1,66i</v>
      </c>
      <c r="L13" s="83" t="e">
        <f t="shared" si="4"/>
        <v>#NUM!</v>
      </c>
      <c r="M13" s="83" t="e">
        <f t="shared" si="5"/>
        <v>#NUM!</v>
      </c>
      <c r="N13" s="83">
        <v>2</v>
      </c>
      <c r="O13" s="113" t="e">
        <f t="shared" si="6"/>
        <v>#NUM!</v>
      </c>
    </row>
    <row r="14" spans="1:16" ht="19.5" thickBot="1" x14ac:dyDescent="0.3">
      <c r="A14" s="97" t="e">
        <f t="shared" si="0"/>
        <v>#NUM!</v>
      </c>
      <c r="B14" s="97" t="e">
        <f t="shared" si="1"/>
        <v>#NUM!</v>
      </c>
      <c r="C14" s="97" t="e">
        <f t="shared" si="2"/>
        <v>#NUM!</v>
      </c>
      <c r="D14" s="97" t="e">
        <f t="shared" si="3"/>
        <v>#NUM!</v>
      </c>
      <c r="G14" s="83">
        <v>2</v>
      </c>
      <c r="H14" s="83" t="e">
        <f>O13</f>
        <v>#NUM!</v>
      </c>
      <c r="I14" s="83" t="str">
        <f>'[1]Tabl 2-5'!H6</f>
        <v>2-Г</v>
      </c>
      <c r="J14" s="83" t="str">
        <f>'[1]Tabl 2-5'!N6</f>
        <v>7,069+2,3i</v>
      </c>
      <c r="K14" s="83" t="str">
        <f>'[1]Tabl 2-5'!L6</f>
        <v>0,5+0,83i</v>
      </c>
      <c r="L14" s="83" t="e">
        <f t="shared" si="4"/>
        <v>#NUM!</v>
      </c>
      <c r="M14" s="83" t="e">
        <f t="shared" si="5"/>
        <v>#NUM!</v>
      </c>
      <c r="N14" s="83" t="s">
        <v>14</v>
      </c>
      <c r="O14" s="112" t="e">
        <f t="shared" si="6"/>
        <v>#NUM!</v>
      </c>
    </row>
    <row r="15" spans="1:16" ht="19.5" thickBot="1" x14ac:dyDescent="0.3">
      <c r="A15" s="97" t="e">
        <f t="shared" si="0"/>
        <v>#NUM!</v>
      </c>
      <c r="B15" s="97" t="e">
        <f t="shared" si="1"/>
        <v>#NUM!</v>
      </c>
      <c r="C15" s="97">
        <f t="shared" si="2"/>
        <v>1.05</v>
      </c>
      <c r="D15" s="97">
        <f t="shared" si="3"/>
        <v>1.74</v>
      </c>
      <c r="G15" s="83">
        <v>2</v>
      </c>
      <c r="H15" s="83" t="e">
        <f>O13</f>
        <v>#NUM!</v>
      </c>
      <c r="I15" s="83" t="str">
        <f>'[1]Tabl 2-5'!H5</f>
        <v>2-Е</v>
      </c>
      <c r="J15" s="83" t="e">
        <f>'[1]Tabl 2-5'!N5</f>
        <v>#NUM!</v>
      </c>
      <c r="K15" s="83" t="str">
        <f>'[1]Tabl 2-5'!L5</f>
        <v>1.05+1.74i</v>
      </c>
      <c r="L15" s="83" t="e">
        <f t="shared" si="4"/>
        <v>#NUM!</v>
      </c>
      <c r="M15" s="83" t="e">
        <f t="shared" si="5"/>
        <v>#NUM!</v>
      </c>
      <c r="N15" s="83" t="s">
        <v>16</v>
      </c>
      <c r="O15" s="112" t="e">
        <f t="shared" si="6"/>
        <v>#NUM!</v>
      </c>
    </row>
    <row r="17" spans="5:16" x14ac:dyDescent="0.25">
      <c r="G17" s="111" t="s">
        <v>293</v>
      </c>
    </row>
    <row r="19" spans="5:16" ht="15.75" thickBot="1" x14ac:dyDescent="0.3">
      <c r="I19" t="s">
        <v>292</v>
      </c>
    </row>
    <row r="20" spans="5:16" ht="18.75" x14ac:dyDescent="0.25">
      <c r="G20" s="132" t="s">
        <v>291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60"/>
      <c r="M20" s="160"/>
      <c r="N20" s="70" t="s">
        <v>230</v>
      </c>
      <c r="O20" s="70" t="s">
        <v>230</v>
      </c>
      <c r="P20" s="70" t="s">
        <v>230</v>
      </c>
    </row>
    <row r="21" spans="5:16" ht="19.5" thickBot="1" x14ac:dyDescent="0.3">
      <c r="G21" s="134"/>
      <c r="H21" s="33" t="s">
        <v>9</v>
      </c>
      <c r="I21" s="33" t="s">
        <v>9</v>
      </c>
      <c r="J21" s="33" t="s">
        <v>9</v>
      </c>
      <c r="K21" s="33" t="s">
        <v>9</v>
      </c>
      <c r="L21" s="161"/>
      <c r="M21" s="161"/>
      <c r="N21" s="33" t="s">
        <v>9</v>
      </c>
      <c r="O21" s="33" t="s">
        <v>9</v>
      </c>
      <c r="P21" s="33" t="s">
        <v>265</v>
      </c>
    </row>
    <row r="22" spans="5:16" ht="19.5" thickBot="1" x14ac:dyDescent="0.3">
      <c r="E22">
        <f>[1]Лист1!F4</f>
        <v>6</v>
      </c>
      <c r="G22" s="83" t="str">
        <f>'[1]Table 2-4'!G5</f>
        <v>Б</v>
      </c>
      <c r="H22" s="64" t="e">
        <f>O11</f>
        <v>#NUM!</v>
      </c>
      <c r="I22" s="64"/>
      <c r="J22" s="64">
        <f>1.05*E22</f>
        <v>6.3000000000000007</v>
      </c>
      <c r="K22" s="64"/>
      <c r="L22" s="64"/>
      <c r="M22" s="64"/>
      <c r="N22" s="64"/>
      <c r="O22" s="64"/>
      <c r="P22" s="64"/>
    </row>
    <row r="23" spans="5:16" ht="19.5" thickBot="1" x14ac:dyDescent="0.3">
      <c r="E23">
        <f>[1]Лист1!F5</f>
        <v>6</v>
      </c>
      <c r="G23" s="83" t="str">
        <f>'[1]Table 2-4'!G6</f>
        <v>В</v>
      </c>
      <c r="H23" s="64" t="e">
        <f>O5</f>
        <v>#NUM!</v>
      </c>
      <c r="I23" s="64"/>
      <c r="J23" s="64">
        <f>1.05*E23</f>
        <v>6.3000000000000007</v>
      </c>
      <c r="K23" s="64"/>
      <c r="L23" s="64"/>
      <c r="M23" s="64"/>
      <c r="N23" s="64"/>
      <c r="O23" s="64"/>
      <c r="P23" s="64"/>
    </row>
    <row r="24" spans="5:16" ht="19.5" thickBot="1" x14ac:dyDescent="0.3">
      <c r="E24">
        <f>[1]Лист1!F6</f>
        <v>10</v>
      </c>
      <c r="G24" s="83" t="str">
        <f>'[1]Table 2-4'!G7</f>
        <v>Г</v>
      </c>
      <c r="H24" s="64" t="e">
        <f>O14</f>
        <v>#NUM!</v>
      </c>
      <c r="I24" s="64"/>
      <c r="J24" s="64">
        <f>1.05*E24</f>
        <v>10.5</v>
      </c>
      <c r="K24" s="64"/>
      <c r="L24" s="64"/>
      <c r="M24" s="64"/>
      <c r="N24" s="64"/>
      <c r="O24" s="64"/>
      <c r="P24" s="64"/>
    </row>
    <row r="25" spans="5:16" ht="19.5" thickBot="1" x14ac:dyDescent="0.3">
      <c r="E25">
        <f>[1]Лист1!F7</f>
        <v>10</v>
      </c>
      <c r="G25" s="83" t="str">
        <f>'[1]Table 2-4'!G8</f>
        <v>Д</v>
      </c>
      <c r="H25" s="64" t="e">
        <f>O12</f>
        <v>#NUM!</v>
      </c>
      <c r="I25" s="64"/>
      <c r="J25" s="64">
        <f>1.05*E25</f>
        <v>10.5</v>
      </c>
      <c r="K25" s="64"/>
      <c r="L25" s="64"/>
      <c r="M25" s="64"/>
      <c r="N25" s="64"/>
      <c r="O25" s="64"/>
      <c r="P25" s="64"/>
    </row>
    <row r="26" spans="5:16" ht="19.5" thickBot="1" x14ac:dyDescent="0.3">
      <c r="E26">
        <f>[1]Лист1!F8</f>
        <v>6</v>
      </c>
      <c r="G26" s="83" t="str">
        <f>'[1]Table 2-4'!G9</f>
        <v>Е</v>
      </c>
      <c r="H26" s="64" t="e">
        <f>O15</f>
        <v>#NUM!</v>
      </c>
      <c r="I26" s="64"/>
      <c r="J26" s="64">
        <f>1.05*E26</f>
        <v>6.3000000000000007</v>
      </c>
      <c r="K26" s="64"/>
      <c r="L26" s="64"/>
      <c r="M26" s="64"/>
      <c r="N26" s="64"/>
      <c r="O26" s="64"/>
      <c r="P26" s="64"/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6865" r:id="rId3">
          <objectPr defaultSize="0" autoPict="0" r:id="rId4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3"/>
      </mc:Fallback>
    </mc:AlternateContent>
    <mc:AlternateContent xmlns:mc="http://schemas.openxmlformats.org/markup-compatibility/2006">
      <mc:Choice Requires="x14">
        <oleObject progId="Equation.3" shapeId="36866" r:id="rId5">
          <objectPr defaultSize="0" autoPict="0" r:id="rId6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5"/>
      </mc:Fallback>
    </mc:AlternateContent>
    <mc:AlternateContent xmlns:mc="http://schemas.openxmlformats.org/markup-compatibility/2006">
      <mc:Choice Requires="x14">
        <oleObject progId="Equation.3" shapeId="36867" r:id="rId7">
          <objectPr defaultSize="0" autoPict="0" r:id="rId8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7"/>
      </mc:Fallback>
    </mc:AlternateContent>
    <mc:AlternateContent xmlns:mc="http://schemas.openxmlformats.org/markup-compatibility/2006">
      <mc:Choice Requires="x14">
        <oleObject progId="Equation.3" shapeId="36868" r:id="rId9">
          <objectPr defaultSize="0" autoPict="0" r:id="rId10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9"/>
      </mc:Fallback>
    </mc:AlternateContent>
    <mc:AlternateContent xmlns:mc="http://schemas.openxmlformats.org/markup-compatibility/2006">
      <mc:Choice Requires="x14">
        <oleObject progId="Equation.3" shapeId="36869" r:id="rId11">
          <objectPr defaultSize="0" autoPict="0" r:id="rId12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1"/>
      </mc:Fallback>
    </mc:AlternateContent>
    <mc:AlternateContent xmlns:mc="http://schemas.openxmlformats.org/markup-compatibility/2006">
      <mc:Choice Requires="x14">
        <oleObject progId="Equation.3" shapeId="36870" r:id="rId13">
          <objectPr defaultSize="0" autoPict="0" r:id="rId14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3"/>
      </mc:Fallback>
    </mc:AlternateContent>
    <mc:AlternateContent xmlns:mc="http://schemas.openxmlformats.org/markup-compatibility/2006">
      <mc:Choice Requires="x14">
        <oleObject progId="Equation.3" shapeId="36871" r:id="rId15">
          <objectPr defaultSize="0" autoPict="0" r:id="rId16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5"/>
      </mc:Fallback>
    </mc:AlternateContent>
    <mc:AlternateContent xmlns:mc="http://schemas.openxmlformats.org/markup-compatibility/2006">
      <mc:Choice Requires="x14">
        <oleObject progId="Equation.3" shapeId="36872" r:id="rId17">
          <objectPr defaultSize="0" autoPict="0" r:id="rId18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7"/>
      </mc:Fallback>
    </mc:AlternateContent>
    <mc:AlternateContent xmlns:mc="http://schemas.openxmlformats.org/markup-compatibility/2006">
      <mc:Choice Requires="x14">
        <oleObject progId="Equation.3" shapeId="36873" r:id="rId19">
          <objectPr defaultSize="0" autoPict="0" r:id="rId20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19"/>
      </mc:Fallback>
    </mc:AlternateContent>
    <mc:AlternateContent xmlns:mc="http://schemas.openxmlformats.org/markup-compatibility/2006">
      <mc:Choice Requires="x14">
        <oleObject progId="Equation.3" shapeId="36874" r:id="rId21">
          <objectPr defaultSize="0" autoPict="0" r:id="rId22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1"/>
      </mc:Fallback>
    </mc:AlternateContent>
    <mc:AlternateContent xmlns:mc="http://schemas.openxmlformats.org/markup-compatibility/2006">
      <mc:Choice Requires="x14">
        <oleObject progId="Equation.3" shapeId="36875" r:id="rId23">
          <objectPr defaultSize="0" autoPict="0" r:id="rId24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3"/>
      </mc:Fallback>
    </mc:AlternateContent>
    <mc:AlternateContent xmlns:mc="http://schemas.openxmlformats.org/markup-compatibility/2006">
      <mc:Choice Requires="x14">
        <oleObject progId="Equation.3" shapeId="36876" r:id="rId25">
          <objectPr defaultSize="0" autoPict="0" r:id="rId26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5"/>
      </mc:Fallback>
    </mc:AlternateContent>
    <mc:AlternateContent xmlns:mc="http://schemas.openxmlformats.org/markup-compatibility/2006">
      <mc:Choice Requires="x14">
        <oleObject progId="Equation.3" shapeId="36877" r:id="rId27">
          <objectPr defaultSize="0" autoPict="0" r:id="rId28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7"/>
      </mc:Fallback>
    </mc:AlternateContent>
    <mc:AlternateContent xmlns:mc="http://schemas.openxmlformats.org/markup-compatibility/2006">
      <mc:Choice Requires="x14">
        <oleObject progId="Equation.3" shapeId="36878" r:id="rId29">
          <objectPr defaultSize="0" autoPict="0" r:id="rId30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29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abSelected="1" zoomScale="86" zoomScaleNormal="86" workbookViewId="0">
      <selection activeCell="Q11" sqref="Q11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 t="e">
        <f>J5+P5</f>
        <v>#VALUE!</v>
      </c>
      <c r="R2" s="15" t="e">
        <f>K5+Q5</f>
        <v>#VALUE!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 t="e">
        <f>K10+N10</f>
        <v>#VALUE!</v>
      </c>
      <c r="R3" t="e">
        <f>L10+O10</f>
        <v>#VALUE!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 t="e">
        <f>J5</f>
        <v>#VALUE!</v>
      </c>
      <c r="F5" s="14" t="e">
        <f>K5</f>
        <v>#VALUE!</v>
      </c>
      <c r="J5" s="14" t="e">
        <f>ROUND((K10*(M7+P7)+N10*P7)/(J7+M7+P7),3)</f>
        <v>#VALUE!</v>
      </c>
      <c r="K5" s="14" t="e">
        <f>ROUND((L10*(M7+P7)+O10*P7)/(J7+M7+P7),3)</f>
        <v>#VALUE!</v>
      </c>
      <c r="L5" s="4"/>
      <c r="M5" s="14" t="e">
        <f>J5-K10</f>
        <v>#VALUE!</v>
      </c>
      <c r="N5" s="14" t="e">
        <f>K5-L10</f>
        <v>#VALUE!</v>
      </c>
      <c r="O5" s="4"/>
      <c r="P5" s="14" t="e">
        <f>ROUND((K10*J7+N10*(J7+M7))/(J7+M7+P7),3)</f>
        <v>#VALUE!</v>
      </c>
      <c r="Q5" s="14" t="e">
        <f>ROUND((L10*J7+O10*(J7+M7))/(J7+M7+P7),3)</f>
        <v>#VALUE!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 t="e">
        <f>P5</f>
        <v>#VALUE!</v>
      </c>
      <c r="F6" s="14" t="e">
        <f>Q5</f>
        <v>#VALUE!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 t="e">
        <f>--M5</f>
        <v>#VALUE!</v>
      </c>
      <c r="F7" s="14" t="e">
        <f>--N5</f>
        <v>#VALUE!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  <c r="J8">
        <f>'РОЗДІЛ 2'!S5</f>
        <v>1.42</v>
      </c>
      <c r="K8">
        <f>'РОЗДІЛ 2'!T5</f>
        <v>4.78</v>
      </c>
      <c r="M8">
        <f>'РОЗДІЛ 2'!S7</f>
        <v>1.1100000000000001</v>
      </c>
      <c r="N8">
        <f>'РОЗДІЛ 2'!T7</f>
        <v>2.35</v>
      </c>
      <c r="O8">
        <f>'РОЗДІЛ 2'!S6</f>
        <v>0.94</v>
      </c>
      <c r="P8">
        <f>'РОЗДІЛ 2'!T6</f>
        <v>3.16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  <c r="J9" t="str">
        <f>COMPLEX(J8,-K8)</f>
        <v>1.42-4.78i</v>
      </c>
      <c r="M9" t="str">
        <f>COMPLEX(M8,-N8)</f>
        <v>1.11-2.35i</v>
      </c>
      <c r="O9" t="str">
        <f>COMPLEX(O8,-P8)</f>
        <v>0.94-3.16i</v>
      </c>
    </row>
    <row r="10" spans="1:18" x14ac:dyDescent="0.25">
      <c r="C10" s="4"/>
      <c r="D10" s="4"/>
      <c r="E10" s="4"/>
      <c r="F10" s="4"/>
      <c r="K10" t="str">
        <f>'Table 2-4'!M6</f>
        <v>34.884+11.238i</v>
      </c>
      <c r="O10" t="str">
        <f>'Table 2-4'!M8</f>
        <v>26.909+8.547i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3009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4300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27" t="s">
        <v>48</v>
      </c>
      <c r="D3" s="129" t="s">
        <v>49</v>
      </c>
      <c r="E3" s="130"/>
      <c r="F3" s="130"/>
      <c r="G3" s="130"/>
      <c r="H3" s="131"/>
      <c r="I3" s="129" t="s">
        <v>50</v>
      </c>
      <c r="J3" s="130"/>
      <c r="K3" s="130"/>
      <c r="L3" s="130"/>
      <c r="M3" s="131"/>
    </row>
    <row r="4" spans="3:13" ht="16.5" thickBot="1" x14ac:dyDescent="0.3">
      <c r="C4" s="128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D12" sqref="D12:D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32" t="s">
        <v>107</v>
      </c>
      <c r="D2" s="132" t="s">
        <v>106</v>
      </c>
      <c r="E2" s="132" t="s">
        <v>105</v>
      </c>
      <c r="F2" s="34" t="s">
        <v>104</v>
      </c>
      <c r="G2" s="34" t="s">
        <v>103</v>
      </c>
      <c r="H2" s="34" t="s">
        <v>102</v>
      </c>
      <c r="I2" s="135" t="s">
        <v>87</v>
      </c>
      <c r="J2" s="137" t="s">
        <v>101</v>
      </c>
      <c r="K2" s="34" t="s">
        <v>100</v>
      </c>
      <c r="L2" s="132" t="s">
        <v>99</v>
      </c>
      <c r="M2" s="132" t="s">
        <v>133</v>
      </c>
      <c r="N2" s="35">
        <v>0.8</v>
      </c>
      <c r="O2" t="s">
        <v>98</v>
      </c>
    </row>
    <row r="3" spans="1:15" ht="23.25" thickBot="1" x14ac:dyDescent="0.3">
      <c r="C3" s="134"/>
      <c r="D3" s="133"/>
      <c r="E3" s="133"/>
      <c r="F3" s="44" t="s">
        <v>97</v>
      </c>
      <c r="G3" s="44" t="s">
        <v>97</v>
      </c>
      <c r="H3" s="44" t="s">
        <v>9</v>
      </c>
      <c r="I3" s="136"/>
      <c r="J3" s="138"/>
      <c r="K3" s="44" t="s">
        <v>96</v>
      </c>
      <c r="L3" s="133"/>
      <c r="M3" s="133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39" t="s">
        <v>19</v>
      </c>
      <c r="D4" s="143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40"/>
      <c r="D5" s="144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40"/>
      <c r="D6" s="145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41"/>
      <c r="D7" s="133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42"/>
      <c r="D8" s="142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32" t="s">
        <v>20</v>
      </c>
      <c r="D9" s="132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41"/>
      <c r="D10" s="141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41"/>
      <c r="D11" s="142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41"/>
      <c r="D12" s="132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41"/>
      <c r="D13" s="141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42"/>
      <c r="D14" s="142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32"/>
      <c r="D15" s="132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41"/>
      <c r="D16" s="141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42"/>
      <c r="D17" s="142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46" t="s">
        <v>116</v>
      </c>
      <c r="D3" s="146" t="s">
        <v>115</v>
      </c>
      <c r="E3" s="146"/>
      <c r="F3" s="146" t="s">
        <v>114</v>
      </c>
      <c r="G3" s="146"/>
    </row>
    <row r="4" spans="3:7" ht="32.25" thickBot="1" x14ac:dyDescent="0.3">
      <c r="C4" s="146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2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0" t="s">
        <v>107</v>
      </c>
      <c r="D3" s="55" t="s">
        <v>145</v>
      </c>
      <c r="E3" s="150" t="s">
        <v>105</v>
      </c>
      <c r="F3" s="150" t="s">
        <v>116</v>
      </c>
      <c r="G3" s="148" t="s">
        <v>162</v>
      </c>
      <c r="H3" s="150" t="s">
        <v>167</v>
      </c>
      <c r="I3" s="150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0"/>
      <c r="D4" s="55" t="s">
        <v>146</v>
      </c>
      <c r="E4" s="150"/>
      <c r="F4" s="150"/>
      <c r="G4" s="149"/>
      <c r="H4" s="150"/>
      <c r="I4" s="150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48" t="s">
        <v>19</v>
      </c>
      <c r="D5" s="150" t="s">
        <v>154</v>
      </c>
      <c r="E5" s="150" t="s">
        <v>137</v>
      </c>
      <c r="F5" s="150"/>
      <c r="G5" s="150"/>
      <c r="H5" s="150"/>
      <c r="I5" s="150"/>
      <c r="J5" s="150"/>
      <c r="K5" s="150"/>
      <c r="L5" s="150"/>
      <c r="M5" s="150"/>
    </row>
    <row r="6" spans="3:14" ht="18.75" x14ac:dyDescent="0.3">
      <c r="C6" s="155"/>
      <c r="D6" s="151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5"/>
      <c r="D7" s="151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5"/>
      <c r="D8" s="151"/>
      <c r="E8" s="152" t="s">
        <v>157</v>
      </c>
      <c r="F8" s="153"/>
      <c r="G8" s="153"/>
      <c r="H8" s="153"/>
      <c r="I8" s="153"/>
      <c r="J8" s="153"/>
      <c r="K8" s="153"/>
      <c r="L8" s="154"/>
      <c r="M8" s="59">
        <f>M6+M7</f>
        <v>1.8504872727272728</v>
      </c>
    </row>
    <row r="9" spans="3:14" ht="18.75" x14ac:dyDescent="0.25">
      <c r="C9" s="155"/>
      <c r="D9" s="151"/>
      <c r="E9" s="152" t="str">
        <f>нагрів!D7</f>
        <v>відключення ВП-Д</v>
      </c>
      <c r="F9" s="153"/>
      <c r="G9" s="153"/>
      <c r="H9" s="153"/>
      <c r="I9" s="153"/>
      <c r="J9" s="153"/>
      <c r="K9" s="153"/>
      <c r="L9" s="153"/>
      <c r="M9" s="154"/>
    </row>
    <row r="10" spans="3:14" ht="19.5" customHeight="1" x14ac:dyDescent="0.25">
      <c r="C10" s="155"/>
      <c r="D10" s="151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5"/>
      <c r="D11" s="151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5"/>
      <c r="D12" s="151"/>
      <c r="E12" s="152" t="s">
        <v>158</v>
      </c>
      <c r="F12" s="153"/>
      <c r="G12" s="153"/>
      <c r="H12" s="153"/>
      <c r="I12" s="153"/>
      <c r="J12" s="153"/>
      <c r="K12" s="153"/>
      <c r="L12" s="154"/>
      <c r="M12" s="59">
        <f>M10+M11</f>
        <v>2.6022927272727272</v>
      </c>
    </row>
    <row r="13" spans="3:14" ht="18.75" x14ac:dyDescent="0.25">
      <c r="C13" s="155"/>
      <c r="D13" s="148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5"/>
      <c r="D14" s="155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6"/>
      <c r="D15" s="156"/>
      <c r="E15" s="152" t="s">
        <v>159</v>
      </c>
      <c r="F15" s="153"/>
      <c r="G15" s="153"/>
      <c r="H15" s="153"/>
      <c r="I15" s="153"/>
      <c r="J15" s="153"/>
      <c r="K15" s="153"/>
      <c r="L15" s="154"/>
      <c r="M15" s="59">
        <f>M13+M14</f>
        <v>2.2285745454545456</v>
      </c>
    </row>
    <row r="16" spans="3:14" ht="19.5" customHeight="1" x14ac:dyDescent="0.25">
      <c r="C16" s="150" t="s">
        <v>20</v>
      </c>
      <c r="D16" s="150" t="s">
        <v>154</v>
      </c>
      <c r="E16" s="152" t="s">
        <v>141</v>
      </c>
      <c r="F16" s="153"/>
      <c r="G16" s="153"/>
      <c r="H16" s="153"/>
      <c r="I16" s="153"/>
      <c r="J16" s="153"/>
      <c r="K16" s="153"/>
      <c r="L16" s="153"/>
      <c r="M16" s="154"/>
    </row>
    <row r="17" spans="3:14" ht="18.75" x14ac:dyDescent="0.25">
      <c r="C17" s="150"/>
      <c r="D17" s="151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0"/>
      <c r="D18" s="151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0"/>
      <c r="D19" s="151"/>
      <c r="E19" s="152" t="s">
        <v>160</v>
      </c>
      <c r="F19" s="153"/>
      <c r="G19" s="153"/>
      <c r="H19" s="153"/>
      <c r="I19" s="153"/>
      <c r="J19" s="153"/>
      <c r="K19" s="153"/>
      <c r="L19" s="154"/>
      <c r="M19" s="59">
        <f>M17+M18</f>
        <v>1.8346254545454546</v>
      </c>
    </row>
    <row r="20" spans="3:14" ht="19.350000000000001" customHeight="1" x14ac:dyDescent="0.25">
      <c r="C20" s="150"/>
      <c r="D20" s="151"/>
      <c r="E20" s="152" t="s">
        <v>140</v>
      </c>
      <c r="F20" s="153"/>
      <c r="G20" s="153"/>
      <c r="H20" s="153"/>
      <c r="I20" s="153"/>
      <c r="J20" s="153"/>
      <c r="K20" s="153"/>
      <c r="L20" s="153"/>
      <c r="M20" s="154"/>
    </row>
    <row r="21" spans="3:14" ht="18.75" x14ac:dyDescent="0.25">
      <c r="C21" s="150"/>
      <c r="D21" s="151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0"/>
      <c r="D22" s="151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0"/>
      <c r="D23" s="151"/>
      <c r="E23" s="152" t="s">
        <v>161</v>
      </c>
      <c r="F23" s="153"/>
      <c r="G23" s="153"/>
      <c r="H23" s="153"/>
      <c r="I23" s="153"/>
      <c r="J23" s="153"/>
      <c r="K23" s="153"/>
      <c r="L23" s="154"/>
      <c r="M23" s="59">
        <f>M21+M22</f>
        <v>2.3726354545454549</v>
      </c>
    </row>
    <row r="24" spans="3:14" ht="18.75" x14ac:dyDescent="0.25">
      <c r="C24" s="150"/>
      <c r="D24" s="150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0"/>
      <c r="D25" s="150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0"/>
      <c r="D26" s="150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0"/>
      <c r="D27" s="150"/>
      <c r="E27" s="152" t="s">
        <v>161</v>
      </c>
      <c r="F27" s="153"/>
      <c r="G27" s="153"/>
      <c r="H27" s="153"/>
      <c r="I27" s="153"/>
      <c r="J27" s="153"/>
      <c r="K27" s="153"/>
      <c r="L27" s="154"/>
      <c r="M27" s="59">
        <f>M26</f>
        <v>1.0616454545454546</v>
      </c>
    </row>
    <row r="28" spans="3:14" ht="18.75" x14ac:dyDescent="0.25">
      <c r="C28" s="150"/>
      <c r="D28" s="150"/>
      <c r="E28" s="152" t="s">
        <v>160</v>
      </c>
      <c r="F28" s="153"/>
      <c r="G28" s="153"/>
      <c r="H28" s="153"/>
      <c r="I28" s="153"/>
      <c r="J28" s="153"/>
      <c r="K28" s="153"/>
      <c r="L28" s="154"/>
      <c r="M28" s="59">
        <f>M24+M25</f>
        <v>1.7127409090909091</v>
      </c>
    </row>
    <row r="29" spans="3:14" ht="18.75" x14ac:dyDescent="0.25">
      <c r="C29" s="150" t="s">
        <v>150</v>
      </c>
      <c r="D29" s="148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0"/>
      <c r="D30" s="157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0"/>
      <c r="D31" s="158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47" t="s">
        <v>165</v>
      </c>
      <c r="D32" s="147"/>
      <c r="E32" s="147"/>
      <c r="F32" s="147"/>
      <c r="G32" s="147"/>
      <c r="H32" s="147"/>
      <c r="I32" s="147"/>
      <c r="J32" s="147"/>
      <c r="K32" s="147"/>
      <c r="L32" s="147"/>
      <c r="M32" s="59">
        <f>M29+M30</f>
        <v>9.2161288181818186</v>
      </c>
    </row>
    <row r="33" spans="3:14" ht="18.75" x14ac:dyDescent="0.25">
      <c r="C33" s="147" t="s">
        <v>166</v>
      </c>
      <c r="D33" s="147"/>
      <c r="E33" s="147"/>
      <c r="F33" s="147"/>
      <c r="G33" s="147"/>
      <c r="H33" s="147"/>
      <c r="I33" s="147"/>
      <c r="J33" s="147"/>
      <c r="K33" s="147"/>
      <c r="L33" s="147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Table 2-4</vt:lpstr>
      <vt:lpstr>Tabl 2-5</vt:lpstr>
      <vt:lpstr>Table 2-6</vt:lpstr>
      <vt:lpstr>пункт2.2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2021-05-12T21:05:24Z</dcterms:modified>
</cp:coreProperties>
</file>