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5.xml" ContentType="application/vnd.openxmlformats-officedocument.drawing+xml"/>
  <Override PartName="/xl/drawings/drawing6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8985" firstSheet="3" activeTab="5"/>
  </bookViews>
  <sheets>
    <sheet name="Табл1-1  1-2" sheetId="1" r:id="rId1"/>
    <sheet name="Вар1. Длинна" sheetId="2" r:id="rId2"/>
    <sheet name="Вар2. Длинна" sheetId="5" r:id="rId3"/>
    <sheet name="мережа зовнішньго електр." sheetId="7" r:id="rId4"/>
    <sheet name="Таблиця 1-3" sheetId="3" r:id="rId5"/>
    <sheet name="Потокорозподіл" sheetId="4" r:id="rId6"/>
    <sheet name="Таблиця 1-4" sheetId="6" r:id="rId7"/>
    <sheet name="Fрозр" sheetId="8" r:id="rId8"/>
  </sheets>
  <externalReferences>
    <externalReference r:id="rId9"/>
  </externalReferences>
  <calcPr calcId="162913"/>
</workbook>
</file>

<file path=xl/calcChain.xml><?xml version="1.0" encoding="utf-8"?>
<calcChain xmlns="http://schemas.openxmlformats.org/spreadsheetml/2006/main">
  <c r="E9" i="4" l="1"/>
  <c r="J5" i="4"/>
  <c r="F22" i="1" l="1"/>
  <c r="J16" i="1"/>
  <c r="K16" i="1"/>
  <c r="K19" i="1" s="1"/>
  <c r="H4" i="8" l="1"/>
  <c r="I4" i="8"/>
  <c r="I5" i="8" l="1"/>
  <c r="I6" i="8"/>
  <c r="I7" i="8"/>
  <c r="I8" i="8"/>
  <c r="I9" i="8"/>
  <c r="I10" i="8"/>
  <c r="I11" i="8"/>
  <c r="I12" i="8"/>
  <c r="I13" i="8"/>
  <c r="I14" i="8"/>
  <c r="I15" i="8"/>
  <c r="I16" i="8"/>
  <c r="I17" i="8"/>
  <c r="H10" i="8"/>
  <c r="H11" i="8" s="1"/>
  <c r="H12" i="8" s="1"/>
  <c r="H13" i="8" s="1"/>
  <c r="H14" i="8" s="1"/>
  <c r="H7" i="8"/>
  <c r="H5" i="8"/>
  <c r="B16" i="8"/>
  <c r="F16" i="8" s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4" i="8"/>
  <c r="B5" i="8" l="1"/>
  <c r="F5" i="8" s="1"/>
  <c r="B4" i="8"/>
  <c r="F4" i="8" s="1"/>
  <c r="G4" i="8" s="1"/>
  <c r="J4" i="8" s="1"/>
  <c r="K4" i="8" s="1"/>
  <c r="H6" i="8" l="1"/>
  <c r="B6" i="8"/>
  <c r="F6" i="8" s="1"/>
  <c r="G6" i="8" s="1"/>
  <c r="J6" i="8" s="1"/>
  <c r="K6" i="8" s="1"/>
  <c r="B7" i="8"/>
  <c r="F7" i="8" s="1"/>
  <c r="B8" i="8"/>
  <c r="H8" i="8"/>
  <c r="H9" i="8" s="1"/>
  <c r="B9" i="8"/>
  <c r="F9" i="8" s="1"/>
  <c r="B10" i="8"/>
  <c r="B11" i="8"/>
  <c r="F11" i="8" s="1"/>
  <c r="B12" i="8"/>
  <c r="F12" i="8" s="1"/>
  <c r="G12" i="8" s="1"/>
  <c r="B13" i="8"/>
  <c r="F13" i="8" s="1"/>
  <c r="B14" i="8"/>
  <c r="H15" i="8"/>
  <c r="B15" i="8"/>
  <c r="F15" i="8" s="1"/>
  <c r="G16" i="8"/>
  <c r="H16" i="8"/>
  <c r="H17" i="8" s="1"/>
  <c r="B17" i="8"/>
  <c r="F17" i="8" s="1"/>
  <c r="F10" i="8" l="1"/>
  <c r="G10" i="8" s="1"/>
  <c r="J10" i="8" s="1"/>
  <c r="K10" i="8" s="1"/>
  <c r="F14" i="8"/>
  <c r="G14" i="8" s="1"/>
  <c r="J14" i="8" s="1"/>
  <c r="K14" i="8" s="1"/>
  <c r="F8" i="8"/>
  <c r="G8" i="8" s="1"/>
  <c r="J8" i="8" s="1"/>
  <c r="K8" i="8" s="1"/>
  <c r="G13" i="8"/>
  <c r="J13" i="8" s="1"/>
  <c r="K13" i="8" s="1"/>
  <c r="G7" i="8"/>
  <c r="J7" i="8" s="1"/>
  <c r="K7" i="8" s="1"/>
  <c r="J16" i="8"/>
  <c r="K16" i="8" s="1"/>
  <c r="G17" i="8"/>
  <c r="J17" i="8" s="1"/>
  <c r="K17" i="8" s="1"/>
  <c r="G15" i="8"/>
  <c r="J15" i="8" s="1"/>
  <c r="K15" i="8" s="1"/>
  <c r="G11" i="8"/>
  <c r="J11" i="8" s="1"/>
  <c r="K11" i="8" s="1"/>
  <c r="G9" i="8"/>
  <c r="J9" i="8" s="1"/>
  <c r="K9" i="8" s="1"/>
  <c r="G5" i="8"/>
  <c r="J5" i="8" s="1"/>
  <c r="K5" i="8" s="1"/>
  <c r="J12" i="8"/>
  <c r="K12" i="8" s="1"/>
  <c r="K22" i="4" l="1"/>
  <c r="J22" i="4"/>
  <c r="N22" i="4"/>
  <c r="M22" i="4"/>
  <c r="L29" i="4"/>
  <c r="K29" i="4"/>
  <c r="H16" i="6"/>
  <c r="H15" i="6"/>
  <c r="H14" i="6"/>
  <c r="F16" i="6"/>
  <c r="F15" i="6"/>
  <c r="F14" i="6"/>
  <c r="G25" i="4"/>
  <c r="F25" i="4"/>
  <c r="J15" i="4"/>
  <c r="P29" i="4"/>
  <c r="O29" i="4"/>
  <c r="G26" i="4"/>
  <c r="G27" i="4"/>
  <c r="F27" i="4"/>
  <c r="F26" i="4"/>
  <c r="G24" i="4"/>
  <c r="F24" i="4"/>
  <c r="K20" i="4"/>
  <c r="J17" i="4"/>
  <c r="K15" i="4" l="1"/>
  <c r="D26" i="4"/>
  <c r="E26" i="4"/>
  <c r="D27" i="4"/>
  <c r="E27" i="4"/>
  <c r="E25" i="4"/>
  <c r="D25" i="4"/>
  <c r="E15" i="6" l="1"/>
  <c r="E16" i="6"/>
  <c r="E14" i="6"/>
  <c r="D16" i="6"/>
  <c r="D15" i="6"/>
  <c r="D14" i="6"/>
  <c r="H5" i="7"/>
  <c r="H6" i="7"/>
  <c r="H4" i="7"/>
  <c r="G5" i="5"/>
  <c r="I6" i="7"/>
  <c r="H6" i="5"/>
  <c r="I4" i="7"/>
  <c r="I5" i="7"/>
  <c r="H5" i="5"/>
  <c r="J4" i="7"/>
  <c r="J5" i="7"/>
  <c r="J6" i="7"/>
  <c r="J7" i="7"/>
  <c r="J8" i="7"/>
  <c r="J9" i="7"/>
  <c r="J10" i="7"/>
  <c r="J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L3" i="7"/>
  <c r="K3" i="7"/>
  <c r="H3" i="7"/>
  <c r="I3" i="7"/>
  <c r="G3" i="7"/>
  <c r="F10" i="6"/>
  <c r="F13" i="6"/>
  <c r="F12" i="6"/>
  <c r="F11" i="6"/>
  <c r="F9" i="6"/>
  <c r="F8" i="6"/>
  <c r="F4" i="6"/>
  <c r="F5" i="6"/>
  <c r="F6" i="6"/>
  <c r="F3" i="6"/>
  <c r="E13" i="6"/>
  <c r="E12" i="6"/>
  <c r="E11" i="6"/>
  <c r="E9" i="6"/>
  <c r="E10" i="6"/>
  <c r="H10" i="6" s="1"/>
  <c r="E8" i="6"/>
  <c r="D12" i="6"/>
  <c r="D13" i="6"/>
  <c r="D11" i="6"/>
  <c r="D9" i="6"/>
  <c r="D10" i="6"/>
  <c r="D8" i="6"/>
  <c r="H9" i="6" l="1"/>
  <c r="H12" i="6"/>
  <c r="H11" i="6"/>
  <c r="H13" i="6"/>
  <c r="D7" i="6"/>
  <c r="E7" i="6"/>
  <c r="D4" i="6"/>
  <c r="E4" i="6"/>
  <c r="D5" i="6"/>
  <c r="E5" i="6"/>
  <c r="H5" i="6" s="1"/>
  <c r="D6" i="6"/>
  <c r="E6" i="6"/>
  <c r="E3" i="6"/>
  <c r="H3" i="6" s="1"/>
  <c r="H8" i="6"/>
  <c r="F7" i="6"/>
  <c r="H4" i="6"/>
  <c r="D3" i="6"/>
  <c r="H7" i="6" l="1"/>
  <c r="H6" i="6"/>
  <c r="P18" i="2"/>
  <c r="K7" i="3"/>
  <c r="Q2" i="4" l="1"/>
  <c r="P15" i="4"/>
  <c r="K5" i="4"/>
  <c r="Q5" i="4"/>
  <c r="P5" i="4"/>
  <c r="Q3" i="4"/>
  <c r="R2" i="4"/>
  <c r="R3" i="4"/>
  <c r="M5" i="4"/>
  <c r="E13" i="4"/>
  <c r="E12" i="4"/>
  <c r="E11" i="4"/>
  <c r="F11" i="4"/>
  <c r="F12" i="4"/>
  <c r="F13" i="4"/>
  <c r="E8" i="4"/>
  <c r="F7" i="4"/>
  <c r="F5" i="4"/>
  <c r="F6" i="4"/>
  <c r="E6" i="4"/>
  <c r="L10" i="4"/>
  <c r="F14" i="4"/>
  <c r="P7" i="4" l="1"/>
  <c r="M7" i="4"/>
  <c r="J7" i="4"/>
  <c r="K10" i="4"/>
  <c r="O10" i="4"/>
  <c r="N10" i="4"/>
  <c r="F8" i="4"/>
  <c r="C13" i="4"/>
  <c r="D15" i="4"/>
  <c r="D16" i="4"/>
  <c r="D14" i="4"/>
  <c r="C15" i="4"/>
  <c r="C16" i="4"/>
  <c r="C14" i="4"/>
  <c r="D12" i="4"/>
  <c r="D13" i="4"/>
  <c r="D11" i="4"/>
  <c r="C12" i="4"/>
  <c r="C11" i="4"/>
  <c r="D9" i="4"/>
  <c r="D8" i="4"/>
  <c r="C9" i="4"/>
  <c r="C8" i="4"/>
  <c r="C6" i="4"/>
  <c r="C7" i="4"/>
  <c r="C5" i="4"/>
  <c r="D6" i="4"/>
  <c r="D7" i="4"/>
  <c r="D5" i="4"/>
  <c r="E5" i="4" l="1"/>
  <c r="B14" i="4"/>
  <c r="B11" i="4"/>
  <c r="L6" i="3" l="1"/>
  <c r="Y24" i="5"/>
  <c r="Y25" i="5"/>
  <c r="Y23" i="5"/>
  <c r="P23" i="5"/>
  <c r="K6" i="3"/>
  <c r="D6" i="3"/>
  <c r="E6" i="3"/>
  <c r="F6" i="3"/>
  <c r="F7" i="3" s="1"/>
  <c r="G6" i="3"/>
  <c r="H6" i="3"/>
  <c r="Q25" i="5"/>
  <c r="Q23" i="5"/>
  <c r="P25" i="5"/>
  <c r="T5" i="5"/>
  <c r="M6" i="3"/>
  <c r="I6" i="3"/>
  <c r="J6" i="3"/>
  <c r="H7" i="3" l="1"/>
  <c r="G7" i="3"/>
  <c r="E7" i="3"/>
  <c r="D7" i="3"/>
  <c r="P26" i="5" l="1"/>
  <c r="Z24" i="5"/>
  <c r="Z25" i="5"/>
  <c r="Z23" i="5"/>
  <c r="Y22" i="5"/>
  <c r="Z22" i="5"/>
  <c r="X22" i="5"/>
  <c r="Q24" i="5"/>
  <c r="P24" i="5"/>
  <c r="O23" i="5"/>
  <c r="P22" i="5"/>
  <c r="Q22" i="5"/>
  <c r="O22" i="5"/>
  <c r="G25" i="5"/>
  <c r="H25" i="5"/>
  <c r="G23" i="5"/>
  <c r="H23" i="5"/>
  <c r="F23" i="5"/>
  <c r="F25" i="5"/>
  <c r="H22" i="5"/>
  <c r="G22" i="5"/>
  <c r="F22" i="5"/>
  <c r="T6" i="5"/>
  <c r="U6" i="5"/>
  <c r="U5" i="5"/>
  <c r="S6" i="5"/>
  <c r="S5" i="5"/>
  <c r="G7" i="5"/>
  <c r="G6" i="5"/>
  <c r="H5" i="2"/>
  <c r="H18" i="2"/>
  <c r="U4" i="5"/>
  <c r="T4" i="5"/>
  <c r="S4" i="5"/>
  <c r="H7" i="5"/>
  <c r="I5" i="2"/>
  <c r="K2" i="2"/>
  <c r="L8" i="2"/>
  <c r="G17" i="2"/>
  <c r="W7" i="2" l="1"/>
  <c r="W6" i="2"/>
  <c r="W5" i="2"/>
  <c r="V5" i="2"/>
  <c r="V8" i="2"/>
  <c r="P21" i="2"/>
  <c r="Q21" i="2"/>
  <c r="Q18" i="2"/>
  <c r="Q19" i="2"/>
  <c r="Q20" i="2"/>
  <c r="P20" i="2"/>
  <c r="P19" i="2"/>
  <c r="H29" i="2"/>
  <c r="G29" i="2"/>
  <c r="H30" i="2"/>
  <c r="H28" i="2"/>
  <c r="G30" i="2"/>
  <c r="G28" i="2"/>
  <c r="I6" i="2"/>
  <c r="I7" i="2"/>
  <c r="H7" i="2"/>
  <c r="H6" i="2"/>
  <c r="M3" i="2"/>
  <c r="M4" i="2"/>
  <c r="M5" i="2"/>
  <c r="M6" i="2"/>
  <c r="M7" i="2"/>
  <c r="M2" i="2"/>
  <c r="G18" i="2"/>
  <c r="A32" i="1"/>
  <c r="B29" i="1"/>
  <c r="D26" i="1"/>
  <c r="C26" i="1"/>
  <c r="A26" i="1"/>
  <c r="B26" i="1"/>
  <c r="A29" i="1"/>
  <c r="G16" i="1"/>
  <c r="H16" i="1" s="1"/>
  <c r="G21" i="1"/>
  <c r="G19" i="1"/>
  <c r="G18" i="1"/>
  <c r="G17" i="1"/>
  <c r="G20" i="1"/>
  <c r="F16" i="1" l="1"/>
  <c r="D16" i="1"/>
  <c r="D21" i="1"/>
  <c r="B22" i="1"/>
  <c r="C11" i="1"/>
  <c r="B11" i="1"/>
  <c r="O20" i="4" l="1"/>
  <c r="N20" i="4"/>
  <c r="L20" i="4"/>
  <c r="E14" i="4"/>
  <c r="I5" i="3"/>
  <c r="M7" i="3"/>
  <c r="V4" i="2"/>
  <c r="W4" i="2"/>
  <c r="U4" i="2"/>
  <c r="P17" i="2"/>
  <c r="Q17" i="2"/>
  <c r="O17" i="2"/>
  <c r="H17" i="2"/>
  <c r="G19" i="2"/>
  <c r="K3" i="2"/>
  <c r="K4" i="2"/>
  <c r="K5" i="2"/>
  <c r="K6" i="2"/>
  <c r="K7" i="2"/>
  <c r="M8" i="2"/>
  <c r="N5" i="4" l="1"/>
  <c r="H19" i="2"/>
  <c r="V7" i="2"/>
  <c r="V6" i="2"/>
  <c r="R13" i="4"/>
  <c r="Q13" i="4"/>
  <c r="H21" i="1"/>
  <c r="H20" i="1"/>
  <c r="H19" i="1"/>
  <c r="H18" i="1"/>
  <c r="H17" i="1"/>
  <c r="F21" i="1"/>
  <c r="F20" i="1"/>
  <c r="F19" i="1"/>
  <c r="F18" i="1"/>
  <c r="F17" i="1"/>
  <c r="D20" i="1"/>
  <c r="D19" i="1"/>
  <c r="D18" i="1"/>
  <c r="D17" i="1"/>
  <c r="D22" i="1"/>
  <c r="H22" i="1" l="1"/>
  <c r="J19" i="1" s="1"/>
  <c r="L19" i="1" s="1"/>
  <c r="E7" i="4"/>
  <c r="P17" i="4"/>
  <c r="I7" i="3"/>
  <c r="L7" i="3"/>
  <c r="M17" i="4"/>
  <c r="J7" i="3"/>
  <c r="Q15" i="4" l="1"/>
  <c r="B32" i="1"/>
  <c r="C32" i="1" s="1"/>
  <c r="R12" i="4" l="1"/>
  <c r="M15" i="4"/>
  <c r="N15" i="4"/>
  <c r="Q12" i="4"/>
</calcChain>
</file>

<file path=xl/sharedStrings.xml><?xml version="1.0" encoding="utf-8"?>
<sst xmlns="http://schemas.openxmlformats.org/spreadsheetml/2006/main" count="210" uniqueCount="112">
  <si>
    <t>Найм. ПС</t>
  </si>
  <si>
    <t>Рм</t>
  </si>
  <si>
    <t>МВт</t>
  </si>
  <si>
    <t>Qм</t>
  </si>
  <si>
    <t>Мвар</t>
  </si>
  <si>
    <t>Х</t>
  </si>
  <si>
    <t>мм</t>
  </si>
  <si>
    <t>Y</t>
  </si>
  <si>
    <t>U2 ном</t>
  </si>
  <si>
    <t>кВ</t>
  </si>
  <si>
    <t>Кат. Над.</t>
  </si>
  <si>
    <t>А</t>
  </si>
  <si>
    <t>Б</t>
  </si>
  <si>
    <t>В</t>
  </si>
  <si>
    <t>Г</t>
  </si>
  <si>
    <t>Д</t>
  </si>
  <si>
    <t>Е</t>
  </si>
  <si>
    <t>ДЖ</t>
  </si>
  <si>
    <t xml:space="preserve"> - </t>
  </si>
  <si>
    <t>I</t>
  </si>
  <si>
    <t>II</t>
  </si>
  <si>
    <t>Σ</t>
  </si>
  <si>
    <r>
      <t xml:space="preserve">Sнав </t>
    </r>
    <r>
      <rPr>
        <sz val="11"/>
        <color theme="1"/>
        <rFont val="Calibri"/>
        <family val="2"/>
        <charset val="204"/>
      </rPr>
      <t>Σ</t>
    </r>
  </si>
  <si>
    <r>
      <t xml:space="preserve">Рнав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2</t>
    </r>
  </si>
  <si>
    <t>Qнав Σ2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</si>
  <si>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P</t>
    </r>
    <r>
      <rPr>
        <sz val="11"/>
        <color theme="1"/>
        <rFont val="Calibri"/>
        <family val="2"/>
        <charset val="204"/>
      </rPr>
      <t>Σ</t>
    </r>
  </si>
  <si>
    <t>ΔQΣ</t>
  </si>
  <si>
    <t>К у.м.</t>
  </si>
  <si>
    <t>Р р</t>
  </si>
  <si>
    <t>Q р</t>
  </si>
  <si>
    <t>S р</t>
  </si>
  <si>
    <t>ТЦН</t>
  </si>
  <si>
    <r>
      <t>Р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Х</t>
    </r>
  </si>
  <si>
    <r>
      <t>МВт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мм</t>
    </r>
  </si>
  <si>
    <r>
      <t>P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</si>
  <si>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ПС-ТЦН</t>
    </r>
  </si>
  <si>
    <r>
      <t>Рм</t>
    </r>
    <r>
      <rPr>
        <sz val="11"/>
        <color theme="1"/>
        <rFont val="Calibri"/>
        <family val="2"/>
        <charset val="204"/>
      </rPr>
      <t>·ℓПС-ТЦН</t>
    </r>
  </si>
  <si>
    <t>Х0</t>
  </si>
  <si>
    <t>Y0</t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</si>
  <si>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ср взв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</si>
  <si>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 xml:space="preserve"> ДЖ-ТЦН</t>
    </r>
  </si>
  <si>
    <t>l</t>
  </si>
  <si>
    <t>l, км</t>
  </si>
  <si>
    <t>Ділянка</t>
  </si>
  <si>
    <t>X</t>
  </si>
  <si>
    <t>mm</t>
  </si>
  <si>
    <t>ВП-1</t>
  </si>
  <si>
    <t>ВП-2</t>
  </si>
  <si>
    <t>Натуральні показники</t>
  </si>
  <si>
    <t>I група</t>
  </si>
  <si>
    <t>II група</t>
  </si>
  <si>
    <t>а)</t>
  </si>
  <si>
    <t>б)</t>
  </si>
  <si>
    <t>в)</t>
  </si>
  <si>
    <t>г)</t>
  </si>
  <si>
    <t>д)</t>
  </si>
  <si>
    <t xml:space="preserve"> шт.</t>
  </si>
  <si>
    <t xml:space="preserve"> км</t>
  </si>
  <si>
    <t>рад</t>
  </si>
  <si>
    <t>кольц</t>
  </si>
  <si>
    <t>маг</t>
  </si>
  <si>
    <t>+</t>
  </si>
  <si>
    <t>-</t>
  </si>
  <si>
    <t>P</t>
  </si>
  <si>
    <t>Q</t>
  </si>
  <si>
    <t>км</t>
  </si>
  <si>
    <t>Група</t>
  </si>
  <si>
    <t>Варіант</t>
  </si>
  <si>
    <t>ВП-Д</t>
  </si>
  <si>
    <t>Баланс</t>
  </si>
  <si>
    <t>Табл 1.2</t>
  </si>
  <si>
    <t>Табл 1.1</t>
  </si>
  <si>
    <t>/</t>
  </si>
  <si>
    <t>ВП-В</t>
  </si>
  <si>
    <t>В-Д</t>
  </si>
  <si>
    <t>2-В</t>
  </si>
  <si>
    <t>2-Д</t>
  </si>
  <si>
    <t>1-В</t>
  </si>
  <si>
    <t>1-Д</t>
  </si>
  <si>
    <t>ВП-Г</t>
  </si>
  <si>
    <t>ВП-Е</t>
  </si>
  <si>
    <t>Е-Г</t>
  </si>
  <si>
    <t>Г-1</t>
  </si>
  <si>
    <t>Г-2</t>
  </si>
  <si>
    <t>Е-2</t>
  </si>
  <si>
    <t>кільц.</t>
  </si>
  <si>
    <t>рад.</t>
  </si>
  <si>
    <t>n</t>
  </si>
  <si>
    <r>
      <t xml:space="preserve">, </t>
    </r>
    <r>
      <rPr>
        <sz val="12"/>
        <color theme="1"/>
        <rFont val="Times New Roman"/>
        <family val="1"/>
      </rPr>
      <t>кВ</t>
    </r>
  </si>
  <si>
    <t>а</t>
  </si>
  <si>
    <t>д</t>
  </si>
  <si>
    <t>г</t>
  </si>
  <si>
    <t>Мережа зовнішнього електропостачання</t>
  </si>
  <si>
    <t>3-Б</t>
  </si>
  <si>
    <r>
      <t xml:space="preserve">           , </t>
    </r>
    <r>
      <rPr>
        <sz val="12"/>
        <color theme="1"/>
        <rFont val="Times New Roman"/>
        <family val="1"/>
      </rPr>
      <t>кВ</t>
    </r>
  </si>
  <si>
    <r>
      <t xml:space="preserve">        , </t>
    </r>
    <r>
      <rPr>
        <sz val="12"/>
        <color theme="1"/>
        <rFont val="Times New Roman"/>
        <family val="1"/>
      </rPr>
      <t>МВт</t>
    </r>
  </si>
  <si>
    <r>
      <t xml:space="preserve">     ,</t>
    </r>
    <r>
      <rPr>
        <sz val="12"/>
        <color theme="1"/>
        <rFont val="Times New Roman"/>
        <family val="1"/>
      </rPr>
      <t xml:space="preserve"> км</t>
    </r>
  </si>
  <si>
    <t>3-ВП</t>
  </si>
  <si>
    <t>ДЖ-3</t>
  </si>
  <si>
    <t>зовнішня мережа</t>
  </si>
  <si>
    <r>
      <t>мм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</si>
  <si>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</si>
  <si>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t>A/mm2</t>
  </si>
  <si>
    <t>Прийнята марка</t>
  </si>
  <si>
    <r>
      <t>F</t>
    </r>
    <r>
      <rPr>
        <vertAlign val="subscript"/>
        <sz val="14"/>
        <color theme="1"/>
        <rFont val="Times New Roman"/>
        <family val="1"/>
        <charset val="204"/>
      </rPr>
      <t>ек</t>
    </r>
    <r>
      <rPr>
        <sz val="14"/>
        <color theme="1"/>
        <rFont val="Times New Roman"/>
        <family val="1"/>
        <charset val="204"/>
      </rPr>
      <t>,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</si>
  <si>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р</t>
    </r>
    <r>
      <rPr>
        <sz val="14"/>
        <color theme="1"/>
        <rFont val="Times New Roman"/>
        <family val="1"/>
        <charset val="204"/>
      </rPr>
      <t>, А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</si>
  <si>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</t>
    </r>
  </si>
  <si>
    <r>
      <t>S</t>
    </r>
    <r>
      <rPr>
        <sz val="14"/>
        <color theme="1"/>
        <rFont val="Times New Roman"/>
        <family val="1"/>
        <charset val="204"/>
      </rPr>
      <t>діл,</t>
    </r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</si>
  <si>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</t>
    </r>
  </si>
  <si>
    <t>Ділянка мережі</t>
  </si>
  <si>
    <t>Варі-ант</t>
  </si>
  <si>
    <t>Гру-па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</si>
</sst>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mbria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vertAlign val="subscript"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 style="thick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/>
      <diagonal/>
    </border>
    <border>
      <left style="thick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thick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Fill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164" fontId="9" fillId="0" borderId="17" xfId="0" applyNumberFormat="1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164" fontId="9" fillId="0" borderId="15" xfId="0" applyNumberFormat="1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1" fontId="12" fillId="0" borderId="25" xfId="0" applyNumberFormat="1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0" fillId="0" borderId="0" xfId="0" applyFont="1"/>
    <xf numFmtId="0" fontId="11" fillId="0" borderId="0" xfId="0" applyFont="1" applyFill="1"/>
    <xf numFmtId="0" fontId="12" fillId="0" borderId="25" xfId="0" applyFont="1" applyFill="1" applyBorder="1" applyAlignment="1">
      <alignment horizontal="center" vertical="center" wrapText="1"/>
    </xf>
    <xf numFmtId="0" fontId="0" fillId="2" borderId="0" xfId="0" applyFill="1"/>
    <xf numFmtId="0" fontId="9" fillId="2" borderId="17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justify" vertical="center" wrapText="1"/>
    </xf>
    <xf numFmtId="0" fontId="14" fillId="0" borderId="26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wmf"/><Relationship Id="rId2" Type="http://schemas.openxmlformats.org/officeDocument/2006/relationships/image" Target="../media/image13.wmf"/><Relationship Id="rId1" Type="http://schemas.openxmlformats.org/officeDocument/2006/relationships/image" Target="../media/image12.w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wmf"/><Relationship Id="rId1" Type="http://schemas.openxmlformats.org/officeDocument/2006/relationships/image" Target="../media/image15.wmf"/><Relationship Id="rId5" Type="http://schemas.openxmlformats.org/officeDocument/2006/relationships/image" Target="../media/image19.emf"/><Relationship Id="rId4" Type="http://schemas.openxmlformats.org/officeDocument/2006/relationships/image" Target="../media/image18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</xdr:row>
          <xdr:rowOff>85725</xdr:rowOff>
        </xdr:from>
        <xdr:to>
          <xdr:col>5</xdr:col>
          <xdr:colOff>342900</xdr:colOff>
          <xdr:row>10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2</xdr:row>
          <xdr:rowOff>0</xdr:rowOff>
        </xdr:from>
        <xdr:to>
          <xdr:col>19</xdr:col>
          <xdr:colOff>95250</xdr:colOff>
          <xdr:row>10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13</xdr:col>
          <xdr:colOff>428625</xdr:colOff>
          <xdr:row>23</xdr:row>
          <xdr:rowOff>104775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561975</xdr:colOff>
          <xdr:row>24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27</xdr:row>
          <xdr:rowOff>66675</xdr:rowOff>
        </xdr:from>
        <xdr:to>
          <xdr:col>5</xdr:col>
          <xdr:colOff>523875</xdr:colOff>
          <xdr:row>35</xdr:row>
          <xdr:rowOff>123825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</xdr:rowOff>
        </xdr:from>
        <xdr:to>
          <xdr:col>4</xdr:col>
          <xdr:colOff>323850</xdr:colOff>
          <xdr:row>14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3</xdr:row>
          <xdr:rowOff>0</xdr:rowOff>
        </xdr:from>
        <xdr:to>
          <xdr:col>17</xdr:col>
          <xdr:colOff>0</xdr:colOff>
          <xdr:row>15</xdr:row>
          <xdr:rowOff>28575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4</xdr:col>
          <xdr:colOff>47625</xdr:colOff>
          <xdr:row>29</xdr:row>
          <xdr:rowOff>104775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16</xdr:row>
          <xdr:rowOff>161925</xdr:rowOff>
        </xdr:from>
        <xdr:to>
          <xdr:col>12</xdr:col>
          <xdr:colOff>438150</xdr:colOff>
          <xdr:row>29</xdr:row>
          <xdr:rowOff>114300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15</xdr:row>
          <xdr:rowOff>142875</xdr:rowOff>
        </xdr:from>
        <xdr:to>
          <xdr:col>21</xdr:col>
          <xdr:colOff>180975</xdr:colOff>
          <xdr:row>28</xdr:row>
          <xdr:rowOff>114300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0</xdr:colOff>
          <xdr:row>23</xdr:row>
          <xdr:rowOff>161925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</xdr:row>
          <xdr:rowOff>0</xdr:rowOff>
        </xdr:from>
        <xdr:to>
          <xdr:col>2</xdr:col>
          <xdr:colOff>228600</xdr:colOff>
          <xdr:row>5</xdr:row>
          <xdr:rowOff>57150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</xdr:row>
          <xdr:rowOff>0</xdr:rowOff>
        </xdr:from>
        <xdr:to>
          <xdr:col>2</xdr:col>
          <xdr:colOff>304800</xdr:colOff>
          <xdr:row>6</xdr:row>
          <xdr:rowOff>47625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</xdr:row>
          <xdr:rowOff>0</xdr:rowOff>
        </xdr:from>
        <xdr:to>
          <xdr:col>2</xdr:col>
          <xdr:colOff>361950</xdr:colOff>
          <xdr:row>7</xdr:row>
          <xdr:rowOff>9525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3" name="Прямая соединительная линия 2"/>
        <xdr:cNvCxnSpPr/>
      </xdr:nvCxnSpPr>
      <xdr:spPr>
        <a:xfrm>
          <a:off x="5074920" y="10744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5" name="Прямая со стрелкой 4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7" name="Прямая со стрелкой 6"/>
        <xdr:cNvCxnSpPr/>
      </xdr:nvCxnSpPr>
      <xdr:spPr>
        <a:xfrm flipV="1">
          <a:off x="7147560" y="9753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9" name="Прямая со стрелкой 8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10" name="Прямая со стрелкой 9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16</xdr:row>
      <xdr:rowOff>22860</xdr:rowOff>
    </xdr:from>
    <xdr:to>
      <xdr:col>15</xdr:col>
      <xdr:colOff>472440</xdr:colOff>
      <xdr:row>16</xdr:row>
      <xdr:rowOff>22860</xdr:rowOff>
    </xdr:to>
    <xdr:cxnSp macro="">
      <xdr:nvCxnSpPr>
        <xdr:cNvPr id="12" name="Прямая соединительная линия 11"/>
        <xdr:cNvCxnSpPr/>
      </xdr:nvCxnSpPr>
      <xdr:spPr>
        <a:xfrm>
          <a:off x="5074920" y="31318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610263</xdr:colOff>
      <xdr:row>16</xdr:row>
      <xdr:rowOff>6629</xdr:rowOff>
    </xdr:from>
    <xdr:to>
      <xdr:col>11</xdr:col>
      <xdr:colOff>8283</xdr:colOff>
      <xdr:row>19</xdr:row>
      <xdr:rowOff>57979</xdr:rowOff>
    </xdr:to>
    <xdr:cxnSp macro="">
      <xdr:nvCxnSpPr>
        <xdr:cNvPr id="13" name="Прямая со стрелкой 12"/>
        <xdr:cNvCxnSpPr/>
      </xdr:nvCxnSpPr>
      <xdr:spPr>
        <a:xfrm>
          <a:off x="6764241" y="3054629"/>
          <a:ext cx="10933" cy="622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546653</xdr:colOff>
      <xdr:row>16</xdr:row>
      <xdr:rowOff>14799</xdr:rowOff>
    </xdr:from>
    <xdr:to>
      <xdr:col>13</xdr:col>
      <xdr:colOff>548640</xdr:colOff>
      <xdr:row>19</xdr:row>
      <xdr:rowOff>16565</xdr:rowOff>
    </xdr:to>
    <xdr:cxnSp macro="">
      <xdr:nvCxnSpPr>
        <xdr:cNvPr id="14" name="Прямая со стрелкой 13"/>
        <xdr:cNvCxnSpPr/>
      </xdr:nvCxnSpPr>
      <xdr:spPr>
        <a:xfrm flipH="1">
          <a:off x="8539370" y="3062799"/>
          <a:ext cx="1987" cy="5732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15</xdr:row>
      <xdr:rowOff>68580</xdr:rowOff>
    </xdr:from>
    <xdr:to>
      <xdr:col>13</xdr:col>
      <xdr:colOff>381000</xdr:colOff>
      <xdr:row>15</xdr:row>
      <xdr:rowOff>76200</xdr:rowOff>
    </xdr:to>
    <xdr:cxnSp macro="">
      <xdr:nvCxnSpPr>
        <xdr:cNvPr id="15" name="Прямая со стрелкой 14"/>
        <xdr:cNvCxnSpPr/>
      </xdr:nvCxnSpPr>
      <xdr:spPr>
        <a:xfrm flipH="1">
          <a:off x="7078980" y="299466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15</xdr:row>
      <xdr:rowOff>45720</xdr:rowOff>
    </xdr:from>
    <xdr:to>
      <xdr:col>10</xdr:col>
      <xdr:colOff>358140</xdr:colOff>
      <xdr:row>15</xdr:row>
      <xdr:rowOff>60960</xdr:rowOff>
    </xdr:to>
    <xdr:cxnSp macro="">
      <xdr:nvCxnSpPr>
        <xdr:cNvPr id="16" name="Прямая со стрелкой 15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15</xdr:row>
      <xdr:rowOff>53340</xdr:rowOff>
    </xdr:from>
    <xdr:to>
      <xdr:col>16</xdr:col>
      <xdr:colOff>457200</xdr:colOff>
      <xdr:row>15</xdr:row>
      <xdr:rowOff>68580</xdr:rowOff>
    </xdr:to>
    <xdr:cxnSp macro="">
      <xdr:nvCxnSpPr>
        <xdr:cNvPr id="17" name="Прямая со стрелкой 16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24848</xdr:colOff>
      <xdr:row>23</xdr:row>
      <xdr:rowOff>16565</xdr:rowOff>
    </xdr:from>
    <xdr:to>
      <xdr:col>15</xdr:col>
      <xdr:colOff>124240</xdr:colOff>
      <xdr:row>23</xdr:row>
      <xdr:rowOff>19549</xdr:rowOff>
    </xdr:to>
    <xdr:cxnSp macro="">
      <xdr:nvCxnSpPr>
        <xdr:cNvPr id="18" name="Прямая соединительная линия 17"/>
        <xdr:cNvCxnSpPr/>
      </xdr:nvCxnSpPr>
      <xdr:spPr>
        <a:xfrm flipV="1">
          <a:off x="5541065" y="4398065"/>
          <a:ext cx="3801718" cy="298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147102</xdr:colOff>
      <xdr:row>23</xdr:row>
      <xdr:rowOff>33131</xdr:rowOff>
    </xdr:from>
    <xdr:to>
      <xdr:col>11</xdr:col>
      <xdr:colOff>157370</xdr:colOff>
      <xdr:row>27</xdr:row>
      <xdr:rowOff>99391</xdr:rowOff>
    </xdr:to>
    <xdr:cxnSp macro="">
      <xdr:nvCxnSpPr>
        <xdr:cNvPr id="19" name="Прямая со стрелкой 18"/>
        <xdr:cNvCxnSpPr/>
      </xdr:nvCxnSpPr>
      <xdr:spPr>
        <a:xfrm>
          <a:off x="6913993" y="4414631"/>
          <a:ext cx="10268" cy="82826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118607</xdr:colOff>
      <xdr:row>23</xdr:row>
      <xdr:rowOff>1</xdr:rowOff>
    </xdr:from>
    <xdr:to>
      <xdr:col>15</xdr:col>
      <xdr:colOff>124239</xdr:colOff>
      <xdr:row>28</xdr:row>
      <xdr:rowOff>1</xdr:rowOff>
    </xdr:to>
    <xdr:cxnSp macro="">
      <xdr:nvCxnSpPr>
        <xdr:cNvPr id="20" name="Прямая со стрелкой 19"/>
        <xdr:cNvCxnSpPr/>
      </xdr:nvCxnSpPr>
      <xdr:spPr>
        <a:xfrm>
          <a:off x="9337150" y="4381501"/>
          <a:ext cx="5632" cy="9525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41413</xdr:colOff>
      <xdr:row>22</xdr:row>
      <xdr:rowOff>66261</xdr:rowOff>
    </xdr:from>
    <xdr:to>
      <xdr:col>10</xdr:col>
      <xdr:colOff>604631</xdr:colOff>
      <xdr:row>22</xdr:row>
      <xdr:rowOff>66262</xdr:rowOff>
    </xdr:to>
    <xdr:cxnSp macro="">
      <xdr:nvCxnSpPr>
        <xdr:cNvPr id="44" name="Прямая со стрелкой 43"/>
        <xdr:cNvCxnSpPr/>
      </xdr:nvCxnSpPr>
      <xdr:spPr>
        <a:xfrm>
          <a:off x="5557630" y="4257261"/>
          <a:ext cx="1200979" cy="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235226</xdr:colOff>
      <xdr:row>22</xdr:row>
      <xdr:rowOff>61291</xdr:rowOff>
    </xdr:from>
    <xdr:to>
      <xdr:col>14</xdr:col>
      <xdr:colOff>210379</xdr:colOff>
      <xdr:row>22</xdr:row>
      <xdr:rowOff>61292</xdr:rowOff>
    </xdr:to>
    <xdr:cxnSp macro="">
      <xdr:nvCxnSpPr>
        <xdr:cNvPr id="53" name="Прямая со стрелкой 52"/>
        <xdr:cNvCxnSpPr/>
      </xdr:nvCxnSpPr>
      <xdr:spPr>
        <a:xfrm>
          <a:off x="7615030" y="4252291"/>
          <a:ext cx="1200979" cy="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57150</xdr:colOff>
          <xdr:row>1</xdr:row>
          <xdr:rowOff>9525</xdr:rowOff>
        </xdr:from>
        <xdr:to>
          <xdr:col>4</xdr:col>
          <xdr:colOff>409575</xdr:colOff>
          <xdr:row>1</xdr:row>
          <xdr:rowOff>314325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</xdr:row>
          <xdr:rowOff>28575</xdr:rowOff>
        </xdr:from>
        <xdr:to>
          <xdr:col>5</xdr:col>
          <xdr:colOff>457200</xdr:colOff>
          <xdr:row>1</xdr:row>
          <xdr:rowOff>314325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0</xdr:row>
          <xdr:rowOff>0</xdr:rowOff>
        </xdr:from>
        <xdr:to>
          <xdr:col>7</xdr:col>
          <xdr:colOff>238125</xdr:colOff>
          <xdr:row>1</xdr:row>
          <xdr:rowOff>171450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171450</xdr:colOff>
          <xdr:row>1</xdr:row>
          <xdr:rowOff>57150</xdr:rowOff>
        </xdr:from>
        <xdr:to>
          <xdr:col>8</xdr:col>
          <xdr:colOff>561975</xdr:colOff>
          <xdr:row>1</xdr:row>
          <xdr:rowOff>295275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0</xdr:row>
          <xdr:rowOff>152400</xdr:rowOff>
        </xdr:from>
        <xdr:to>
          <xdr:col>14</xdr:col>
          <xdr:colOff>38100</xdr:colOff>
          <xdr:row>3</xdr:row>
          <xdr:rowOff>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ksimka\Desktop\&#1050;&#1059;&#1056;&#1057;3.2\kurs3_2\&#1045;&#1057;&#1110;&#1052;2\15.03.2021\&#1051;&#1080;&#1089;&#1090;%20Microsoft%20Excel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ис 1-2 Довжини"/>
      <sheetName val="Таблиця 1-3"/>
      <sheetName val="Потокорозподіл"/>
      <sheetName val="Unom"/>
      <sheetName val="Fрозр"/>
      <sheetName val="мех міцн"/>
    </sheetNames>
    <sheetDataSet>
      <sheetData sheetId="0"/>
      <sheetData sheetId="1"/>
      <sheetData sheetId="2"/>
      <sheetData sheetId="3">
        <row r="5">
          <cell r="F5">
            <v>2.1659999999999999</v>
          </cell>
        </row>
        <row r="6">
          <cell r="F6">
            <v>1.8340000000000001</v>
          </cell>
        </row>
        <row r="7">
          <cell r="F7">
            <v>0.16599999999999993</v>
          </cell>
        </row>
        <row r="8">
          <cell r="F8">
            <v>4</v>
          </cell>
        </row>
        <row r="9">
          <cell r="F9">
            <v>2</v>
          </cell>
        </row>
        <row r="10">
          <cell r="F10">
            <v>2</v>
          </cell>
        </row>
        <row r="11">
          <cell r="F11">
            <v>4.2350000000000003</v>
          </cell>
        </row>
        <row r="12">
          <cell r="F12">
            <v>3.7650000000000001</v>
          </cell>
        </row>
        <row r="13">
          <cell r="F13">
            <v>0.76500000000000012</v>
          </cell>
        </row>
        <row r="14">
          <cell r="F14">
            <v>8</v>
          </cell>
        </row>
        <row r="15">
          <cell r="F15">
            <v>5</v>
          </cell>
        </row>
        <row r="16">
          <cell r="F16">
            <v>3</v>
          </cell>
        </row>
        <row r="17">
          <cell r="F17">
            <v>37</v>
          </cell>
        </row>
        <row r="18">
          <cell r="F18">
            <v>22</v>
          </cell>
        </row>
      </sheetData>
      <sheetData sheetId="4">
        <row r="15">
          <cell r="J15">
            <v>110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_Drawing4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7.vsdx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12" Type="http://schemas.openxmlformats.org/officeDocument/2006/relationships/package" Target="../embeddings/Microsoft_Visio_Drawing9.vsdx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Drawing6.vsdx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package" Target="../embeddings/Microsoft_Visio_Drawing8.vsdx"/><Relationship Id="rId4" Type="http://schemas.openxmlformats.org/officeDocument/2006/relationships/package" Target="../embeddings/Microsoft_Visio_Drawing5.vsdx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0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1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13.w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2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14.wmf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13" Type="http://schemas.openxmlformats.org/officeDocument/2006/relationships/image" Target="../media/image19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16.wmf"/><Relationship Id="rId12" Type="http://schemas.openxmlformats.org/officeDocument/2006/relationships/oleObject" Target="../embeddings/oleObject8.bin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18.wmf"/><Relationship Id="rId5" Type="http://schemas.openxmlformats.org/officeDocument/2006/relationships/image" Target="../media/image15.wmf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4.bin"/><Relationship Id="rId9" Type="http://schemas.openxmlformats.org/officeDocument/2006/relationships/image" Target="../media/image17.emf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F23" sqref="F23"/>
    </sheetView>
  </sheetViews>
  <sheetFormatPr defaultRowHeight="15" x14ac:dyDescent="0.25"/>
  <cols>
    <col min="6" max="6" width="10.85546875" customWidth="1"/>
    <col min="7" max="7" width="9.140625" customWidth="1"/>
    <col min="8" max="8" width="11.85546875" customWidth="1"/>
    <col min="10" max="10" width="9.5703125" bestFit="1" customWidth="1"/>
    <col min="11" max="11" width="10" customWidth="1"/>
  </cols>
  <sheetData>
    <row r="1" spans="1:13" x14ac:dyDescent="0.25">
      <c r="A1" s="4" t="s">
        <v>71</v>
      </c>
    </row>
    <row r="2" spans="1:13" x14ac:dyDescent="0.25">
      <c r="A2" s="48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48" t="s">
        <v>10</v>
      </c>
      <c r="H2" s="2"/>
      <c r="M2" s="1"/>
    </row>
    <row r="3" spans="1:13" x14ac:dyDescent="0.25">
      <c r="A3" s="48"/>
      <c r="B3" s="3" t="s">
        <v>2</v>
      </c>
      <c r="C3" s="3" t="s">
        <v>4</v>
      </c>
      <c r="D3" s="3" t="s">
        <v>6</v>
      </c>
      <c r="E3" s="3" t="s">
        <v>6</v>
      </c>
      <c r="F3" s="3" t="s">
        <v>9</v>
      </c>
      <c r="G3" s="48"/>
      <c r="H3" s="2"/>
      <c r="M3" s="1"/>
    </row>
    <row r="4" spans="1:13" x14ac:dyDescent="0.25">
      <c r="A4" s="2" t="s">
        <v>11</v>
      </c>
      <c r="B4" s="4">
        <v>16</v>
      </c>
      <c r="C4" s="4">
        <v>12</v>
      </c>
      <c r="D4" s="4">
        <v>100</v>
      </c>
      <c r="E4" s="4">
        <v>240</v>
      </c>
      <c r="F4" s="4">
        <v>6</v>
      </c>
      <c r="G4" s="3" t="s">
        <v>19</v>
      </c>
      <c r="H4" s="3"/>
      <c r="M4" s="1"/>
    </row>
    <row r="5" spans="1:13" x14ac:dyDescent="0.25">
      <c r="A5" s="2" t="s">
        <v>12</v>
      </c>
      <c r="B5" s="4">
        <v>20</v>
      </c>
      <c r="C5" s="4">
        <v>13</v>
      </c>
      <c r="D5" s="4">
        <v>95</v>
      </c>
      <c r="E5" s="4">
        <v>125</v>
      </c>
      <c r="F5" s="4">
        <v>10</v>
      </c>
      <c r="G5" s="3" t="s">
        <v>20</v>
      </c>
      <c r="H5" s="3"/>
      <c r="M5" s="1"/>
    </row>
    <row r="6" spans="1:13" x14ac:dyDescent="0.25">
      <c r="A6" s="2" t="s">
        <v>13</v>
      </c>
      <c r="B6" s="4">
        <v>35</v>
      </c>
      <c r="C6" s="4">
        <v>19</v>
      </c>
      <c r="D6" s="4">
        <v>50</v>
      </c>
      <c r="E6" s="4">
        <v>260</v>
      </c>
      <c r="F6" s="4">
        <v>10</v>
      </c>
      <c r="G6" s="3" t="s">
        <v>20</v>
      </c>
      <c r="H6" s="3"/>
      <c r="M6" s="1"/>
    </row>
    <row r="7" spans="1:13" x14ac:dyDescent="0.25">
      <c r="A7" s="2" t="s">
        <v>14</v>
      </c>
      <c r="B7" s="4">
        <v>32</v>
      </c>
      <c r="C7" s="4">
        <v>15.5</v>
      </c>
      <c r="D7" s="4">
        <v>140</v>
      </c>
      <c r="E7" s="4">
        <v>260</v>
      </c>
      <c r="F7" s="4">
        <v>10</v>
      </c>
      <c r="G7" s="3" t="s">
        <v>20</v>
      </c>
      <c r="H7" s="3"/>
      <c r="M7" s="1"/>
    </row>
    <row r="8" spans="1:13" x14ac:dyDescent="0.25">
      <c r="A8" s="2" t="s">
        <v>15</v>
      </c>
      <c r="B8" s="4">
        <v>27</v>
      </c>
      <c r="C8" s="4">
        <v>13.8</v>
      </c>
      <c r="D8" s="4">
        <v>75</v>
      </c>
      <c r="E8" s="4">
        <v>265</v>
      </c>
      <c r="F8" s="4">
        <v>6</v>
      </c>
      <c r="G8" s="3" t="s">
        <v>19</v>
      </c>
      <c r="H8" s="3"/>
      <c r="M8" s="1"/>
    </row>
    <row r="9" spans="1:13" x14ac:dyDescent="0.25">
      <c r="A9" s="2" t="s">
        <v>16</v>
      </c>
      <c r="B9" s="4">
        <v>35</v>
      </c>
      <c r="C9" s="4">
        <v>17</v>
      </c>
      <c r="D9" s="4">
        <v>130</v>
      </c>
      <c r="E9" s="4">
        <v>195</v>
      </c>
      <c r="F9" s="4">
        <v>6</v>
      </c>
      <c r="G9" s="3" t="s">
        <v>19</v>
      </c>
      <c r="H9" s="3"/>
      <c r="M9" s="1"/>
    </row>
    <row r="10" spans="1:13" x14ac:dyDescent="0.25">
      <c r="A10" s="2" t="s">
        <v>17</v>
      </c>
      <c r="B10" s="4" t="s">
        <v>18</v>
      </c>
      <c r="C10" s="4" t="s">
        <v>18</v>
      </c>
      <c r="D10" s="4">
        <v>20</v>
      </c>
      <c r="E10" s="4">
        <v>90</v>
      </c>
      <c r="F10" s="4"/>
      <c r="G10" s="4"/>
      <c r="H10" s="4"/>
      <c r="I10" s="4"/>
    </row>
    <row r="11" spans="1:13" x14ac:dyDescent="0.25">
      <c r="A11" s="12" t="s">
        <v>21</v>
      </c>
      <c r="B11" s="4">
        <f>SUM(B4:B9,)</f>
        <v>165</v>
      </c>
      <c r="C11" s="4">
        <f>SUM(C4:C9,)</f>
        <v>90.3</v>
      </c>
      <c r="D11" s="4"/>
      <c r="E11" s="4"/>
      <c r="F11" s="4"/>
      <c r="G11" s="4"/>
      <c r="H11" s="4"/>
      <c r="I11" s="4"/>
    </row>
    <row r="13" spans="1:13" x14ac:dyDescent="0.25">
      <c r="A13" s="20" t="s">
        <v>70</v>
      </c>
      <c r="B13" s="4"/>
      <c r="C13" s="4"/>
      <c r="D13" s="4"/>
      <c r="E13" s="4"/>
      <c r="F13" s="4"/>
      <c r="G13" s="4"/>
      <c r="H13" s="4"/>
    </row>
    <row r="14" spans="1:13" x14ac:dyDescent="0.25">
      <c r="A14" s="48" t="s">
        <v>0</v>
      </c>
      <c r="B14" s="3" t="s">
        <v>1</v>
      </c>
      <c r="C14" s="3" t="s">
        <v>5</v>
      </c>
      <c r="D14" s="3" t="s">
        <v>32</v>
      </c>
      <c r="E14" s="3" t="s">
        <v>7</v>
      </c>
      <c r="F14" s="3" t="s">
        <v>34</v>
      </c>
      <c r="G14" s="13" t="s">
        <v>35</v>
      </c>
      <c r="H14" s="3" t="s">
        <v>36</v>
      </c>
      <c r="J14" s="3" t="s">
        <v>31</v>
      </c>
      <c r="K14" s="4"/>
    </row>
    <row r="15" spans="1:13" x14ac:dyDescent="0.25">
      <c r="A15" s="48"/>
      <c r="B15" s="3" t="s">
        <v>2</v>
      </c>
      <c r="C15" s="3" t="s">
        <v>6</v>
      </c>
      <c r="D15" s="3" t="s">
        <v>33</v>
      </c>
      <c r="E15" s="3" t="s">
        <v>6</v>
      </c>
      <c r="F15" s="3" t="s">
        <v>33</v>
      </c>
      <c r="G15" s="3" t="s">
        <v>6</v>
      </c>
      <c r="H15" s="3" t="s">
        <v>33</v>
      </c>
      <c r="J15" s="4" t="s">
        <v>37</v>
      </c>
      <c r="K15" s="4" t="s">
        <v>38</v>
      </c>
    </row>
    <row r="16" spans="1:13" x14ac:dyDescent="0.25">
      <c r="A16" s="2" t="s">
        <v>11</v>
      </c>
      <c r="B16" s="4">
        <v>16</v>
      </c>
      <c r="C16" s="4">
        <v>100</v>
      </c>
      <c r="D16" s="4">
        <f>PRODUCT(B16:C16)</f>
        <v>1600</v>
      </c>
      <c r="E16" s="4">
        <v>240</v>
      </c>
      <c r="F16" s="4">
        <f>PRODUCT(B16,E16)</f>
        <v>3840</v>
      </c>
      <c r="G16" s="14">
        <f t="shared" ref="G16:G21" si="0">SQRT(($J$16-C16)^2+($K$16-E16)^2)</f>
        <v>11.334508122550599</v>
      </c>
      <c r="H16" s="14">
        <f>PRODUCT(B16,G16)</f>
        <v>181.35212996080958</v>
      </c>
      <c r="J16" s="14">
        <f>D22/B22</f>
        <v>98.818181818181813</v>
      </c>
      <c r="K16" s="14">
        <f>F22/B22</f>
        <v>228.72727272727272</v>
      </c>
    </row>
    <row r="17" spans="1:12" x14ac:dyDescent="0.25">
      <c r="A17" s="2" t="s">
        <v>12</v>
      </c>
      <c r="B17" s="4">
        <v>20</v>
      </c>
      <c r="C17" s="4">
        <v>95</v>
      </c>
      <c r="D17" s="4">
        <f>PRODUCT(B17,C17)</f>
        <v>1900</v>
      </c>
      <c r="E17" s="4">
        <v>125</v>
      </c>
      <c r="F17" s="4">
        <f t="shared" ref="F17:F21" si="1">PRODUCT(B17,E17)</f>
        <v>2500</v>
      </c>
      <c r="G17" s="14">
        <f t="shared" si="0"/>
        <v>103.79752222396597</v>
      </c>
      <c r="H17" s="14">
        <f t="shared" ref="H17:H21" si="2">PRODUCT(B17,G17)</f>
        <v>2075.9504444793192</v>
      </c>
    </row>
    <row r="18" spans="1:12" x14ac:dyDescent="0.25">
      <c r="A18" s="2" t="s">
        <v>13</v>
      </c>
      <c r="B18" s="4">
        <v>35</v>
      </c>
      <c r="C18" s="4">
        <v>50</v>
      </c>
      <c r="D18" s="4">
        <f>PRODUCT(B18,C18)</f>
        <v>1750</v>
      </c>
      <c r="E18" s="4">
        <v>260</v>
      </c>
      <c r="F18" s="4">
        <f t="shared" si="1"/>
        <v>9100</v>
      </c>
      <c r="G18" s="14">
        <f t="shared" si="0"/>
        <v>57.975842789108619</v>
      </c>
      <c r="H18" s="14">
        <f t="shared" si="2"/>
        <v>2029.1544976188015</v>
      </c>
      <c r="J18" s="5" t="s">
        <v>39</v>
      </c>
      <c r="K18" s="5" t="s">
        <v>40</v>
      </c>
    </row>
    <row r="19" spans="1:12" x14ac:dyDescent="0.25">
      <c r="A19" s="2" t="s">
        <v>14</v>
      </c>
      <c r="B19" s="4">
        <v>32</v>
      </c>
      <c r="C19" s="4">
        <v>140</v>
      </c>
      <c r="D19" s="4">
        <f>PRODUCT(B19,C19)</f>
        <v>4480</v>
      </c>
      <c r="E19" s="4">
        <v>260</v>
      </c>
      <c r="F19" s="4">
        <f t="shared" si="1"/>
        <v>8320</v>
      </c>
      <c r="G19" s="14">
        <f t="shared" si="0"/>
        <v>51.710014695750296</v>
      </c>
      <c r="H19" s="14">
        <f t="shared" si="2"/>
        <v>1654.7204702640095</v>
      </c>
      <c r="J19" s="15">
        <f>H22/B22</f>
        <v>52.851280464284486</v>
      </c>
      <c r="K19">
        <f>SQRT((D10-J16)^2+(K16-E10)^2)</f>
        <v>159.55426031125296</v>
      </c>
      <c r="L19">
        <f>K19/J19</f>
        <v>3.0189289438138696</v>
      </c>
    </row>
    <row r="20" spans="1:12" x14ac:dyDescent="0.25">
      <c r="A20" s="2" t="s">
        <v>15</v>
      </c>
      <c r="B20" s="4">
        <v>27</v>
      </c>
      <c r="C20" s="4">
        <v>75</v>
      </c>
      <c r="D20" s="4">
        <f>PRODUCT(B20:C20)</f>
        <v>2025</v>
      </c>
      <c r="E20" s="4">
        <v>265</v>
      </c>
      <c r="F20" s="4">
        <f t="shared" si="1"/>
        <v>7155</v>
      </c>
      <c r="G20" s="14">
        <f t="shared" si="0"/>
        <v>43.393738360800633</v>
      </c>
      <c r="H20" s="14">
        <f t="shared" si="2"/>
        <v>1171.6309357416171</v>
      </c>
    </row>
    <row r="21" spans="1:12" x14ac:dyDescent="0.25">
      <c r="A21" s="2" t="s">
        <v>16</v>
      </c>
      <c r="B21" s="4">
        <v>35</v>
      </c>
      <c r="C21" s="4">
        <v>130</v>
      </c>
      <c r="D21" s="4">
        <f>PRODUCT(B21:C21)</f>
        <v>4550</v>
      </c>
      <c r="E21" s="4">
        <v>195</v>
      </c>
      <c r="F21" s="4">
        <f t="shared" si="1"/>
        <v>6825</v>
      </c>
      <c r="G21" s="14">
        <f t="shared" si="0"/>
        <v>45.932937101210946</v>
      </c>
      <c r="H21" s="14">
        <f t="shared" si="2"/>
        <v>1607.6527985423832</v>
      </c>
    </row>
    <row r="22" spans="1:12" x14ac:dyDescent="0.25">
      <c r="A22" s="12" t="s">
        <v>21</v>
      </c>
      <c r="B22" s="4">
        <f>SUM(B15:B21,)</f>
        <v>165</v>
      </c>
      <c r="C22" s="4"/>
      <c r="D22" s="4">
        <f>SUM(D16:D21)</f>
        <v>16305</v>
      </c>
      <c r="E22" s="4"/>
      <c r="F22" s="4">
        <f>SUM(F16:F21)</f>
        <v>37740</v>
      </c>
      <c r="G22" s="4"/>
      <c r="H22" s="14">
        <f>SUM(H16:H21)</f>
        <v>8720.4612766069404</v>
      </c>
    </row>
    <row r="25" spans="1:12" x14ac:dyDescent="0.25">
      <c r="A25" s="2" t="s">
        <v>23</v>
      </c>
      <c r="B25" s="2" t="s">
        <v>24</v>
      </c>
      <c r="C25" s="12" t="s">
        <v>21</v>
      </c>
      <c r="D25" s="3" t="s">
        <v>22</v>
      </c>
    </row>
    <row r="26" spans="1:12" x14ac:dyDescent="0.25">
      <c r="A26" s="2">
        <f>POWER(B11,2)</f>
        <v>27225</v>
      </c>
      <c r="B26" s="3">
        <f>POWER(C11,2)</f>
        <v>8154.0899999999992</v>
      </c>
      <c r="C26" s="3">
        <f>SUM(A26:B26)</f>
        <v>35379.089999999997</v>
      </c>
      <c r="D26" s="3">
        <f>SQRT(C26)</f>
        <v>188.09330131612873</v>
      </c>
    </row>
    <row r="27" spans="1:12" x14ac:dyDescent="0.25">
      <c r="A27" s="3"/>
      <c r="B27" s="3"/>
      <c r="C27" s="3"/>
      <c r="D27" s="3"/>
    </row>
    <row r="28" spans="1:12" x14ac:dyDescent="0.25">
      <c r="A28" s="12" t="s">
        <v>25</v>
      </c>
      <c r="B28" s="3" t="s">
        <v>26</v>
      </c>
      <c r="C28" s="3" t="s">
        <v>27</v>
      </c>
      <c r="D28" s="3" t="s">
        <v>27</v>
      </c>
    </row>
    <row r="29" spans="1:12" x14ac:dyDescent="0.25">
      <c r="A29" s="3">
        <f>PRODUCT(0.05,D26)</f>
        <v>9.4046650658064372</v>
      </c>
      <c r="B29" s="3">
        <f>PRODUCT(0.15,D26)</f>
        <v>28.213995197419308</v>
      </c>
      <c r="C29" s="3">
        <v>0.95</v>
      </c>
      <c r="D29" s="3">
        <v>0.98</v>
      </c>
    </row>
    <row r="30" spans="1:12" x14ac:dyDescent="0.25">
      <c r="A30" s="3"/>
      <c r="B30" s="3"/>
      <c r="C30" s="3"/>
      <c r="D30" s="3"/>
    </row>
    <row r="31" spans="1:12" x14ac:dyDescent="0.25">
      <c r="A31" s="3" t="s">
        <v>28</v>
      </c>
      <c r="B31" s="3" t="s">
        <v>29</v>
      </c>
      <c r="C31" s="3" t="s">
        <v>30</v>
      </c>
      <c r="D31" s="3"/>
    </row>
    <row r="32" spans="1:12" x14ac:dyDescent="0.25">
      <c r="A32" s="3">
        <f>PRODUCT(C29,B11)+A29</f>
        <v>166.15466506580643</v>
      </c>
      <c r="B32" s="3">
        <f>PRODUCT(D29,C11)+B29</f>
        <v>116.70799519741931</v>
      </c>
      <c r="C32" s="3">
        <f>SUM(A32:B32)</f>
        <v>282.86266026322573</v>
      </c>
      <c r="D32" s="3"/>
    </row>
    <row r="38" spans="2:2" x14ac:dyDescent="0.25">
      <c r="B38" t="s">
        <v>72</v>
      </c>
    </row>
  </sheetData>
  <mergeCells count="3">
    <mergeCell ref="A2:A3"/>
    <mergeCell ref="G2:G3"/>
    <mergeCell ref="A14:A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8"/>
  <sheetViews>
    <sheetView topLeftCell="A2" zoomScale="70" zoomScaleNormal="70" workbookViewId="0">
      <selection activeCell="P18" sqref="P18"/>
    </sheetView>
  </sheetViews>
  <sheetFormatPr defaultRowHeight="15" x14ac:dyDescent="0.25"/>
  <sheetData>
    <row r="1" spans="2:23" x14ac:dyDescent="0.25">
      <c r="L1" t="s">
        <v>44</v>
      </c>
      <c r="M1" t="s">
        <v>7</v>
      </c>
    </row>
    <row r="2" spans="2:23" x14ac:dyDescent="0.25">
      <c r="K2" t="str">
        <f>'Табл1-1  1-2'!A4</f>
        <v>А</v>
      </c>
      <c r="L2" s="4">
        <v>100</v>
      </c>
      <c r="M2" s="4">
        <f>'Табл1-1  1-2'!E16</f>
        <v>240</v>
      </c>
    </row>
    <row r="3" spans="2:23" x14ac:dyDescent="0.25">
      <c r="K3" t="str">
        <f>'Табл1-1  1-2'!A5</f>
        <v>Б</v>
      </c>
      <c r="L3" s="4">
        <v>95</v>
      </c>
      <c r="M3" s="4">
        <f>'Табл1-1  1-2'!E17</f>
        <v>125</v>
      </c>
    </row>
    <row r="4" spans="2:23" x14ac:dyDescent="0.25">
      <c r="G4" s="6" t="s">
        <v>43</v>
      </c>
      <c r="H4" s="7" t="s">
        <v>42</v>
      </c>
      <c r="I4" t="s">
        <v>45</v>
      </c>
      <c r="K4" t="str">
        <f>'Табл1-1  1-2'!A6</f>
        <v>В</v>
      </c>
      <c r="L4" s="4">
        <v>50</v>
      </c>
      <c r="M4" s="4">
        <f>'Табл1-1  1-2'!E18</f>
        <v>260</v>
      </c>
      <c r="U4" s="1" t="str">
        <f>G4</f>
        <v>Ділянка</v>
      </c>
      <c r="V4" s="7" t="str">
        <f t="shared" ref="V4:W4" si="0">H4</f>
        <v>l, км</v>
      </c>
      <c r="W4" t="str">
        <f t="shared" si="0"/>
        <v>mm</v>
      </c>
    </row>
    <row r="5" spans="2:23" x14ac:dyDescent="0.25">
      <c r="G5" s="1" t="s">
        <v>73</v>
      </c>
      <c r="H5" s="1">
        <f>ROUND(1.1*I5/10*2,1)</f>
        <v>11.8</v>
      </c>
      <c r="I5">
        <f>SQRT(($L$2-L4)^2+($M$2-M4)^2)</f>
        <v>53.851648071345039</v>
      </c>
      <c r="K5" t="str">
        <f>'Табл1-1  1-2'!A7</f>
        <v>Г</v>
      </c>
      <c r="L5" s="4">
        <v>140</v>
      </c>
      <c r="M5" s="4">
        <f>'Табл1-1  1-2'!E19</f>
        <v>260</v>
      </c>
      <c r="U5" s="1" t="s">
        <v>47</v>
      </c>
      <c r="V5" s="1">
        <f>ROUND(1.1*W5/10*2,1)</f>
        <v>6.4</v>
      </c>
      <c r="W5" s="15">
        <f>SQRT(($L$2-L10)^2+($M$2-M10)^2)</f>
        <v>29.154759474226502</v>
      </c>
    </row>
    <row r="6" spans="2:23" x14ac:dyDescent="0.25">
      <c r="G6" s="1" t="s">
        <v>68</v>
      </c>
      <c r="H6" s="1">
        <f>ROUND(1.1*I6/10*2,1)</f>
        <v>7.8</v>
      </c>
      <c r="I6">
        <f>SQRT(($L$2-L6)^2+($M$2-M6)^2)</f>
        <v>35.355339059327378</v>
      </c>
      <c r="K6" t="str">
        <f>'Табл1-1  1-2'!A8</f>
        <v>Д</v>
      </c>
      <c r="L6" s="4">
        <v>75</v>
      </c>
      <c r="M6" s="4">
        <f>'Табл1-1  1-2'!E20</f>
        <v>265</v>
      </c>
      <c r="U6" s="1" t="s">
        <v>75</v>
      </c>
      <c r="V6" s="1">
        <f t="shared" ref="V6:V7" si="1">ROUND(1.1*W6/10*2,1)</f>
        <v>5.6</v>
      </c>
      <c r="W6" s="15">
        <f>SQRT(($L$10-L4)^2+($M$10-M4)^2)</f>
        <v>25.495097567963924</v>
      </c>
    </row>
    <row r="7" spans="2:23" x14ac:dyDescent="0.25">
      <c r="G7" s="1" t="s">
        <v>74</v>
      </c>
      <c r="H7" s="1">
        <f>ROUND(1.1*I7/10*2,1)</f>
        <v>5.6</v>
      </c>
      <c r="I7">
        <f>SQRT(($L$4-L6)^2+($M$4-M6)^2)</f>
        <v>25.495097567963924</v>
      </c>
      <c r="K7" t="str">
        <f>'Табл1-1  1-2'!A9</f>
        <v>Е</v>
      </c>
      <c r="L7" s="4">
        <v>130</v>
      </c>
      <c r="M7" s="4">
        <f>'Табл1-1  1-2'!E21</f>
        <v>195</v>
      </c>
      <c r="U7" s="1" t="s">
        <v>76</v>
      </c>
      <c r="V7" s="1">
        <f t="shared" si="1"/>
        <v>2.2000000000000002</v>
      </c>
      <c r="W7" s="15">
        <f>SQRT(($L$10-L6)^2+($M$10-M6)^2)</f>
        <v>10</v>
      </c>
    </row>
    <row r="8" spans="2:23" x14ac:dyDescent="0.25">
      <c r="L8">
        <f>'Табл1-1  1-2'!D10</f>
        <v>20</v>
      </c>
      <c r="M8">
        <f>'Табл1-1  1-2'!E10</f>
        <v>90</v>
      </c>
      <c r="V8">
        <f>SUM(V5:V7)</f>
        <v>14.2</v>
      </c>
    </row>
    <row r="9" spans="2:23" x14ac:dyDescent="0.25">
      <c r="K9">
        <v>1</v>
      </c>
      <c r="L9">
        <v>70</v>
      </c>
      <c r="M9">
        <v>252</v>
      </c>
    </row>
    <row r="10" spans="2:23" x14ac:dyDescent="0.25">
      <c r="K10">
        <v>2</v>
      </c>
      <c r="L10">
        <v>75</v>
      </c>
      <c r="M10">
        <v>255</v>
      </c>
    </row>
    <row r="12" spans="2:23" x14ac:dyDescent="0.25">
      <c r="B12" t="s">
        <v>11</v>
      </c>
      <c r="O12" t="s">
        <v>14</v>
      </c>
    </row>
    <row r="16" spans="2:23" x14ac:dyDescent="0.25">
      <c r="G16">
        <v>2</v>
      </c>
    </row>
    <row r="17" spans="2:17" x14ac:dyDescent="0.25">
      <c r="G17" s="1" t="str">
        <f>G4</f>
        <v>Ділянка</v>
      </c>
      <c r="H17" s="7" t="str">
        <f>H4</f>
        <v>l, км</v>
      </c>
      <c r="O17" s="1" t="str">
        <f>G4</f>
        <v>Ділянка</v>
      </c>
      <c r="P17" s="7" t="str">
        <f t="shared" ref="P17:Q17" si="2">H4</f>
        <v>l, км</v>
      </c>
      <c r="Q17" t="str">
        <f t="shared" si="2"/>
        <v>mm</v>
      </c>
    </row>
    <row r="18" spans="2:17" x14ac:dyDescent="0.25">
      <c r="G18" s="1" t="str">
        <f>G5</f>
        <v>ВП-В</v>
      </c>
      <c r="H18" s="1">
        <f>H5</f>
        <v>11.8</v>
      </c>
      <c r="O18" s="1" t="s">
        <v>46</v>
      </c>
      <c r="P18" s="1">
        <f>ROUND(1.1*Q18/10*2,1)</f>
        <v>7.1</v>
      </c>
      <c r="Q18" s="15">
        <f>SQRT(($L$2-L9)^2+($M$2-M9)^2)</f>
        <v>32.310988842807021</v>
      </c>
    </row>
    <row r="19" spans="2:17" x14ac:dyDescent="0.25">
      <c r="G19" s="1" t="str">
        <f t="shared" ref="G19:H19" si="3">G6</f>
        <v>ВП-Д</v>
      </c>
      <c r="H19" s="1">
        <f t="shared" si="3"/>
        <v>7.8</v>
      </c>
      <c r="O19" s="1" t="s">
        <v>77</v>
      </c>
      <c r="P19" s="1">
        <f>ROUND(1.1*Q19/10*2,1)</f>
        <v>4.7</v>
      </c>
      <c r="Q19" s="15">
        <f>SQRT(($L$9-L4)^2+($M$9-M4)^2)</f>
        <v>21.540659228538015</v>
      </c>
    </row>
    <row r="20" spans="2:17" x14ac:dyDescent="0.25">
      <c r="O20" s="1" t="s">
        <v>78</v>
      </c>
      <c r="P20" s="1">
        <f>ROUND(1.1*Q20/10*2,1)</f>
        <v>3.1</v>
      </c>
      <c r="Q20" s="15">
        <f>SQRT(($L$9-L6)^2+($M$9-M6)^2)</f>
        <v>13.928388277184119</v>
      </c>
    </row>
    <row r="21" spans="2:17" x14ac:dyDescent="0.25">
      <c r="O21" s="1" t="s">
        <v>73</v>
      </c>
      <c r="P21" s="1">
        <f>P19+P18</f>
        <v>11.8</v>
      </c>
      <c r="Q21" s="16">
        <f>Q19+Q18</f>
        <v>53.851648071345039</v>
      </c>
    </row>
    <row r="25" spans="2:17" x14ac:dyDescent="0.25">
      <c r="J25" t="s">
        <v>13</v>
      </c>
    </row>
    <row r="26" spans="2:17" x14ac:dyDescent="0.25">
      <c r="B26" t="s">
        <v>12</v>
      </c>
    </row>
    <row r="28" spans="2:17" x14ac:dyDescent="0.25">
      <c r="G28" s="1" t="str">
        <f>G17</f>
        <v>Ділянка</v>
      </c>
      <c r="H28" s="7" t="str">
        <f>H17</f>
        <v>l, км</v>
      </c>
    </row>
    <row r="29" spans="2:17" x14ac:dyDescent="0.25">
      <c r="G29" s="1" t="str">
        <f>G7</f>
        <v>В-Д</v>
      </c>
      <c r="H29" s="1">
        <f>H7</f>
        <v>5.6</v>
      </c>
    </row>
    <row r="30" spans="2:17" x14ac:dyDescent="0.25">
      <c r="G30" s="1" t="str">
        <f>G19</f>
        <v>ВП-Д</v>
      </c>
      <c r="H30" s="1">
        <f>H19</f>
        <v>7.8</v>
      </c>
    </row>
    <row r="38" spans="2:2" x14ac:dyDescent="0.25">
      <c r="B38" t="s">
        <v>15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400050</xdr:colOff>
                <xdr:row>2</xdr:row>
                <xdr:rowOff>85725</xdr:rowOff>
              </from>
              <to>
                <xdr:col>5</xdr:col>
                <xdr:colOff>342900</xdr:colOff>
                <xdr:row>10</xdr:row>
                <xdr:rowOff>9525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30" r:id="rId6">
          <objectPr defaultSize="0" r:id="rId7">
            <anchor moveWithCells="1">
              <from>
                <xdr:col>14</xdr:col>
                <xdr:colOff>314325</xdr:colOff>
                <xdr:row>2</xdr:row>
                <xdr:rowOff>0</xdr:rowOff>
              </from>
              <to>
                <xdr:col>19</xdr:col>
                <xdr:colOff>95250</xdr:colOff>
                <xdr:row>10</xdr:row>
                <xdr:rowOff>104775</xdr:rowOff>
              </to>
            </anchor>
          </objectPr>
        </oleObject>
      </mc:Choice>
      <mc:Fallback>
        <oleObject progId="Visio.Drawing.15" shapeId="1030" r:id="rId6"/>
      </mc:Fallback>
    </mc:AlternateContent>
    <mc:AlternateContent xmlns:mc="http://schemas.openxmlformats.org/markup-compatibility/2006">
      <mc:Choice Requires="x14">
        <oleObject progId="Visio.Drawing.15" shapeId="1032" r:id="rId8">
          <objectPr defaultSize="0" r:id="rId9">
            <anchor moveWithCells="1">
              <from>
                <xdr:col>9</xdr:col>
                <xdr:colOff>0</xdr:colOff>
                <xdr:row>15</xdr:row>
                <xdr:rowOff>0</xdr:rowOff>
              </from>
              <to>
                <xdr:col>13</xdr:col>
                <xdr:colOff>428625</xdr:colOff>
                <xdr:row>23</xdr:row>
                <xdr:rowOff>104775</xdr:rowOff>
              </to>
            </anchor>
          </objectPr>
        </oleObject>
      </mc:Choice>
      <mc:Fallback>
        <oleObject progId="Visio.Drawing.15" shapeId="1032" r:id="rId8"/>
      </mc:Fallback>
    </mc:AlternateContent>
    <mc:AlternateContent xmlns:mc="http://schemas.openxmlformats.org/markup-compatibility/2006">
      <mc:Choice Requires="x14">
        <oleObject progId="Visio.Drawing.15" shapeId="1033" r:id="rId10">
          <objectPr defaultSize="0" r:id="rId11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5</xdr:col>
                <xdr:colOff>561975</xdr:colOff>
                <xdr:row>24</xdr:row>
                <xdr:rowOff>123825</xdr:rowOff>
              </to>
            </anchor>
          </objectPr>
        </oleObject>
      </mc:Choice>
      <mc:Fallback>
        <oleObject progId="Visio.Drawing.15" shapeId="1033" r:id="rId10"/>
      </mc:Fallback>
    </mc:AlternateContent>
    <mc:AlternateContent xmlns:mc="http://schemas.openxmlformats.org/markup-compatibility/2006">
      <mc:Choice Requires="x14">
        <oleObject progId="Visio.Drawing.15" shapeId="1035" r:id="rId12">
          <objectPr defaultSize="0" r:id="rId13">
            <anchor moveWithCells="1">
              <from>
                <xdr:col>0</xdr:col>
                <xdr:colOff>400050</xdr:colOff>
                <xdr:row>27</xdr:row>
                <xdr:rowOff>66675</xdr:rowOff>
              </from>
              <to>
                <xdr:col>5</xdr:col>
                <xdr:colOff>523875</xdr:colOff>
                <xdr:row>35</xdr:row>
                <xdr:rowOff>123825</xdr:rowOff>
              </to>
            </anchor>
          </objectPr>
        </oleObject>
      </mc:Choice>
      <mc:Fallback>
        <oleObject progId="Visio.Drawing.15" shapeId="1035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Z32"/>
  <sheetViews>
    <sheetView topLeftCell="B2" zoomScale="85" zoomScaleNormal="85" workbookViewId="0">
      <selection activeCell="G5" sqref="G5"/>
    </sheetView>
  </sheetViews>
  <sheetFormatPr defaultRowHeight="15" x14ac:dyDescent="0.25"/>
  <cols>
    <col min="10" max="10" width="10.28515625" bestFit="1" customWidth="1"/>
  </cols>
  <sheetData>
    <row r="3" spans="2:21" x14ac:dyDescent="0.25">
      <c r="K3" s="3" t="s">
        <v>5</v>
      </c>
      <c r="L3" s="3" t="s">
        <v>7</v>
      </c>
    </row>
    <row r="4" spans="2:21" x14ac:dyDescent="0.25">
      <c r="F4" t="s">
        <v>43</v>
      </c>
      <c r="G4" t="s">
        <v>42</v>
      </c>
      <c r="H4" t="s">
        <v>45</v>
      </c>
      <c r="K4" s="3" t="s">
        <v>6</v>
      </c>
      <c r="L4" s="3" t="s">
        <v>6</v>
      </c>
      <c r="S4" t="str">
        <f>F4</f>
        <v>Ділянка</v>
      </c>
      <c r="T4" t="str">
        <f>G4</f>
        <v>l, км</v>
      </c>
      <c r="U4" t="str">
        <f>H4</f>
        <v>mm</v>
      </c>
    </row>
    <row r="5" spans="2:21" x14ac:dyDescent="0.25">
      <c r="F5" t="s">
        <v>79</v>
      </c>
      <c r="G5">
        <f>ROUND(1.1*H5/10*2,1)</f>
        <v>9.8000000000000007</v>
      </c>
      <c r="H5">
        <f>SQRT(($K$8-K5)^2+($L$8-L5)^2)</f>
        <v>44.721359549995796</v>
      </c>
      <c r="J5" s="11" t="s">
        <v>11</v>
      </c>
      <c r="K5" s="4">
        <v>100</v>
      </c>
      <c r="L5" s="4">
        <v>240</v>
      </c>
      <c r="S5" t="str">
        <f>F5</f>
        <v>ВП-Г</v>
      </c>
      <c r="T5">
        <f>G5</f>
        <v>9.8000000000000007</v>
      </c>
      <c r="U5">
        <f t="shared" ref="T5:U6" si="0">H5</f>
        <v>44.721359549995796</v>
      </c>
    </row>
    <row r="6" spans="2:21" x14ac:dyDescent="0.25">
      <c r="F6" t="s">
        <v>80</v>
      </c>
      <c r="G6">
        <f t="shared" ref="G6:G7" si="1">ROUND(1.1*H6/10*2,1)</f>
        <v>11.9</v>
      </c>
      <c r="H6">
        <f>SQRT(($K$10-K5)^2+($L$10-L5)^2)</f>
        <v>54.083269131959838</v>
      </c>
      <c r="J6" s="11" t="s">
        <v>12</v>
      </c>
      <c r="K6" s="4">
        <v>95</v>
      </c>
      <c r="L6" s="4">
        <v>125</v>
      </c>
      <c r="S6" t="str">
        <f>F6</f>
        <v>ВП-Е</v>
      </c>
      <c r="T6">
        <f t="shared" si="0"/>
        <v>11.9</v>
      </c>
      <c r="U6">
        <f t="shared" si="0"/>
        <v>54.083269131959838</v>
      </c>
    </row>
    <row r="7" spans="2:21" x14ac:dyDescent="0.25">
      <c r="F7" t="s">
        <v>81</v>
      </c>
      <c r="G7">
        <f t="shared" si="1"/>
        <v>14.5</v>
      </c>
      <c r="H7">
        <f>SQRT(($K$10-K8)^2+($L$10-L8)^2)</f>
        <v>65.76473218982953</v>
      </c>
      <c r="J7" s="11" t="s">
        <v>13</v>
      </c>
      <c r="K7" s="4">
        <v>50</v>
      </c>
      <c r="L7" s="4">
        <v>260</v>
      </c>
    </row>
    <row r="8" spans="2:21" x14ac:dyDescent="0.25">
      <c r="J8" s="11" t="s">
        <v>14</v>
      </c>
      <c r="K8" s="4">
        <v>140</v>
      </c>
      <c r="L8" s="4">
        <v>260</v>
      </c>
    </row>
    <row r="9" spans="2:21" x14ac:dyDescent="0.25">
      <c r="J9" s="11" t="s">
        <v>15</v>
      </c>
      <c r="K9" s="4">
        <v>75</v>
      </c>
      <c r="L9" s="4">
        <v>265</v>
      </c>
    </row>
    <row r="10" spans="2:21" x14ac:dyDescent="0.25">
      <c r="J10" s="11" t="s">
        <v>16</v>
      </c>
      <c r="K10" s="4">
        <v>130</v>
      </c>
      <c r="L10" s="4">
        <v>195</v>
      </c>
    </row>
    <row r="11" spans="2:21" x14ac:dyDescent="0.25">
      <c r="K11" s="4">
        <v>20</v>
      </c>
      <c r="L11" s="4">
        <v>90</v>
      </c>
    </row>
    <row r="12" spans="2:21" x14ac:dyDescent="0.25">
      <c r="J12">
        <v>1</v>
      </c>
      <c r="K12" s="4">
        <v>103</v>
      </c>
      <c r="L12" s="4">
        <v>235</v>
      </c>
    </row>
    <row r="13" spans="2:21" x14ac:dyDescent="0.25">
      <c r="J13">
        <v>2</v>
      </c>
      <c r="K13" s="4">
        <v>123</v>
      </c>
      <c r="L13" s="4">
        <v>232</v>
      </c>
    </row>
    <row r="16" spans="2:21" x14ac:dyDescent="0.25">
      <c r="B16" t="s">
        <v>11</v>
      </c>
    </row>
    <row r="17" spans="2:26" x14ac:dyDescent="0.25">
      <c r="N17" t="s">
        <v>12</v>
      </c>
    </row>
    <row r="22" spans="2:26" x14ac:dyDescent="0.25">
      <c r="F22" t="str">
        <f>F4</f>
        <v>Ділянка</v>
      </c>
      <c r="G22" t="str">
        <f>G4</f>
        <v>l, км</v>
      </c>
      <c r="H22" t="str">
        <f>H4</f>
        <v>mm</v>
      </c>
      <c r="O22" t="str">
        <f>F22</f>
        <v>Ділянка</v>
      </c>
      <c r="P22" t="str">
        <f t="shared" ref="P22:Q22" si="2">G22</f>
        <v>l, км</v>
      </c>
      <c r="Q22" t="str">
        <f t="shared" si="2"/>
        <v>mm</v>
      </c>
      <c r="X22" t="str">
        <f>O22</f>
        <v>Ділянка</v>
      </c>
      <c r="Y22" t="str">
        <f t="shared" ref="Y22:Z22" si="3">P22</f>
        <v>l, км</v>
      </c>
      <c r="Z22" t="str">
        <f t="shared" si="3"/>
        <v>mm</v>
      </c>
    </row>
    <row r="23" spans="2:26" x14ac:dyDescent="0.25">
      <c r="F23" t="str">
        <f t="shared" ref="F23:H25" si="4">F5</f>
        <v>ВП-Г</v>
      </c>
      <c r="G23">
        <f t="shared" si="4"/>
        <v>9.8000000000000007</v>
      </c>
      <c r="H23">
        <f t="shared" si="4"/>
        <v>44.721359549995796</v>
      </c>
      <c r="O23" t="str">
        <f>F6</f>
        <v>ВП-Е</v>
      </c>
      <c r="P23">
        <f>G6</f>
        <v>11.9</v>
      </c>
      <c r="Q23">
        <f>H6</f>
        <v>54.083269131959838</v>
      </c>
      <c r="X23" t="s">
        <v>47</v>
      </c>
      <c r="Y23">
        <f>ROUND(1.1*Z23/10*2,1)</f>
        <v>5.4</v>
      </c>
      <c r="Z23">
        <f>SQRT(($K$5-K13)^2+($L$5-L13)^2)</f>
        <v>24.351591323771842</v>
      </c>
    </row>
    <row r="24" spans="2:26" x14ac:dyDescent="0.25">
      <c r="O24" t="s">
        <v>82</v>
      </c>
      <c r="P24">
        <f>ROUND(1.1*Q24/10*2,1)</f>
        <v>9.8000000000000007</v>
      </c>
      <c r="Q24">
        <f>SQRT(($K$8-K12)^2+($L$8-L12)^2)</f>
        <v>44.654227123532216</v>
      </c>
      <c r="X24" t="s">
        <v>83</v>
      </c>
      <c r="Y24">
        <f>ROUND(1.1*Z24/10*2,1)</f>
        <v>7.2</v>
      </c>
      <c r="Z24">
        <f>SQRT(($K$8-K13)^2+($L$8-L13)^2)</f>
        <v>32.756678708318397</v>
      </c>
    </row>
    <row r="25" spans="2:26" x14ac:dyDescent="0.25">
      <c r="F25" t="str">
        <f t="shared" si="4"/>
        <v>Е-Г</v>
      </c>
      <c r="G25">
        <f t="shared" si="4"/>
        <v>14.5</v>
      </c>
      <c r="H25">
        <f t="shared" si="4"/>
        <v>65.76473218982953</v>
      </c>
      <c r="O25" t="s">
        <v>46</v>
      </c>
      <c r="P25">
        <f>ROUND(1.1*Q25/10*2,1)</f>
        <v>1.3</v>
      </c>
      <c r="Q25">
        <f>SQRT(($K$5-K12)^2+($L$5-L12)^2)</f>
        <v>5.8309518948453007</v>
      </c>
      <c r="X25" t="s">
        <v>84</v>
      </c>
      <c r="Y25">
        <f t="shared" ref="Y25" si="5">ROUND(1.1*Z25/10*2,1)</f>
        <v>8.3000000000000007</v>
      </c>
      <c r="Z25">
        <f>SQRT(($K$10-K13)^2+($L$10-L13)^2)</f>
        <v>37.656340767525464</v>
      </c>
    </row>
    <row r="26" spans="2:26" x14ac:dyDescent="0.25">
      <c r="O26" t="s">
        <v>80</v>
      </c>
      <c r="P26">
        <f>P24+P25</f>
        <v>11.100000000000001</v>
      </c>
    </row>
    <row r="32" spans="2:26" x14ac:dyDescent="0.25">
      <c r="B32" t="s">
        <v>15</v>
      </c>
      <c r="J32" t="s">
        <v>13</v>
      </c>
      <c r="R32" t="s">
        <v>14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1</xdr:col>
                <xdr:colOff>9525</xdr:colOff>
                <xdr:row>3</xdr:row>
                <xdr:rowOff>9525</xdr:rowOff>
              </from>
              <to>
                <xdr:col>4</xdr:col>
                <xdr:colOff>323850</xdr:colOff>
                <xdr:row>14</xdr:row>
                <xdr:rowOff>85725</xdr:rowOff>
              </to>
            </anchor>
          </objectPr>
        </oleObject>
      </mc:Choice>
      <mc:Fallback>
        <oleObject progId="Visio.Drawing.15" shapeId="5121" r:id="rId4"/>
      </mc:Fallback>
    </mc:AlternateContent>
    <mc:AlternateContent xmlns:mc="http://schemas.openxmlformats.org/markup-compatibility/2006">
      <mc:Choice Requires="x14">
        <oleObject progId="Visio.Drawing.15" shapeId="5122" r:id="rId6">
          <objectPr defaultSize="0" autoPict="0" r:id="rId7">
            <anchor moveWithCells="1">
              <from>
                <xdr:col>12</xdr:col>
                <xdr:colOff>600075</xdr:colOff>
                <xdr:row>3</xdr:row>
                <xdr:rowOff>0</xdr:rowOff>
              </from>
              <to>
                <xdr:col>17</xdr:col>
                <xdr:colOff>0</xdr:colOff>
                <xdr:row>15</xdr:row>
                <xdr:rowOff>28575</xdr:rowOff>
              </to>
            </anchor>
          </objectPr>
        </oleObject>
      </mc:Choice>
      <mc:Fallback>
        <oleObject progId="Visio.Drawing.15" shapeId="5122" r:id="rId6"/>
      </mc:Fallback>
    </mc:AlternateContent>
    <mc:AlternateContent xmlns:mc="http://schemas.openxmlformats.org/markup-compatibility/2006">
      <mc:Choice Requires="x14">
        <oleObject progId="Visio.Drawing.15" shapeId="5123" r:id="rId8">
          <objectPr defaultSize="0" autoPict="0" r:id="rId9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4</xdr:col>
                <xdr:colOff>47625</xdr:colOff>
                <xdr:row>29</xdr:row>
                <xdr:rowOff>104775</xdr:rowOff>
              </to>
            </anchor>
          </objectPr>
        </oleObject>
      </mc:Choice>
      <mc:Fallback>
        <oleObject progId="Visio.Drawing.15" shapeId="5123" r:id="rId8"/>
      </mc:Fallback>
    </mc:AlternateContent>
    <mc:AlternateContent xmlns:mc="http://schemas.openxmlformats.org/markup-compatibility/2006">
      <mc:Choice Requires="x14">
        <oleObject progId="Visio.Drawing.15" shapeId="5125" r:id="rId10">
          <objectPr defaultSize="0" autoPict="0" r:id="rId11">
            <anchor moveWithCells="1">
              <from>
                <xdr:col>9</xdr:col>
                <xdr:colOff>142875</xdr:colOff>
                <xdr:row>16</xdr:row>
                <xdr:rowOff>161925</xdr:rowOff>
              </from>
              <to>
                <xdr:col>12</xdr:col>
                <xdr:colOff>438150</xdr:colOff>
                <xdr:row>29</xdr:row>
                <xdr:rowOff>114300</xdr:rowOff>
              </to>
            </anchor>
          </objectPr>
        </oleObject>
      </mc:Choice>
      <mc:Fallback>
        <oleObject progId="Visio.Drawing.15" shapeId="5125" r:id="rId10"/>
      </mc:Fallback>
    </mc:AlternateContent>
    <mc:AlternateContent xmlns:mc="http://schemas.openxmlformats.org/markup-compatibility/2006">
      <mc:Choice Requires="x14">
        <oleObject progId="Visio.Drawing.15" shapeId="5126" r:id="rId12">
          <objectPr defaultSize="0" autoPict="0" r:id="rId13">
            <anchor moveWithCells="1">
              <from>
                <xdr:col>17</xdr:col>
                <xdr:colOff>38100</xdr:colOff>
                <xdr:row>15</xdr:row>
                <xdr:rowOff>142875</xdr:rowOff>
              </from>
              <to>
                <xdr:col>21</xdr:col>
                <xdr:colOff>180975</xdr:colOff>
                <xdr:row>28</xdr:row>
                <xdr:rowOff>114300</xdr:rowOff>
              </to>
            </anchor>
          </objectPr>
        </oleObject>
      </mc:Choice>
      <mc:Fallback>
        <oleObject progId="Visio.Drawing.15" shapeId="5126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3:L12"/>
  <sheetViews>
    <sheetView workbookViewId="0">
      <selection activeCell="H6" sqref="H6"/>
    </sheetView>
  </sheetViews>
  <sheetFormatPr defaultRowHeight="15" x14ac:dyDescent="0.25"/>
  <sheetData>
    <row r="3" spans="7:12" x14ac:dyDescent="0.25">
      <c r="G3" t="str">
        <f>'Вар2. Длинна'!F4</f>
        <v>Ділянка</v>
      </c>
      <c r="H3" t="str">
        <f>'Вар2. Длинна'!G4</f>
        <v>l, км</v>
      </c>
      <c r="I3" t="str">
        <f>'Вар2. Длинна'!H4</f>
        <v>mm</v>
      </c>
      <c r="J3">
        <f>'Вар2. Длинна'!J3</f>
        <v>0</v>
      </c>
      <c r="K3" t="str">
        <f>'Вар2. Длинна'!K3</f>
        <v>Х</v>
      </c>
      <c r="L3" t="str">
        <f>'Вар2. Длинна'!L3</f>
        <v>Y</v>
      </c>
    </row>
    <row r="4" spans="7:12" x14ac:dyDescent="0.25">
      <c r="G4" t="s">
        <v>98</v>
      </c>
      <c r="H4">
        <f>ROUND(1.1*I4/10*2,1)</f>
        <v>14.8</v>
      </c>
      <c r="I4">
        <f>SQRT(($K$11-K12)^2+($L$11-L12)^2)</f>
        <v>67.119296778199342</v>
      </c>
      <c r="J4">
        <f>'Вар2. Длинна'!J4</f>
        <v>0</v>
      </c>
      <c r="K4" t="str">
        <f>'Вар2. Длинна'!K4</f>
        <v>мм</v>
      </c>
      <c r="L4" t="str">
        <f>'Вар2. Длинна'!L4</f>
        <v>мм</v>
      </c>
    </row>
    <row r="5" spans="7:12" x14ac:dyDescent="0.25">
      <c r="G5" t="s">
        <v>97</v>
      </c>
      <c r="H5">
        <f t="shared" ref="H5:H6" si="0">ROUND(1.1*I5/10*2,1)</f>
        <v>22.6</v>
      </c>
      <c r="I5">
        <f>SQRT(($K$12-K5)^2+($L$12-L5)^2)</f>
        <v>102.88342918079665</v>
      </c>
      <c r="J5" t="str">
        <f>'Вар2. Длинна'!J5</f>
        <v>А</v>
      </c>
      <c r="K5">
        <f>'Вар2. Длинна'!K5</f>
        <v>100</v>
      </c>
      <c r="L5">
        <f>'Вар2. Длинна'!L5</f>
        <v>240</v>
      </c>
    </row>
    <row r="6" spans="7:12" x14ac:dyDescent="0.25">
      <c r="G6" t="s">
        <v>93</v>
      </c>
      <c r="H6">
        <f t="shared" si="0"/>
        <v>10.8</v>
      </c>
      <c r="I6">
        <f>SQRT(($K$12-K6)^2+($L$12-L6)^2)</f>
        <v>49.244289008980523</v>
      </c>
      <c r="J6" t="str">
        <f>'Вар2. Длинна'!J6</f>
        <v>Б</v>
      </c>
      <c r="K6">
        <f>'Вар2. Длинна'!K6</f>
        <v>95</v>
      </c>
      <c r="L6">
        <f>'Вар2. Длинна'!L6</f>
        <v>125</v>
      </c>
    </row>
    <row r="7" spans="7:12" x14ac:dyDescent="0.25">
      <c r="J7" t="str">
        <f>'Вар2. Длинна'!J7</f>
        <v>В</v>
      </c>
      <c r="K7">
        <f>'Вар2. Длинна'!K7</f>
        <v>50</v>
      </c>
      <c r="L7">
        <f>'Вар2. Длинна'!L7</f>
        <v>260</v>
      </c>
    </row>
    <row r="8" spans="7:12" x14ac:dyDescent="0.25">
      <c r="J8" t="str">
        <f>'Вар2. Длинна'!J8</f>
        <v>Г</v>
      </c>
      <c r="K8">
        <f>'Вар2. Длинна'!K8</f>
        <v>140</v>
      </c>
      <c r="L8">
        <f>'Вар2. Длинна'!L8</f>
        <v>260</v>
      </c>
    </row>
    <row r="9" spans="7:12" x14ac:dyDescent="0.25">
      <c r="J9" t="str">
        <f>'Вар2. Длинна'!J9</f>
        <v>Д</v>
      </c>
      <c r="K9">
        <f>'Вар2. Длинна'!K9</f>
        <v>75</v>
      </c>
      <c r="L9">
        <f>'Вар2. Длинна'!L9</f>
        <v>265</v>
      </c>
    </row>
    <row r="10" spans="7:12" x14ac:dyDescent="0.25">
      <c r="J10" t="str">
        <f>'Вар2. Длинна'!J10</f>
        <v>Е</v>
      </c>
      <c r="K10">
        <f>'Вар2. Длинна'!K10</f>
        <v>130</v>
      </c>
      <c r="L10">
        <f>'Вар2. Длинна'!L10</f>
        <v>195</v>
      </c>
    </row>
    <row r="11" spans="7:12" x14ac:dyDescent="0.25">
      <c r="K11">
        <f>'Вар2. Длинна'!K11</f>
        <v>20</v>
      </c>
      <c r="L11">
        <f>'Вар2. Длинна'!L11</f>
        <v>90</v>
      </c>
    </row>
    <row r="12" spans="7:12" x14ac:dyDescent="0.25">
      <c r="J12">
        <v>3</v>
      </c>
      <c r="K12">
        <v>52</v>
      </c>
      <c r="L12">
        <v>149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1266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23</xdr:row>
                <xdr:rowOff>161925</xdr:rowOff>
              </to>
            </anchor>
          </objectPr>
        </oleObject>
      </mc:Choice>
      <mc:Fallback>
        <oleObject progId="Visio.Drawing.15" shapeId="11266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M9"/>
  <sheetViews>
    <sheetView topLeftCell="C1" zoomScale="95" zoomScaleNormal="95" workbookViewId="0">
      <selection activeCell="K7" sqref="K7"/>
    </sheetView>
  </sheetViews>
  <sheetFormatPr defaultRowHeight="15" x14ac:dyDescent="0.25"/>
  <cols>
    <col min="12" max="12" width="13.140625" bestFit="1" customWidth="1"/>
  </cols>
  <sheetData>
    <row r="2" spans="3:13" ht="15.75" thickBot="1" x14ac:dyDescent="0.3"/>
    <row r="3" spans="3:13" ht="46.15" customHeight="1" thickBot="1" x14ac:dyDescent="0.3">
      <c r="C3" s="49" t="s">
        <v>48</v>
      </c>
      <c r="D3" s="51" t="s">
        <v>49</v>
      </c>
      <c r="E3" s="52"/>
      <c r="F3" s="52"/>
      <c r="G3" s="52"/>
      <c r="H3" s="53"/>
      <c r="I3" s="51" t="s">
        <v>50</v>
      </c>
      <c r="J3" s="52"/>
      <c r="K3" s="52"/>
      <c r="L3" s="52"/>
      <c r="M3" s="53"/>
    </row>
    <row r="4" spans="3:13" ht="16.5" thickBot="1" x14ac:dyDescent="0.3">
      <c r="C4" s="50"/>
      <c r="D4" s="8" t="s">
        <v>51</v>
      </c>
      <c r="E4" s="8" t="s">
        <v>52</v>
      </c>
      <c r="F4" s="8" t="s">
        <v>53</v>
      </c>
      <c r="G4" s="8" t="s">
        <v>54</v>
      </c>
      <c r="H4" s="8" t="s">
        <v>55</v>
      </c>
      <c r="I4" s="8" t="s">
        <v>51</v>
      </c>
      <c r="J4" s="8" t="s">
        <v>52</v>
      </c>
      <c r="K4" s="8" t="s">
        <v>53</v>
      </c>
      <c r="L4" s="8" t="s">
        <v>54</v>
      </c>
      <c r="M4" s="8" t="s">
        <v>55</v>
      </c>
    </row>
    <row r="5" spans="3:13" ht="21" customHeight="1" thickBot="1" x14ac:dyDescent="0.3">
      <c r="C5" s="9" t="s">
        <v>56</v>
      </c>
      <c r="D5" s="8">
        <v>4</v>
      </c>
      <c r="E5" s="8">
        <v>4</v>
      </c>
      <c r="F5" s="8">
        <v>2</v>
      </c>
      <c r="G5" s="8">
        <v>2</v>
      </c>
      <c r="H5" s="8">
        <v>2</v>
      </c>
      <c r="I5" s="8">
        <f>4</f>
        <v>4</v>
      </c>
      <c r="J5" s="8">
        <v>4</v>
      </c>
      <c r="K5" s="8">
        <v>2</v>
      </c>
      <c r="L5" s="8">
        <v>2</v>
      </c>
      <c r="M5" s="8">
        <v>2</v>
      </c>
    </row>
    <row r="6" spans="3:13" ht="21" customHeight="1" thickBot="1" x14ac:dyDescent="0.3">
      <c r="C6" s="9" t="s">
        <v>57</v>
      </c>
      <c r="D6" s="8">
        <f>'Вар1. Длинна'!H5*1+'Вар1. Длинна'!H6*1+'Вар1. Длинна'!H7*1</f>
        <v>25.200000000000003</v>
      </c>
      <c r="E6" s="8">
        <f>'Вар1. Длинна'!H18*1.6+'Вар1. Длинна'!H19*2</f>
        <v>34.480000000000004</v>
      </c>
      <c r="F6" s="8">
        <f>'Вар1. Длинна'!P18*2+'Вар1. Длинна'!P20*2+'Вар1. Длинна'!P19*1.6</f>
        <v>27.919999999999998</v>
      </c>
      <c r="G6" s="8">
        <f>'Вар1. Длинна'!V5*2+'Вар1. Длинна'!V7*2+'Вар1. Длинна'!V6*1.6</f>
        <v>26.160000000000004</v>
      </c>
      <c r="H6" s="8">
        <f>'Вар1. Длинна'!H30*2+'Вар1. Длинна'!H29*1.6</f>
        <v>24.56</v>
      </c>
      <c r="I6" s="8">
        <f>'Вар2. Длинна'!G5+'Вар2. Длинна'!G6+'Вар2. Длинна'!G7</f>
        <v>36.200000000000003</v>
      </c>
      <c r="J6" s="8">
        <f>'Вар2. Длинна'!T5*1.6+'Вар2. Длинна'!T6*2</f>
        <v>39.480000000000004</v>
      </c>
      <c r="K6" s="8">
        <f>'Вар2. Длинна'!P26*2+'Вар2. Длинна'!P24*1.6</f>
        <v>37.880000000000003</v>
      </c>
      <c r="L6" s="8">
        <f>'Вар2. Длинна'!Y23*2+'Вар2. Длинна'!Y25*2+'Вар2. Длинна'!Y24*1.6</f>
        <v>38.92</v>
      </c>
      <c r="M6" s="8">
        <f>'Вар2. Длинна'!G23*2+'Вар2. Длинна'!G25*2</f>
        <v>48.6</v>
      </c>
    </row>
    <row r="7" spans="3:13" ht="24.75" customHeight="1" thickBot="1" x14ac:dyDescent="0.3">
      <c r="C7" s="9" t="s">
        <v>57</v>
      </c>
      <c r="D7" s="18">
        <f>D6+D5*3</f>
        <v>37.200000000000003</v>
      </c>
      <c r="E7" s="17">
        <f>E6+E5*3</f>
        <v>46.480000000000004</v>
      </c>
      <c r="F7" s="8">
        <f>F6+F5*3</f>
        <v>33.92</v>
      </c>
      <c r="G7" s="8">
        <f>G6+G5*3</f>
        <v>32.160000000000004</v>
      </c>
      <c r="H7" s="18">
        <f>H6+H5*3</f>
        <v>30.56</v>
      </c>
      <c r="I7" s="18">
        <f t="shared" ref="I7:M7" si="0">I6+I5*3</f>
        <v>48.2</v>
      </c>
      <c r="J7" s="8">
        <f t="shared" si="0"/>
        <v>51.480000000000004</v>
      </c>
      <c r="K7" s="18">
        <f>K6+K5*3</f>
        <v>43.88</v>
      </c>
      <c r="L7" s="17">
        <f t="shared" si="0"/>
        <v>44.92</v>
      </c>
      <c r="M7" s="8">
        <f t="shared" si="0"/>
        <v>54.6</v>
      </c>
    </row>
    <row r="8" spans="3:13" ht="15.75" thickBot="1" x14ac:dyDescent="0.3">
      <c r="C8" s="19"/>
      <c r="D8" s="19" t="s">
        <v>85</v>
      </c>
      <c r="E8" s="19" t="s">
        <v>86</v>
      </c>
      <c r="F8" s="19" t="s">
        <v>60</v>
      </c>
      <c r="G8" s="19" t="s">
        <v>60</v>
      </c>
      <c r="H8" s="19" t="s">
        <v>60</v>
      </c>
      <c r="I8" s="19" t="s">
        <v>59</v>
      </c>
      <c r="J8" s="19" t="s">
        <v>58</v>
      </c>
      <c r="K8" s="19" t="s">
        <v>60</v>
      </c>
      <c r="L8" s="19" t="s">
        <v>60</v>
      </c>
      <c r="M8" s="19" t="s">
        <v>60</v>
      </c>
    </row>
    <row r="9" spans="3:13" ht="15.75" thickBot="1" x14ac:dyDescent="0.3">
      <c r="C9" s="19"/>
      <c r="D9" s="19" t="s">
        <v>61</v>
      </c>
      <c r="E9" s="19" t="s">
        <v>62</v>
      </c>
      <c r="F9" s="19" t="s">
        <v>62</v>
      </c>
      <c r="G9" s="19" t="s">
        <v>62</v>
      </c>
      <c r="H9" s="19" t="s">
        <v>61</v>
      </c>
      <c r="I9" s="19" t="s">
        <v>61</v>
      </c>
      <c r="J9" s="19" t="s">
        <v>62</v>
      </c>
      <c r="K9" s="19" t="s">
        <v>61</v>
      </c>
      <c r="L9" s="19" t="s">
        <v>62</v>
      </c>
      <c r="M9" s="19" t="s">
        <v>62</v>
      </c>
    </row>
  </sheetData>
  <mergeCells count="3">
    <mergeCell ref="C3:C4"/>
    <mergeCell ref="D3:H3"/>
    <mergeCell ref="I3:M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8" r:id="rId4">
          <objectPr defaultSize="0" autoPict="0" r:id="rId5">
            <anchor moveWithCells="1" siz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228600</xdr:colOff>
                <xdr:row>5</xdr:row>
                <xdr:rowOff>57150</xdr:rowOff>
              </to>
            </anchor>
          </objectPr>
        </oleObject>
      </mc:Choice>
      <mc:Fallback>
        <oleObject progId="Equation.3" shapeId="3078" r:id="rId4"/>
      </mc:Fallback>
    </mc:AlternateContent>
    <mc:AlternateContent xmlns:mc="http://schemas.openxmlformats.org/markup-compatibility/2006">
      <mc:Choice Requires="x14">
        <oleObject progId="Equation.3" shapeId="3077" r:id="rId6">
          <objectPr defaultSize="0" autoPict="0" r:id="rId7">
            <anchor moveWithCells="1" sizeWithCells="1">
              <from>
                <xdr:col>2</xdr:col>
                <xdr:colOff>0</xdr:colOff>
                <xdr:row>5</xdr:row>
                <xdr:rowOff>0</xdr:rowOff>
              </from>
              <to>
                <xdr:col>2</xdr:col>
                <xdr:colOff>304800</xdr:colOff>
                <xdr:row>6</xdr:row>
                <xdr:rowOff>47625</xdr:rowOff>
              </to>
            </anchor>
          </objectPr>
        </oleObject>
      </mc:Choice>
      <mc:Fallback>
        <oleObject progId="Equation.3" shapeId="3077" r:id="rId6"/>
      </mc:Fallback>
    </mc:AlternateContent>
    <mc:AlternateContent xmlns:mc="http://schemas.openxmlformats.org/markup-compatibility/2006">
      <mc:Choice Requires="x14">
        <oleObject progId="Equation.3" shapeId="3076" r:id="rId8">
          <objectPr defaultSize="0" autoPict="0" r:id="rId9">
            <anchor moveWithCells="1" sizeWithCells="1">
              <from>
                <xdr:col>2</xdr:col>
                <xdr:colOff>0</xdr:colOff>
                <xdr:row>6</xdr:row>
                <xdr:rowOff>0</xdr:rowOff>
              </from>
              <to>
                <xdr:col>2</xdr:col>
                <xdr:colOff>361950</xdr:colOff>
                <xdr:row>7</xdr:row>
                <xdr:rowOff>9525</xdr:rowOff>
              </to>
            </anchor>
          </objectPr>
        </oleObject>
      </mc:Choice>
      <mc:Fallback>
        <oleObject progId="Equation.3" shapeId="3076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5"/>
  <sheetViews>
    <sheetView tabSelected="1" topLeftCell="C1" zoomScale="115" zoomScaleNormal="115" workbookViewId="0">
      <selection activeCell="E10" sqref="E10"/>
    </sheetView>
  </sheetViews>
  <sheetFormatPr defaultRowHeight="15" x14ac:dyDescent="0.25"/>
  <cols>
    <col min="10" max="10" width="9.5703125" bestFit="1" customWidth="1"/>
  </cols>
  <sheetData>
    <row r="2" spans="1:18" x14ac:dyDescent="0.25">
      <c r="P2" t="s">
        <v>69</v>
      </c>
      <c r="Q2" s="15">
        <f>J5+P5</f>
        <v>62</v>
      </c>
      <c r="R2" s="15">
        <f>K5+Q5</f>
        <v>32.799999999999997</v>
      </c>
    </row>
    <row r="3" spans="1:18" x14ac:dyDescent="0.25">
      <c r="A3" t="s">
        <v>66</v>
      </c>
      <c r="B3" t="s">
        <v>67</v>
      </c>
      <c r="C3" t="s">
        <v>43</v>
      </c>
      <c r="D3" t="s">
        <v>41</v>
      </c>
      <c r="E3" t="s">
        <v>63</v>
      </c>
      <c r="F3" t="s">
        <v>64</v>
      </c>
      <c r="Q3">
        <f>K10+N10</f>
        <v>62</v>
      </c>
      <c r="R3">
        <f>L10+O10</f>
        <v>32.799999999999997</v>
      </c>
    </row>
    <row r="4" spans="1:18" x14ac:dyDescent="0.25">
      <c r="D4" t="s">
        <v>65</v>
      </c>
    </row>
    <row r="5" spans="1:18" x14ac:dyDescent="0.25">
      <c r="A5">
        <v>1</v>
      </c>
      <c r="B5" t="s">
        <v>51</v>
      </c>
      <c r="C5" t="str">
        <f>'Вар1. Длинна'!G5</f>
        <v>ВП-В</v>
      </c>
      <c r="D5">
        <f>'Вар1. Длинна'!H5</f>
        <v>11.8</v>
      </c>
      <c r="E5" s="14">
        <f>J5</f>
        <v>26.968</v>
      </c>
      <c r="F5" s="14">
        <f>K5</f>
        <v>14.375</v>
      </c>
      <c r="J5" s="14">
        <f>ROUND((K10*(M7+P7)+N10*P7)/(J7+M7+P7),3)</f>
        <v>26.968</v>
      </c>
      <c r="K5" s="14">
        <f>ROUND((L10*(M7+P7)+O10*P7)/(J7+M7+P7),3)</f>
        <v>14.375</v>
      </c>
      <c r="L5" s="4"/>
      <c r="M5" s="14">
        <f>J5-K10</f>
        <v>-8.032</v>
      </c>
      <c r="N5" s="14">
        <f>K5-L10</f>
        <v>-4.625</v>
      </c>
      <c r="O5" s="4"/>
      <c r="P5" s="14">
        <f>ROUND((K10*J7+N10*(J7+M7))/(J7+M7+P7),3)</f>
        <v>35.031999999999996</v>
      </c>
      <c r="Q5" s="14">
        <f>ROUND((L10*J7+O10*(J7+M7))/(J7+M7+P7),3)</f>
        <v>18.425000000000001</v>
      </c>
    </row>
    <row r="6" spans="1:18" x14ac:dyDescent="0.25">
      <c r="C6" t="str">
        <f>'Вар1. Длинна'!G6</f>
        <v>ВП-Д</v>
      </c>
      <c r="D6">
        <f>'Вар1. Длинна'!H6</f>
        <v>7.8</v>
      </c>
      <c r="E6" s="14">
        <f>P5</f>
        <v>35.031999999999996</v>
      </c>
      <c r="F6" s="14">
        <f>Q5</f>
        <v>18.425000000000001</v>
      </c>
      <c r="K6" s="10" t="s">
        <v>13</v>
      </c>
      <c r="N6" s="10" t="s">
        <v>15</v>
      </c>
    </row>
    <row r="7" spans="1:18" x14ac:dyDescent="0.25">
      <c r="C7" t="str">
        <f>'Вар1. Длинна'!G7</f>
        <v>В-Д</v>
      </c>
      <c r="D7">
        <f>'Вар1. Длинна'!H7</f>
        <v>5.6</v>
      </c>
      <c r="E7" s="4">
        <f>M5</f>
        <v>-8.032</v>
      </c>
      <c r="F7" s="14">
        <f>N5</f>
        <v>-4.625</v>
      </c>
      <c r="J7">
        <f>D5</f>
        <v>11.8</v>
      </c>
      <c r="M7">
        <f>D7</f>
        <v>5.6</v>
      </c>
      <c r="P7">
        <f>D6</f>
        <v>7.8</v>
      </c>
    </row>
    <row r="8" spans="1:18" x14ac:dyDescent="0.25">
      <c r="B8" t="s">
        <v>55</v>
      </c>
      <c r="C8" t="str">
        <f>'Вар1. Длинна'!G29</f>
        <v>В-Д</v>
      </c>
      <c r="D8">
        <f>'Вар1. Длинна'!H29</f>
        <v>5.6</v>
      </c>
      <c r="E8">
        <f>35</f>
        <v>35</v>
      </c>
      <c r="F8">
        <f>19</f>
        <v>19</v>
      </c>
    </row>
    <row r="9" spans="1:18" x14ac:dyDescent="0.25">
      <c r="C9" s="4" t="str">
        <f>'Вар1. Длинна'!G30</f>
        <v>ВП-Д</v>
      </c>
      <c r="D9" s="4">
        <f>'Вар1. Длинна'!H30</f>
        <v>7.8</v>
      </c>
      <c r="E9" s="43">
        <f>27</f>
        <v>27</v>
      </c>
      <c r="F9" s="43">
        <v>13.8</v>
      </c>
    </row>
    <row r="10" spans="1:18" x14ac:dyDescent="0.25">
      <c r="C10" s="4"/>
      <c r="D10" s="4"/>
      <c r="E10" s="4"/>
      <c r="F10" s="4"/>
      <c r="K10">
        <f>E8</f>
        <v>35</v>
      </c>
      <c r="L10">
        <f>19</f>
        <v>19</v>
      </c>
      <c r="N10">
        <f>E9</f>
        <v>27</v>
      </c>
      <c r="O10">
        <f>F9</f>
        <v>13.8</v>
      </c>
    </row>
    <row r="11" spans="1:18" x14ac:dyDescent="0.25">
      <c r="A11">
        <v>2</v>
      </c>
      <c r="B11" t="str">
        <f>'Таблиця 1-3'!I4</f>
        <v>а)</v>
      </c>
      <c r="C11" s="3" t="str">
        <f>'Вар2. Длинна'!F5</f>
        <v>ВП-Г</v>
      </c>
      <c r="D11" s="3">
        <f>'Вар2. Длинна'!G5</f>
        <v>9.8000000000000007</v>
      </c>
      <c r="E11" s="14">
        <f>J15</f>
        <v>34.843000000000004</v>
      </c>
      <c r="F11" s="14">
        <f>K15</f>
        <v>16.891999999999999</v>
      </c>
    </row>
    <row r="12" spans="1:18" x14ac:dyDescent="0.25">
      <c r="C12" s="3" t="str">
        <f>'Вар2. Длинна'!F6</f>
        <v>ВП-Е</v>
      </c>
      <c r="D12" s="3">
        <f>'Вар2. Длинна'!G6</f>
        <v>11.9</v>
      </c>
      <c r="E12" s="14">
        <f>P15</f>
        <v>32.156999999999996</v>
      </c>
      <c r="F12" s="14">
        <f>Q15</f>
        <v>15.608000000000001</v>
      </c>
      <c r="P12" t="s">
        <v>69</v>
      </c>
      <c r="Q12">
        <f>J15+P15</f>
        <v>67</v>
      </c>
      <c r="R12">
        <f>K15+Q15</f>
        <v>32.5</v>
      </c>
    </row>
    <row r="13" spans="1:18" x14ac:dyDescent="0.25">
      <c r="C13" s="3" t="str">
        <f>'Вар2. Длинна'!F7</f>
        <v>Е-Г</v>
      </c>
      <c r="D13" s="3">
        <f>'Вар2. Длинна'!G7</f>
        <v>14.5</v>
      </c>
      <c r="E13" s="14">
        <f>M15</f>
        <v>-2.8430000000000035</v>
      </c>
      <c r="F13" s="14">
        <f>N15</f>
        <v>-1.3919999999999995</v>
      </c>
      <c r="Q13">
        <f>K20+N20</f>
        <v>67</v>
      </c>
      <c r="R13">
        <f>L20+O20</f>
        <v>32.5</v>
      </c>
    </row>
    <row r="14" spans="1:18" x14ac:dyDescent="0.25">
      <c r="B14" t="str">
        <f>'Таблиця 1-3'!L4</f>
        <v>г)</v>
      </c>
      <c r="C14" s="3" t="str">
        <f>'Вар2. Длинна'!X23</f>
        <v>ВП-2</v>
      </c>
      <c r="D14" s="3">
        <f>'Вар2. Длинна'!Y23</f>
        <v>5.4</v>
      </c>
      <c r="E14" s="4">
        <f>E15+E16</f>
        <v>67</v>
      </c>
      <c r="F14" s="4">
        <f>F15+F16</f>
        <v>32.5</v>
      </c>
    </row>
    <row r="15" spans="1:18" x14ac:dyDescent="0.25">
      <c r="C15" s="3" t="str">
        <f>'Вар2. Длинна'!X24</f>
        <v>Г-2</v>
      </c>
      <c r="D15" s="3">
        <f>'Вар2. Длинна'!Y24</f>
        <v>7.2</v>
      </c>
      <c r="E15" s="4">
        <v>32</v>
      </c>
      <c r="F15" s="4">
        <v>15.5</v>
      </c>
      <c r="J15" s="14">
        <f>ROUND((K20*(M17+P17)+N20*P17)/(J17+M17+P17),3)</f>
        <v>34.843000000000004</v>
      </c>
      <c r="K15" s="14">
        <f>ROUND((L20*(M17+P17)+O20*P17)/(J17+M17+P17),3)</f>
        <v>16.891999999999999</v>
      </c>
      <c r="L15" s="4"/>
      <c r="M15" s="14">
        <f>P15-N20</f>
        <v>-2.8430000000000035</v>
      </c>
      <c r="N15" s="14">
        <f>Q15-O20</f>
        <v>-1.3919999999999995</v>
      </c>
      <c r="O15" s="4"/>
      <c r="P15" s="14">
        <f>ROUND((K20*J17+N20*(J17+M17))/(J17+M17+P17),3)</f>
        <v>32.156999999999996</v>
      </c>
      <c r="Q15" s="14">
        <f>ROUND((L20*J17+O20*(J17+M17))/(J17+M17+P17),3)</f>
        <v>15.608000000000001</v>
      </c>
    </row>
    <row r="16" spans="1:18" x14ac:dyDescent="0.25">
      <c r="C16" s="3" t="str">
        <f>'Вар2. Длинна'!X25</f>
        <v>Е-2</v>
      </c>
      <c r="D16" s="3">
        <f>'Вар2. Длинна'!Y25</f>
        <v>8.3000000000000007</v>
      </c>
      <c r="E16" s="4">
        <v>35</v>
      </c>
      <c r="F16" s="4">
        <v>17</v>
      </c>
      <c r="K16" s="10" t="s">
        <v>14</v>
      </c>
      <c r="N16" s="10" t="s">
        <v>16</v>
      </c>
    </row>
    <row r="17" spans="2:16" x14ac:dyDescent="0.25">
      <c r="J17">
        <f>D11</f>
        <v>9.8000000000000007</v>
      </c>
      <c r="M17">
        <f>D13</f>
        <v>14.5</v>
      </c>
      <c r="P17">
        <f>D12</f>
        <v>11.9</v>
      </c>
    </row>
    <row r="20" spans="2:16" x14ac:dyDescent="0.25">
      <c r="K20">
        <f>E15</f>
        <v>32</v>
      </c>
      <c r="L20">
        <f>F15</f>
        <v>15.5</v>
      </c>
      <c r="N20">
        <f>E16</f>
        <v>35</v>
      </c>
      <c r="O20">
        <f>F16</f>
        <v>17</v>
      </c>
    </row>
    <row r="22" spans="2:16" x14ac:dyDescent="0.25">
      <c r="J22">
        <f>F25</f>
        <v>36</v>
      </c>
      <c r="K22">
        <f>G25</f>
        <v>25</v>
      </c>
      <c r="M22">
        <f>O29</f>
        <v>16</v>
      </c>
      <c r="N22">
        <f>P29</f>
        <v>12</v>
      </c>
    </row>
    <row r="23" spans="2:16" x14ac:dyDescent="0.25">
      <c r="L23" t="s">
        <v>12</v>
      </c>
      <c r="P23" t="s">
        <v>11</v>
      </c>
    </row>
    <row r="24" spans="2:16" x14ac:dyDescent="0.25">
      <c r="F24" t="str">
        <f>E3</f>
        <v>P</v>
      </c>
      <c r="G24" t="str">
        <f>F3</f>
        <v>Q</v>
      </c>
    </row>
    <row r="25" spans="2:16" x14ac:dyDescent="0.25">
      <c r="B25" t="s">
        <v>99</v>
      </c>
      <c r="D25" t="str">
        <f>'Таблиця 1-4'!D14</f>
        <v>ДЖ-3</v>
      </c>
      <c r="E25">
        <f>'Таблиця 1-4'!E14</f>
        <v>14.8</v>
      </c>
      <c r="F25">
        <f>F26+F27</f>
        <v>36</v>
      </c>
      <c r="G25">
        <f>G26+G27</f>
        <v>25</v>
      </c>
    </row>
    <row r="26" spans="2:16" x14ac:dyDescent="0.25">
      <c r="D26" t="str">
        <f>'Таблиця 1-4'!D15</f>
        <v>3-ВП</v>
      </c>
      <c r="E26">
        <f>'Таблиця 1-4'!E15</f>
        <v>22.6</v>
      </c>
      <c r="F26">
        <f>'Табл1-1  1-2'!B4</f>
        <v>16</v>
      </c>
      <c r="G26">
        <f>'Табл1-1  1-2'!C4</f>
        <v>12</v>
      </c>
    </row>
    <row r="27" spans="2:16" x14ac:dyDescent="0.25">
      <c r="D27" t="str">
        <f>'Таблиця 1-4'!D16</f>
        <v>3-Б</v>
      </c>
      <c r="E27">
        <f>'Таблиця 1-4'!E16</f>
        <v>10.8</v>
      </c>
      <c r="F27">
        <f>'Табл1-1  1-2'!B5</f>
        <v>20</v>
      </c>
      <c r="G27">
        <f>'Табл1-1  1-2'!C5</f>
        <v>13</v>
      </c>
    </row>
    <row r="29" spans="2:16" x14ac:dyDescent="0.25">
      <c r="K29">
        <f>F27</f>
        <v>20</v>
      </c>
      <c r="L29">
        <f>G27</f>
        <v>13</v>
      </c>
      <c r="O29">
        <f>F26</f>
        <v>16</v>
      </c>
      <c r="P29">
        <f>G26</f>
        <v>12</v>
      </c>
    </row>
    <row r="34" spans="11:18" x14ac:dyDescent="0.25">
      <c r="K34" s="4"/>
      <c r="L34" s="4"/>
      <c r="M34" s="4"/>
      <c r="N34" s="4"/>
      <c r="O34" s="4"/>
      <c r="P34" s="4"/>
      <c r="Q34" s="4"/>
      <c r="R34" s="4"/>
    </row>
    <row r="35" spans="11:18" x14ac:dyDescent="0.25">
      <c r="L35" s="10"/>
      <c r="O35" s="10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7"/>
  <sheetViews>
    <sheetView workbookViewId="0">
      <selection activeCell="Q17" sqref="Q17"/>
    </sheetView>
  </sheetViews>
  <sheetFormatPr defaultRowHeight="15" x14ac:dyDescent="0.25"/>
  <cols>
    <col min="2" max="9" width="12.7109375" customWidth="1"/>
  </cols>
  <sheetData>
    <row r="1" spans="2:9" ht="15.75" thickBot="1" x14ac:dyDescent="0.3"/>
    <row r="2" spans="2:9" ht="27.75" customHeight="1" thickTop="1" thickBot="1" x14ac:dyDescent="0.3">
      <c r="B2" s="21" t="s">
        <v>66</v>
      </c>
      <c r="C2" s="22" t="s">
        <v>67</v>
      </c>
      <c r="D2" s="22" t="s">
        <v>43</v>
      </c>
      <c r="E2" s="23" t="s">
        <v>96</v>
      </c>
      <c r="F2" s="23" t="s">
        <v>95</v>
      </c>
      <c r="G2" s="24" t="s">
        <v>87</v>
      </c>
      <c r="H2" s="23" t="s">
        <v>88</v>
      </c>
      <c r="I2" s="25" t="s">
        <v>94</v>
      </c>
    </row>
    <row r="3" spans="2:9" ht="20.25" thickTop="1" thickBot="1" x14ac:dyDescent="0.3">
      <c r="B3" s="62" t="s">
        <v>19</v>
      </c>
      <c r="C3" s="64" t="s">
        <v>89</v>
      </c>
      <c r="D3" s="26" t="str">
        <f>Потокорозподіл!C5</f>
        <v>ВП-В</v>
      </c>
      <c r="E3" s="26">
        <f>Потокорозподіл!D5</f>
        <v>11.8</v>
      </c>
      <c r="F3" s="29">
        <f>Потокорозподіл!E5</f>
        <v>26.968</v>
      </c>
      <c r="G3" s="26">
        <v>1</v>
      </c>
      <c r="H3" s="26">
        <f>ROUND(4.34*SQRT(E3+16*F3/G3),1)</f>
        <v>91.4</v>
      </c>
      <c r="I3" s="60">
        <v>110</v>
      </c>
    </row>
    <row r="4" spans="2:9" ht="20.25" thickTop="1" thickBot="1" x14ac:dyDescent="0.3">
      <c r="B4" s="55"/>
      <c r="C4" s="65"/>
      <c r="D4" s="26" t="str">
        <f>Потокорозподіл!C6</f>
        <v>ВП-Д</v>
      </c>
      <c r="E4" s="26">
        <f>Потокорозподіл!D6</f>
        <v>7.8</v>
      </c>
      <c r="F4" s="30">
        <f>Потокорозподіл!E6</f>
        <v>35.031999999999996</v>
      </c>
      <c r="G4" s="27">
        <v>1</v>
      </c>
      <c r="H4" s="26">
        <f t="shared" ref="H4:H16" si="0">ROUND(4.34*SQRT(E4+16*F4/G4),1)</f>
        <v>103.5</v>
      </c>
      <c r="I4" s="58"/>
    </row>
    <row r="5" spans="2:9" ht="20.25" thickTop="1" thickBot="1" x14ac:dyDescent="0.3">
      <c r="B5" s="55"/>
      <c r="C5" s="66"/>
      <c r="D5" s="26" t="str">
        <f>Потокорозподіл!C7</f>
        <v>В-Д</v>
      </c>
      <c r="E5" s="26">
        <f>Потокорозподіл!D7</f>
        <v>5.6</v>
      </c>
      <c r="F5" s="30">
        <f>-Потокорозподіл!E7</f>
        <v>8.032</v>
      </c>
      <c r="G5" s="27">
        <v>1</v>
      </c>
      <c r="H5" s="26">
        <f t="shared" si="0"/>
        <v>50.3</v>
      </c>
      <c r="I5" s="61"/>
    </row>
    <row r="6" spans="2:9" ht="20.25" thickTop="1" thickBot="1" x14ac:dyDescent="0.3">
      <c r="B6" s="55"/>
      <c r="C6" s="67" t="s">
        <v>90</v>
      </c>
      <c r="D6" s="26" t="str">
        <f>Потокорозподіл!C8</f>
        <v>В-Д</v>
      </c>
      <c r="E6" s="26">
        <f>Потокорозподіл!D8</f>
        <v>5.6</v>
      </c>
      <c r="F6" s="28">
        <f>Потокорозподіл!E8</f>
        <v>35</v>
      </c>
      <c r="G6" s="27">
        <v>2</v>
      </c>
      <c r="H6" s="26">
        <f t="shared" si="0"/>
        <v>73.3</v>
      </c>
      <c r="I6" s="57">
        <v>110</v>
      </c>
    </row>
    <row r="7" spans="2:9" ht="20.25" thickTop="1" thickBot="1" x14ac:dyDescent="0.3">
      <c r="B7" s="63"/>
      <c r="C7" s="66"/>
      <c r="D7" s="26" t="str">
        <f>Потокорозподіл!C9</f>
        <v>ВП-Д</v>
      </c>
      <c r="E7" s="26">
        <f>Потокорозподіл!D9</f>
        <v>7.8</v>
      </c>
      <c r="F7" s="44">
        <f>Потокорозподіл!E9</f>
        <v>27</v>
      </c>
      <c r="G7" s="27">
        <v>2</v>
      </c>
      <c r="H7" s="26">
        <f t="shared" si="0"/>
        <v>64.900000000000006</v>
      </c>
      <c r="I7" s="61"/>
    </row>
    <row r="8" spans="2:9" ht="20.25" thickTop="1" thickBot="1" x14ac:dyDescent="0.3">
      <c r="B8" s="68" t="s">
        <v>20</v>
      </c>
      <c r="C8" s="67" t="s">
        <v>89</v>
      </c>
      <c r="D8" s="31" t="str">
        <f>'Вар2. Длинна'!F5</f>
        <v>ВП-Г</v>
      </c>
      <c r="E8" s="31">
        <f>'Вар2. Длинна'!G5</f>
        <v>9.8000000000000007</v>
      </c>
      <c r="F8" s="32">
        <f>Потокорозподіл!E11</f>
        <v>34.843000000000004</v>
      </c>
      <c r="G8" s="31">
        <v>1</v>
      </c>
      <c r="H8" s="33">
        <f t="shared" si="0"/>
        <v>103.4</v>
      </c>
      <c r="I8" s="69">
        <v>110</v>
      </c>
    </row>
    <row r="9" spans="2:9" ht="19.5" thickBot="1" x14ac:dyDescent="0.3">
      <c r="B9" s="55"/>
      <c r="C9" s="65"/>
      <c r="D9" s="31" t="str">
        <f>'Вар2. Длинна'!F6</f>
        <v>ВП-Е</v>
      </c>
      <c r="E9" s="31">
        <f>'Вар2. Длинна'!G6</f>
        <v>11.9</v>
      </c>
      <c r="F9" s="32">
        <f>Потокорозподіл!E12</f>
        <v>32.156999999999996</v>
      </c>
      <c r="G9" s="31">
        <v>1</v>
      </c>
      <c r="H9" s="31">
        <f t="shared" si="0"/>
        <v>99.6</v>
      </c>
      <c r="I9" s="70"/>
    </row>
    <row r="10" spans="2:9" ht="19.5" thickBot="1" x14ac:dyDescent="0.3">
      <c r="B10" s="55"/>
      <c r="C10" s="66"/>
      <c r="D10" s="31" t="str">
        <f>'Вар2. Длинна'!F7</f>
        <v>Е-Г</v>
      </c>
      <c r="E10" s="31">
        <f>'Вар2. Длинна'!G7</f>
        <v>14.5</v>
      </c>
      <c r="F10" s="32">
        <f>-Потокорозподіл!E13</f>
        <v>2.8430000000000035</v>
      </c>
      <c r="G10" s="31">
        <v>1</v>
      </c>
      <c r="H10" s="31">
        <f>ROUND(4.34*SQRT(E10+16*F10/G10),1)</f>
        <v>33.6</v>
      </c>
      <c r="I10" s="71"/>
    </row>
    <row r="11" spans="2:9" ht="19.5" thickBot="1" x14ac:dyDescent="0.3">
      <c r="B11" s="55"/>
      <c r="C11" s="67" t="s">
        <v>91</v>
      </c>
      <c r="D11" s="31" t="str">
        <f>'Вар2. Длинна'!X23</f>
        <v>ВП-2</v>
      </c>
      <c r="E11" s="31">
        <f>'Вар2. Длинна'!Y23</f>
        <v>5.4</v>
      </c>
      <c r="F11" s="32">
        <f>Потокорозподіл!E14</f>
        <v>67</v>
      </c>
      <c r="G11" s="31">
        <v>2</v>
      </c>
      <c r="H11" s="31">
        <f t="shared" si="0"/>
        <v>101</v>
      </c>
      <c r="I11" s="69">
        <v>110</v>
      </c>
    </row>
    <row r="12" spans="2:9" ht="19.5" thickBot="1" x14ac:dyDescent="0.3">
      <c r="B12" s="55"/>
      <c r="C12" s="65"/>
      <c r="D12" s="31" t="str">
        <f>'Вар2. Длинна'!X24</f>
        <v>Г-2</v>
      </c>
      <c r="E12" s="31">
        <f>'Вар2. Длинна'!Y24</f>
        <v>7.2</v>
      </c>
      <c r="F12" s="32">
        <f>Потокорозподіл!E15</f>
        <v>32</v>
      </c>
      <c r="G12" s="31">
        <v>2</v>
      </c>
      <c r="H12" s="31">
        <f t="shared" si="0"/>
        <v>70.400000000000006</v>
      </c>
      <c r="I12" s="70"/>
    </row>
    <row r="13" spans="2:9" ht="19.5" thickBot="1" x14ac:dyDescent="0.3">
      <c r="B13" s="63"/>
      <c r="C13" s="66"/>
      <c r="D13" s="31" t="str">
        <f>'Вар2. Длинна'!X25</f>
        <v>Е-2</v>
      </c>
      <c r="E13" s="31">
        <f>'Вар2. Длинна'!Y25</f>
        <v>8.3000000000000007</v>
      </c>
      <c r="F13" s="32">
        <f>Потокорозподіл!E16</f>
        <v>35</v>
      </c>
      <c r="G13" s="31">
        <v>2</v>
      </c>
      <c r="H13" s="31">
        <f t="shared" si="0"/>
        <v>73.7</v>
      </c>
      <c r="I13" s="71"/>
    </row>
    <row r="14" spans="2:9" ht="19.5" thickBot="1" x14ac:dyDescent="0.3">
      <c r="B14" s="54" t="s">
        <v>92</v>
      </c>
      <c r="C14" s="57"/>
      <c r="D14" s="34" t="str">
        <f>'мережа зовнішньго електр.'!G4</f>
        <v>ДЖ-3</v>
      </c>
      <c r="E14" s="34">
        <f>'мережа зовнішньго електр.'!H4</f>
        <v>14.8</v>
      </c>
      <c r="F14" s="47">
        <f>Потокорозподіл!F25</f>
        <v>36</v>
      </c>
      <c r="G14" s="34">
        <v>2</v>
      </c>
      <c r="H14" s="34">
        <f t="shared" si="0"/>
        <v>75.5</v>
      </c>
      <c r="I14" s="69">
        <v>110</v>
      </c>
    </row>
    <row r="15" spans="2:9" ht="22.5" customHeight="1" thickBot="1" x14ac:dyDescent="0.3">
      <c r="B15" s="55"/>
      <c r="C15" s="58"/>
      <c r="D15" s="34" t="str">
        <f>'мережа зовнішньго електр.'!G5</f>
        <v>3-ВП</v>
      </c>
      <c r="E15" s="34">
        <f>'мережа зовнішньго електр.'!H5</f>
        <v>22.6</v>
      </c>
      <c r="F15" s="45">
        <f>Потокорозподіл!F26</f>
        <v>16</v>
      </c>
      <c r="G15" s="35">
        <v>2</v>
      </c>
      <c r="H15" s="35">
        <f t="shared" si="0"/>
        <v>53.3</v>
      </c>
      <c r="I15" s="70"/>
    </row>
    <row r="16" spans="2:9" ht="19.5" thickBot="1" x14ac:dyDescent="0.3">
      <c r="B16" s="56"/>
      <c r="C16" s="59"/>
      <c r="D16" s="34" t="str">
        <f>'мережа зовнішньго електр.'!G6</f>
        <v>3-Б</v>
      </c>
      <c r="E16" s="34">
        <f>'мережа зовнішньго електр.'!H6</f>
        <v>10.8</v>
      </c>
      <c r="F16" s="36">
        <f>Потокорозподіл!F27</f>
        <v>20</v>
      </c>
      <c r="G16" s="36">
        <v>2</v>
      </c>
      <c r="H16" s="36">
        <f t="shared" si="0"/>
        <v>56.7</v>
      </c>
      <c r="I16" s="71"/>
    </row>
    <row r="17" ht="15.75" thickTop="1" x14ac:dyDescent="0.25"/>
  </sheetData>
  <mergeCells count="13">
    <mergeCell ref="B14:B16"/>
    <mergeCell ref="C14:C16"/>
    <mergeCell ref="I3:I5"/>
    <mergeCell ref="I6:I7"/>
    <mergeCell ref="B3:B7"/>
    <mergeCell ref="C3:C5"/>
    <mergeCell ref="C6:C7"/>
    <mergeCell ref="B8:B13"/>
    <mergeCell ref="C8:C10"/>
    <mergeCell ref="C11:C13"/>
    <mergeCell ref="I8:I10"/>
    <mergeCell ref="I11:I13"/>
    <mergeCell ref="I14:I1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9221" r:id="rId4">
          <objectPr defaultSize="0" autoPict="0" r:id="rId5">
            <anchor moveWithCells="1" sizeWithCells="1">
              <from>
                <xdr:col>10</xdr:col>
                <xdr:colOff>28575</xdr:colOff>
                <xdr:row>0</xdr:row>
                <xdr:rowOff>152400</xdr:rowOff>
              </from>
              <to>
                <xdr:col>14</xdr:col>
                <xdr:colOff>38100</xdr:colOff>
                <xdr:row>3</xdr:row>
                <xdr:rowOff>0</xdr:rowOff>
              </to>
            </anchor>
          </objectPr>
        </oleObject>
      </mc:Choice>
      <mc:Fallback>
        <oleObject progId="Equation.DSMT4" shapeId="9221" r:id="rId4"/>
      </mc:Fallback>
    </mc:AlternateContent>
    <mc:AlternateContent xmlns:mc="http://schemas.openxmlformats.org/markup-compatibility/2006">
      <mc:Choice Requires="x14">
        <oleObject progId="Equation.3" shapeId="9220" r:id="rId6">
          <objectPr defaultSize="0" autoPict="0" r:id="rId7">
            <anchor moveWithCells="1" sizeWithCells="1">
              <from>
                <xdr:col>4</xdr:col>
                <xdr:colOff>57150</xdr:colOff>
                <xdr:row>1</xdr:row>
                <xdr:rowOff>9525</xdr:rowOff>
              </from>
              <to>
                <xdr:col>4</xdr:col>
                <xdr:colOff>409575</xdr:colOff>
                <xdr:row>1</xdr:row>
                <xdr:rowOff>314325</xdr:rowOff>
              </to>
            </anchor>
          </objectPr>
        </oleObject>
      </mc:Choice>
      <mc:Fallback>
        <oleObject progId="Equation.3" shapeId="9220" r:id="rId6"/>
      </mc:Fallback>
    </mc:AlternateContent>
    <mc:AlternateContent xmlns:mc="http://schemas.openxmlformats.org/markup-compatibility/2006">
      <mc:Choice Requires="x14">
        <oleObject progId="Equation.3" shapeId="9219" r:id="rId8">
          <objectPr defaultSize="0" autoPict="0" r:id="rId9">
            <anchor moveWithCells="1" sizeWithCells="1">
              <from>
                <xdr:col>5</xdr:col>
                <xdr:colOff>76200</xdr:colOff>
                <xdr:row>1</xdr:row>
                <xdr:rowOff>28575</xdr:rowOff>
              </from>
              <to>
                <xdr:col>5</xdr:col>
                <xdr:colOff>457200</xdr:colOff>
                <xdr:row>1</xdr:row>
                <xdr:rowOff>314325</xdr:rowOff>
              </to>
            </anchor>
          </objectPr>
        </oleObject>
      </mc:Choice>
      <mc:Fallback>
        <oleObject progId="Equation.3" shapeId="9219" r:id="rId8"/>
      </mc:Fallback>
    </mc:AlternateContent>
    <mc:AlternateContent xmlns:mc="http://schemas.openxmlformats.org/markup-compatibility/2006">
      <mc:Choice Requires="x14">
        <oleObject progId="Equation.3" shapeId="9218" r:id="rId10">
          <objectPr defaultSize="0" autoPict="0" r:id="rId11">
            <anchor moveWithCells="1" sizeWithCells="1">
              <from>
                <xdr:col>7</xdr:col>
                <xdr:colOff>0</xdr:colOff>
                <xdr:row>0</xdr:row>
                <xdr:rowOff>0</xdr:rowOff>
              </from>
              <to>
                <xdr:col>7</xdr:col>
                <xdr:colOff>238125</xdr:colOff>
                <xdr:row>1</xdr:row>
                <xdr:rowOff>171450</xdr:rowOff>
              </to>
            </anchor>
          </objectPr>
        </oleObject>
      </mc:Choice>
      <mc:Fallback>
        <oleObject progId="Equation.3" shapeId="9218" r:id="rId10"/>
      </mc:Fallback>
    </mc:AlternateContent>
    <mc:AlternateContent xmlns:mc="http://schemas.openxmlformats.org/markup-compatibility/2006">
      <mc:Choice Requires="x14">
        <oleObject progId="Equation.3" shapeId="9217" r:id="rId12">
          <objectPr defaultSize="0" autoPict="0" r:id="rId13">
            <anchor moveWithCells="1" sizeWithCells="1">
              <from>
                <xdr:col>8</xdr:col>
                <xdr:colOff>171450</xdr:colOff>
                <xdr:row>1</xdr:row>
                <xdr:rowOff>57150</xdr:rowOff>
              </from>
              <to>
                <xdr:col>8</xdr:col>
                <xdr:colOff>561975</xdr:colOff>
                <xdr:row>1</xdr:row>
                <xdr:rowOff>295275</xdr:rowOff>
              </to>
            </anchor>
          </objectPr>
        </oleObject>
      </mc:Choice>
      <mc:Fallback>
        <oleObject progId="Equation.3" shapeId="9217" r:id="rId12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opLeftCell="C1" zoomScaleNormal="100" workbookViewId="0">
      <selection activeCell="G7" sqref="G7"/>
    </sheetView>
  </sheetViews>
  <sheetFormatPr defaultRowHeight="15" x14ac:dyDescent="0.25"/>
  <cols>
    <col min="3" max="4" width="8.85546875" customWidth="1"/>
    <col min="6" max="6" width="18" customWidth="1"/>
    <col min="7" max="7" width="15.28515625" bestFit="1" customWidth="1"/>
    <col min="10" max="10" width="15.28515625" bestFit="1" customWidth="1"/>
    <col min="11" max="11" width="10.5703125" bestFit="1" customWidth="1"/>
  </cols>
  <sheetData>
    <row r="1" spans="1:14" ht="15.75" thickBot="1" x14ac:dyDescent="0.3"/>
    <row r="2" spans="1:14" ht="33" customHeight="1" x14ac:dyDescent="0.25">
      <c r="C2" s="72" t="s">
        <v>111</v>
      </c>
      <c r="D2" s="72" t="s">
        <v>110</v>
      </c>
      <c r="E2" s="72" t="s">
        <v>109</v>
      </c>
      <c r="F2" s="39" t="s">
        <v>108</v>
      </c>
      <c r="G2" s="39" t="s">
        <v>107</v>
      </c>
      <c r="H2" s="39" t="s">
        <v>106</v>
      </c>
      <c r="I2" s="76" t="s">
        <v>87</v>
      </c>
      <c r="J2" s="78" t="s">
        <v>105</v>
      </c>
      <c r="K2" s="39" t="s">
        <v>104</v>
      </c>
      <c r="L2" s="72" t="s">
        <v>103</v>
      </c>
      <c r="M2" s="41">
        <v>0.8</v>
      </c>
      <c r="N2" t="s">
        <v>102</v>
      </c>
    </row>
    <row r="3" spans="1:14" ht="23.25" thickBot="1" x14ac:dyDescent="0.3">
      <c r="C3" s="75"/>
      <c r="D3" s="75"/>
      <c r="E3" s="75"/>
      <c r="F3" s="37" t="s">
        <v>101</v>
      </c>
      <c r="G3" s="37" t="s">
        <v>101</v>
      </c>
      <c r="H3" s="37" t="s">
        <v>9</v>
      </c>
      <c r="I3" s="77"/>
      <c r="J3" s="79"/>
      <c r="K3" s="37" t="s">
        <v>100</v>
      </c>
      <c r="L3" s="75"/>
      <c r="M3" t="s">
        <v>89</v>
      </c>
    </row>
    <row r="4" spans="1:14" ht="19.5" thickBot="1" x14ac:dyDescent="0.3">
      <c r="A4">
        <f>'Таблиця 1-4'!F3</f>
        <v>26.968</v>
      </c>
      <c r="B4">
        <f>[1]Потокорозподіл!F5</f>
        <v>2.1659999999999999</v>
      </c>
      <c r="C4" s="72" t="s">
        <v>19</v>
      </c>
      <c r="D4" s="72" t="s">
        <v>89</v>
      </c>
      <c r="E4" s="37" t="str">
        <f>'Таблиця 1-4'!D3</f>
        <v>ВП-В</v>
      </c>
      <c r="F4" s="37" t="str">
        <f>COMPLEX(A4,B4)</f>
        <v>26.968+2.166i</v>
      </c>
      <c r="G4" s="37">
        <f>ROUND(1*IMABS(F4),2)</f>
        <v>27.05</v>
      </c>
      <c r="H4" s="37">
        <f>110</f>
        <v>110</v>
      </c>
      <c r="I4" s="37">
        <f>'Таблиця 1-4'!G3</f>
        <v>1</v>
      </c>
      <c r="J4" s="37">
        <f>ROUND(G4/SQRT(3)/H4/I4*10^3,2)</f>
        <v>141.97999999999999</v>
      </c>
      <c r="K4" s="38">
        <f>J4/$M$2</f>
        <v>177.47499999999997</v>
      </c>
      <c r="L4" s="42">
        <v>185</v>
      </c>
      <c r="M4" s="37"/>
    </row>
    <row r="5" spans="1:14" ht="19.5" thickBot="1" x14ac:dyDescent="0.3">
      <c r="A5">
        <f>'Таблиця 1-4'!F4</f>
        <v>35.031999999999996</v>
      </c>
      <c r="B5">
        <f>[1]Потокорозподіл!F6</f>
        <v>1.8340000000000001</v>
      </c>
      <c r="C5" s="73"/>
      <c r="D5" s="73"/>
      <c r="E5" s="37" t="str">
        <f>'Таблиця 1-4'!D4</f>
        <v>ВП-Д</v>
      </c>
      <c r="F5" s="37" t="str">
        <f t="shared" ref="F5:F17" si="0">COMPLEX(A5,B5)</f>
        <v>35.032+1.834i</v>
      </c>
      <c r="G5" s="37">
        <f t="shared" ref="G5:G17" si="1">ROUND(1*IMABS(F5),2)</f>
        <v>35.08</v>
      </c>
      <c r="H5" s="37">
        <f>H4</f>
        <v>110</v>
      </c>
      <c r="I5" s="37">
        <f>'Таблиця 1-4'!G4</f>
        <v>1</v>
      </c>
      <c r="J5" s="37">
        <f t="shared" ref="J5:J9" si="2">ROUND(G5/SQRT(3)/H5/I5*10^3,2)</f>
        <v>184.12</v>
      </c>
      <c r="K5" s="38">
        <f t="shared" ref="K5:K16" si="3">J5/$M$2</f>
        <v>230.15</v>
      </c>
      <c r="L5" s="42">
        <v>240</v>
      </c>
      <c r="M5" s="37"/>
    </row>
    <row r="6" spans="1:14" ht="19.5" thickBot="1" x14ac:dyDescent="0.3">
      <c r="A6">
        <f>'Таблиця 1-4'!F5</f>
        <v>8.032</v>
      </c>
      <c r="B6">
        <f>[1]Потокорозподіл!F7</f>
        <v>0.16599999999999993</v>
      </c>
      <c r="C6" s="73"/>
      <c r="D6" s="74"/>
      <c r="E6" s="37" t="str">
        <f>'Таблиця 1-4'!D5</f>
        <v>В-Д</v>
      </c>
      <c r="F6" s="37" t="str">
        <f t="shared" si="0"/>
        <v>8.032+0.166i</v>
      </c>
      <c r="G6" s="37">
        <f t="shared" si="1"/>
        <v>8.0299999999999994</v>
      </c>
      <c r="H6" s="37">
        <f>H5</f>
        <v>110</v>
      </c>
      <c r="I6" s="37">
        <f>'Таблиця 1-4'!G5</f>
        <v>1</v>
      </c>
      <c r="J6" s="37">
        <f t="shared" si="2"/>
        <v>42.15</v>
      </c>
      <c r="K6" s="38">
        <f t="shared" si="3"/>
        <v>52.687499999999993</v>
      </c>
      <c r="L6" s="42">
        <v>70</v>
      </c>
      <c r="M6" s="37"/>
    </row>
    <row r="7" spans="1:14" ht="19.5" thickBot="1" x14ac:dyDescent="0.3">
      <c r="A7">
        <f>'Таблиця 1-4'!F6</f>
        <v>35</v>
      </c>
      <c r="B7">
        <f>[1]Потокорозподіл!F8</f>
        <v>4</v>
      </c>
      <c r="C7" s="73"/>
      <c r="D7" s="72" t="s">
        <v>90</v>
      </c>
      <c r="E7" s="37" t="str">
        <f>'Таблиця 1-4'!D6</f>
        <v>В-Д</v>
      </c>
      <c r="F7" s="37" t="str">
        <f t="shared" si="0"/>
        <v>35+4i</v>
      </c>
      <c r="G7" s="37">
        <f t="shared" si="1"/>
        <v>35.229999999999997</v>
      </c>
      <c r="H7" s="37">
        <f>110</f>
        <v>110</v>
      </c>
      <c r="I7" s="37">
        <f>'Таблиця 1-4'!G6</f>
        <v>2</v>
      </c>
      <c r="J7" s="37">
        <f t="shared" si="2"/>
        <v>92.45</v>
      </c>
      <c r="K7" s="38">
        <f t="shared" si="3"/>
        <v>115.5625</v>
      </c>
      <c r="L7" s="42">
        <v>120</v>
      </c>
      <c r="M7" s="37"/>
    </row>
    <row r="8" spans="1:14" ht="19.5" thickBot="1" x14ac:dyDescent="0.3">
      <c r="A8">
        <f>'Таблиця 1-4'!F7</f>
        <v>27</v>
      </c>
      <c r="B8">
        <f>[1]Потокорозподіл!F9</f>
        <v>2</v>
      </c>
      <c r="C8" s="74"/>
      <c r="D8" s="74"/>
      <c r="E8" s="37" t="str">
        <f>'Таблиця 1-4'!D7</f>
        <v>ВП-Д</v>
      </c>
      <c r="F8" s="37" t="str">
        <f t="shared" si="0"/>
        <v>27+2i</v>
      </c>
      <c r="G8" s="46">
        <f t="shared" si="1"/>
        <v>27.07</v>
      </c>
      <c r="H8" s="37">
        <f>H7</f>
        <v>110</v>
      </c>
      <c r="I8" s="37">
        <f>'Таблиця 1-4'!G7</f>
        <v>2</v>
      </c>
      <c r="J8" s="37">
        <f t="shared" si="2"/>
        <v>71.040000000000006</v>
      </c>
      <c r="K8" s="38">
        <f t="shared" si="3"/>
        <v>88.8</v>
      </c>
      <c r="L8" s="42">
        <v>95</v>
      </c>
      <c r="M8" s="37"/>
    </row>
    <row r="9" spans="1:14" ht="19.5" thickBot="1" x14ac:dyDescent="0.3">
      <c r="A9">
        <f>'Таблиця 1-4'!F8</f>
        <v>34.843000000000004</v>
      </c>
      <c r="B9">
        <f>[1]Потокорозподіл!F10</f>
        <v>2</v>
      </c>
      <c r="C9" s="72" t="s">
        <v>20</v>
      </c>
      <c r="D9" s="72" t="s">
        <v>89</v>
      </c>
      <c r="E9" s="37" t="str">
        <f>'Таблиця 1-4'!D8</f>
        <v>ВП-Г</v>
      </c>
      <c r="F9" s="37" t="str">
        <f t="shared" si="0"/>
        <v>34.843+2i</v>
      </c>
      <c r="G9" s="37">
        <f t="shared" si="1"/>
        <v>34.9</v>
      </c>
      <c r="H9" s="37">
        <f>H8</f>
        <v>110</v>
      </c>
      <c r="I9" s="37">
        <f>'Таблиця 1-4'!G8</f>
        <v>1</v>
      </c>
      <c r="J9" s="37">
        <f t="shared" si="2"/>
        <v>183.18</v>
      </c>
      <c r="K9" s="38">
        <f t="shared" si="3"/>
        <v>228.97499999999999</v>
      </c>
      <c r="L9" s="42">
        <v>240</v>
      </c>
      <c r="M9" s="37"/>
    </row>
    <row r="10" spans="1:14" ht="19.5" thickBot="1" x14ac:dyDescent="0.3">
      <c r="A10">
        <f>'Таблиця 1-4'!F9</f>
        <v>32.156999999999996</v>
      </c>
      <c r="B10">
        <f>[1]Потокорозподіл!F11</f>
        <v>4.2350000000000003</v>
      </c>
      <c r="C10" s="73"/>
      <c r="D10" s="73"/>
      <c r="E10" s="37" t="str">
        <f>'Таблиця 1-4'!D9</f>
        <v>ВП-Е</v>
      </c>
      <c r="F10" s="37" t="str">
        <f t="shared" si="0"/>
        <v>32.157+4.235i</v>
      </c>
      <c r="G10" s="37">
        <f t="shared" si="1"/>
        <v>32.43</v>
      </c>
      <c r="H10" s="37">
        <f t="shared" ref="H10:H14" si="4">H9</f>
        <v>110</v>
      </c>
      <c r="I10" s="37">
        <f>'Таблиця 1-4'!G9</f>
        <v>1</v>
      </c>
      <c r="J10" s="37">
        <f t="shared" ref="J10:J17" si="5">ROUND(G10/SQRT(3)/H10/I10*10^3,2)</f>
        <v>170.21</v>
      </c>
      <c r="K10" s="38">
        <f t="shared" si="3"/>
        <v>212.76249999999999</v>
      </c>
      <c r="L10" s="42">
        <v>240</v>
      </c>
      <c r="M10" s="37"/>
    </row>
    <row r="11" spans="1:14" ht="19.5" thickBot="1" x14ac:dyDescent="0.3">
      <c r="A11">
        <f>'Таблиця 1-4'!F10</f>
        <v>2.8430000000000035</v>
      </c>
      <c r="B11">
        <f>[1]Потокорозподіл!F12</f>
        <v>3.7650000000000001</v>
      </c>
      <c r="C11" s="73"/>
      <c r="D11" s="74"/>
      <c r="E11" s="37" t="str">
        <f>'Таблиця 1-4'!D10</f>
        <v>Е-Г</v>
      </c>
      <c r="F11" s="37" t="str">
        <f t="shared" si="0"/>
        <v>2.843+3.765i</v>
      </c>
      <c r="G11" s="37">
        <f t="shared" si="1"/>
        <v>4.72</v>
      </c>
      <c r="H11" s="37">
        <f t="shared" si="4"/>
        <v>110</v>
      </c>
      <c r="I11" s="37">
        <f>'Таблиця 1-4'!G10</f>
        <v>1</v>
      </c>
      <c r="J11" s="37">
        <f t="shared" si="5"/>
        <v>24.77</v>
      </c>
      <c r="K11" s="38">
        <f t="shared" si="3"/>
        <v>30.962499999999999</v>
      </c>
      <c r="L11" s="42">
        <v>70</v>
      </c>
      <c r="M11" s="37"/>
    </row>
    <row r="12" spans="1:14" ht="19.5" thickBot="1" x14ac:dyDescent="0.3">
      <c r="A12">
        <f>'Таблиця 1-4'!F11</f>
        <v>67</v>
      </c>
      <c r="B12">
        <f>[1]Потокорозподіл!F13</f>
        <v>0.76500000000000012</v>
      </c>
      <c r="C12" s="73"/>
      <c r="D12" s="72" t="s">
        <v>91</v>
      </c>
      <c r="E12" s="37" t="str">
        <f>'Таблиця 1-4'!D11</f>
        <v>ВП-2</v>
      </c>
      <c r="F12" s="37" t="str">
        <f t="shared" si="0"/>
        <v>67+0.765i</v>
      </c>
      <c r="G12" s="37">
        <f t="shared" si="1"/>
        <v>67</v>
      </c>
      <c r="H12" s="37">
        <f t="shared" si="4"/>
        <v>110</v>
      </c>
      <c r="I12" s="37">
        <f>'Таблиця 1-4'!G11</f>
        <v>2</v>
      </c>
      <c r="J12" s="37">
        <f t="shared" si="5"/>
        <v>175.83</v>
      </c>
      <c r="K12" s="38">
        <f t="shared" si="3"/>
        <v>219.78749999999999</v>
      </c>
      <c r="L12" s="42">
        <v>240</v>
      </c>
      <c r="M12" s="37"/>
    </row>
    <row r="13" spans="1:14" ht="19.5" thickBot="1" x14ac:dyDescent="0.3">
      <c r="A13">
        <f>'Таблиця 1-4'!F12</f>
        <v>32</v>
      </c>
      <c r="B13">
        <f>[1]Потокорозподіл!F14</f>
        <v>8</v>
      </c>
      <c r="C13" s="73"/>
      <c r="D13" s="73"/>
      <c r="E13" s="37" t="str">
        <f>'Таблиця 1-4'!D12</f>
        <v>Г-2</v>
      </c>
      <c r="F13" s="37" t="str">
        <f t="shared" si="0"/>
        <v>32+8i</v>
      </c>
      <c r="G13" s="37">
        <f t="shared" si="1"/>
        <v>32.979999999999997</v>
      </c>
      <c r="H13" s="37">
        <f t="shared" si="4"/>
        <v>110</v>
      </c>
      <c r="I13" s="37">
        <f>'Таблиця 1-4'!G12</f>
        <v>2</v>
      </c>
      <c r="J13" s="37">
        <f t="shared" si="5"/>
        <v>86.55</v>
      </c>
      <c r="K13" s="38">
        <f t="shared" si="3"/>
        <v>108.18749999999999</v>
      </c>
      <c r="L13" s="42">
        <v>120</v>
      </c>
      <c r="M13" s="37"/>
    </row>
    <row r="14" spans="1:14" ht="19.5" thickBot="1" x14ac:dyDescent="0.3">
      <c r="A14">
        <f>'Таблиця 1-4'!F13</f>
        <v>35</v>
      </c>
      <c r="B14">
        <f>[1]Потокорозподіл!F15</f>
        <v>5</v>
      </c>
      <c r="C14" s="74"/>
      <c r="D14" s="74"/>
      <c r="E14" s="37" t="str">
        <f>'Таблиця 1-4'!D13</f>
        <v>Е-2</v>
      </c>
      <c r="F14" s="37" t="str">
        <f t="shared" si="0"/>
        <v>35+5i</v>
      </c>
      <c r="G14" s="37">
        <f t="shared" si="1"/>
        <v>35.36</v>
      </c>
      <c r="H14" s="37">
        <f t="shared" si="4"/>
        <v>110</v>
      </c>
      <c r="I14" s="37">
        <f>'Таблиця 1-4'!G13</f>
        <v>2</v>
      </c>
      <c r="J14" s="37">
        <f t="shared" si="5"/>
        <v>92.8</v>
      </c>
      <c r="K14" s="38">
        <f t="shared" si="3"/>
        <v>115.99999999999999</v>
      </c>
      <c r="L14" s="42">
        <v>120</v>
      </c>
      <c r="M14" s="37"/>
    </row>
    <row r="15" spans="1:14" ht="19.5" thickBot="1" x14ac:dyDescent="0.3">
      <c r="A15">
        <f>'Таблиця 1-4'!F14</f>
        <v>36</v>
      </c>
      <c r="B15">
        <f>[1]Потокорозподіл!F16</f>
        <v>3</v>
      </c>
      <c r="C15" s="72"/>
      <c r="D15" s="72"/>
      <c r="E15" s="37" t="str">
        <f>'Таблиця 1-4'!D14</f>
        <v>ДЖ-3</v>
      </c>
      <c r="F15" s="37" t="str">
        <f t="shared" si="0"/>
        <v>36+3i</v>
      </c>
      <c r="G15" s="46">
        <f t="shared" si="1"/>
        <v>36.119999999999997</v>
      </c>
      <c r="H15" s="37">
        <f>H14</f>
        <v>110</v>
      </c>
      <c r="I15" s="37">
        <f>'Таблиця 1-4'!G14</f>
        <v>2</v>
      </c>
      <c r="J15" s="37">
        <f t="shared" si="5"/>
        <v>94.79</v>
      </c>
      <c r="K15" s="38">
        <f t="shared" si="3"/>
        <v>118.4875</v>
      </c>
      <c r="L15" s="42">
        <v>120</v>
      </c>
      <c r="M15" s="37"/>
    </row>
    <row r="16" spans="1:14" ht="19.5" thickBot="1" x14ac:dyDescent="0.3">
      <c r="A16">
        <f>'Таблиця 1-4'!F15</f>
        <v>16</v>
      </c>
      <c r="B16" s="40">
        <f>[1]Потокорозподіл!F17</f>
        <v>37</v>
      </c>
      <c r="C16" s="73"/>
      <c r="D16" s="73"/>
      <c r="E16" s="37" t="str">
        <f>'Таблиця 1-4'!D15</f>
        <v>3-ВП</v>
      </c>
      <c r="F16" s="37" t="str">
        <f t="shared" si="0"/>
        <v>16+37i</v>
      </c>
      <c r="G16" s="46">
        <f t="shared" si="1"/>
        <v>40.31</v>
      </c>
      <c r="H16" s="37">
        <f>[1]Unom!J15</f>
        <v>110</v>
      </c>
      <c r="I16" s="37">
        <f>'Таблиця 1-4'!G15</f>
        <v>2</v>
      </c>
      <c r="J16" s="37">
        <f t="shared" si="5"/>
        <v>105.79</v>
      </c>
      <c r="K16" s="38">
        <f t="shared" si="3"/>
        <v>132.23750000000001</v>
      </c>
      <c r="L16" s="37">
        <v>150</v>
      </c>
      <c r="M16" s="37"/>
    </row>
    <row r="17" spans="1:13" ht="19.5" thickBot="1" x14ac:dyDescent="0.3">
      <c r="A17">
        <f>'Таблиця 1-4'!F16</f>
        <v>20</v>
      </c>
      <c r="B17" s="40">
        <f>[1]Потокорозподіл!F18</f>
        <v>22</v>
      </c>
      <c r="C17" s="74"/>
      <c r="D17" s="74"/>
      <c r="E17" s="37" t="str">
        <f>'Таблиця 1-4'!D16</f>
        <v>3-Б</v>
      </c>
      <c r="F17" s="37" t="str">
        <f t="shared" si="0"/>
        <v>20+22i</v>
      </c>
      <c r="G17" s="37">
        <f t="shared" si="1"/>
        <v>29.73</v>
      </c>
      <c r="H17" s="37">
        <f>H16</f>
        <v>110</v>
      </c>
      <c r="I17" s="37">
        <f>'Таблиця 1-4'!G16</f>
        <v>2</v>
      </c>
      <c r="J17" s="37">
        <f t="shared" si="5"/>
        <v>78.02</v>
      </c>
      <c r="K17" s="38">
        <f t="shared" ref="K17" si="6">J17/$M$2</f>
        <v>97.524999999999991</v>
      </c>
      <c r="L17" s="37">
        <v>120</v>
      </c>
      <c r="M17" s="37"/>
    </row>
  </sheetData>
  <mergeCells count="14">
    <mergeCell ref="L2:L3"/>
    <mergeCell ref="C2:C3"/>
    <mergeCell ref="D2:D3"/>
    <mergeCell ref="E2:E3"/>
    <mergeCell ref="I2:I3"/>
    <mergeCell ref="J2:J3"/>
    <mergeCell ref="C4:C8"/>
    <mergeCell ref="C9:C14"/>
    <mergeCell ref="C15:C17"/>
    <mergeCell ref="D4:D6"/>
    <mergeCell ref="D7:D8"/>
    <mergeCell ref="D9:D11"/>
    <mergeCell ref="D12:D14"/>
    <mergeCell ref="D15:D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Табл1-1  1-2</vt:lpstr>
      <vt:lpstr>Вар1. Длинна</vt:lpstr>
      <vt:lpstr>Вар2. Длинна</vt:lpstr>
      <vt:lpstr>мережа зовнішньго електр.</vt:lpstr>
      <vt:lpstr>Таблиця 1-3</vt:lpstr>
      <vt:lpstr>Потокорозподіл</vt:lpstr>
      <vt:lpstr>Таблиця 1-4</vt:lpstr>
      <vt:lpstr>Fрозр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2021-03-28T20:27:46Z</dcterms:modified>
</cp:coreProperties>
</file>