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mbeddings/oleObject1.bin" ContentType="application/vnd.openxmlformats-officedocument.oleObject"/>
  <Override PartName="/xl/drawings/drawing6.xml" ContentType="application/vnd.openxmlformats-officedocument.drawing+xml"/>
  <Override PartName="/xl/drawings/drawing7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drawings/drawing9.xml" ContentType="application/vnd.openxmlformats-officedocument.drawing+xml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drawings/drawing10.xml" ContentType="application/vnd.openxmlformats-officedocument.drawing+xml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drawings/drawing11.xml" ContentType="application/vnd.openxmlformats-officedocument.drawing+xml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drawings/drawing12.xml" ContentType="application/vnd.openxmlformats-officedocument.drawing+xml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drawings/drawing13.xml" ContentType="application/vnd.openxmlformats-officedocument.drawing+xml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1925" windowHeight="8850" firstSheet="14" activeTab="14"/>
  </bookViews>
  <sheets>
    <sheet name="Табл1-1  1-2" sheetId="1" r:id="rId1"/>
    <sheet name="Вар1. Длинна" sheetId="2" r:id="rId2"/>
    <sheet name="Вар2. Длинна" sheetId="5" r:id="rId3"/>
    <sheet name="мережа зовнішньго електр." sheetId="7" r:id="rId4"/>
    <sheet name="Потокорозподіл" sheetId="4" r:id="rId5"/>
    <sheet name="Таблиця 1-3" sheetId="3" r:id="rId6"/>
    <sheet name="Fрозр" sheetId="8" r:id="rId7"/>
    <sheet name="мех міцн" sheetId="9" r:id="rId8"/>
    <sheet name="падіння напруги" sheetId="11" r:id="rId9"/>
    <sheet name="трансформ + компенс" sheetId="12" r:id="rId10"/>
    <sheet name="нагрів" sheetId="10" r:id="rId11"/>
    <sheet name="Втрати потужності" sheetId="14" r:id="rId12"/>
    <sheet name="Таблиця 1-4" sheetId="6" r:id="rId13"/>
    <sheet name="економ. частина" sheetId="13" r:id="rId14"/>
    <sheet name="РОЗДІЛ 2" sheetId="15" r:id="rId15"/>
    <sheet name="Table 2-4" sheetId="16" r:id="rId16"/>
    <sheet name="Tabl 2-5" sheetId="17" r:id="rId17"/>
    <sheet name="Table 2-6" sheetId="18" r:id="rId18"/>
  </sheets>
  <externalReferences>
    <externalReference r:id="rId19"/>
  </externalReferences>
  <calcPr calcId="162913"/>
</workbook>
</file>

<file path=xl/calcChain.xml><?xml version="1.0" encoding="utf-8"?>
<calcChain xmlns="http://schemas.openxmlformats.org/spreadsheetml/2006/main">
  <c r="C5" i="18" l="1"/>
  <c r="H5" i="18"/>
  <c r="I5" i="18"/>
  <c r="J5" i="18"/>
  <c r="B5" i="18" s="1"/>
  <c r="K5" i="18"/>
  <c r="D5" i="18" s="1"/>
  <c r="B6" i="18"/>
  <c r="I6" i="18"/>
  <c r="J6" i="18"/>
  <c r="A6" i="18" s="1"/>
  <c r="K6" i="18"/>
  <c r="C6" i="18" s="1"/>
  <c r="C7" i="18"/>
  <c r="I7" i="18"/>
  <c r="J7" i="18"/>
  <c r="B7" i="18" s="1"/>
  <c r="K7" i="18"/>
  <c r="D7" i="18" s="1"/>
  <c r="B8" i="18"/>
  <c r="I8" i="18"/>
  <c r="J8" i="18"/>
  <c r="A8" i="18" s="1"/>
  <c r="K8" i="18"/>
  <c r="C8" i="18" s="1"/>
  <c r="C9" i="18"/>
  <c r="I9" i="18"/>
  <c r="J9" i="18"/>
  <c r="B9" i="18" s="1"/>
  <c r="K9" i="18"/>
  <c r="D9" i="18" s="1"/>
  <c r="B10" i="18"/>
  <c r="I10" i="18"/>
  <c r="J10" i="18"/>
  <c r="A10" i="18" s="1"/>
  <c r="K10" i="18"/>
  <c r="C10" i="18" s="1"/>
  <c r="C11" i="18"/>
  <c r="I11" i="18"/>
  <c r="J11" i="18"/>
  <c r="B11" i="18" s="1"/>
  <c r="K11" i="18"/>
  <c r="D11" i="18" s="1"/>
  <c r="B12" i="18"/>
  <c r="I12" i="18"/>
  <c r="J12" i="18"/>
  <c r="A12" i="18" s="1"/>
  <c r="K12" i="18"/>
  <c r="C12" i="18" s="1"/>
  <c r="C13" i="18"/>
  <c r="I13" i="18"/>
  <c r="J13" i="18"/>
  <c r="B13" i="18" s="1"/>
  <c r="K13" i="18"/>
  <c r="D13" i="18" s="1"/>
  <c r="B14" i="18"/>
  <c r="I14" i="18"/>
  <c r="J14" i="18"/>
  <c r="A14" i="18" s="1"/>
  <c r="K14" i="18"/>
  <c r="C14" i="18" s="1"/>
  <c r="C15" i="18"/>
  <c r="I15" i="18"/>
  <c r="J15" i="18"/>
  <c r="B15" i="18" s="1"/>
  <c r="K15" i="18"/>
  <c r="D15" i="18" s="1"/>
  <c r="E22" i="18"/>
  <c r="G22" i="18"/>
  <c r="J22" i="18"/>
  <c r="E23" i="18"/>
  <c r="G23" i="18"/>
  <c r="J23" i="18"/>
  <c r="E24" i="18"/>
  <c r="G24" i="18"/>
  <c r="J24" i="18"/>
  <c r="E25" i="18"/>
  <c r="G25" i="18"/>
  <c r="J25" i="18"/>
  <c r="E26" i="18"/>
  <c r="G26" i="18"/>
  <c r="J26" i="18"/>
  <c r="N17" i="17"/>
  <c r="N16" i="17"/>
  <c r="O17" i="17" s="1"/>
  <c r="M16" i="17"/>
  <c r="O16" i="17" s="1"/>
  <c r="O15" i="17"/>
  <c r="K15" i="17"/>
  <c r="N15" i="17" s="1"/>
  <c r="J15" i="17"/>
  <c r="D15" i="17"/>
  <c r="B15" i="17"/>
  <c r="A15" i="17"/>
  <c r="L15" i="17" s="1"/>
  <c r="J14" i="17"/>
  <c r="K14" i="17" s="1"/>
  <c r="B14" i="17"/>
  <c r="A14" i="17"/>
  <c r="L14" i="17" s="1"/>
  <c r="B13" i="17"/>
  <c r="A13" i="17"/>
  <c r="L13" i="17" s="1"/>
  <c r="K12" i="17"/>
  <c r="N12" i="17" s="1"/>
  <c r="J12" i="17"/>
  <c r="D12" i="17"/>
  <c r="B12" i="17"/>
  <c r="A12" i="17"/>
  <c r="L12" i="17" s="1"/>
  <c r="J11" i="17"/>
  <c r="B11" i="17"/>
  <c r="A11" i="17"/>
  <c r="L11" i="17" s="1"/>
  <c r="J10" i="17"/>
  <c r="H10" i="17"/>
  <c r="B10" i="17"/>
  <c r="A10" i="17"/>
  <c r="L10" i="17" s="1"/>
  <c r="K9" i="17"/>
  <c r="N9" i="17" s="1"/>
  <c r="J9" i="17"/>
  <c r="H9" i="17"/>
  <c r="C9" i="17"/>
  <c r="B9" i="17"/>
  <c r="A9" i="17"/>
  <c r="L9" i="17" s="1"/>
  <c r="K8" i="17"/>
  <c r="N8" i="17" s="1"/>
  <c r="K10" i="17" s="1"/>
  <c r="J8" i="17"/>
  <c r="H8" i="17"/>
  <c r="C8" i="17"/>
  <c r="B8" i="17"/>
  <c r="A8" i="17"/>
  <c r="L8" i="17" s="1"/>
  <c r="J7" i="17"/>
  <c r="H7" i="17"/>
  <c r="B7" i="17"/>
  <c r="A7" i="17"/>
  <c r="L7" i="17" s="1"/>
  <c r="K6" i="17"/>
  <c r="N6" i="17" s="1"/>
  <c r="J6" i="17"/>
  <c r="H6" i="17"/>
  <c r="C6" i="17"/>
  <c r="B6" i="17"/>
  <c r="A6" i="17"/>
  <c r="L6" i="17" s="1"/>
  <c r="K5" i="17"/>
  <c r="N5" i="17" s="1"/>
  <c r="K7" i="17" s="1"/>
  <c r="J5" i="17"/>
  <c r="H5" i="17"/>
  <c r="C5" i="17"/>
  <c r="B5" i="17"/>
  <c r="A5" i="17"/>
  <c r="L5" i="17" s="1"/>
  <c r="M14" i="16"/>
  <c r="L14" i="16"/>
  <c r="M13" i="16"/>
  <c r="L13" i="16"/>
  <c r="C12" i="16"/>
  <c r="B12" i="16"/>
  <c r="H12" i="16" s="1"/>
  <c r="M12" i="16" s="1"/>
  <c r="A12" i="16"/>
  <c r="M11" i="16"/>
  <c r="L10" i="16"/>
  <c r="E10" i="16"/>
  <c r="D10" i="16"/>
  <c r="K10" i="16" s="1"/>
  <c r="M10" i="16" s="1"/>
  <c r="G9" i="16"/>
  <c r="E9" i="16"/>
  <c r="D9" i="16"/>
  <c r="K9" i="16" s="1"/>
  <c r="C9" i="16"/>
  <c r="B9" i="16"/>
  <c r="I9" i="16" s="1"/>
  <c r="A9" i="16"/>
  <c r="H9" i="16" s="1"/>
  <c r="J9" i="16" s="1"/>
  <c r="M9" i="16" s="1"/>
  <c r="G8" i="16"/>
  <c r="E8" i="16"/>
  <c r="D8" i="16"/>
  <c r="K8" i="16" s="1"/>
  <c r="C8" i="16"/>
  <c r="B8" i="16"/>
  <c r="I8" i="16" s="1"/>
  <c r="A8" i="16"/>
  <c r="H8" i="16" s="1"/>
  <c r="J8" i="16" s="1"/>
  <c r="M8" i="16" s="1"/>
  <c r="G7" i="16"/>
  <c r="E7" i="16"/>
  <c r="D7" i="16"/>
  <c r="K7" i="16" s="1"/>
  <c r="C7" i="16"/>
  <c r="B7" i="16"/>
  <c r="I7" i="16" s="1"/>
  <c r="A7" i="16"/>
  <c r="H7" i="16" s="1"/>
  <c r="J7" i="16" s="1"/>
  <c r="M7" i="16" s="1"/>
  <c r="L6" i="16"/>
  <c r="G6" i="16"/>
  <c r="E6" i="16"/>
  <c r="D6" i="16"/>
  <c r="K6" i="16" s="1"/>
  <c r="C6" i="16"/>
  <c r="B6" i="16"/>
  <c r="I6" i="16" s="1"/>
  <c r="A6" i="16"/>
  <c r="H6" i="16" s="1"/>
  <c r="J6" i="16" s="1"/>
  <c r="M6" i="16" s="1"/>
  <c r="L5" i="16"/>
  <c r="G5" i="16"/>
  <c r="E5" i="16"/>
  <c r="D5" i="16"/>
  <c r="K5" i="16" s="1"/>
  <c r="C5" i="16"/>
  <c r="B5" i="16"/>
  <c r="I5" i="16" s="1"/>
  <c r="A5" i="16"/>
  <c r="H5" i="16" s="1"/>
  <c r="J5" i="16" s="1"/>
  <c r="M5" i="16" s="1"/>
  <c r="J35" i="15"/>
  <c r="M34" i="15"/>
  <c r="K34" i="15"/>
  <c r="N34" i="15" s="1"/>
  <c r="I34" i="15"/>
  <c r="L34" i="15" s="1"/>
  <c r="E34" i="15"/>
  <c r="D34" i="15"/>
  <c r="J29" i="15"/>
  <c r="I29" i="15"/>
  <c r="D29" i="15"/>
  <c r="J19" i="15"/>
  <c r="H19" i="15"/>
  <c r="G19" i="15"/>
  <c r="F19" i="15"/>
  <c r="J18" i="15"/>
  <c r="H18" i="15"/>
  <c r="G18" i="15"/>
  <c r="F18" i="15"/>
  <c r="J17" i="15"/>
  <c r="H17" i="15"/>
  <c r="G17" i="15"/>
  <c r="F17" i="15"/>
  <c r="J16" i="15"/>
  <c r="H16" i="15"/>
  <c r="G16" i="15"/>
  <c r="F16" i="15"/>
  <c r="J15" i="15"/>
  <c r="H15" i="15"/>
  <c r="G15" i="15"/>
  <c r="F15" i="15"/>
  <c r="U12" i="15"/>
  <c r="Q12" i="15"/>
  <c r="T12" i="15" s="1"/>
  <c r="P12" i="15"/>
  <c r="S12" i="15" s="1"/>
  <c r="N12" i="15"/>
  <c r="M12" i="15"/>
  <c r="L12" i="15"/>
  <c r="U11" i="15"/>
  <c r="Q11" i="15"/>
  <c r="T11" i="15" s="1"/>
  <c r="P11" i="15"/>
  <c r="S11" i="15" s="1"/>
  <c r="N11" i="15"/>
  <c r="M11" i="15"/>
  <c r="L11" i="15"/>
  <c r="U10" i="15"/>
  <c r="Q10" i="15"/>
  <c r="T10" i="15" s="1"/>
  <c r="P10" i="15"/>
  <c r="S10" i="15" s="1"/>
  <c r="N10" i="15"/>
  <c r="M10" i="15"/>
  <c r="L10" i="15"/>
  <c r="G10" i="15"/>
  <c r="H10" i="15" s="1"/>
  <c r="D10" i="15"/>
  <c r="C10" i="15"/>
  <c r="C19" i="15" s="1"/>
  <c r="Q9" i="15"/>
  <c r="T9" i="15" s="1"/>
  <c r="P9" i="15"/>
  <c r="S9" i="15" s="1"/>
  <c r="N9" i="15"/>
  <c r="U9" i="15" s="1"/>
  <c r="M9" i="15"/>
  <c r="L9" i="15"/>
  <c r="G9" i="15"/>
  <c r="K18" i="15" s="1"/>
  <c r="D9" i="15"/>
  <c r="C9" i="15"/>
  <c r="C18" i="15" s="1"/>
  <c r="Q8" i="15"/>
  <c r="T8" i="15" s="1"/>
  <c r="P8" i="15"/>
  <c r="S8" i="15" s="1"/>
  <c r="N8" i="15"/>
  <c r="U8" i="15" s="1"/>
  <c r="M8" i="15"/>
  <c r="L8" i="15"/>
  <c r="G8" i="15"/>
  <c r="H8" i="15" s="1"/>
  <c r="D8" i="15"/>
  <c r="C8" i="15"/>
  <c r="C17" i="15" s="1"/>
  <c r="Q7" i="15"/>
  <c r="T7" i="15" s="1"/>
  <c r="P7" i="15"/>
  <c r="S7" i="15" s="1"/>
  <c r="N7" i="15"/>
  <c r="U7" i="15" s="1"/>
  <c r="M7" i="15"/>
  <c r="L7" i="15"/>
  <c r="G7" i="15"/>
  <c r="K16" i="15" s="1"/>
  <c r="C7" i="15"/>
  <c r="C16" i="15" s="1"/>
  <c r="U6" i="15"/>
  <c r="Q6" i="15"/>
  <c r="T6" i="15" s="1"/>
  <c r="P6" i="15"/>
  <c r="S6" i="15" s="1"/>
  <c r="N6" i="15"/>
  <c r="M6" i="15"/>
  <c r="L6" i="15"/>
  <c r="H6" i="15"/>
  <c r="G6" i="15"/>
  <c r="K15" i="15" s="1"/>
  <c r="D6" i="15"/>
  <c r="C6" i="15"/>
  <c r="C15" i="15" s="1"/>
  <c r="U5" i="15"/>
  <c r="Q5" i="15"/>
  <c r="T5" i="15" s="1"/>
  <c r="P5" i="15"/>
  <c r="S5" i="15" s="1"/>
  <c r="N5" i="15"/>
  <c r="M5" i="15"/>
  <c r="L5" i="15"/>
  <c r="A15" i="18" l="1"/>
  <c r="D14" i="18"/>
  <c r="A13" i="18"/>
  <c r="D12" i="18"/>
  <c r="A11" i="18"/>
  <c r="D10" i="18"/>
  <c r="A9" i="18"/>
  <c r="D8" i="18"/>
  <c r="A7" i="18"/>
  <c r="D6" i="18"/>
  <c r="A5" i="18"/>
  <c r="N7" i="17"/>
  <c r="K11" i="17" s="1"/>
  <c r="D7" i="17"/>
  <c r="C7" i="17"/>
  <c r="N10" i="17"/>
  <c r="D10" i="17"/>
  <c r="C10" i="17"/>
  <c r="O21" i="17"/>
  <c r="O19" i="17"/>
  <c r="D14" i="17"/>
  <c r="N14" i="17"/>
  <c r="C14" i="17"/>
  <c r="E6" i="17"/>
  <c r="M6" i="17" s="1"/>
  <c r="E9" i="17"/>
  <c r="M9" i="17" s="1"/>
  <c r="M22" i="17"/>
  <c r="D5" i="17"/>
  <c r="E5" i="17" s="1"/>
  <c r="M5" i="17" s="1"/>
  <c r="M18" i="17" s="1"/>
  <c r="D6" i="17"/>
  <c r="F6" i="17" s="1"/>
  <c r="D8" i="17"/>
  <c r="E8" i="17" s="1"/>
  <c r="M8" i="17" s="1"/>
  <c r="D9" i="17"/>
  <c r="F9" i="17" s="1"/>
  <c r="C12" i="17"/>
  <c r="C15" i="17"/>
  <c r="I15" i="16"/>
  <c r="K15" i="16"/>
  <c r="I15" i="15"/>
  <c r="I17" i="15"/>
  <c r="K17" i="15"/>
  <c r="I19" i="15"/>
  <c r="K19" i="15"/>
  <c r="H7" i="15"/>
  <c r="H9" i="15"/>
  <c r="I16" i="15"/>
  <c r="I18" i="15"/>
  <c r="M5" i="18" l="1"/>
  <c r="L5" i="18"/>
  <c r="O5" i="18" s="1"/>
  <c r="E12" i="17"/>
  <c r="M12" i="17" s="1"/>
  <c r="F12" i="17"/>
  <c r="F14" i="17"/>
  <c r="E14" i="17"/>
  <c r="M14" i="17" s="1"/>
  <c r="F8" i="17"/>
  <c r="F5" i="17"/>
  <c r="F7" i="17"/>
  <c r="E7" i="17"/>
  <c r="M7" i="17" s="1"/>
  <c r="D11" i="17"/>
  <c r="N11" i="17"/>
  <c r="K13" i="17" s="1"/>
  <c r="C11" i="17"/>
  <c r="E15" i="17"/>
  <c r="M15" i="17" s="1"/>
  <c r="F15" i="17"/>
  <c r="F10" i="17"/>
  <c r="E10" i="17"/>
  <c r="M10" i="17" s="1"/>
  <c r="H6" i="18" l="1"/>
  <c r="H23" i="18"/>
  <c r="F11" i="17"/>
  <c r="E11" i="17"/>
  <c r="M11" i="17" s="1"/>
  <c r="M19" i="17" s="1"/>
  <c r="N13" i="17"/>
  <c r="D13" i="17"/>
  <c r="C13" i="17"/>
  <c r="L6" i="18" l="1"/>
  <c r="M6" i="18"/>
  <c r="O6" i="18" s="1"/>
  <c r="H7" i="18" s="1"/>
  <c r="F13" i="17"/>
  <c r="E13" i="17"/>
  <c r="M13" i="17" s="1"/>
  <c r="M7" i="18" l="1"/>
  <c r="L7" i="18"/>
  <c r="O7" i="18" s="1"/>
  <c r="H8" i="18" l="1"/>
  <c r="H9" i="18"/>
  <c r="L8" i="18" l="1"/>
  <c r="M8" i="18"/>
  <c r="O8" i="18" s="1"/>
  <c r="M9" i="18"/>
  <c r="L9" i="18"/>
  <c r="O9" i="18" s="1"/>
  <c r="H10" i="18" l="1"/>
  <c r="H13" i="18"/>
  <c r="L10" i="18" l="1"/>
  <c r="M10" i="18"/>
  <c r="O10" i="18" s="1"/>
  <c r="M13" i="18"/>
  <c r="L13" i="18"/>
  <c r="O13" i="18" s="1"/>
  <c r="H14" i="18" l="1"/>
  <c r="H15" i="18"/>
  <c r="H12" i="18"/>
  <c r="H11" i="18"/>
  <c r="L12" i="18" l="1"/>
  <c r="M12" i="18"/>
  <c r="O12" i="18" s="1"/>
  <c r="H25" i="18" s="1"/>
  <c r="L14" i="18"/>
  <c r="O14" i="18" s="1"/>
  <c r="H24" i="18" s="1"/>
  <c r="M14" i="18"/>
  <c r="M11" i="18"/>
  <c r="L11" i="18"/>
  <c r="O11" i="18" s="1"/>
  <c r="H22" i="18" s="1"/>
  <c r="M15" i="18"/>
  <c r="L15" i="18"/>
  <c r="O15" i="18" s="1"/>
  <c r="H26" i="18" s="1"/>
  <c r="AF7" i="13" l="1"/>
  <c r="AH7" i="13"/>
  <c r="AE7" i="13"/>
  <c r="AC10" i="13"/>
  <c r="AC9" i="13"/>
  <c r="AC8" i="13"/>
  <c r="AC7" i="13"/>
  <c r="X7" i="13"/>
  <c r="T7" i="13"/>
  <c r="L7" i="13"/>
  <c r="J19" i="13"/>
  <c r="J20" i="13"/>
  <c r="J18" i="13"/>
  <c r="J15" i="13"/>
  <c r="J16" i="13"/>
  <c r="J14" i="13"/>
  <c r="J12" i="13"/>
  <c r="J11" i="13"/>
  <c r="J8" i="13"/>
  <c r="L8" i="13" s="1"/>
  <c r="J9" i="13"/>
  <c r="J7" i="13"/>
  <c r="G7" i="13"/>
  <c r="H9" i="13"/>
  <c r="G9" i="13"/>
  <c r="F9" i="13"/>
  <c r="E9" i="13"/>
  <c r="H8" i="13"/>
  <c r="G8" i="13"/>
  <c r="F8" i="13"/>
  <c r="E8" i="13"/>
  <c r="H11" i="13"/>
  <c r="H12" i="13"/>
  <c r="L9" i="13" l="1"/>
  <c r="AT8" i="13"/>
  <c r="AT7" i="13"/>
  <c r="AT10" i="13"/>
  <c r="AT9" i="13"/>
  <c r="AM10" i="13"/>
  <c r="AM9" i="13"/>
  <c r="AQ9" i="13" s="1"/>
  <c r="AW9" i="13" s="1"/>
  <c r="AM8" i="13"/>
  <c r="AM7" i="13"/>
  <c r="AQ7" i="13" s="1"/>
  <c r="AW7" i="13" s="1"/>
  <c r="AQ8" i="13"/>
  <c r="AW8" i="13" s="1"/>
  <c r="AW10" i="13" l="1"/>
  <c r="AQ10" i="13"/>
  <c r="M8" i="14"/>
  <c r="L8" i="14"/>
  <c r="N22" i="14"/>
  <c r="N18" i="14"/>
  <c r="N14" i="14"/>
  <c r="N11" i="14"/>
  <c r="P8" i="14"/>
  <c r="B36" i="1"/>
  <c r="M20" i="14"/>
  <c r="M21" i="14"/>
  <c r="M19" i="14"/>
  <c r="M17" i="14"/>
  <c r="M16" i="14"/>
  <c r="M15" i="14"/>
  <c r="M14" i="14"/>
  <c r="M13" i="14"/>
  <c r="M12" i="14"/>
  <c r="M11" i="14"/>
  <c r="M9" i="14"/>
  <c r="M10" i="14"/>
  <c r="J8" i="14"/>
  <c r="I10" i="14"/>
  <c r="L10" i="14"/>
  <c r="L9" i="14"/>
  <c r="K12" i="14"/>
  <c r="K9" i="14"/>
  <c r="K10" i="14"/>
  <c r="K8" i="14"/>
  <c r="J20" i="14"/>
  <c r="J21" i="14"/>
  <c r="J19" i="14"/>
  <c r="J16" i="14"/>
  <c r="J17" i="14"/>
  <c r="J15" i="14"/>
  <c r="J13" i="14"/>
  <c r="J12" i="14"/>
  <c r="J9" i="14"/>
  <c r="J10" i="14"/>
  <c r="I17" i="14"/>
  <c r="I16" i="14"/>
  <c r="I13" i="14"/>
  <c r="I9" i="14"/>
  <c r="H21" i="14"/>
  <c r="H20" i="14"/>
  <c r="H19" i="14"/>
  <c r="H17" i="14"/>
  <c r="H16" i="14"/>
  <c r="H15" i="14"/>
  <c r="H13" i="14"/>
  <c r="H12" i="14"/>
  <c r="H10" i="14"/>
  <c r="H9" i="14"/>
  <c r="H8" i="14"/>
  <c r="G20" i="14"/>
  <c r="G21" i="14"/>
  <c r="G19" i="14"/>
  <c r="G17" i="14"/>
  <c r="G16" i="14"/>
  <c r="G15" i="14"/>
  <c r="G13" i="14"/>
  <c r="G12" i="14"/>
  <c r="G10" i="14"/>
  <c r="G9" i="14"/>
  <c r="G8" i="14"/>
  <c r="A20" i="14"/>
  <c r="A21" i="14"/>
  <c r="B20" i="14"/>
  <c r="B21" i="14"/>
  <c r="B19" i="14"/>
  <c r="A19" i="14"/>
  <c r="B16" i="14"/>
  <c r="B17" i="14"/>
  <c r="A16" i="14"/>
  <c r="A17" i="14"/>
  <c r="B15" i="14"/>
  <c r="A15" i="14"/>
  <c r="A13" i="14"/>
  <c r="B13" i="14"/>
  <c r="B12" i="14"/>
  <c r="A12" i="14"/>
  <c r="B10" i="14"/>
  <c r="A10" i="14"/>
  <c r="B9" i="14"/>
  <c r="A9" i="14"/>
  <c r="B8" i="14"/>
  <c r="A8" i="14"/>
  <c r="E8" i="14"/>
  <c r="E20" i="14" l="1"/>
  <c r="E21" i="14"/>
  <c r="E19" i="14"/>
  <c r="E16" i="14"/>
  <c r="E17" i="14"/>
  <c r="E15" i="14"/>
  <c r="E13" i="14"/>
  <c r="E12" i="14"/>
  <c r="E9" i="14"/>
  <c r="E10" i="14"/>
  <c r="L21" i="14"/>
  <c r="L20" i="14"/>
  <c r="L19" i="14"/>
  <c r="L17" i="14"/>
  <c r="L15" i="14"/>
  <c r="L12" i="14"/>
  <c r="F12" i="14"/>
  <c r="F13" i="14" s="1"/>
  <c r="F15" i="14" l="1"/>
  <c r="F19" i="14" s="1"/>
  <c r="F20" i="14" s="1"/>
  <c r="L16" i="14"/>
  <c r="F16" i="14"/>
  <c r="F9" i="14"/>
  <c r="F10" i="14" s="1"/>
  <c r="L13" i="14"/>
  <c r="F17" i="14" l="1"/>
  <c r="F21" i="14"/>
  <c r="M22" i="14" l="1"/>
  <c r="M18" i="14"/>
  <c r="AF9" i="13" l="1"/>
  <c r="X10" i="13"/>
  <c r="X9" i="13"/>
  <c r="T10" i="13"/>
  <c r="AF10" i="13" s="1"/>
  <c r="T9" i="13"/>
  <c r="X8" i="13"/>
  <c r="T8" i="13"/>
  <c r="AF8" i="13" s="1"/>
  <c r="J5" i="13" l="1"/>
  <c r="F19" i="13"/>
  <c r="F20" i="13"/>
  <c r="F18" i="13"/>
  <c r="F15" i="13"/>
  <c r="F16" i="13"/>
  <c r="F14" i="13"/>
  <c r="F12" i="13"/>
  <c r="F11" i="13"/>
  <c r="F6" i="13"/>
  <c r="F7" i="13"/>
  <c r="F5" i="13"/>
  <c r="L5" i="13" l="1"/>
  <c r="L11" i="13"/>
  <c r="E18" i="13"/>
  <c r="E15" i="13"/>
  <c r="E16" i="13"/>
  <c r="E14" i="13"/>
  <c r="E12" i="13"/>
  <c r="E11" i="13"/>
  <c r="E19" i="13"/>
  <c r="E20" i="13"/>
  <c r="E6" i="13"/>
  <c r="E7" i="13"/>
  <c r="E5" i="13"/>
  <c r="L19" i="13"/>
  <c r="H20" i="13"/>
  <c r="H19" i="13"/>
  <c r="H18" i="13"/>
  <c r="H16" i="13"/>
  <c r="G16" i="13"/>
  <c r="H15" i="13"/>
  <c r="G15" i="13"/>
  <c r="L14" i="13"/>
  <c r="H14" i="13"/>
  <c r="G14" i="13"/>
  <c r="G12" i="13"/>
  <c r="G11" i="13"/>
  <c r="L16" i="13" l="1"/>
  <c r="L12" i="13"/>
  <c r="L13" i="13" s="1"/>
  <c r="L15" i="13"/>
  <c r="L17" i="13" s="1"/>
  <c r="AU9" i="13" s="1"/>
  <c r="L18" i="13"/>
  <c r="L21" i="13" s="1"/>
  <c r="L20" i="13"/>
  <c r="J6" i="13"/>
  <c r="L6" i="13" s="1"/>
  <c r="H6" i="13"/>
  <c r="H5" i="13"/>
  <c r="AU10" i="13" l="1"/>
  <c r="AE10" i="13"/>
  <c r="AE9" i="13"/>
  <c r="AU8" i="13"/>
  <c r="AE8" i="13"/>
  <c r="H7" i="13"/>
  <c r="G6" i="13"/>
  <c r="G5" i="13"/>
  <c r="D5" i="13"/>
  <c r="AU7" i="13" l="1"/>
  <c r="L10" i="13"/>
  <c r="AH8" i="13"/>
  <c r="AI8" i="13" s="1"/>
  <c r="AV8" i="13" s="1"/>
  <c r="AX8" i="13" s="1"/>
  <c r="AY8" i="13" s="1"/>
  <c r="AH10" i="13"/>
  <c r="AI10" i="13" s="1"/>
  <c r="AV10" i="13" s="1"/>
  <c r="AX10" i="13" s="1"/>
  <c r="AY10" i="13" s="1"/>
  <c r="AH9" i="13"/>
  <c r="AI9" i="13" s="1"/>
  <c r="AV9" i="13" s="1"/>
  <c r="AX9" i="13" s="1"/>
  <c r="AY9" i="13" s="1"/>
  <c r="J44" i="12"/>
  <c r="J45" i="12"/>
  <c r="J46" i="12"/>
  <c r="I45" i="12"/>
  <c r="I46" i="12"/>
  <c r="I44" i="12"/>
  <c r="G44" i="12"/>
  <c r="F44" i="12"/>
  <c r="H31" i="12"/>
  <c r="H32" i="12"/>
  <c r="F45" i="12" s="1"/>
  <c r="H33" i="12"/>
  <c r="F46" i="12" s="1"/>
  <c r="H34" i="12"/>
  <c r="H35" i="12"/>
  <c r="H30" i="12"/>
  <c r="G31" i="12"/>
  <c r="G32" i="12"/>
  <c r="G33" i="12"/>
  <c r="G34" i="12"/>
  <c r="G35" i="12"/>
  <c r="G30" i="12"/>
  <c r="K28" i="12"/>
  <c r="J41" i="12" s="1"/>
  <c r="J28" i="12"/>
  <c r="I41" i="12" s="1"/>
  <c r="I28" i="12"/>
  <c r="K21" i="12"/>
  <c r="E34" i="12" s="1"/>
  <c r="K20" i="12"/>
  <c r="E33" i="12" s="1"/>
  <c r="K19" i="12"/>
  <c r="E32" i="12" s="1"/>
  <c r="K18" i="12"/>
  <c r="E31" i="12" s="1"/>
  <c r="K17" i="12"/>
  <c r="K22" i="12"/>
  <c r="E35" i="12" s="1"/>
  <c r="J22" i="12"/>
  <c r="I18" i="12"/>
  <c r="I19" i="12"/>
  <c r="I20" i="12"/>
  <c r="I21" i="12"/>
  <c r="I22" i="12"/>
  <c r="I17" i="12"/>
  <c r="B18" i="12"/>
  <c r="E18" i="12" s="1"/>
  <c r="B19" i="12"/>
  <c r="E19" i="12" s="1"/>
  <c r="B20" i="12"/>
  <c r="E20" i="12" s="1"/>
  <c r="B21" i="12"/>
  <c r="E21" i="12" s="1"/>
  <c r="B22" i="12"/>
  <c r="E22" i="12" s="1"/>
  <c r="A18" i="12"/>
  <c r="D18" i="12" s="1"/>
  <c r="A19" i="12"/>
  <c r="D19" i="12" s="1"/>
  <c r="A20" i="12"/>
  <c r="D20" i="12" s="1"/>
  <c r="A21" i="12"/>
  <c r="D21" i="12" s="1"/>
  <c r="A22" i="12"/>
  <c r="D22" i="12" s="1"/>
  <c r="B17" i="12"/>
  <c r="E17" i="12" s="1"/>
  <c r="A17" i="12"/>
  <c r="D17" i="12" s="1"/>
  <c r="AI7" i="13" l="1"/>
  <c r="AV7" i="13" s="1"/>
  <c r="AX7" i="13" s="1"/>
  <c r="AZ10" i="13"/>
  <c r="BA10" i="13" s="1"/>
  <c r="AY7" i="13"/>
  <c r="AZ8" i="13" s="1"/>
  <c r="BA8" i="13" s="1"/>
  <c r="F21" i="12"/>
  <c r="F19" i="12"/>
  <c r="E30" i="12"/>
  <c r="F17" i="12"/>
  <c r="G17" i="12" s="1"/>
  <c r="G21" i="12"/>
  <c r="G19" i="12"/>
  <c r="F22" i="12"/>
  <c r="G22" i="12" s="1"/>
  <c r="F20" i="12"/>
  <c r="G20" i="12" s="1"/>
  <c r="F18" i="12"/>
  <c r="G18" i="12" s="1"/>
  <c r="K23" i="12"/>
  <c r="B5" i="12"/>
  <c r="A5" i="12"/>
  <c r="A30" i="12" s="1"/>
  <c r="C6" i="12"/>
  <c r="C18" i="12" s="1"/>
  <c r="C31" i="12" s="1"/>
  <c r="C7" i="12"/>
  <c r="C19" i="12" s="1"/>
  <c r="C32" i="12" s="1"/>
  <c r="C8" i="12"/>
  <c r="C20" i="12" s="1"/>
  <c r="C33" i="12" s="1"/>
  <c r="C9" i="12"/>
  <c r="C21" i="12" s="1"/>
  <c r="C34" i="12" s="1"/>
  <c r="C10" i="12"/>
  <c r="C22" i="12" s="1"/>
  <c r="C35" i="12" s="1"/>
  <c r="C5" i="12"/>
  <c r="C17" i="12" s="1"/>
  <c r="C30" i="12" s="1"/>
  <c r="B6" i="12"/>
  <c r="B31" i="12" s="1"/>
  <c r="B7" i="12"/>
  <c r="B32" i="12" s="1"/>
  <c r="F32" i="12" s="1"/>
  <c r="B8" i="12"/>
  <c r="B33" i="12" s="1"/>
  <c r="B9" i="12"/>
  <c r="B34" i="12" s="1"/>
  <c r="F34" i="12" s="1"/>
  <c r="J34" i="12" s="1"/>
  <c r="B10" i="12"/>
  <c r="B35" i="12" s="1"/>
  <c r="A6" i="12"/>
  <c r="A31" i="12" s="1"/>
  <c r="A7" i="12"/>
  <c r="A32" i="12" s="1"/>
  <c r="A8" i="12"/>
  <c r="A33" i="12" s="1"/>
  <c r="A9" i="12"/>
  <c r="A34" i="12" s="1"/>
  <c r="A10" i="12"/>
  <c r="A35" i="12" s="1"/>
  <c r="G23" i="12" l="1"/>
  <c r="D45" i="12"/>
  <c r="E45" i="12" s="1"/>
  <c r="J32" i="12"/>
  <c r="E10" i="12"/>
  <c r="E8" i="12"/>
  <c r="E6" i="12"/>
  <c r="E5" i="12"/>
  <c r="B30" i="12"/>
  <c r="F30" i="12" s="1"/>
  <c r="J30" i="12" s="1"/>
  <c r="F35" i="12"/>
  <c r="J35" i="12" s="1"/>
  <c r="F33" i="12"/>
  <c r="F31" i="12"/>
  <c r="E9" i="12"/>
  <c r="E7" i="12"/>
  <c r="L23" i="12"/>
  <c r="E14" i="10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J33" i="12" l="1"/>
  <c r="D46" i="12"/>
  <c r="E46" i="12" s="1"/>
  <c r="D34" i="12"/>
  <c r="K34" i="12" s="1"/>
  <c r="F9" i="12"/>
  <c r="D31" i="12"/>
  <c r="K31" i="12" s="1"/>
  <c r="F6" i="12"/>
  <c r="D35" i="12"/>
  <c r="K35" i="12" s="1"/>
  <c r="F10" i="12"/>
  <c r="D32" i="12"/>
  <c r="K32" i="12" s="1"/>
  <c r="F7" i="12"/>
  <c r="D44" i="12"/>
  <c r="E44" i="12" s="1"/>
  <c r="J31" i="12"/>
  <c r="D30" i="12"/>
  <c r="K30" i="12" s="1"/>
  <c r="F5" i="12"/>
  <c r="D33" i="12"/>
  <c r="K33" i="12" s="1"/>
  <c r="F8" i="12"/>
  <c r="L7" i="11"/>
  <c r="L6" i="11"/>
  <c r="E6" i="10"/>
  <c r="E16" i="10"/>
  <c r="E13" i="10"/>
  <c r="E5" i="10"/>
  <c r="Q13" i="4"/>
  <c r="Q12" i="4"/>
  <c r="Q2" i="4"/>
  <c r="J5" i="4"/>
  <c r="K5" i="4"/>
  <c r="K10" i="4"/>
  <c r="K8" i="12" l="1"/>
  <c r="J8" i="12"/>
  <c r="G8" i="12"/>
  <c r="G5" i="12"/>
  <c r="K5" i="12"/>
  <c r="J5" i="12"/>
  <c r="J7" i="12"/>
  <c r="K7" i="12"/>
  <c r="G7" i="12"/>
  <c r="K10" i="12"/>
  <c r="G10" i="12"/>
  <c r="J10" i="12"/>
  <c r="K6" i="12"/>
  <c r="J6" i="12"/>
  <c r="G6" i="12"/>
  <c r="K9" i="12"/>
  <c r="J9" i="12"/>
  <c r="G9" i="12"/>
  <c r="L6" i="3"/>
  <c r="M6" i="3"/>
  <c r="K6" i="3"/>
  <c r="J6" i="3"/>
  <c r="H23" i="5" l="1"/>
  <c r="G23" i="5"/>
  <c r="H25" i="5"/>
  <c r="G25" i="5"/>
  <c r="G5" i="5"/>
  <c r="H7" i="5"/>
  <c r="H6" i="3"/>
  <c r="G6" i="3"/>
  <c r="F6" i="3"/>
  <c r="P19" i="2"/>
  <c r="P20" i="2"/>
  <c r="P18" i="2"/>
  <c r="Q18" i="2"/>
  <c r="E6" i="3"/>
  <c r="D6" i="3"/>
  <c r="H5" i="2"/>
  <c r="I5" i="2"/>
  <c r="P5" i="4" l="1"/>
  <c r="K29" i="11" l="1"/>
  <c r="J31" i="11"/>
  <c r="J29" i="11"/>
  <c r="H30" i="11"/>
  <c r="J30" i="11" s="1"/>
  <c r="I31" i="11"/>
  <c r="K31" i="11" s="1"/>
  <c r="I30" i="11"/>
  <c r="K30" i="11" s="1"/>
  <c r="I24" i="11"/>
  <c r="H24" i="11"/>
  <c r="F30" i="11"/>
  <c r="F31" i="11"/>
  <c r="F29" i="11"/>
  <c r="F33" i="4" l="1"/>
  <c r="F31" i="4"/>
  <c r="F25" i="4"/>
  <c r="F27" i="4"/>
  <c r="F26" i="4"/>
  <c r="G25" i="4"/>
  <c r="B26" i="1"/>
  <c r="A26" i="1"/>
  <c r="C26" i="1"/>
  <c r="D26" i="1" s="1"/>
  <c r="A29" i="1" s="1"/>
  <c r="A32" i="1" s="1"/>
  <c r="K22" i="11"/>
  <c r="J22" i="11"/>
  <c r="H25" i="11"/>
  <c r="H13" i="11"/>
  <c r="F25" i="11"/>
  <c r="F26" i="11"/>
  <c r="F24" i="11"/>
  <c r="I18" i="11"/>
  <c r="K18" i="11" s="1"/>
  <c r="I17" i="11"/>
  <c r="K17" i="11" s="1"/>
  <c r="H18" i="11"/>
  <c r="H26" i="11" s="1"/>
  <c r="H17" i="11"/>
  <c r="J17" i="11" s="1"/>
  <c r="G21" i="11"/>
  <c r="K21" i="11" s="1"/>
  <c r="L22" i="11"/>
  <c r="F22" i="11"/>
  <c r="F21" i="11"/>
  <c r="E22" i="11"/>
  <c r="E21" i="11"/>
  <c r="F18" i="11"/>
  <c r="F17" i="11"/>
  <c r="L18" i="11"/>
  <c r="L17" i="11"/>
  <c r="E18" i="11"/>
  <c r="E17" i="11"/>
  <c r="I14" i="11"/>
  <c r="H14" i="11"/>
  <c r="F14" i="11"/>
  <c r="F13" i="11"/>
  <c r="I13" i="11"/>
  <c r="H4" i="8"/>
  <c r="F8" i="4"/>
  <c r="E8" i="4"/>
  <c r="D8" i="4"/>
  <c r="G13" i="11" s="1"/>
  <c r="J13" i="11" s="1"/>
  <c r="E9" i="4"/>
  <c r="E9" i="11"/>
  <c r="F11" i="11"/>
  <c r="F10" i="11"/>
  <c r="E11" i="11"/>
  <c r="E10" i="11"/>
  <c r="E6" i="11"/>
  <c r="F7" i="11"/>
  <c r="F6" i="11"/>
  <c r="E7" i="11"/>
  <c r="M22" i="11" l="1"/>
  <c r="K13" i="11"/>
  <c r="J18" i="11"/>
  <c r="M18" i="11" s="1"/>
  <c r="I26" i="11"/>
  <c r="J21" i="11"/>
  <c r="H17" i="10"/>
  <c r="E17" i="10"/>
  <c r="G20" i="10"/>
  <c r="H8" i="8"/>
  <c r="H9" i="8"/>
  <c r="H10" i="8"/>
  <c r="H11" i="8"/>
  <c r="H12" i="8"/>
  <c r="H13" i="8"/>
  <c r="H14" i="8"/>
  <c r="H7" i="8"/>
  <c r="H6" i="8"/>
  <c r="H5" i="8"/>
  <c r="E14" i="4"/>
  <c r="O10" i="4"/>
  <c r="N10" i="4"/>
  <c r="F16" i="10" l="1"/>
  <c r="H16" i="10" s="1"/>
  <c r="L21" i="11"/>
  <c r="M21" i="11" s="1"/>
  <c r="M23" i="11" s="1"/>
  <c r="E8" i="10"/>
  <c r="A12" i="8"/>
  <c r="B8" i="8"/>
  <c r="B7" i="8"/>
  <c r="A8" i="8"/>
  <c r="G8" i="8" s="1"/>
  <c r="J8" i="8" s="1"/>
  <c r="K8" i="8" s="1"/>
  <c r="F12" i="6"/>
  <c r="A13" i="8" s="1"/>
  <c r="F13" i="6"/>
  <c r="F11" i="6"/>
  <c r="F7" i="6"/>
  <c r="F14" i="6"/>
  <c r="F16" i="6"/>
  <c r="C8" i="4"/>
  <c r="C9" i="4"/>
  <c r="D9" i="4"/>
  <c r="G14" i="11" s="1"/>
  <c r="K14" i="11" l="1"/>
  <c r="J14" i="11"/>
  <c r="E11" i="10"/>
  <c r="D7" i="4"/>
  <c r="L10" i="4"/>
  <c r="L11" i="11" l="1"/>
  <c r="L14" i="11"/>
  <c r="I9" i="10"/>
  <c r="H9" i="10"/>
  <c r="F17" i="10"/>
  <c r="F14" i="10"/>
  <c r="H14" i="10" s="1"/>
  <c r="F13" i="10"/>
  <c r="H13" i="10" s="1"/>
  <c r="F6" i="10"/>
  <c r="H6" i="10" s="1"/>
  <c r="E9" i="10"/>
  <c r="F9" i="10" s="1"/>
  <c r="F8" i="10"/>
  <c r="H8" i="10" s="1"/>
  <c r="G21" i="10"/>
  <c r="G22" i="10"/>
  <c r="G23" i="10"/>
  <c r="F10" i="9"/>
  <c r="B13" i="8"/>
  <c r="B14" i="8"/>
  <c r="E19" i="10" l="1"/>
  <c r="L25" i="11" s="1"/>
  <c r="G13" i="8"/>
  <c r="M17" i="11"/>
  <c r="M19" i="11" s="1"/>
  <c r="M14" i="11"/>
  <c r="F5" i="10"/>
  <c r="H5" i="10" s="1"/>
  <c r="F6" i="9"/>
  <c r="F7" i="9"/>
  <c r="F8" i="9"/>
  <c r="F9" i="9"/>
  <c r="F5" i="9"/>
  <c r="F19" i="10" l="1"/>
  <c r="J13" i="8"/>
  <c r="K13" i="8" s="1"/>
  <c r="Q26" i="5"/>
  <c r="Q25" i="5"/>
  <c r="P26" i="5"/>
  <c r="P25" i="5"/>
  <c r="H6" i="5"/>
  <c r="G6" i="5" s="1"/>
  <c r="P23" i="5" s="1"/>
  <c r="Q24" i="5"/>
  <c r="P24" i="5" s="1"/>
  <c r="H17" i="8"/>
  <c r="H16" i="8"/>
  <c r="H15" i="8"/>
  <c r="A14" i="8"/>
  <c r="E20" i="10" l="1"/>
  <c r="L26" i="11" s="1"/>
  <c r="G14" i="8"/>
  <c r="G27" i="4"/>
  <c r="B17" i="8" s="1"/>
  <c r="B15" i="8"/>
  <c r="J14" i="8" l="1"/>
  <c r="K14" i="8" s="1"/>
  <c r="G26" i="4"/>
  <c r="A15" i="8"/>
  <c r="G15" i="8" s="1"/>
  <c r="A17" i="8"/>
  <c r="G17" i="8" s="1"/>
  <c r="J17" i="8" l="1"/>
  <c r="K17" i="8" s="1"/>
  <c r="J15" i="8"/>
  <c r="K15" i="8" s="1"/>
  <c r="B16" i="8"/>
  <c r="A16" i="8"/>
  <c r="G16" i="8" s="1"/>
  <c r="F15" i="6"/>
  <c r="K7" i="3"/>
  <c r="J16" i="8" l="1"/>
  <c r="K16" i="8" s="1"/>
  <c r="F34" i="4"/>
  <c r="F22" i="1"/>
  <c r="J16" i="1"/>
  <c r="K16" i="1"/>
  <c r="K19" i="1" s="1"/>
  <c r="I4" i="8" l="1"/>
  <c r="I5" i="8" l="1"/>
  <c r="I6" i="8"/>
  <c r="I7" i="8"/>
  <c r="I8" i="8"/>
  <c r="I9" i="8"/>
  <c r="I10" i="8"/>
  <c r="I11" i="8"/>
  <c r="I12" i="8"/>
  <c r="I13" i="8"/>
  <c r="I14" i="8"/>
  <c r="I15" i="8"/>
  <c r="I16" i="8"/>
  <c r="I17" i="8"/>
  <c r="E23" i="10" l="1"/>
  <c r="L31" i="11" s="1"/>
  <c r="M31" i="11" s="1"/>
  <c r="E21" i="10"/>
  <c r="L29" i="11" s="1"/>
  <c r="M29" i="11" s="1"/>
  <c r="K20" i="4"/>
  <c r="M33" i="11" l="1"/>
  <c r="E22" i="10"/>
  <c r="L30" i="11" s="1"/>
  <c r="M30" i="11" s="1"/>
  <c r="M32" i="11" s="1"/>
  <c r="F21" i="10" l="1"/>
  <c r="H21" i="10" s="1"/>
  <c r="F23" i="10"/>
  <c r="H23" i="10" s="1"/>
  <c r="D16" i="6"/>
  <c r="D23" i="10" s="1"/>
  <c r="D15" i="6"/>
  <c r="D22" i="10" s="1"/>
  <c r="D14" i="6"/>
  <c r="D21" i="10" s="1"/>
  <c r="H5" i="5"/>
  <c r="E8" i="6" s="1"/>
  <c r="J4" i="7"/>
  <c r="J5" i="7"/>
  <c r="J6" i="7"/>
  <c r="J7" i="7"/>
  <c r="J8" i="7"/>
  <c r="J9" i="7"/>
  <c r="J10" i="7"/>
  <c r="J3" i="7"/>
  <c r="K4" i="7"/>
  <c r="L4" i="7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L3" i="7"/>
  <c r="K3" i="7"/>
  <c r="H3" i="7"/>
  <c r="I3" i="7"/>
  <c r="G3" i="7"/>
  <c r="E9" i="6"/>
  <c r="D12" i="6"/>
  <c r="E13" i="8" s="1"/>
  <c r="D19" i="10" s="1"/>
  <c r="E25" i="11" s="1"/>
  <c r="D13" i="6"/>
  <c r="E14" i="8" s="1"/>
  <c r="D20" i="10" s="1"/>
  <c r="E26" i="11" s="1"/>
  <c r="D11" i="6"/>
  <c r="E12" i="8" s="1"/>
  <c r="D18" i="10" s="1"/>
  <c r="E24" i="11" s="1"/>
  <c r="D9" i="6"/>
  <c r="E10" i="8" s="1"/>
  <c r="D10" i="6"/>
  <c r="E11" i="8" s="1"/>
  <c r="D8" i="6"/>
  <c r="E9" i="8" s="1"/>
  <c r="I4" i="7" l="1"/>
  <c r="H4" i="7" s="1"/>
  <c r="I6" i="7"/>
  <c r="H6" i="7" s="1"/>
  <c r="E16" i="6" s="1"/>
  <c r="H16" i="6" s="1"/>
  <c r="I5" i="7"/>
  <c r="H5" i="7" s="1"/>
  <c r="E15" i="6" s="1"/>
  <c r="E26" i="4" s="1"/>
  <c r="E14" i="6"/>
  <c r="E25" i="4" s="1"/>
  <c r="F22" i="10"/>
  <c r="H22" i="10" s="1"/>
  <c r="E16" i="8"/>
  <c r="D26" i="4"/>
  <c r="H14" i="6"/>
  <c r="H15" i="6"/>
  <c r="E15" i="8"/>
  <c r="D25" i="4"/>
  <c r="E17" i="8"/>
  <c r="D27" i="4"/>
  <c r="E27" i="4"/>
  <c r="H7" i="7" l="1"/>
  <c r="F11" i="10"/>
  <c r="H11" i="10" s="1"/>
  <c r="H19" i="10"/>
  <c r="F20" i="10"/>
  <c r="H20" i="10" s="1"/>
  <c r="F14" i="4" l="1"/>
  <c r="B12" i="8" s="1"/>
  <c r="E18" i="10" l="1"/>
  <c r="L24" i="11" s="1"/>
  <c r="G12" i="8"/>
  <c r="C13" i="4"/>
  <c r="C15" i="4"/>
  <c r="C16" i="4"/>
  <c r="C14" i="4"/>
  <c r="D12" i="4"/>
  <c r="D11" i="4"/>
  <c r="J17" i="4" s="1"/>
  <c r="C12" i="4"/>
  <c r="C11" i="4"/>
  <c r="E7" i="6"/>
  <c r="H7" i="6" s="1"/>
  <c r="E6" i="6"/>
  <c r="D7" i="6"/>
  <c r="D6" i="6"/>
  <c r="C6" i="4"/>
  <c r="D4" i="6" s="1"/>
  <c r="E5" i="8" s="1"/>
  <c r="C7" i="4"/>
  <c r="D5" i="6" s="1"/>
  <c r="E6" i="8" s="1"/>
  <c r="C5" i="4"/>
  <c r="D3" i="6" s="1"/>
  <c r="E4" i="8" s="1"/>
  <c r="D6" i="4"/>
  <c r="E4" i="6" s="1"/>
  <c r="E5" i="6"/>
  <c r="D5" i="4"/>
  <c r="E3" i="6" s="1"/>
  <c r="G10" i="11" s="1"/>
  <c r="F18" i="10" l="1"/>
  <c r="J12" i="8"/>
  <c r="K12" i="8" s="1"/>
  <c r="G7" i="11"/>
  <c r="J10" i="11"/>
  <c r="K10" i="11"/>
  <c r="G6" i="11"/>
  <c r="H18" i="10"/>
  <c r="E8" i="8"/>
  <c r="E14" i="11" s="1"/>
  <c r="D11" i="10"/>
  <c r="E7" i="8"/>
  <c r="E13" i="11" s="1"/>
  <c r="D10" i="10"/>
  <c r="M7" i="4"/>
  <c r="J7" i="4"/>
  <c r="P7" i="4"/>
  <c r="R3" i="4"/>
  <c r="B14" i="4"/>
  <c r="B11" i="4"/>
  <c r="J7" i="11" l="1"/>
  <c r="G11" i="11"/>
  <c r="K7" i="11"/>
  <c r="K6" i="11"/>
  <c r="J6" i="11"/>
  <c r="Q5" i="4"/>
  <c r="F6" i="4" s="1"/>
  <c r="B5" i="8" s="1"/>
  <c r="N5" i="4"/>
  <c r="F7" i="4" s="1"/>
  <c r="B6" i="8" s="1"/>
  <c r="F7" i="3"/>
  <c r="Q23" i="5"/>
  <c r="T5" i="5"/>
  <c r="K11" i="11" l="1"/>
  <c r="J11" i="11"/>
  <c r="M6" i="11"/>
  <c r="M7" i="11"/>
  <c r="R2" i="4"/>
  <c r="F5" i="4"/>
  <c r="B4" i="8" s="1"/>
  <c r="H7" i="3"/>
  <c r="G7" i="3"/>
  <c r="E7" i="3"/>
  <c r="D7" i="3"/>
  <c r="M11" i="11" l="1"/>
  <c r="M8" i="11"/>
  <c r="Z24" i="5"/>
  <c r="Y24" i="5" s="1"/>
  <c r="Z25" i="5"/>
  <c r="Y25" i="5" s="1"/>
  <c r="Z23" i="5"/>
  <c r="Y23" i="5" s="1"/>
  <c r="O23" i="5"/>
  <c r="F23" i="5"/>
  <c r="F25" i="5"/>
  <c r="H22" i="5"/>
  <c r="Q22" i="5" s="1"/>
  <c r="Z22" i="5" s="1"/>
  <c r="G22" i="5"/>
  <c r="P22" i="5" s="1"/>
  <c r="Y22" i="5" s="1"/>
  <c r="F22" i="5"/>
  <c r="O22" i="5" s="1"/>
  <c r="X22" i="5" s="1"/>
  <c r="T6" i="5"/>
  <c r="U6" i="5"/>
  <c r="U5" i="5"/>
  <c r="S6" i="5"/>
  <c r="S5" i="5"/>
  <c r="H18" i="2"/>
  <c r="U4" i="5"/>
  <c r="T4" i="5"/>
  <c r="S4" i="5"/>
  <c r="K2" i="2"/>
  <c r="L8" i="2"/>
  <c r="G17" i="2"/>
  <c r="G7" i="5" l="1"/>
  <c r="E10" i="6"/>
  <c r="D13" i="4"/>
  <c r="I6" i="3"/>
  <c r="E11" i="6"/>
  <c r="D14" i="4"/>
  <c r="L7" i="3"/>
  <c r="E13" i="6"/>
  <c r="D16" i="4"/>
  <c r="E12" i="6"/>
  <c r="D15" i="4"/>
  <c r="W7" i="2"/>
  <c r="W6" i="2"/>
  <c r="W5" i="2"/>
  <c r="V5" i="2"/>
  <c r="V8" i="2"/>
  <c r="P21" i="2"/>
  <c r="Q21" i="2"/>
  <c r="Q19" i="2"/>
  <c r="Q20" i="2"/>
  <c r="H29" i="2"/>
  <c r="G29" i="2"/>
  <c r="H30" i="2"/>
  <c r="H28" i="2"/>
  <c r="G30" i="2"/>
  <c r="G28" i="2"/>
  <c r="I6" i="2"/>
  <c r="I7" i="2"/>
  <c r="H7" i="2"/>
  <c r="H6" i="2"/>
  <c r="M3" i="2"/>
  <c r="M4" i="2"/>
  <c r="M5" i="2"/>
  <c r="M6" i="2"/>
  <c r="M7" i="2"/>
  <c r="M2" i="2"/>
  <c r="G18" i="2"/>
  <c r="B29" i="1"/>
  <c r="B32" i="1" s="1"/>
  <c r="C32" i="1" s="1"/>
  <c r="G16" i="1"/>
  <c r="H16" i="1" s="1"/>
  <c r="G21" i="1"/>
  <c r="G19" i="1"/>
  <c r="G18" i="1"/>
  <c r="G17" i="1"/>
  <c r="G20" i="1"/>
  <c r="G25" i="11" l="1"/>
  <c r="H12" i="6"/>
  <c r="G26" i="11"/>
  <c r="H13" i="6"/>
  <c r="G24" i="11"/>
  <c r="H11" i="6"/>
  <c r="F16" i="1"/>
  <c r="D16" i="1"/>
  <c r="D21" i="1"/>
  <c r="B22" i="1"/>
  <c r="C11" i="1"/>
  <c r="B11" i="1"/>
  <c r="K24" i="11" l="1"/>
  <c r="J24" i="11"/>
  <c r="M24" i="11" s="1"/>
  <c r="J26" i="11"/>
  <c r="K26" i="11"/>
  <c r="K25" i="11"/>
  <c r="J25" i="11"/>
  <c r="M25" i="11" s="1"/>
  <c r="O20" i="4"/>
  <c r="N20" i="4"/>
  <c r="L20" i="4"/>
  <c r="I5" i="3"/>
  <c r="M7" i="3"/>
  <c r="V4" i="2"/>
  <c r="W4" i="2"/>
  <c r="U4" i="2"/>
  <c r="P17" i="2"/>
  <c r="Q17" i="2"/>
  <c r="O17" i="2"/>
  <c r="H17" i="2"/>
  <c r="G19" i="2"/>
  <c r="K3" i="2"/>
  <c r="K4" i="2"/>
  <c r="K5" i="2"/>
  <c r="K6" i="2"/>
  <c r="K7" i="2"/>
  <c r="M8" i="2"/>
  <c r="M28" i="11" l="1"/>
  <c r="M26" i="11"/>
  <c r="M27" i="11" s="1"/>
  <c r="H19" i="2"/>
  <c r="V7" i="2"/>
  <c r="V6" i="2"/>
  <c r="R13" i="4"/>
  <c r="H21" i="1"/>
  <c r="H20" i="1"/>
  <c r="H19" i="1"/>
  <c r="H18" i="1"/>
  <c r="H17" i="1"/>
  <c r="F21" i="1"/>
  <c r="F20" i="1"/>
  <c r="F19" i="1"/>
  <c r="F18" i="1"/>
  <c r="F17" i="1"/>
  <c r="D20" i="1"/>
  <c r="D19" i="1"/>
  <c r="D18" i="1"/>
  <c r="D17" i="1"/>
  <c r="D22" i="1"/>
  <c r="H22" i="1" l="1"/>
  <c r="J19" i="1" s="1"/>
  <c r="L19" i="1" s="1"/>
  <c r="P17" i="4"/>
  <c r="I7" i="3"/>
  <c r="M17" i="4"/>
  <c r="J7" i="3"/>
  <c r="P15" i="4" l="1"/>
  <c r="M15" i="4" s="1"/>
  <c r="E13" i="4" s="1"/>
  <c r="J15" i="4"/>
  <c r="E11" i="4" s="1"/>
  <c r="Q15" i="4"/>
  <c r="K15" i="4"/>
  <c r="F11" i="4" s="1"/>
  <c r="B9" i="8" s="1"/>
  <c r="E12" i="4" l="1"/>
  <c r="A9" i="8"/>
  <c r="G9" i="8" s="1"/>
  <c r="J9" i="8" s="1"/>
  <c r="K9" i="8" s="1"/>
  <c r="F8" i="6"/>
  <c r="H8" i="6" s="1"/>
  <c r="F10" i="6"/>
  <c r="H10" i="6" s="1"/>
  <c r="A11" i="8"/>
  <c r="A10" i="8"/>
  <c r="F9" i="6"/>
  <c r="H9" i="6" s="1"/>
  <c r="F12" i="4"/>
  <c r="B10" i="8" s="1"/>
  <c r="N15" i="4"/>
  <c r="F13" i="4" s="1"/>
  <c r="B11" i="8" s="1"/>
  <c r="R12" i="4"/>
  <c r="G10" i="8" l="1"/>
  <c r="J10" i="8" s="1"/>
  <c r="K10" i="8" s="1"/>
  <c r="G11" i="8"/>
  <c r="J11" i="8" s="1"/>
  <c r="K11" i="8" s="1"/>
  <c r="F6" i="6"/>
  <c r="H6" i="6" s="1"/>
  <c r="A7" i="8"/>
  <c r="Q3" i="4" l="1"/>
  <c r="E5" i="4"/>
  <c r="G7" i="8"/>
  <c r="J7" i="8" s="1"/>
  <c r="K7" i="8" s="1"/>
  <c r="E10" i="10"/>
  <c r="E6" i="4"/>
  <c r="L10" i="11" l="1"/>
  <c r="L13" i="11"/>
  <c r="M10" i="11"/>
  <c r="M12" i="11" s="1"/>
  <c r="M13" i="11"/>
  <c r="M15" i="11" s="1"/>
  <c r="M5" i="4"/>
  <c r="E7" i="4" s="1"/>
  <c r="A5" i="8"/>
  <c r="G5" i="8" s="1"/>
  <c r="J5" i="8" s="1"/>
  <c r="K5" i="8" s="1"/>
  <c r="F4" i="6"/>
  <c r="H4" i="6" s="1"/>
  <c r="F10" i="10"/>
  <c r="H10" i="10" s="1"/>
  <c r="F3" i="6" l="1"/>
  <c r="H3" i="6" s="1"/>
  <c r="A4" i="8"/>
  <c r="G4" i="8" s="1"/>
  <c r="F5" i="6"/>
  <c r="H5" i="6" s="1"/>
  <c r="A6" i="8"/>
  <c r="G6" i="8" s="1"/>
  <c r="J6" i="8" s="1"/>
  <c r="K6" i="8" s="1"/>
  <c r="J4" i="8" l="1"/>
  <c r="K4" i="8" s="1"/>
</calcChain>
</file>

<file path=xl/comments1.xml><?xml version="1.0" encoding="utf-8"?>
<comments xmlns="http://schemas.openxmlformats.org/spreadsheetml/2006/main">
  <authors>
    <author>Автор</author>
  </authors>
  <commentLis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табл.7.38
стр.432
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табл.7.38
стр.432
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табл.7.38
стр.432
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табл.7.38
стр.432
</t>
        </r>
      </text>
    </comment>
  </commentList>
</comments>
</file>

<file path=xl/sharedStrings.xml><?xml version="1.0" encoding="utf-8"?>
<sst xmlns="http://schemas.openxmlformats.org/spreadsheetml/2006/main" count="758" uniqueCount="313">
  <si>
    <t>Найм. ПС</t>
  </si>
  <si>
    <t>Рм</t>
  </si>
  <si>
    <t>МВт</t>
  </si>
  <si>
    <t>Qм</t>
  </si>
  <si>
    <t>Мвар</t>
  </si>
  <si>
    <t>Х</t>
  </si>
  <si>
    <t>мм</t>
  </si>
  <si>
    <t>Y</t>
  </si>
  <si>
    <t>U2 ном</t>
  </si>
  <si>
    <t>кВ</t>
  </si>
  <si>
    <t>Кат. Над.</t>
  </si>
  <si>
    <t>А</t>
  </si>
  <si>
    <t>Б</t>
  </si>
  <si>
    <t>В</t>
  </si>
  <si>
    <t>Г</t>
  </si>
  <si>
    <t>Д</t>
  </si>
  <si>
    <t>Е</t>
  </si>
  <si>
    <t>ДЖ</t>
  </si>
  <si>
    <t xml:space="preserve"> - </t>
  </si>
  <si>
    <t>I</t>
  </si>
  <si>
    <t>II</t>
  </si>
  <si>
    <t>Σ</t>
  </si>
  <si>
    <r>
      <t xml:space="preserve">Sнав </t>
    </r>
    <r>
      <rPr>
        <sz val="11"/>
        <color theme="1"/>
        <rFont val="Calibri"/>
        <family val="2"/>
        <charset val="204"/>
      </rPr>
      <t>Σ</t>
    </r>
  </si>
  <si>
    <r>
      <t xml:space="preserve">Рнав </t>
    </r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</rPr>
      <t>2</t>
    </r>
  </si>
  <si>
    <t>Qнав Σ2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</si>
  <si>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</rPr>
      <t>P</t>
    </r>
    <r>
      <rPr>
        <sz val="11"/>
        <color theme="1"/>
        <rFont val="Calibri"/>
        <family val="2"/>
        <charset val="204"/>
      </rPr>
      <t>Σ</t>
    </r>
  </si>
  <si>
    <t>ΔQΣ</t>
  </si>
  <si>
    <t>К у.м.</t>
  </si>
  <si>
    <t>Р р</t>
  </si>
  <si>
    <t>Q р</t>
  </si>
  <si>
    <t>S р</t>
  </si>
  <si>
    <t>ТЦН</t>
  </si>
  <si>
    <r>
      <t>Р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Х</t>
    </r>
  </si>
  <si>
    <r>
      <t>МВт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мм</t>
    </r>
  </si>
  <si>
    <r>
      <t>P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Y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</si>
  <si>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ПС-ТЦН</t>
    </r>
  </si>
  <si>
    <r>
      <t>Рм</t>
    </r>
    <r>
      <rPr>
        <sz val="11"/>
        <color theme="1"/>
        <rFont val="Calibri"/>
        <family val="2"/>
        <charset val="204"/>
      </rPr>
      <t>·ℓПС-ТЦН</t>
    </r>
  </si>
  <si>
    <t>Х0</t>
  </si>
  <si>
    <t>Y0</t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</si>
  <si>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ср взв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</si>
  <si>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 xml:space="preserve"> ДЖ-ТЦН</t>
    </r>
  </si>
  <si>
    <t>l</t>
  </si>
  <si>
    <t>l, км</t>
  </si>
  <si>
    <t>Ділянка</t>
  </si>
  <si>
    <t>X</t>
  </si>
  <si>
    <t>mm</t>
  </si>
  <si>
    <t>ВП-1</t>
  </si>
  <si>
    <t>ВП-2</t>
  </si>
  <si>
    <t>Натуральні показники</t>
  </si>
  <si>
    <t>I група</t>
  </si>
  <si>
    <t>II група</t>
  </si>
  <si>
    <t>а)</t>
  </si>
  <si>
    <t>б)</t>
  </si>
  <si>
    <t>в)</t>
  </si>
  <si>
    <t>г)</t>
  </si>
  <si>
    <t>д)</t>
  </si>
  <si>
    <t xml:space="preserve"> шт.</t>
  </si>
  <si>
    <t xml:space="preserve"> км</t>
  </si>
  <si>
    <t>рад</t>
  </si>
  <si>
    <t>кольц</t>
  </si>
  <si>
    <t>маг</t>
  </si>
  <si>
    <t>+</t>
  </si>
  <si>
    <t>-</t>
  </si>
  <si>
    <t>P</t>
  </si>
  <si>
    <t>Q</t>
  </si>
  <si>
    <t>км</t>
  </si>
  <si>
    <t>Група</t>
  </si>
  <si>
    <t>Варіант</t>
  </si>
  <si>
    <t>ВП-Д</t>
  </si>
  <si>
    <t>Баланс</t>
  </si>
  <si>
    <t>Табл 1.2</t>
  </si>
  <si>
    <t>Табл 1.1</t>
  </si>
  <si>
    <t>/</t>
  </si>
  <si>
    <t>ВП-В</t>
  </si>
  <si>
    <t>В-Д</t>
  </si>
  <si>
    <t>2-В</t>
  </si>
  <si>
    <t>2-Д</t>
  </si>
  <si>
    <t>1-В</t>
  </si>
  <si>
    <t>1-Д</t>
  </si>
  <si>
    <t>ВП-Г</t>
  </si>
  <si>
    <t>ВП-Е</t>
  </si>
  <si>
    <t>Е-Г</t>
  </si>
  <si>
    <t>Г-1</t>
  </si>
  <si>
    <t>Г-2</t>
  </si>
  <si>
    <t>Е-2</t>
  </si>
  <si>
    <t>кільц.</t>
  </si>
  <si>
    <t>рад.</t>
  </si>
  <si>
    <t>n</t>
  </si>
  <si>
    <t>а</t>
  </si>
  <si>
    <t>д</t>
  </si>
  <si>
    <t>г</t>
  </si>
  <si>
    <t>Мережа зовнішнього електропостачання</t>
  </si>
  <si>
    <t>3-Б</t>
  </si>
  <si>
    <t>3-ВП</t>
  </si>
  <si>
    <t>ДЖ-3</t>
  </si>
  <si>
    <t>зовнішня мережа</t>
  </si>
  <si>
    <r>
      <t>мм</t>
    </r>
    <r>
      <rPr>
        <vertAlign val="superscript"/>
        <sz val="14"/>
        <color theme="1"/>
        <rFont val="Times New Roman"/>
        <family val="1"/>
        <charset val="204"/>
      </rPr>
      <t>2</t>
    </r>
  </si>
  <si>
    <r>
      <t>МВ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А</t>
    </r>
  </si>
  <si>
    <t>A/mm2</t>
  </si>
  <si>
    <t>Прийнята марка</t>
  </si>
  <si>
    <r>
      <t>F</t>
    </r>
    <r>
      <rPr>
        <vertAlign val="subscript"/>
        <sz val="14"/>
        <color theme="1"/>
        <rFont val="Times New Roman"/>
        <family val="1"/>
        <charset val="204"/>
      </rPr>
      <t>ек</t>
    </r>
    <r>
      <rPr>
        <sz val="14"/>
        <color theme="1"/>
        <rFont val="Times New Roman"/>
        <family val="1"/>
        <charset val="204"/>
      </rPr>
      <t>,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</si>
  <si>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р</t>
    </r>
    <r>
      <rPr>
        <sz val="14"/>
        <color theme="1"/>
        <rFont val="Times New Roman"/>
        <family val="1"/>
        <charset val="204"/>
      </rPr>
      <t>, А</t>
    </r>
  </si>
  <si>
    <r>
      <t>U</t>
    </r>
    <r>
      <rPr>
        <vertAlign val="subscript"/>
        <sz val="14"/>
        <color theme="1"/>
        <rFont val="Times New Roman"/>
        <family val="1"/>
        <charset val="204"/>
      </rPr>
      <t>ном</t>
    </r>
    <r>
      <rPr>
        <sz val="14"/>
        <color theme="1"/>
        <rFont val="Times New Roman"/>
        <family val="1"/>
        <charset val="204"/>
      </rPr>
      <t>,</t>
    </r>
  </si>
  <si>
    <r>
      <t>S</t>
    </r>
    <r>
      <rPr>
        <sz val="14"/>
        <color theme="1"/>
        <rFont val="Times New Roman"/>
        <family val="1"/>
        <charset val="204"/>
      </rPr>
      <t>діл,</t>
    </r>
  </si>
  <si>
    <r>
      <t>P</t>
    </r>
    <r>
      <rPr>
        <sz val="14"/>
        <color theme="1"/>
        <rFont val="Times New Roman"/>
        <family val="1"/>
        <charset val="204"/>
      </rPr>
      <t>діл</t>
    </r>
    <r>
      <rPr>
        <i/>
        <sz val="14"/>
        <color theme="1"/>
        <rFont val="Times New Roman"/>
        <family val="1"/>
        <charset val="204"/>
      </rPr>
      <t>+jQ</t>
    </r>
    <r>
      <rPr>
        <sz val="14"/>
        <color theme="1"/>
        <rFont val="Times New Roman"/>
        <family val="1"/>
        <charset val="204"/>
      </rPr>
      <t>діл,</t>
    </r>
  </si>
  <si>
    <t>Ділянка мережі</t>
  </si>
  <si>
    <t>Варі-ант</t>
  </si>
  <si>
    <t>Гру-па</t>
  </si>
  <si>
    <t>4 – 4,5</t>
  </si>
  <si>
    <t>АС-150/34</t>
  </si>
  <si>
    <t xml:space="preserve">за ПУЕ </t>
  </si>
  <si>
    <t>фактичне</t>
  </si>
  <si>
    <t>сталі</t>
  </si>
  <si>
    <t>Алюміній</t>
  </si>
  <si>
    <r>
      <t xml:space="preserve">Відношення </t>
    </r>
    <r>
      <rPr>
        <b/>
        <sz val="12"/>
        <color theme="1"/>
        <rFont val="Times New Roman"/>
        <family val="1"/>
        <charset val="204"/>
      </rPr>
      <t>А : C</t>
    </r>
  </si>
  <si>
    <r>
      <t>Реальні перетини, мм</t>
    </r>
    <r>
      <rPr>
        <vertAlign val="superscript"/>
        <sz val="12"/>
        <color theme="1"/>
        <rFont val="Times New Roman"/>
        <family val="1"/>
        <charset val="204"/>
      </rPr>
      <t>2</t>
    </r>
  </si>
  <si>
    <t>Марка проводу</t>
  </si>
  <si>
    <t>Sсум</t>
  </si>
  <si>
    <t>навантаж</t>
  </si>
  <si>
    <t>втрати</t>
  </si>
  <si>
    <t>Е-1</t>
  </si>
  <si>
    <r>
      <t>U</t>
    </r>
    <r>
      <rPr>
        <vertAlign val="subscript"/>
        <sz val="14"/>
        <color theme="1"/>
        <rFont val="Times New Roman"/>
        <family val="1"/>
        <charset val="204"/>
      </rPr>
      <t>ном</t>
    </r>
    <r>
      <rPr>
        <sz val="14"/>
        <color theme="1"/>
        <rFont val="Times New Roman"/>
        <family val="1"/>
        <charset val="204"/>
      </rPr>
      <t>, кВ</t>
    </r>
  </si>
  <si>
    <t>ДЖ-ВП</t>
  </si>
  <si>
    <t>зовн.мережа</t>
  </si>
  <si>
    <t>АС-185/43</t>
  </si>
  <si>
    <t>АС-240/56</t>
  </si>
  <si>
    <t>АС-300/67</t>
  </si>
  <si>
    <t>Так</t>
  </si>
  <si>
    <r>
      <t>P</t>
    </r>
    <r>
      <rPr>
        <sz val="14"/>
        <color theme="1"/>
        <rFont val="Times New Roman"/>
        <family val="1"/>
        <charset val="204"/>
      </rPr>
      <t>діл</t>
    </r>
    <r>
      <rPr>
        <i/>
        <sz val="14"/>
        <color theme="1"/>
        <rFont val="Times New Roman"/>
        <family val="1"/>
        <charset val="204"/>
      </rPr>
      <t>+jQ</t>
    </r>
    <r>
      <rPr>
        <sz val="14"/>
        <color theme="1"/>
        <rFont val="Times New Roman"/>
        <family val="1"/>
        <charset val="204"/>
      </rPr>
      <t>діл, МВ×А</t>
    </r>
  </si>
  <si>
    <r>
      <t>S</t>
    </r>
    <r>
      <rPr>
        <sz val="14"/>
        <color theme="1"/>
        <rFont val="Times New Roman"/>
        <family val="1"/>
        <charset val="204"/>
      </rPr>
      <t>діл, МВ×А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</si>
  <si>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ав</t>
    </r>
    <r>
      <rPr>
        <sz val="14"/>
        <color theme="1"/>
        <rFont val="Times New Roman"/>
        <family val="1"/>
        <charset val="204"/>
      </rPr>
      <t>, А</t>
    </r>
  </si>
  <si>
    <r>
      <t>I</t>
    </r>
    <r>
      <rPr>
        <sz val="14"/>
        <color theme="1"/>
        <rFont val="Times New Roman"/>
        <family val="1"/>
        <charset val="204"/>
      </rPr>
      <t>доп, А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</si>
  <si>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ав</t>
    </r>
    <r>
      <rPr>
        <sz val="14"/>
        <color theme="1"/>
        <rFont val="Symbol"/>
        <family val="1"/>
        <charset val="2"/>
      </rPr>
      <t>£</t>
    </r>
    <r>
      <rPr>
        <i/>
        <sz val="14"/>
        <color theme="1"/>
        <rFont val="Times New Roman"/>
        <family val="1"/>
        <charset val="204"/>
      </rPr>
      <t xml:space="preserve"> I</t>
    </r>
    <r>
      <rPr>
        <sz val="14"/>
        <color theme="1"/>
        <rFont val="Times New Roman"/>
        <family val="1"/>
        <charset val="204"/>
      </rPr>
      <t>доп</t>
    </r>
  </si>
  <si>
    <t>Остаточний вибір</t>
  </si>
  <si>
    <t>7,5 – 8</t>
  </si>
  <si>
    <t>АС-400/51</t>
  </si>
  <si>
    <t>АС-120/27</t>
  </si>
  <si>
    <t>відключення ВП-В</t>
  </si>
  <si>
    <t>відключення ВП-Д</t>
  </si>
  <si>
    <t>Д-В</t>
  </si>
  <si>
    <t>відключення ВП-Е</t>
  </si>
  <si>
    <t>відключення ВП-Г</t>
  </si>
  <si>
    <t>Г-Е</t>
  </si>
  <si>
    <t>Кільце</t>
  </si>
  <si>
    <t>Магістраль</t>
  </si>
  <si>
    <t>Варі</t>
  </si>
  <si>
    <t>ант</t>
  </si>
  <si>
    <t>Ом</t>
  </si>
  <si>
    <r>
      <t>R</t>
    </r>
    <r>
      <rPr>
        <sz val="14"/>
        <color theme="1"/>
        <rFont val="Times New Roman"/>
        <family val="1"/>
        <charset val="204"/>
      </rPr>
      <t>діл,</t>
    </r>
  </si>
  <si>
    <r>
      <t>X</t>
    </r>
    <r>
      <rPr>
        <sz val="14"/>
        <color theme="1"/>
        <rFont val="Times New Roman"/>
        <family val="1"/>
        <charset val="204"/>
      </rPr>
      <t>діл,</t>
    </r>
  </si>
  <si>
    <t>Зовн</t>
  </si>
  <si>
    <t>ДЖ – 3</t>
  </si>
  <si>
    <t>3 – ВП</t>
  </si>
  <si>
    <t>3 -Б</t>
  </si>
  <si>
    <t>кільце</t>
  </si>
  <si>
    <t>магістраль</t>
  </si>
  <si>
    <t>в</t>
  </si>
  <si>
    <t xml:space="preserve">                                                                                                  до точки В</t>
  </si>
  <si>
    <t xml:space="preserve">                                                                                                 до точки Д</t>
  </si>
  <si>
    <t xml:space="preserve">                                                                                                     до точки Д</t>
  </si>
  <si>
    <t xml:space="preserve">                                                                                                    до точки Г</t>
  </si>
  <si>
    <t xml:space="preserve">                                                                                                    до точки Е</t>
  </si>
  <si>
    <t>L, км</t>
  </si>
  <si>
    <t>МВ×А</t>
  </si>
  <si>
    <r>
      <t>DU</t>
    </r>
    <r>
      <rPr>
        <sz val="14"/>
        <color theme="1"/>
        <rFont val="Times New Roman"/>
        <family val="1"/>
        <charset val="204"/>
      </rPr>
      <t>,</t>
    </r>
  </si>
  <si>
    <t>До точки А(ВП)</t>
  </si>
  <si>
    <t>До точки Б</t>
  </si>
  <si>
    <r>
      <t>r</t>
    </r>
    <r>
      <rPr>
        <sz val="10"/>
        <color theme="1"/>
        <rFont val="Times New Roman"/>
        <family val="1"/>
        <charset val="204"/>
      </rPr>
      <t xml:space="preserve">о </t>
    </r>
    <r>
      <rPr>
        <sz val="14"/>
        <color theme="1"/>
        <rFont val="Times New Roman"/>
        <family val="1"/>
        <charset val="204"/>
      </rPr>
      <t>кОм</t>
    </r>
  </si>
  <si>
    <r>
      <t>x</t>
    </r>
    <r>
      <rPr>
        <sz val="9"/>
        <color theme="1"/>
        <rFont val="Times New Roman"/>
        <family val="1"/>
        <charset val="204"/>
      </rPr>
      <t>о</t>
    </r>
    <r>
      <rPr>
        <sz val="14"/>
        <color theme="1"/>
        <rFont val="Times New Roman"/>
        <family val="1"/>
        <charset val="204"/>
      </rPr>
      <t xml:space="preserve"> Ом</t>
    </r>
  </si>
  <si>
    <r>
      <t xml:space="preserve">   L</t>
    </r>
    <r>
      <rPr>
        <sz val="14"/>
        <color theme="1"/>
        <rFont val="Times New Roman"/>
        <family val="1"/>
        <charset val="204"/>
      </rPr>
      <t xml:space="preserve"> гол, км</t>
    </r>
  </si>
  <si>
    <t>P гол, Мвт</t>
  </si>
  <si>
    <r>
      <t xml:space="preserve">Up, </t>
    </r>
    <r>
      <rPr>
        <sz val="12"/>
        <color theme="1"/>
        <rFont val="Times New Roman"/>
        <family val="1"/>
      </rPr>
      <t>кВ</t>
    </r>
  </si>
  <si>
    <r>
      <t xml:space="preserve">U ном , </t>
    </r>
    <r>
      <rPr>
        <sz val="12"/>
        <color theme="1"/>
        <rFont val="Times New Roman"/>
        <family val="1"/>
      </rPr>
      <t>кВ</t>
    </r>
  </si>
  <si>
    <t>Назва вузла</t>
  </si>
  <si>
    <t>Uном мережі,</t>
  </si>
  <si>
    <t>Pм+jQм, МВ×А</t>
  </si>
  <si>
    <t>Sм, МВ×А</t>
  </si>
  <si>
    <t>Sнеоб, МВ×А</t>
  </si>
  <si>
    <t>Sном.т, МВ×А</t>
  </si>
  <si>
    <r>
      <t>n</t>
    </r>
    <r>
      <rPr>
        <sz val="10"/>
        <color theme="1"/>
        <rFont val="Times New Roman"/>
        <family val="1"/>
        <charset val="204"/>
      </rPr>
      <t>т</t>
    </r>
  </si>
  <si>
    <r>
      <t>K</t>
    </r>
    <r>
      <rPr>
        <sz val="11"/>
        <color theme="1"/>
        <rFont val="Times New Roman"/>
        <family val="1"/>
        <charset val="204"/>
      </rPr>
      <t>з</t>
    </r>
  </si>
  <si>
    <r>
      <t>K</t>
    </r>
    <r>
      <rPr>
        <sz val="11"/>
        <color theme="1"/>
        <rFont val="Times New Roman"/>
        <family val="1"/>
        <charset val="204"/>
      </rPr>
      <t>зав</t>
    </r>
  </si>
  <si>
    <t>ТРДН</t>
  </si>
  <si>
    <t>атдцтн</t>
  </si>
  <si>
    <t>табл 1.9</t>
  </si>
  <si>
    <t>табл 1.20</t>
  </si>
  <si>
    <t>Назва ПС</t>
  </si>
  <si>
    <t>Тип трансформаторів</t>
  </si>
  <si>
    <t>Кількість, тип і потужність КП</t>
  </si>
  <si>
    <t>Всього</t>
  </si>
  <si>
    <t>–</t>
  </si>
  <si>
    <r>
      <t>tg φ</t>
    </r>
    <r>
      <rPr>
        <sz val="10"/>
        <color theme="1"/>
        <rFont val="Times New Roman"/>
        <family val="1"/>
        <charset val="204"/>
      </rPr>
      <t>м</t>
    </r>
  </si>
  <si>
    <r>
      <t>U</t>
    </r>
    <r>
      <rPr>
        <sz val="12"/>
        <color theme="1"/>
        <rFont val="Times New Roman"/>
        <family val="1"/>
        <charset val="204"/>
      </rPr>
      <t>2ном</t>
    </r>
    <r>
      <rPr>
        <sz val="14"/>
        <color theme="1"/>
        <rFont val="Times New Roman"/>
        <family val="1"/>
        <charset val="204"/>
      </rPr>
      <t>, кВ</t>
    </r>
  </si>
  <si>
    <r>
      <t>Q</t>
    </r>
    <r>
      <rPr>
        <sz val="11"/>
        <color theme="1"/>
        <rFont val="Times New Roman"/>
        <family val="1"/>
        <charset val="204"/>
      </rPr>
      <t>кпном</t>
    </r>
    <r>
      <rPr>
        <sz val="14"/>
        <color theme="1"/>
        <rFont val="Times New Roman"/>
        <family val="1"/>
        <charset val="204"/>
      </rPr>
      <t>, Мвар</t>
    </r>
  </si>
  <si>
    <r>
      <t>Q</t>
    </r>
    <r>
      <rPr>
        <sz val="12"/>
        <color theme="1"/>
        <rFont val="Times New Roman"/>
        <family val="1"/>
        <charset val="204"/>
      </rPr>
      <t>кп</t>
    </r>
    <r>
      <rPr>
        <sz val="14"/>
        <color theme="1"/>
        <rFont val="Times New Roman"/>
        <family val="1"/>
        <charset val="204"/>
      </rPr>
      <t>, Мвар</t>
    </r>
  </si>
  <si>
    <r>
      <t>Q</t>
    </r>
    <r>
      <rPr>
        <sz val="12"/>
        <color theme="1"/>
        <rFont val="Times New Roman"/>
        <family val="1"/>
        <charset val="204"/>
      </rPr>
      <t>м</t>
    </r>
    <r>
      <rPr>
        <sz val="14"/>
        <color theme="1"/>
        <rFont val="Times New Roman"/>
        <family val="1"/>
        <charset val="204"/>
      </rPr>
      <t>, Мвар</t>
    </r>
  </si>
  <si>
    <r>
      <t>P</t>
    </r>
    <r>
      <rPr>
        <sz val="12"/>
        <color theme="1"/>
        <rFont val="Times New Roman"/>
        <family val="1"/>
        <charset val="204"/>
      </rPr>
      <t>м</t>
    </r>
    <r>
      <rPr>
        <sz val="14"/>
        <color theme="1"/>
        <rFont val="Times New Roman"/>
        <family val="1"/>
        <charset val="204"/>
      </rPr>
      <t>, МВт</t>
    </r>
  </si>
  <si>
    <t>АТДЦТН-125000/220/110/35</t>
  </si>
  <si>
    <t>ТРДН-40000/110/35</t>
  </si>
  <si>
    <t>ТРДН-25000/110/35</t>
  </si>
  <si>
    <t>4xУК-10-2700</t>
  </si>
  <si>
    <t>4xУК-6-1800</t>
  </si>
  <si>
    <t>4xУК-6-900 4xУК-6-1125</t>
  </si>
  <si>
    <t>4xУК-10-900 4xУК-10-1125</t>
  </si>
  <si>
    <t>4xУК-10-1800</t>
  </si>
  <si>
    <t>ТДТН</t>
  </si>
  <si>
    <t>ТДТН-25000/220/35/10</t>
  </si>
  <si>
    <t>табл. 1.21</t>
  </si>
  <si>
    <t>Назва</t>
  </si>
  <si>
    <t>вузла</t>
  </si>
  <si>
    <t>Qкп ном, МВ×А</t>
  </si>
  <si>
    <r>
      <t>S</t>
    </r>
    <r>
      <rPr>
        <sz val="11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>, МВ×А</t>
    </r>
  </si>
  <si>
    <t>Тип трансформатора</t>
  </si>
  <si>
    <t>Sном.т , МВ×А</t>
  </si>
  <si>
    <t>табл. 1.22</t>
  </si>
  <si>
    <r>
      <t>S</t>
    </r>
    <r>
      <rPr>
        <vertAlign val="subscript"/>
        <sz val="14"/>
        <color theme="1"/>
        <rFont val="Times New Roman"/>
        <family val="1"/>
        <charset val="204"/>
      </rPr>
      <t>ном т</t>
    </r>
    <r>
      <rPr>
        <sz val="14"/>
        <color theme="1"/>
        <rFont val="Times New Roman"/>
        <family val="1"/>
        <charset val="204"/>
      </rPr>
      <t>, МВ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А</t>
    </r>
  </si>
  <si>
    <r>
      <t>n</t>
    </r>
    <r>
      <rPr>
        <vertAlign val="subscript"/>
        <sz val="14"/>
        <color theme="1"/>
        <rFont val="Times New Roman"/>
        <family val="1"/>
        <charset val="204"/>
      </rPr>
      <t>т</t>
    </r>
  </si>
  <si>
    <t>Коефіцієнт завантаження після заміни</t>
  </si>
  <si>
    <t>до</t>
  </si>
  <si>
    <t>після заміни</t>
  </si>
  <si>
    <t>Тип трансфор-матора</t>
  </si>
  <si>
    <r>
      <t>P</t>
    </r>
    <r>
      <rPr>
        <vertAlign val="subscript"/>
        <sz val="14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 xml:space="preserve"> </t>
    </r>
    <r>
      <rPr>
        <i/>
        <sz val="14"/>
        <color theme="1"/>
        <rFont val="Times New Roman"/>
        <family val="1"/>
        <charset val="204"/>
      </rPr>
      <t>+ j Q</t>
    </r>
    <r>
      <rPr>
        <vertAlign val="subscript"/>
        <sz val="14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>, МВ×А</t>
    </r>
  </si>
  <si>
    <r>
      <t>S</t>
    </r>
    <r>
      <rPr>
        <vertAlign val="subscript"/>
        <sz val="14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>, МВ×А</t>
    </r>
  </si>
  <si>
    <t xml:space="preserve">заміна на ТДН - 16000/110/35 допустима </t>
  </si>
  <si>
    <t xml:space="preserve">трансформатор перенавантажений </t>
  </si>
  <si>
    <t xml:space="preserve">заміна на - ТРДН -25000/110/35 допустима </t>
  </si>
  <si>
    <t>Назва ділянки</t>
  </si>
  <si>
    <t>Тип опор</t>
  </si>
  <si>
    <r>
      <t>U</t>
    </r>
    <r>
      <rPr>
        <sz val="10"/>
        <color theme="1"/>
        <rFont val="Times New Roman"/>
        <family val="1"/>
        <charset val="204"/>
      </rPr>
      <t xml:space="preserve">НОМ , </t>
    </r>
    <r>
      <rPr>
        <sz val="14"/>
        <color theme="1"/>
        <rFont val="Times New Roman"/>
        <family val="1"/>
        <charset val="204"/>
      </rPr>
      <t>кВ</t>
    </r>
  </si>
  <si>
    <r>
      <t>n</t>
    </r>
    <r>
      <rPr>
        <sz val="10"/>
        <color theme="1"/>
        <rFont val="Times New Roman"/>
        <family val="1"/>
        <charset val="204"/>
      </rPr>
      <t>л</t>
    </r>
  </si>
  <si>
    <r>
      <t>k</t>
    </r>
    <r>
      <rPr>
        <sz val="10"/>
        <color theme="1"/>
        <rFont val="Times New Roman"/>
        <family val="1"/>
        <charset val="204"/>
      </rPr>
      <t>л0</t>
    </r>
    <r>
      <rPr>
        <sz val="14"/>
        <color theme="1"/>
        <rFont val="Times New Roman"/>
        <family val="1"/>
        <charset val="204"/>
      </rPr>
      <t>,  тис.у.о. км</t>
    </r>
  </si>
  <si>
    <t>1 з/б одноланцюг.</t>
  </si>
  <si>
    <t>2 з/б одноланцюг.</t>
  </si>
  <si>
    <r>
      <t>K</t>
    </r>
    <r>
      <rPr>
        <sz val="10"/>
        <color theme="1"/>
        <rFont val="Times New Roman"/>
        <family val="1"/>
        <charset val="204"/>
      </rPr>
      <t>л діл</t>
    </r>
    <r>
      <rPr>
        <sz val="14"/>
        <color theme="1"/>
        <rFont val="Times New Roman"/>
        <family val="1"/>
        <charset val="204"/>
      </rPr>
      <t>, тис. у.о.</t>
    </r>
  </si>
  <si>
    <t>Тип ВРП ЦП</t>
  </si>
  <si>
    <t>,</t>
  </si>
  <si>
    <t>тис.</t>
  </si>
  <si>
    <t>Тип ВРП СПС</t>
  </si>
  <si>
    <t>тис.у.о</t>
  </si>
  <si>
    <t>шт.</t>
  </si>
  <si>
    <t>тис.у.о.</t>
  </si>
  <si>
    <t>у.о.</t>
  </si>
  <si>
    <t>шт</t>
  </si>
  <si>
    <t>2СШ з ОСШ 110кВ</t>
  </si>
  <si>
    <t>Місток 110 кВ</t>
  </si>
  <si>
    <t>Блок W-T 110 кВ</t>
  </si>
  <si>
    <t>ІІ</t>
  </si>
  <si>
    <r>
      <t>К</t>
    </r>
    <r>
      <rPr>
        <vertAlign val="subscript"/>
        <sz val="14"/>
        <color theme="1"/>
        <rFont val="Times New Roman"/>
        <family val="1"/>
        <charset val="204"/>
      </rPr>
      <t>л</t>
    </r>
    <r>
      <rPr>
        <sz val="14"/>
        <color theme="1"/>
        <rFont val="Times New Roman"/>
        <family val="1"/>
        <charset val="204"/>
      </rPr>
      <t>, тис.у.о</t>
    </r>
  </si>
  <si>
    <t>, %</t>
  </si>
  <si>
    <t>, тис.у.о.рік</t>
  </si>
  <si>
    <r>
      <t>К</t>
    </r>
    <r>
      <rPr>
        <vertAlign val="subscript"/>
        <sz val="14"/>
        <color theme="1"/>
        <rFont val="Times New Roman"/>
        <family val="1"/>
        <charset val="204"/>
      </rPr>
      <t>обл</t>
    </r>
    <r>
      <rPr>
        <sz val="14"/>
        <color theme="1"/>
        <rFont val="Times New Roman"/>
        <family val="1"/>
        <charset val="204"/>
      </rPr>
      <t>, тис. у.о.</t>
    </r>
  </si>
  <si>
    <t>,%</t>
  </si>
  <si>
    <t>,тис.у.о.рік</t>
  </si>
  <si>
    <t>Найм. ділянки</t>
  </si>
  <si>
    <r>
      <t>МВт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г</t>
    </r>
  </si>
  <si>
    <t>Тm</t>
  </si>
  <si>
    <t>tayM=</t>
  </si>
  <si>
    <t>,Ом км</t>
  </si>
  <si>
    <t>,км</t>
  </si>
  <si>
    <t>Гру-</t>
  </si>
  <si>
    <t>Варі-</t>
  </si>
  <si>
    <t>К,</t>
  </si>
  <si>
    <r>
      <t>В</t>
    </r>
    <r>
      <rPr>
        <vertAlign val="subscript"/>
        <sz val="14"/>
        <color theme="1"/>
        <rFont val="Times New Roman"/>
        <family val="1"/>
        <charset val="204"/>
      </rPr>
      <t>пост</t>
    </r>
    <r>
      <rPr>
        <sz val="14"/>
        <color theme="1"/>
        <rFont val="Times New Roman"/>
        <family val="1"/>
        <charset val="204"/>
      </rPr>
      <t>,</t>
    </r>
  </si>
  <si>
    <t>В,</t>
  </si>
  <si>
    <t>З,</t>
  </si>
  <si>
    <t>Е,</t>
  </si>
  <si>
    <r>
      <t>Е</t>
    </r>
    <r>
      <rPr>
        <vertAlign val="subscript"/>
        <sz val="14"/>
        <color theme="1"/>
        <rFont val="Times New Roman"/>
        <family val="1"/>
        <charset val="204"/>
      </rPr>
      <t>ф</t>
    </r>
    <r>
      <rPr>
        <sz val="14"/>
        <color theme="1"/>
        <rFont val="Times New Roman"/>
        <family val="1"/>
        <charset val="204"/>
      </rPr>
      <t>,</t>
    </r>
  </si>
  <si>
    <t>тис. грн.</t>
  </si>
  <si>
    <t>Па</t>
  </si>
  <si>
    <t>тис.грн.</t>
  </si>
  <si>
    <t>%</t>
  </si>
  <si>
    <t>рік</t>
  </si>
  <si>
    <t>Тип транс-форматора</t>
  </si>
  <si>
    <t>ділянки</t>
  </si>
  <si>
    <t>Ом/км</t>
  </si>
  <si>
    <r>
      <t>10</t>
    </r>
    <r>
      <rPr>
        <vertAlign val="superscript"/>
        <sz val="14"/>
        <color theme="1"/>
        <rFont val="Times New Roman"/>
        <family val="1"/>
        <charset val="204"/>
      </rPr>
      <t>-6</t>
    </r>
    <r>
      <rPr>
        <sz val="14"/>
        <color theme="1"/>
        <rFont val="Times New Roman"/>
        <family val="1"/>
        <charset val="204"/>
      </rPr>
      <t xml:space="preserve"> См/км</t>
    </r>
  </si>
  <si>
    <t>rV</t>
  </si>
  <si>
    <t>ТМН-6300/35</t>
  </si>
  <si>
    <t>ТРДН-25000/110</t>
  </si>
  <si>
    <t>ТДН-16000/110</t>
  </si>
  <si>
    <t>ТМН-4000/35</t>
  </si>
  <si>
    <t>A</t>
  </si>
  <si>
    <t>в-с</t>
  </si>
  <si>
    <t>100/100/100</t>
  </si>
  <si>
    <r>
      <t>Р</t>
    </r>
    <r>
      <rPr>
        <vertAlign val="subscript"/>
        <sz val="14"/>
        <color rgb="FF0D0D0D"/>
        <rFont val="Times New Roman"/>
        <family val="1"/>
        <charset val="204"/>
      </rPr>
      <t>н</t>
    </r>
    <r>
      <rPr>
        <sz val="14"/>
        <color rgb="FF0D0D0D"/>
        <rFont val="Times New Roman"/>
        <family val="1"/>
        <charset val="204"/>
      </rPr>
      <t xml:space="preserve"> +</t>
    </r>
    <r>
      <rPr>
        <i/>
        <sz val="14"/>
        <color rgb="FF0D0D0D"/>
        <rFont val="Times New Roman"/>
        <family val="1"/>
        <charset val="204"/>
      </rPr>
      <t>jQ</t>
    </r>
    <r>
      <rPr>
        <vertAlign val="subscript"/>
        <sz val="14"/>
        <color rgb="FF0D0D0D"/>
        <rFont val="Times New Roman"/>
        <family val="1"/>
        <charset val="204"/>
      </rPr>
      <t>н</t>
    </r>
    <r>
      <rPr>
        <sz val="14"/>
        <color rgb="FF0D0D0D"/>
        <rFont val="Times New Roman"/>
        <family val="1"/>
        <charset val="204"/>
      </rPr>
      <t>,</t>
    </r>
  </si>
  <si>
    <r>
      <t>Δ</t>
    </r>
    <r>
      <rPr>
        <i/>
        <sz val="14"/>
        <color rgb="FF0D0D0D"/>
        <rFont val="Times New Roman"/>
        <family val="1"/>
        <charset val="204"/>
      </rPr>
      <t>P</t>
    </r>
    <r>
      <rPr>
        <vertAlign val="subscript"/>
        <sz val="14"/>
        <color rgb="FF0D0D0D"/>
        <rFont val="Times New Roman"/>
        <family val="1"/>
        <charset val="204"/>
      </rPr>
      <t>мд</t>
    </r>
    <r>
      <rPr>
        <sz val="14"/>
        <color rgb="FF0D0D0D"/>
        <rFont val="Times New Roman"/>
        <family val="1"/>
        <charset val="204"/>
      </rPr>
      <t xml:space="preserve"> + </t>
    </r>
    <r>
      <rPr>
        <i/>
        <sz val="14"/>
        <color rgb="FF0D0D0D"/>
        <rFont val="Times New Roman"/>
        <family val="1"/>
        <charset val="204"/>
      </rPr>
      <t>j</t>
    </r>
    <r>
      <rPr>
        <sz val="14"/>
        <color rgb="FF0D0D0D"/>
        <rFont val="Times New Roman"/>
        <family val="1"/>
        <charset val="204"/>
      </rPr>
      <t xml:space="preserve"> Δ</t>
    </r>
    <r>
      <rPr>
        <i/>
        <sz val="14"/>
        <color rgb="FF0D0D0D"/>
        <rFont val="Times New Roman"/>
        <family val="1"/>
        <charset val="204"/>
      </rPr>
      <t>Q</t>
    </r>
    <r>
      <rPr>
        <vertAlign val="subscript"/>
        <sz val="14"/>
        <color rgb="FF0D0D0D"/>
        <rFont val="Times New Roman"/>
        <family val="1"/>
        <charset val="204"/>
      </rPr>
      <t>мд</t>
    </r>
    <r>
      <rPr>
        <sz val="14"/>
        <color rgb="FF0D0D0D"/>
        <rFont val="Times New Roman"/>
        <family val="1"/>
        <charset val="204"/>
      </rPr>
      <t>,</t>
    </r>
  </si>
  <si>
    <r>
      <t>МВ</t>
    </r>
    <r>
      <rPr>
        <sz val="14"/>
        <color rgb="FF0D0D0D"/>
        <rFont val="Symbol"/>
        <family val="1"/>
        <charset val="2"/>
      </rPr>
      <t>×</t>
    </r>
    <r>
      <rPr>
        <sz val="14"/>
        <color rgb="FF0D0D0D"/>
        <rFont val="Times New Roman"/>
        <family val="1"/>
        <charset val="204"/>
      </rPr>
      <t>А</t>
    </r>
  </si>
  <si>
    <t>steel</t>
  </si>
  <si>
    <t>3=2+1</t>
  </si>
  <si>
    <t>ШВН</t>
  </si>
  <si>
    <t>ШСН</t>
  </si>
  <si>
    <t>ШНН</t>
  </si>
  <si>
    <t>Tr Cu</t>
  </si>
  <si>
    <t>Назва вузла приєднання навантаження</t>
  </si>
  <si>
    <t>0-ШСН</t>
  </si>
  <si>
    <t>0-ШНН</t>
  </si>
  <si>
    <t>ШВН-0</t>
  </si>
  <si>
    <t>В-А(ШВН)</t>
  </si>
  <si>
    <t>ДЖ-В</t>
  </si>
  <si>
    <t>TL</t>
  </si>
  <si>
    <t>Mvar</t>
  </si>
  <si>
    <t>Назва СПС</t>
  </si>
  <si>
    <t>трансформатора</t>
  </si>
  <si>
    <t>к Розрахунку РПН і ПБЗ</t>
  </si>
  <si>
    <t>для розрахунку ПБЗ триобмоткового трансформтаора ВП</t>
  </si>
  <si>
    <t>для розрахунку РПН триобмоткового трансформатора ВП</t>
  </si>
  <si>
    <t>ШНЕ</t>
  </si>
  <si>
    <t>B</t>
  </si>
  <si>
    <t>МВА</t>
  </si>
  <si>
    <t>Назва кінцевого вузла</t>
  </si>
  <si>
    <t>поперечна складова падіння напруги</t>
  </si>
  <si>
    <t>Назва початкового вузла</t>
  </si>
  <si>
    <t>більше 220 кВ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</si>
</sst>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mbria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4"/>
      <color theme="1"/>
      <name val="Symbol"/>
      <family val="1"/>
      <charset val="2"/>
    </font>
    <font>
      <vertAlign val="subscript"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14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4"/>
      <color rgb="FF0D0D0D"/>
      <name val="Times New Roman"/>
      <family val="1"/>
      <charset val="204"/>
    </font>
    <font>
      <i/>
      <sz val="14"/>
      <color rgb="FF0D0D0D"/>
      <name val="Times New Roman"/>
      <family val="1"/>
      <charset val="204"/>
    </font>
    <font>
      <vertAlign val="subscript"/>
      <sz val="14"/>
      <color rgb="FF0D0D0D"/>
      <name val="Times New Roman"/>
      <family val="1"/>
      <charset val="204"/>
    </font>
    <font>
      <sz val="14"/>
      <color rgb="FF0D0D0D"/>
      <name val="Symbol"/>
      <family val="1"/>
      <charset val="2"/>
    </font>
    <font>
      <sz val="11"/>
      <color rgb="FFFF0000"/>
      <name val="Calibri"/>
      <family val="2"/>
      <scheme val="minor"/>
    </font>
    <font>
      <b/>
      <sz val="14"/>
      <color rgb="FFFF0000"/>
      <name val="Times New Roman"/>
      <family val="1"/>
      <charset val="204"/>
    </font>
    <font>
      <sz val="14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 style="thick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indexed="64"/>
      </top>
      <bottom/>
      <diagonal/>
    </border>
    <border>
      <left style="thick">
        <color rgb="FF000000"/>
      </left>
      <right style="medium">
        <color indexed="64"/>
      </right>
      <top/>
      <bottom/>
      <diagonal/>
    </border>
    <border>
      <left style="thick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thick">
        <color indexed="64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 style="medium">
        <color indexed="64"/>
      </right>
      <top style="medium">
        <color indexed="64"/>
      </top>
      <bottom/>
      <diagonal/>
    </border>
    <border>
      <left style="thick">
        <color rgb="FF000000"/>
      </left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rgb="FF000000"/>
      </top>
      <bottom/>
      <diagonal/>
    </border>
    <border>
      <left style="medium">
        <color indexed="64"/>
      </left>
      <right style="thick">
        <color rgb="FF000000"/>
      </right>
      <top style="thick">
        <color rgb="FF000000"/>
      </top>
      <bottom/>
      <diagonal/>
    </border>
    <border>
      <left style="medium">
        <color indexed="64"/>
      </left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ck">
        <color rgb="FF000000"/>
      </right>
      <top/>
      <bottom style="thick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rgb="FF000000"/>
      </right>
      <top style="thick">
        <color rgb="FF000000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0" fillId="0" borderId="0" xfId="0" applyNumberFormat="1" applyFill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7" xfId="0" applyBorder="1"/>
    <xf numFmtId="0" fontId="0" fillId="0" borderId="0" xfId="0" applyFill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justify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164" fontId="9" fillId="0" borderId="14" xfId="0" applyNumberFormat="1" applyFont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1" fillId="0" borderId="0" xfId="0" applyFont="1" applyFill="1"/>
    <xf numFmtId="0" fontId="12" fillId="0" borderId="25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4" fontId="12" fillId="0" borderId="7" xfId="0" applyNumberFormat="1" applyFont="1" applyBorder="1" applyAlignment="1">
      <alignment horizontal="center" vertical="center" wrapText="1"/>
    </xf>
    <xf numFmtId="2" fontId="6" fillId="0" borderId="7" xfId="0" applyNumberFormat="1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1" fontId="12" fillId="0" borderId="38" xfId="0" applyNumberFormat="1" applyFont="1" applyBorder="1" applyAlignment="1">
      <alignment horizontal="center" vertical="center" wrapText="1"/>
    </xf>
    <xf numFmtId="0" fontId="12" fillId="0" borderId="39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32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4" fontId="12" fillId="0" borderId="7" xfId="0" applyNumberFormat="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164" fontId="20" fillId="0" borderId="7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42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164" fontId="12" fillId="0" borderId="42" xfId="0" applyNumberFormat="1" applyFont="1" applyBorder="1" applyAlignment="1">
      <alignment horizontal="center"/>
    </xf>
    <xf numFmtId="164" fontId="12" fillId="0" borderId="42" xfId="0" applyNumberFormat="1" applyFont="1" applyBorder="1" applyAlignment="1">
      <alignment horizontal="center" vertical="center" wrapText="1"/>
    </xf>
    <xf numFmtId="2" fontId="12" fillId="0" borderId="42" xfId="0" applyNumberFormat="1" applyFont="1" applyBorder="1" applyAlignment="1">
      <alignment horizontal="center" vertical="center" wrapText="1"/>
    </xf>
    <xf numFmtId="165" fontId="12" fillId="0" borderId="42" xfId="0" applyNumberFormat="1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0" borderId="28" xfId="0" applyFont="1" applyBorder="1" applyAlignment="1">
      <alignment vertical="center" wrapText="1"/>
    </xf>
    <xf numFmtId="0" fontId="12" fillId="0" borderId="25" xfId="0" applyFont="1" applyBorder="1" applyAlignment="1">
      <alignment horizontal="justify" vertical="center" wrapText="1"/>
    </xf>
    <xf numFmtId="2" fontId="12" fillId="0" borderId="25" xfId="0" applyNumberFormat="1" applyFont="1" applyBorder="1" applyAlignment="1">
      <alignment horizontal="justify" vertical="center" wrapText="1"/>
    </xf>
    <xf numFmtId="164" fontId="12" fillId="0" borderId="25" xfId="0" applyNumberFormat="1" applyFont="1" applyBorder="1" applyAlignment="1">
      <alignment horizontal="justify" vertical="center" wrapText="1"/>
    </xf>
    <xf numFmtId="0" fontId="12" fillId="0" borderId="25" xfId="0" applyFont="1" applyBorder="1" applyAlignment="1">
      <alignment vertical="center" wrapText="1"/>
    </xf>
    <xf numFmtId="0" fontId="12" fillId="0" borderId="25" xfId="0" applyFont="1" applyBorder="1" applyAlignment="1">
      <alignment horizontal="center" vertical="top" wrapText="1"/>
    </xf>
    <xf numFmtId="0" fontId="20" fillId="0" borderId="25" xfId="0" applyFont="1" applyBorder="1" applyAlignment="1">
      <alignment horizontal="justify" vertical="center" wrapText="1"/>
    </xf>
    <xf numFmtId="0" fontId="2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25" xfId="0" applyFont="1" applyBorder="1" applyAlignment="1">
      <alignment horizontal="left" vertical="center" wrapText="1"/>
    </xf>
    <xf numFmtId="0" fontId="12" fillId="0" borderId="28" xfId="0" applyFont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 wrapText="1"/>
    </xf>
    <xf numFmtId="0" fontId="24" fillId="0" borderId="31" xfId="0" applyFont="1" applyBorder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0" fontId="21" fillId="0" borderId="25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25" fillId="0" borderId="42" xfId="0" applyFont="1" applyBorder="1" applyAlignment="1">
      <alignment horizontal="center" vertical="center" wrapText="1"/>
    </xf>
    <xf numFmtId="1" fontId="12" fillId="0" borderId="42" xfId="0" applyNumberFormat="1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/>
    </xf>
    <xf numFmtId="0" fontId="24" fillId="0" borderId="42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2" xfId="0" applyBorder="1" applyAlignment="1">
      <alignment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justify" vertical="center" wrapText="1"/>
    </xf>
    <xf numFmtId="0" fontId="14" fillId="0" borderId="29" xfId="0" applyFont="1" applyBorder="1" applyAlignment="1">
      <alignment horizontal="justify" vertical="center" wrapText="1"/>
    </xf>
    <xf numFmtId="0" fontId="12" fillId="0" borderId="36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right" vertical="center" wrapText="1"/>
    </xf>
    <xf numFmtId="0" fontId="12" fillId="0" borderId="46" xfId="0" applyFont="1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2" fillId="0" borderId="42" xfId="0" applyFont="1" applyBorder="1" applyAlignment="1">
      <alignment vertical="center" wrapText="1"/>
    </xf>
    <xf numFmtId="0" fontId="12" fillId="0" borderId="43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45" xfId="0" applyFont="1" applyBorder="1" applyAlignment="1">
      <alignment horizontal="center" vertical="center" wrapText="1"/>
    </xf>
    <xf numFmtId="0" fontId="12" fillId="0" borderId="47" xfId="0" applyFont="1" applyBorder="1" applyAlignment="1">
      <alignment horizontal="center" vertical="center" wrapText="1"/>
    </xf>
    <xf numFmtId="0" fontId="12" fillId="0" borderId="48" xfId="0" applyFont="1" applyBorder="1" applyAlignment="1">
      <alignment horizontal="center" vertical="center" wrapText="1"/>
    </xf>
    <xf numFmtId="0" fontId="12" fillId="0" borderId="47" xfId="0" applyFont="1" applyBorder="1" applyAlignment="1">
      <alignment vertical="center" wrapText="1"/>
    </xf>
    <xf numFmtId="0" fontId="12" fillId="0" borderId="48" xfId="0" applyFont="1" applyBorder="1" applyAlignment="1">
      <alignment vertical="center" wrapText="1"/>
    </xf>
    <xf numFmtId="0" fontId="12" fillId="0" borderId="50" xfId="0" applyFont="1" applyBorder="1" applyAlignment="1">
      <alignment horizontal="center" vertical="center" wrapText="1"/>
    </xf>
    <xf numFmtId="0" fontId="12" fillId="0" borderId="51" xfId="0" applyFont="1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0" fontId="12" fillId="0" borderId="26" xfId="0" applyFont="1" applyBorder="1" applyAlignment="1">
      <alignment vertical="center" wrapText="1"/>
    </xf>
    <xf numFmtId="0" fontId="14" fillId="0" borderId="50" xfId="0" applyFont="1" applyBorder="1" applyAlignment="1">
      <alignment horizontal="center" vertical="center" wrapText="1"/>
    </xf>
    <xf numFmtId="0" fontId="14" fillId="0" borderId="49" xfId="0" applyFont="1" applyBorder="1" applyAlignment="1">
      <alignment horizontal="center" vertical="center" wrapText="1"/>
    </xf>
    <xf numFmtId="0" fontId="12" fillId="0" borderId="29" xfId="0" applyFont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12" fillId="0" borderId="6" xfId="0" applyNumberFormat="1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7" xfId="0" applyFont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47" xfId="0" applyBorder="1" applyAlignment="1">
      <alignment vertical="center" wrapText="1"/>
    </xf>
    <xf numFmtId="0" fontId="0" fillId="0" borderId="48" xfId="0" applyBorder="1" applyAlignment="1">
      <alignment vertical="center" wrapText="1"/>
    </xf>
    <xf numFmtId="0" fontId="21" fillId="0" borderId="27" xfId="0" applyFont="1" applyBorder="1" applyAlignment="1">
      <alignment horizontal="center" vertical="center" wrapText="1"/>
    </xf>
    <xf numFmtId="0" fontId="21" fillId="0" borderId="26" xfId="0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164" fontId="12" fillId="0" borderId="25" xfId="0" applyNumberFormat="1" applyFont="1" applyBorder="1" applyAlignment="1">
      <alignment horizontal="center" vertical="center" wrapText="1"/>
    </xf>
    <xf numFmtId="2" fontId="12" fillId="0" borderId="25" xfId="0" applyNumberFormat="1" applyFont="1" applyBorder="1" applyAlignment="1">
      <alignment horizontal="center" vertical="center" wrapText="1"/>
    </xf>
    <xf numFmtId="165" fontId="12" fillId="0" borderId="25" xfId="0" applyNumberFormat="1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33" xfId="0" applyFont="1" applyBorder="1" applyAlignment="1">
      <alignment vertical="center" wrapText="1"/>
    </xf>
    <xf numFmtId="0" fontId="12" fillId="0" borderId="52" xfId="0" applyFont="1" applyBorder="1" applyAlignment="1">
      <alignment horizontal="center" vertical="center" wrapText="1"/>
    </xf>
    <xf numFmtId="0" fontId="12" fillId="0" borderId="53" xfId="0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 vertical="center" wrapText="1"/>
    </xf>
    <xf numFmtId="0" fontId="12" fillId="0" borderId="55" xfId="0" applyFont="1" applyBorder="1" applyAlignment="1">
      <alignment horizontal="center" vertical="center" wrapText="1"/>
    </xf>
    <xf numFmtId="0" fontId="12" fillId="0" borderId="54" xfId="0" applyFont="1" applyBorder="1" applyAlignment="1">
      <alignment vertical="center" wrapText="1"/>
    </xf>
    <xf numFmtId="0" fontId="12" fillId="0" borderId="56" xfId="0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vertical="center" wrapText="1"/>
    </xf>
    <xf numFmtId="0" fontId="12" fillId="0" borderId="58" xfId="0" applyFont="1" applyBorder="1" applyAlignment="1">
      <alignment horizontal="center" vertical="center" wrapText="1"/>
    </xf>
    <xf numFmtId="0" fontId="12" fillId="0" borderId="53" xfId="0" applyFont="1" applyBorder="1" applyAlignment="1">
      <alignment horizontal="center" vertical="center" wrapText="1"/>
    </xf>
    <xf numFmtId="0" fontId="12" fillId="0" borderId="59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60" xfId="0" applyFont="1" applyBorder="1" applyAlignment="1">
      <alignment horizontal="center" vertical="center" wrapText="1"/>
    </xf>
    <xf numFmtId="0" fontId="12" fillId="0" borderId="61" xfId="0" applyFont="1" applyBorder="1" applyAlignment="1">
      <alignment horizontal="center" vertical="center" wrapText="1"/>
    </xf>
    <xf numFmtId="0" fontId="12" fillId="0" borderId="62" xfId="0" applyFont="1" applyBorder="1" applyAlignment="1">
      <alignment horizontal="center" vertical="center" wrapText="1"/>
    </xf>
    <xf numFmtId="165" fontId="12" fillId="0" borderId="16" xfId="0" applyNumberFormat="1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55" xfId="0" applyFont="1" applyFill="1" applyBorder="1" applyAlignment="1">
      <alignment horizontal="center" vertical="center" wrapText="1"/>
    </xf>
    <xf numFmtId="2" fontId="12" fillId="0" borderId="16" xfId="0" applyNumberFormat="1" applyFont="1" applyBorder="1" applyAlignment="1">
      <alignment horizontal="center" vertical="center" wrapText="1"/>
    </xf>
    <xf numFmtId="0" fontId="12" fillId="0" borderId="63" xfId="0" applyFont="1" applyBorder="1" applyAlignment="1">
      <alignment horizontal="center" vertical="center" wrapText="1"/>
    </xf>
    <xf numFmtId="0" fontId="28" fillId="0" borderId="27" xfId="0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29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justify" vertical="center" wrapText="1"/>
    </xf>
    <xf numFmtId="0" fontId="31" fillId="0" borderId="25" xfId="0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 wrapText="1"/>
    </xf>
    <xf numFmtId="0" fontId="31" fillId="0" borderId="31" xfId="0" applyFont="1" applyFill="1" applyBorder="1" applyAlignment="1">
      <alignment horizontal="center" vertical="center" wrapText="1"/>
    </xf>
    <xf numFmtId="0" fontId="12" fillId="0" borderId="28" xfId="0" applyFont="1" applyBorder="1" applyAlignment="1">
      <alignment horizontal="justify" vertical="center" wrapText="1"/>
    </xf>
    <xf numFmtId="0" fontId="0" fillId="0" borderId="42" xfId="0" applyBorder="1"/>
    <xf numFmtId="0" fontId="12" fillId="2" borderId="26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25" fillId="2" borderId="25" xfId="0" applyFont="1" applyFill="1" applyBorder="1" applyAlignment="1">
      <alignment horizontal="center" vertical="center" wrapText="1"/>
    </xf>
    <xf numFmtId="0" fontId="12" fillId="3" borderId="26" xfId="0" applyFont="1" applyFill="1" applyBorder="1" applyAlignment="1">
      <alignment horizontal="center" vertical="center" wrapText="1"/>
    </xf>
    <xf numFmtId="0" fontId="12" fillId="3" borderId="25" xfId="0" applyFont="1" applyFill="1" applyBorder="1" applyAlignment="1">
      <alignment horizontal="center" vertical="center" wrapText="1"/>
    </xf>
    <xf numFmtId="0" fontId="25" fillId="3" borderId="25" xfId="0" applyFont="1" applyFill="1" applyBorder="1" applyAlignment="1">
      <alignment horizontal="center" vertical="center" wrapText="1"/>
    </xf>
    <xf numFmtId="0" fontId="12" fillId="4" borderId="26" xfId="0" applyFont="1" applyFill="1" applyBorder="1" applyAlignment="1">
      <alignment horizontal="center" vertical="center" wrapText="1"/>
    </xf>
    <xf numFmtId="0" fontId="12" fillId="4" borderId="25" xfId="0" applyFont="1" applyFill="1" applyBorder="1" applyAlignment="1">
      <alignment horizontal="center" vertical="center" wrapText="1"/>
    </xf>
    <xf numFmtId="2" fontId="0" fillId="0" borderId="0" xfId="0" applyNumberFormat="1"/>
    <xf numFmtId="0" fontId="12" fillId="4" borderId="31" xfId="0" applyFont="1" applyFill="1" applyBorder="1" applyAlignment="1">
      <alignment horizontal="center" vertical="center" wrapText="1"/>
    </xf>
    <xf numFmtId="0" fontId="25" fillId="4" borderId="25" xfId="0" applyFont="1" applyFill="1" applyBorder="1" applyAlignment="1">
      <alignment horizontal="center" vertical="center" wrapText="1"/>
    </xf>
    <xf numFmtId="0" fontId="25" fillId="0" borderId="25" xfId="0" applyFont="1" applyFill="1" applyBorder="1" applyAlignment="1">
      <alignment horizontal="center" vertical="center" wrapText="1"/>
    </xf>
    <xf numFmtId="0" fontId="0" fillId="4" borderId="0" xfId="0" applyFill="1"/>
    <xf numFmtId="0" fontId="32" fillId="0" borderId="0" xfId="0" applyFont="1"/>
    <xf numFmtId="0" fontId="33" fillId="0" borderId="26" xfId="0" applyFont="1" applyBorder="1" applyAlignment="1">
      <alignment horizontal="center" vertical="center" wrapText="1"/>
    </xf>
    <xf numFmtId="0" fontId="34" fillId="0" borderId="26" xfId="0" applyFont="1" applyBorder="1" applyAlignment="1">
      <alignment horizontal="center" vertical="center" wrapText="1"/>
    </xf>
    <xf numFmtId="0" fontId="25" fillId="0" borderId="26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0.vml.rels><?xml version="1.0" encoding="UTF-8" standalone="yes"?>
<Relationships xmlns="http://schemas.openxmlformats.org/package/2006/relationships"><Relationship Id="rId13" Type="http://schemas.openxmlformats.org/officeDocument/2006/relationships/image" Target="../media/image58.wmf"/><Relationship Id="rId18" Type="http://schemas.openxmlformats.org/officeDocument/2006/relationships/image" Target="../media/image63.wmf"/><Relationship Id="rId26" Type="http://schemas.openxmlformats.org/officeDocument/2006/relationships/image" Target="../media/image71.wmf"/><Relationship Id="rId39" Type="http://schemas.openxmlformats.org/officeDocument/2006/relationships/image" Target="../media/image84.wmf"/><Relationship Id="rId21" Type="http://schemas.openxmlformats.org/officeDocument/2006/relationships/image" Target="../media/image66.wmf"/><Relationship Id="rId34" Type="http://schemas.openxmlformats.org/officeDocument/2006/relationships/image" Target="../media/image79.wmf"/><Relationship Id="rId42" Type="http://schemas.openxmlformats.org/officeDocument/2006/relationships/image" Target="../media/image87.wmf"/><Relationship Id="rId7" Type="http://schemas.openxmlformats.org/officeDocument/2006/relationships/image" Target="../media/image52.wmf"/><Relationship Id="rId2" Type="http://schemas.openxmlformats.org/officeDocument/2006/relationships/image" Target="../media/image47.wmf"/><Relationship Id="rId16" Type="http://schemas.openxmlformats.org/officeDocument/2006/relationships/image" Target="../media/image61.wmf"/><Relationship Id="rId20" Type="http://schemas.openxmlformats.org/officeDocument/2006/relationships/image" Target="../media/image65.wmf"/><Relationship Id="rId29" Type="http://schemas.openxmlformats.org/officeDocument/2006/relationships/image" Target="../media/image74.wmf"/><Relationship Id="rId41" Type="http://schemas.openxmlformats.org/officeDocument/2006/relationships/image" Target="../media/image86.wmf"/><Relationship Id="rId1" Type="http://schemas.openxmlformats.org/officeDocument/2006/relationships/image" Target="../media/image46.wmf"/><Relationship Id="rId6" Type="http://schemas.openxmlformats.org/officeDocument/2006/relationships/image" Target="../media/image51.wmf"/><Relationship Id="rId11" Type="http://schemas.openxmlformats.org/officeDocument/2006/relationships/image" Target="../media/image56.wmf"/><Relationship Id="rId24" Type="http://schemas.openxmlformats.org/officeDocument/2006/relationships/image" Target="../media/image69.wmf"/><Relationship Id="rId32" Type="http://schemas.openxmlformats.org/officeDocument/2006/relationships/image" Target="../media/image77.wmf"/><Relationship Id="rId37" Type="http://schemas.openxmlformats.org/officeDocument/2006/relationships/image" Target="../media/image82.wmf"/><Relationship Id="rId40" Type="http://schemas.openxmlformats.org/officeDocument/2006/relationships/image" Target="../media/image85.wmf"/><Relationship Id="rId5" Type="http://schemas.openxmlformats.org/officeDocument/2006/relationships/image" Target="../media/image50.wmf"/><Relationship Id="rId15" Type="http://schemas.openxmlformats.org/officeDocument/2006/relationships/image" Target="../media/image60.wmf"/><Relationship Id="rId23" Type="http://schemas.openxmlformats.org/officeDocument/2006/relationships/image" Target="../media/image68.wmf"/><Relationship Id="rId28" Type="http://schemas.openxmlformats.org/officeDocument/2006/relationships/image" Target="../media/image73.wmf"/><Relationship Id="rId36" Type="http://schemas.openxmlformats.org/officeDocument/2006/relationships/image" Target="../media/image81.wmf"/><Relationship Id="rId10" Type="http://schemas.openxmlformats.org/officeDocument/2006/relationships/image" Target="../media/image55.wmf"/><Relationship Id="rId19" Type="http://schemas.openxmlformats.org/officeDocument/2006/relationships/image" Target="../media/image64.wmf"/><Relationship Id="rId31" Type="http://schemas.openxmlformats.org/officeDocument/2006/relationships/image" Target="../media/image76.wmf"/><Relationship Id="rId4" Type="http://schemas.openxmlformats.org/officeDocument/2006/relationships/image" Target="../media/image49.wmf"/><Relationship Id="rId9" Type="http://schemas.openxmlformats.org/officeDocument/2006/relationships/image" Target="../media/image54.wmf"/><Relationship Id="rId14" Type="http://schemas.openxmlformats.org/officeDocument/2006/relationships/image" Target="../media/image59.wmf"/><Relationship Id="rId22" Type="http://schemas.openxmlformats.org/officeDocument/2006/relationships/image" Target="../media/image67.wmf"/><Relationship Id="rId27" Type="http://schemas.openxmlformats.org/officeDocument/2006/relationships/image" Target="../media/image72.wmf"/><Relationship Id="rId30" Type="http://schemas.openxmlformats.org/officeDocument/2006/relationships/image" Target="../media/image75.wmf"/><Relationship Id="rId35" Type="http://schemas.openxmlformats.org/officeDocument/2006/relationships/image" Target="../media/image80.wmf"/><Relationship Id="rId8" Type="http://schemas.openxmlformats.org/officeDocument/2006/relationships/image" Target="../media/image53.wmf"/><Relationship Id="rId3" Type="http://schemas.openxmlformats.org/officeDocument/2006/relationships/image" Target="../media/image48.wmf"/><Relationship Id="rId12" Type="http://schemas.openxmlformats.org/officeDocument/2006/relationships/image" Target="../media/image57.wmf"/><Relationship Id="rId17" Type="http://schemas.openxmlformats.org/officeDocument/2006/relationships/image" Target="../media/image62.wmf"/><Relationship Id="rId25" Type="http://schemas.openxmlformats.org/officeDocument/2006/relationships/image" Target="../media/image70.emf"/><Relationship Id="rId33" Type="http://schemas.openxmlformats.org/officeDocument/2006/relationships/image" Target="../media/image78.wmf"/><Relationship Id="rId38" Type="http://schemas.openxmlformats.org/officeDocument/2006/relationships/image" Target="../media/image83.w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90.wmf"/><Relationship Id="rId2" Type="http://schemas.openxmlformats.org/officeDocument/2006/relationships/image" Target="../media/image89.wmf"/><Relationship Id="rId1" Type="http://schemas.openxmlformats.org/officeDocument/2006/relationships/image" Target="../media/image88.wmf"/><Relationship Id="rId4" Type="http://schemas.openxmlformats.org/officeDocument/2006/relationships/image" Target="../media/image91.w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94.wmf"/><Relationship Id="rId2" Type="http://schemas.openxmlformats.org/officeDocument/2006/relationships/image" Target="../media/image93.wmf"/><Relationship Id="rId1" Type="http://schemas.openxmlformats.org/officeDocument/2006/relationships/image" Target="../media/image92.wmf"/><Relationship Id="rId5" Type="http://schemas.openxmlformats.org/officeDocument/2006/relationships/image" Target="../media/image96.wmf"/><Relationship Id="rId4" Type="http://schemas.openxmlformats.org/officeDocument/2006/relationships/image" Target="../media/image95.wmf"/></Relationships>
</file>

<file path=xl/drawings/_rels/vmlDrawing13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4.wmf"/><Relationship Id="rId13" Type="http://schemas.openxmlformats.org/officeDocument/2006/relationships/image" Target="../media/image109.wmf"/><Relationship Id="rId3" Type="http://schemas.openxmlformats.org/officeDocument/2006/relationships/image" Target="../media/image99.wmf"/><Relationship Id="rId7" Type="http://schemas.openxmlformats.org/officeDocument/2006/relationships/image" Target="../media/image103.wmf"/><Relationship Id="rId12" Type="http://schemas.openxmlformats.org/officeDocument/2006/relationships/image" Target="../media/image108.wmf"/><Relationship Id="rId2" Type="http://schemas.openxmlformats.org/officeDocument/2006/relationships/image" Target="../media/image98.wmf"/><Relationship Id="rId1" Type="http://schemas.openxmlformats.org/officeDocument/2006/relationships/image" Target="../media/image97.wmf"/><Relationship Id="rId6" Type="http://schemas.openxmlformats.org/officeDocument/2006/relationships/image" Target="../media/image102.wmf"/><Relationship Id="rId11" Type="http://schemas.openxmlformats.org/officeDocument/2006/relationships/image" Target="../media/image107.wmf"/><Relationship Id="rId5" Type="http://schemas.openxmlformats.org/officeDocument/2006/relationships/image" Target="../media/image101.wmf"/><Relationship Id="rId10" Type="http://schemas.openxmlformats.org/officeDocument/2006/relationships/image" Target="../media/image106.wmf"/><Relationship Id="rId4" Type="http://schemas.openxmlformats.org/officeDocument/2006/relationships/image" Target="../media/image100.wmf"/><Relationship Id="rId9" Type="http://schemas.openxmlformats.org/officeDocument/2006/relationships/image" Target="../media/image105.wmf"/><Relationship Id="rId14" Type="http://schemas.openxmlformats.org/officeDocument/2006/relationships/image" Target="../media/image110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w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_rels/vmlDrawing7.vml.rels><?xml version="1.0" encoding="UTF-8" standalone="yes"?>
<Relationships xmlns="http://schemas.openxmlformats.org/package/2006/relationships"><Relationship Id="rId8" Type="http://schemas.openxmlformats.org/officeDocument/2006/relationships/image" Target="../media/image23.wmf"/><Relationship Id="rId3" Type="http://schemas.openxmlformats.org/officeDocument/2006/relationships/image" Target="../media/image18.wmf"/><Relationship Id="rId7" Type="http://schemas.openxmlformats.org/officeDocument/2006/relationships/image" Target="../media/image22.wmf"/><Relationship Id="rId2" Type="http://schemas.openxmlformats.org/officeDocument/2006/relationships/image" Target="../media/image17.wmf"/><Relationship Id="rId1" Type="http://schemas.openxmlformats.org/officeDocument/2006/relationships/image" Target="../media/image16.wmf"/><Relationship Id="rId6" Type="http://schemas.openxmlformats.org/officeDocument/2006/relationships/image" Target="../media/image21.wmf"/><Relationship Id="rId5" Type="http://schemas.openxmlformats.org/officeDocument/2006/relationships/image" Target="../media/image20.wmf"/><Relationship Id="rId4" Type="http://schemas.openxmlformats.org/officeDocument/2006/relationships/image" Target="../media/image19.w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6.emf"/><Relationship Id="rId2" Type="http://schemas.openxmlformats.org/officeDocument/2006/relationships/image" Target="../media/image25.wmf"/><Relationship Id="rId1" Type="http://schemas.openxmlformats.org/officeDocument/2006/relationships/image" Target="../media/image24.wmf"/><Relationship Id="rId5" Type="http://schemas.openxmlformats.org/officeDocument/2006/relationships/image" Target="../media/image28.emf"/><Relationship Id="rId4" Type="http://schemas.openxmlformats.org/officeDocument/2006/relationships/image" Target="../media/image27.wmf"/></Relationships>
</file>

<file path=xl/drawings/_rels/vmlDrawing9.vml.rels><?xml version="1.0" encoding="UTF-8" standalone="yes"?>
<Relationships xmlns="http://schemas.openxmlformats.org/package/2006/relationships"><Relationship Id="rId8" Type="http://schemas.openxmlformats.org/officeDocument/2006/relationships/image" Target="../media/image36.wmf"/><Relationship Id="rId13" Type="http://schemas.openxmlformats.org/officeDocument/2006/relationships/image" Target="../media/image41.wmf"/><Relationship Id="rId3" Type="http://schemas.openxmlformats.org/officeDocument/2006/relationships/image" Target="../media/image31.wmf"/><Relationship Id="rId7" Type="http://schemas.openxmlformats.org/officeDocument/2006/relationships/image" Target="../media/image35.wmf"/><Relationship Id="rId12" Type="http://schemas.openxmlformats.org/officeDocument/2006/relationships/image" Target="../media/image40.emf"/><Relationship Id="rId17" Type="http://schemas.openxmlformats.org/officeDocument/2006/relationships/image" Target="../media/image45.wmf"/><Relationship Id="rId2" Type="http://schemas.openxmlformats.org/officeDocument/2006/relationships/image" Target="../media/image30.wmf"/><Relationship Id="rId16" Type="http://schemas.openxmlformats.org/officeDocument/2006/relationships/image" Target="../media/image44.emf"/><Relationship Id="rId1" Type="http://schemas.openxmlformats.org/officeDocument/2006/relationships/image" Target="../media/image29.wmf"/><Relationship Id="rId6" Type="http://schemas.openxmlformats.org/officeDocument/2006/relationships/image" Target="../media/image34.wmf"/><Relationship Id="rId11" Type="http://schemas.openxmlformats.org/officeDocument/2006/relationships/image" Target="../media/image39.emf"/><Relationship Id="rId5" Type="http://schemas.openxmlformats.org/officeDocument/2006/relationships/image" Target="../media/image33.wmf"/><Relationship Id="rId15" Type="http://schemas.openxmlformats.org/officeDocument/2006/relationships/image" Target="../media/image43.wmf"/><Relationship Id="rId10" Type="http://schemas.openxmlformats.org/officeDocument/2006/relationships/image" Target="../media/image38.wmf"/><Relationship Id="rId4" Type="http://schemas.openxmlformats.org/officeDocument/2006/relationships/image" Target="../media/image32.wmf"/><Relationship Id="rId9" Type="http://schemas.openxmlformats.org/officeDocument/2006/relationships/image" Target="../media/image37.emf"/><Relationship Id="rId14" Type="http://schemas.openxmlformats.org/officeDocument/2006/relationships/image" Target="../media/image42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</xdr:row>
          <xdr:rowOff>85725</xdr:rowOff>
        </xdr:from>
        <xdr:to>
          <xdr:col>5</xdr:col>
          <xdr:colOff>342900</xdr:colOff>
          <xdr:row>10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314325</xdr:colOff>
          <xdr:row>2</xdr:row>
          <xdr:rowOff>0</xdr:rowOff>
        </xdr:from>
        <xdr:to>
          <xdr:col>19</xdr:col>
          <xdr:colOff>95250</xdr:colOff>
          <xdr:row>10</xdr:row>
          <xdr:rowOff>104775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14</xdr:row>
          <xdr:rowOff>85725</xdr:rowOff>
        </xdr:from>
        <xdr:to>
          <xdr:col>13</xdr:col>
          <xdr:colOff>533400</xdr:colOff>
          <xdr:row>22</xdr:row>
          <xdr:rowOff>190500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5</xdr:col>
          <xdr:colOff>561975</xdr:colOff>
          <xdr:row>24</xdr:row>
          <xdr:rowOff>123825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27</xdr:row>
          <xdr:rowOff>66675</xdr:rowOff>
        </xdr:from>
        <xdr:to>
          <xdr:col>5</xdr:col>
          <xdr:colOff>523875</xdr:colOff>
          <xdr:row>35</xdr:row>
          <xdr:rowOff>123825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4</xdr:col>
          <xdr:colOff>190500</xdr:colOff>
          <xdr:row>2</xdr:row>
          <xdr:rowOff>209550</xdr:rowOff>
        </xdr:to>
        <xdr:sp macro="" textlink="">
          <xdr:nvSpPr>
            <xdr:cNvPr id="33793" name="Object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</xdr:row>
          <xdr:rowOff>0</xdr:rowOff>
        </xdr:from>
        <xdr:to>
          <xdr:col>5</xdr:col>
          <xdr:colOff>438150</xdr:colOff>
          <xdr:row>2</xdr:row>
          <xdr:rowOff>228600</xdr:rowOff>
        </xdr:to>
        <xdr:sp macro="" textlink="">
          <xdr:nvSpPr>
            <xdr:cNvPr id="33794" name="Object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</xdr:row>
          <xdr:rowOff>0</xdr:rowOff>
        </xdr:from>
        <xdr:to>
          <xdr:col>6</xdr:col>
          <xdr:colOff>247650</xdr:colOff>
          <xdr:row>2</xdr:row>
          <xdr:rowOff>247650</xdr:rowOff>
        </xdr:to>
        <xdr:sp macro="" textlink="">
          <xdr:nvSpPr>
            <xdr:cNvPr id="33795" name="Object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</xdr:row>
          <xdr:rowOff>0</xdr:rowOff>
        </xdr:from>
        <xdr:to>
          <xdr:col>7</xdr:col>
          <xdr:colOff>209550</xdr:colOff>
          <xdr:row>2</xdr:row>
          <xdr:rowOff>228600</xdr:rowOff>
        </xdr:to>
        <xdr:sp macro="" textlink="">
          <xdr:nvSpPr>
            <xdr:cNvPr id="33796" name="Object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</xdr:row>
          <xdr:rowOff>0</xdr:rowOff>
        </xdr:from>
        <xdr:to>
          <xdr:col>8</xdr:col>
          <xdr:colOff>342900</xdr:colOff>
          <xdr:row>2</xdr:row>
          <xdr:rowOff>209550</xdr:rowOff>
        </xdr:to>
        <xdr:sp macro="" textlink="">
          <xdr:nvSpPr>
            <xdr:cNvPr id="33797" name="Object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</xdr:row>
          <xdr:rowOff>0</xdr:rowOff>
        </xdr:from>
        <xdr:to>
          <xdr:col>9</xdr:col>
          <xdr:colOff>285750</xdr:colOff>
          <xdr:row>2</xdr:row>
          <xdr:rowOff>209550</xdr:rowOff>
        </xdr:to>
        <xdr:sp macro="" textlink="">
          <xdr:nvSpPr>
            <xdr:cNvPr id="33798" name="Object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2</xdr:row>
          <xdr:rowOff>0</xdr:rowOff>
        </xdr:from>
        <xdr:to>
          <xdr:col>13</xdr:col>
          <xdr:colOff>95250</xdr:colOff>
          <xdr:row>2</xdr:row>
          <xdr:rowOff>171450</xdr:rowOff>
        </xdr:to>
        <xdr:sp macro="" textlink="">
          <xdr:nvSpPr>
            <xdr:cNvPr id="33799" name="Object 7" hidden="1">
              <a:extLst>
                <a:ext uri="{63B3BB69-23CF-44E3-9099-C40C66FF867C}">
                  <a14:compatExt spid="_x0000_s337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2</xdr:row>
          <xdr:rowOff>0</xdr:rowOff>
        </xdr:from>
        <xdr:to>
          <xdr:col>14</xdr:col>
          <xdr:colOff>133350</xdr:colOff>
          <xdr:row>2</xdr:row>
          <xdr:rowOff>152400</xdr:rowOff>
        </xdr:to>
        <xdr:sp macro="" textlink="">
          <xdr:nvSpPr>
            <xdr:cNvPr id="33800" name="Object 8" hidden="1">
              <a:extLst>
                <a:ext uri="{63B3BB69-23CF-44E3-9099-C40C66FF867C}">
                  <a14:compatExt spid="_x0000_s338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2</xdr:row>
          <xdr:rowOff>0</xdr:rowOff>
        </xdr:from>
        <xdr:to>
          <xdr:col>15</xdr:col>
          <xdr:colOff>171450</xdr:colOff>
          <xdr:row>2</xdr:row>
          <xdr:rowOff>247650</xdr:rowOff>
        </xdr:to>
        <xdr:sp macro="" textlink="">
          <xdr:nvSpPr>
            <xdr:cNvPr id="33801" name="Object 9" hidden="1">
              <a:extLst>
                <a:ext uri="{63B3BB69-23CF-44E3-9099-C40C66FF867C}">
                  <a14:compatExt spid="_x0000_s338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2</xdr:row>
          <xdr:rowOff>0</xdr:rowOff>
        </xdr:from>
        <xdr:to>
          <xdr:col>16</xdr:col>
          <xdr:colOff>209550</xdr:colOff>
          <xdr:row>2</xdr:row>
          <xdr:rowOff>247650</xdr:rowOff>
        </xdr:to>
        <xdr:sp macro="" textlink="">
          <xdr:nvSpPr>
            <xdr:cNvPr id="33802" name="Object 10" hidden="1">
              <a:extLst>
                <a:ext uri="{63B3BB69-23CF-44E3-9099-C40C66FF867C}">
                  <a14:compatExt spid="_x0000_s338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2</xdr:row>
          <xdr:rowOff>0</xdr:rowOff>
        </xdr:from>
        <xdr:to>
          <xdr:col>17</xdr:col>
          <xdr:colOff>190500</xdr:colOff>
          <xdr:row>2</xdr:row>
          <xdr:rowOff>247650</xdr:rowOff>
        </xdr:to>
        <xdr:sp macro="" textlink="">
          <xdr:nvSpPr>
            <xdr:cNvPr id="33803" name="Object 11" hidden="1">
              <a:extLst>
                <a:ext uri="{63B3BB69-23CF-44E3-9099-C40C66FF867C}">
                  <a14:compatExt spid="_x0000_s338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2</xdr:row>
          <xdr:rowOff>0</xdr:rowOff>
        </xdr:from>
        <xdr:to>
          <xdr:col>18</xdr:col>
          <xdr:colOff>228600</xdr:colOff>
          <xdr:row>2</xdr:row>
          <xdr:rowOff>247650</xdr:rowOff>
        </xdr:to>
        <xdr:sp macro="" textlink="">
          <xdr:nvSpPr>
            <xdr:cNvPr id="33804" name="Object 12" hidden="1">
              <a:extLst>
                <a:ext uri="{63B3BB69-23CF-44E3-9099-C40C66FF867C}">
                  <a14:compatExt spid="_x0000_s338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2</xdr:row>
          <xdr:rowOff>0</xdr:rowOff>
        </xdr:from>
        <xdr:to>
          <xdr:col>19</xdr:col>
          <xdr:colOff>266700</xdr:colOff>
          <xdr:row>2</xdr:row>
          <xdr:rowOff>247650</xdr:rowOff>
        </xdr:to>
        <xdr:sp macro="" textlink="">
          <xdr:nvSpPr>
            <xdr:cNvPr id="33805" name="Object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2</xdr:row>
          <xdr:rowOff>0</xdr:rowOff>
        </xdr:from>
        <xdr:to>
          <xdr:col>20</xdr:col>
          <xdr:colOff>266700</xdr:colOff>
          <xdr:row>2</xdr:row>
          <xdr:rowOff>228600</xdr:rowOff>
        </xdr:to>
        <xdr:sp macro="" textlink="">
          <xdr:nvSpPr>
            <xdr:cNvPr id="33806" name="Object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11</xdr:row>
          <xdr:rowOff>0</xdr:rowOff>
        </xdr:from>
        <xdr:to>
          <xdr:col>3</xdr:col>
          <xdr:colOff>257175</xdr:colOff>
          <xdr:row>11</xdr:row>
          <xdr:rowOff>209550</xdr:rowOff>
        </xdr:to>
        <xdr:sp macro="" textlink="">
          <xdr:nvSpPr>
            <xdr:cNvPr id="33807" name="Object 15" hidden="1">
              <a:extLst>
                <a:ext uri="{63B3BB69-23CF-44E3-9099-C40C66FF867C}">
                  <a14:compatExt spid="_x0000_s338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11</xdr:row>
          <xdr:rowOff>0</xdr:rowOff>
        </xdr:from>
        <xdr:to>
          <xdr:col>4</xdr:col>
          <xdr:colOff>228600</xdr:colOff>
          <xdr:row>11</xdr:row>
          <xdr:rowOff>209550</xdr:rowOff>
        </xdr:to>
        <xdr:sp macro="" textlink="">
          <xdr:nvSpPr>
            <xdr:cNvPr id="33808" name="Object 16" hidden="1">
              <a:extLst>
                <a:ext uri="{63B3BB69-23CF-44E3-9099-C40C66FF867C}">
                  <a14:compatExt spid="_x0000_s338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11</xdr:row>
          <xdr:rowOff>0</xdr:rowOff>
        </xdr:from>
        <xdr:to>
          <xdr:col>5</xdr:col>
          <xdr:colOff>257175</xdr:colOff>
          <xdr:row>11</xdr:row>
          <xdr:rowOff>209550</xdr:rowOff>
        </xdr:to>
        <xdr:sp macro="" textlink="">
          <xdr:nvSpPr>
            <xdr:cNvPr id="33809" name="Object 17" hidden="1">
              <a:extLst>
                <a:ext uri="{63B3BB69-23CF-44E3-9099-C40C66FF867C}">
                  <a14:compatExt spid="_x0000_s338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11</xdr:row>
          <xdr:rowOff>0</xdr:rowOff>
        </xdr:from>
        <xdr:to>
          <xdr:col>6</xdr:col>
          <xdr:colOff>285750</xdr:colOff>
          <xdr:row>11</xdr:row>
          <xdr:rowOff>209550</xdr:rowOff>
        </xdr:to>
        <xdr:sp macro="" textlink="">
          <xdr:nvSpPr>
            <xdr:cNvPr id="33810" name="Object 18" hidden="1">
              <a:extLst>
                <a:ext uri="{63B3BB69-23CF-44E3-9099-C40C66FF867C}">
                  <a14:compatExt spid="_x0000_s338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11</xdr:row>
          <xdr:rowOff>0</xdr:rowOff>
        </xdr:from>
        <xdr:to>
          <xdr:col>7</xdr:col>
          <xdr:colOff>333375</xdr:colOff>
          <xdr:row>11</xdr:row>
          <xdr:rowOff>228600</xdr:rowOff>
        </xdr:to>
        <xdr:sp macro="" textlink="">
          <xdr:nvSpPr>
            <xdr:cNvPr id="33811" name="Object 19" hidden="1">
              <a:extLst>
                <a:ext uri="{63B3BB69-23CF-44E3-9099-C40C66FF867C}">
                  <a14:compatExt spid="_x0000_s338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11</xdr:row>
          <xdr:rowOff>0</xdr:rowOff>
        </xdr:from>
        <xdr:to>
          <xdr:col>8</xdr:col>
          <xdr:colOff>400050</xdr:colOff>
          <xdr:row>12</xdr:row>
          <xdr:rowOff>19050</xdr:rowOff>
        </xdr:to>
        <xdr:sp macro="" textlink="">
          <xdr:nvSpPr>
            <xdr:cNvPr id="33812" name="Object 20" hidden="1">
              <a:extLst>
                <a:ext uri="{63B3BB69-23CF-44E3-9099-C40C66FF867C}">
                  <a14:compatExt spid="_x0000_s338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11</xdr:row>
          <xdr:rowOff>0</xdr:rowOff>
        </xdr:from>
        <xdr:to>
          <xdr:col>9</xdr:col>
          <xdr:colOff>361950</xdr:colOff>
          <xdr:row>11</xdr:row>
          <xdr:rowOff>228600</xdr:rowOff>
        </xdr:to>
        <xdr:sp macro="" textlink="">
          <xdr:nvSpPr>
            <xdr:cNvPr id="33813" name="Object 21" hidden="1">
              <a:extLst>
                <a:ext uri="{63B3BB69-23CF-44E3-9099-C40C66FF867C}">
                  <a14:compatExt spid="_x0000_s338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11</xdr:row>
          <xdr:rowOff>0</xdr:rowOff>
        </xdr:from>
        <xdr:to>
          <xdr:col>10</xdr:col>
          <xdr:colOff>428625</xdr:colOff>
          <xdr:row>12</xdr:row>
          <xdr:rowOff>19050</xdr:rowOff>
        </xdr:to>
        <xdr:sp macro="" textlink="">
          <xdr:nvSpPr>
            <xdr:cNvPr id="33814" name="Object 22" hidden="1">
              <a:extLst>
                <a:ext uri="{63B3BB69-23CF-44E3-9099-C40C66FF867C}">
                  <a14:compatExt spid="_x0000_s338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14</xdr:row>
          <xdr:rowOff>38100</xdr:rowOff>
        </xdr:from>
        <xdr:to>
          <xdr:col>13</xdr:col>
          <xdr:colOff>314325</xdr:colOff>
          <xdr:row>16</xdr:row>
          <xdr:rowOff>114300</xdr:rowOff>
        </xdr:to>
        <xdr:sp macro="" textlink="">
          <xdr:nvSpPr>
            <xdr:cNvPr id="33815" name="Object 23" hidden="1">
              <a:extLst>
                <a:ext uri="{63B3BB69-23CF-44E3-9099-C40C66FF867C}">
                  <a14:compatExt spid="_x0000_s338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15</xdr:row>
          <xdr:rowOff>0</xdr:rowOff>
        </xdr:from>
        <xdr:to>
          <xdr:col>16</xdr:col>
          <xdr:colOff>76200</xdr:colOff>
          <xdr:row>17</xdr:row>
          <xdr:rowOff>76200</xdr:rowOff>
        </xdr:to>
        <xdr:sp macro="" textlink="">
          <xdr:nvSpPr>
            <xdr:cNvPr id="33816" name="Object 24" hidden="1">
              <a:extLst>
                <a:ext uri="{63B3BB69-23CF-44E3-9099-C40C66FF867C}">
                  <a14:compatExt spid="_x0000_s338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18</xdr:row>
          <xdr:rowOff>0</xdr:rowOff>
        </xdr:from>
        <xdr:to>
          <xdr:col>16</xdr:col>
          <xdr:colOff>542925</xdr:colOff>
          <xdr:row>20</xdr:row>
          <xdr:rowOff>171450</xdr:rowOff>
        </xdr:to>
        <xdr:sp macro="" textlink="">
          <xdr:nvSpPr>
            <xdr:cNvPr id="33817" name="Object 25" hidden="1">
              <a:extLst>
                <a:ext uri="{63B3BB69-23CF-44E3-9099-C40C66FF867C}">
                  <a14:compatExt spid="_x0000_s33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25</xdr:row>
          <xdr:rowOff>0</xdr:rowOff>
        </xdr:from>
        <xdr:to>
          <xdr:col>4</xdr:col>
          <xdr:colOff>361950</xdr:colOff>
          <xdr:row>26</xdr:row>
          <xdr:rowOff>9525</xdr:rowOff>
        </xdr:to>
        <xdr:sp macro="" textlink="">
          <xdr:nvSpPr>
            <xdr:cNvPr id="33818" name="Object 26" hidden="1">
              <a:extLst>
                <a:ext uri="{63B3BB69-23CF-44E3-9099-C40C66FF867C}">
                  <a14:compatExt spid="_x0000_s33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25</xdr:row>
          <xdr:rowOff>0</xdr:rowOff>
        </xdr:from>
        <xdr:to>
          <xdr:col>5</xdr:col>
          <xdr:colOff>209550</xdr:colOff>
          <xdr:row>26</xdr:row>
          <xdr:rowOff>9525</xdr:rowOff>
        </xdr:to>
        <xdr:sp macro="" textlink="">
          <xdr:nvSpPr>
            <xdr:cNvPr id="33819" name="Object 27" hidden="1">
              <a:extLst>
                <a:ext uri="{63B3BB69-23CF-44E3-9099-C40C66FF867C}">
                  <a14:compatExt spid="_x0000_s33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25</xdr:row>
          <xdr:rowOff>0</xdr:rowOff>
        </xdr:from>
        <xdr:to>
          <xdr:col>6</xdr:col>
          <xdr:colOff>400050</xdr:colOff>
          <xdr:row>26</xdr:row>
          <xdr:rowOff>19050</xdr:rowOff>
        </xdr:to>
        <xdr:sp macro="" textlink="">
          <xdr:nvSpPr>
            <xdr:cNvPr id="33820" name="Object 28" hidden="1">
              <a:extLst>
                <a:ext uri="{63B3BB69-23CF-44E3-9099-C40C66FF867C}">
                  <a14:compatExt spid="_x0000_s33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25</xdr:row>
          <xdr:rowOff>0</xdr:rowOff>
        </xdr:from>
        <xdr:to>
          <xdr:col>7</xdr:col>
          <xdr:colOff>314325</xdr:colOff>
          <xdr:row>26</xdr:row>
          <xdr:rowOff>19050</xdr:rowOff>
        </xdr:to>
        <xdr:sp macro="" textlink="">
          <xdr:nvSpPr>
            <xdr:cNvPr id="33821" name="Object 29" hidden="1">
              <a:extLst>
                <a:ext uri="{63B3BB69-23CF-44E3-9099-C40C66FF867C}">
                  <a14:compatExt spid="_x0000_s33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25</xdr:row>
          <xdr:rowOff>0</xdr:rowOff>
        </xdr:from>
        <xdr:to>
          <xdr:col>8</xdr:col>
          <xdr:colOff>361950</xdr:colOff>
          <xdr:row>26</xdr:row>
          <xdr:rowOff>9525</xdr:rowOff>
        </xdr:to>
        <xdr:sp macro="" textlink="">
          <xdr:nvSpPr>
            <xdr:cNvPr id="33822" name="Object 30" hidden="1">
              <a:extLst>
                <a:ext uri="{63B3BB69-23CF-44E3-9099-C40C66FF867C}">
                  <a14:compatExt spid="_x0000_s33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25</xdr:row>
          <xdr:rowOff>0</xdr:rowOff>
        </xdr:from>
        <xdr:to>
          <xdr:col>9</xdr:col>
          <xdr:colOff>400050</xdr:colOff>
          <xdr:row>26</xdr:row>
          <xdr:rowOff>9525</xdr:rowOff>
        </xdr:to>
        <xdr:sp macro="" textlink="">
          <xdr:nvSpPr>
            <xdr:cNvPr id="33823" name="Object 31" hidden="1">
              <a:extLst>
                <a:ext uri="{63B3BB69-23CF-44E3-9099-C40C66FF867C}">
                  <a14:compatExt spid="_x0000_s33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25</xdr:row>
          <xdr:rowOff>0</xdr:rowOff>
        </xdr:from>
        <xdr:to>
          <xdr:col>10</xdr:col>
          <xdr:colOff>304800</xdr:colOff>
          <xdr:row>26</xdr:row>
          <xdr:rowOff>9525</xdr:rowOff>
        </xdr:to>
        <xdr:sp macro="" textlink="">
          <xdr:nvSpPr>
            <xdr:cNvPr id="33824" name="Object 32" hidden="1">
              <a:extLst>
                <a:ext uri="{63B3BB69-23CF-44E3-9099-C40C66FF867C}">
                  <a14:compatExt spid="_x0000_s33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31</xdr:row>
          <xdr:rowOff>0</xdr:rowOff>
        </xdr:from>
        <xdr:to>
          <xdr:col>3</xdr:col>
          <xdr:colOff>638175</xdr:colOff>
          <xdr:row>31</xdr:row>
          <xdr:rowOff>257175</xdr:rowOff>
        </xdr:to>
        <xdr:sp macro="" textlink="">
          <xdr:nvSpPr>
            <xdr:cNvPr id="33825" name="Object 33" hidden="1">
              <a:extLst>
                <a:ext uri="{63B3BB69-23CF-44E3-9099-C40C66FF867C}">
                  <a14:compatExt spid="_x0000_s338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31</xdr:row>
          <xdr:rowOff>0</xdr:rowOff>
        </xdr:from>
        <xdr:to>
          <xdr:col>4</xdr:col>
          <xdr:colOff>247650</xdr:colOff>
          <xdr:row>31</xdr:row>
          <xdr:rowOff>266700</xdr:rowOff>
        </xdr:to>
        <xdr:sp macro="" textlink="">
          <xdr:nvSpPr>
            <xdr:cNvPr id="33826" name="Object 34" hidden="1">
              <a:extLst>
                <a:ext uri="{63B3BB69-23CF-44E3-9099-C40C66FF867C}">
                  <a14:compatExt spid="_x0000_s338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31</xdr:row>
          <xdr:rowOff>0</xdr:rowOff>
        </xdr:from>
        <xdr:to>
          <xdr:col>5</xdr:col>
          <xdr:colOff>400050</xdr:colOff>
          <xdr:row>31</xdr:row>
          <xdr:rowOff>247650</xdr:rowOff>
        </xdr:to>
        <xdr:sp macro="" textlink="">
          <xdr:nvSpPr>
            <xdr:cNvPr id="33827" name="Object 35" hidden="1">
              <a:extLst>
                <a:ext uri="{63B3BB69-23CF-44E3-9099-C40C66FF867C}">
                  <a14:compatExt spid="_x0000_s338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31</xdr:row>
          <xdr:rowOff>0</xdr:rowOff>
        </xdr:from>
        <xdr:to>
          <xdr:col>6</xdr:col>
          <xdr:colOff>381000</xdr:colOff>
          <xdr:row>31</xdr:row>
          <xdr:rowOff>247650</xdr:rowOff>
        </xdr:to>
        <xdr:sp macro="" textlink="">
          <xdr:nvSpPr>
            <xdr:cNvPr id="33828" name="Object 36" hidden="1">
              <a:extLst>
                <a:ext uri="{63B3BB69-23CF-44E3-9099-C40C66FF867C}">
                  <a14:compatExt spid="_x0000_s338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31</xdr:row>
          <xdr:rowOff>0</xdr:rowOff>
        </xdr:from>
        <xdr:to>
          <xdr:col>7</xdr:col>
          <xdr:colOff>400050</xdr:colOff>
          <xdr:row>31</xdr:row>
          <xdr:rowOff>247650</xdr:rowOff>
        </xdr:to>
        <xdr:sp macro="" textlink="">
          <xdr:nvSpPr>
            <xdr:cNvPr id="33829" name="Object 37" hidden="1">
              <a:extLst>
                <a:ext uri="{63B3BB69-23CF-44E3-9099-C40C66FF867C}">
                  <a14:compatExt spid="_x0000_s338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31</xdr:row>
          <xdr:rowOff>0</xdr:rowOff>
        </xdr:from>
        <xdr:to>
          <xdr:col>8</xdr:col>
          <xdr:colOff>323850</xdr:colOff>
          <xdr:row>31</xdr:row>
          <xdr:rowOff>247650</xdr:rowOff>
        </xdr:to>
        <xdr:sp macro="" textlink="">
          <xdr:nvSpPr>
            <xdr:cNvPr id="33830" name="Object 38" hidden="1">
              <a:extLst>
                <a:ext uri="{63B3BB69-23CF-44E3-9099-C40C66FF867C}">
                  <a14:compatExt spid="_x0000_s338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31</xdr:row>
          <xdr:rowOff>0</xdr:rowOff>
        </xdr:from>
        <xdr:to>
          <xdr:col>9</xdr:col>
          <xdr:colOff>323850</xdr:colOff>
          <xdr:row>31</xdr:row>
          <xdr:rowOff>247650</xdr:rowOff>
        </xdr:to>
        <xdr:sp macro="" textlink="">
          <xdr:nvSpPr>
            <xdr:cNvPr id="33831" name="Object 39" hidden="1">
              <a:extLst>
                <a:ext uri="{63B3BB69-23CF-44E3-9099-C40C66FF867C}">
                  <a14:compatExt spid="_x0000_s338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31</xdr:row>
          <xdr:rowOff>0</xdr:rowOff>
        </xdr:from>
        <xdr:to>
          <xdr:col>10</xdr:col>
          <xdr:colOff>323850</xdr:colOff>
          <xdr:row>31</xdr:row>
          <xdr:rowOff>247650</xdr:rowOff>
        </xdr:to>
        <xdr:sp macro="" textlink="">
          <xdr:nvSpPr>
            <xdr:cNvPr id="33832" name="Object 40" hidden="1">
              <a:extLst>
                <a:ext uri="{63B3BB69-23CF-44E3-9099-C40C66FF867C}">
                  <a14:compatExt spid="_x0000_s338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31</xdr:row>
          <xdr:rowOff>0</xdr:rowOff>
        </xdr:from>
        <xdr:to>
          <xdr:col>11</xdr:col>
          <xdr:colOff>285750</xdr:colOff>
          <xdr:row>31</xdr:row>
          <xdr:rowOff>257175</xdr:rowOff>
        </xdr:to>
        <xdr:sp macro="" textlink="">
          <xdr:nvSpPr>
            <xdr:cNvPr id="33833" name="Object 41" hidden="1">
              <a:extLst>
                <a:ext uri="{63B3BB69-23CF-44E3-9099-C40C66FF867C}">
                  <a14:compatExt spid="_x0000_s338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31</xdr:row>
          <xdr:rowOff>0</xdr:rowOff>
        </xdr:from>
        <xdr:to>
          <xdr:col>12</xdr:col>
          <xdr:colOff>285750</xdr:colOff>
          <xdr:row>31</xdr:row>
          <xdr:rowOff>247650</xdr:rowOff>
        </xdr:to>
        <xdr:sp macro="" textlink="">
          <xdr:nvSpPr>
            <xdr:cNvPr id="33834" name="Object 42" hidden="1">
              <a:extLst>
                <a:ext uri="{63B3BB69-23CF-44E3-9099-C40C66FF867C}">
                  <a14:compatExt spid="_x0000_s338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31</xdr:row>
          <xdr:rowOff>0</xdr:rowOff>
        </xdr:from>
        <xdr:to>
          <xdr:col>13</xdr:col>
          <xdr:colOff>304800</xdr:colOff>
          <xdr:row>31</xdr:row>
          <xdr:rowOff>257175</xdr:rowOff>
        </xdr:to>
        <xdr:sp macro="" textlink="">
          <xdr:nvSpPr>
            <xdr:cNvPr id="33835" name="Object 43" hidden="1">
              <a:extLst>
                <a:ext uri="{63B3BB69-23CF-44E3-9099-C40C66FF867C}">
                  <a14:compatExt spid="_x0000_s338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</xdr:row>
          <xdr:rowOff>0</xdr:rowOff>
        </xdr:from>
        <xdr:to>
          <xdr:col>9</xdr:col>
          <xdr:colOff>590550</xdr:colOff>
          <xdr:row>1</xdr:row>
          <xdr:rowOff>228600</xdr:rowOff>
        </xdr:to>
        <xdr:sp macro="" textlink="">
          <xdr:nvSpPr>
            <xdr:cNvPr id="34817" name="Object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</xdr:row>
          <xdr:rowOff>0</xdr:rowOff>
        </xdr:from>
        <xdr:to>
          <xdr:col>11</xdr:col>
          <xdr:colOff>219075</xdr:colOff>
          <xdr:row>1</xdr:row>
          <xdr:rowOff>228600</xdr:rowOff>
        </xdr:to>
        <xdr:sp macro="" textlink="">
          <xdr:nvSpPr>
            <xdr:cNvPr id="34818" name="Object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1</xdr:row>
          <xdr:rowOff>0</xdr:rowOff>
        </xdr:from>
        <xdr:to>
          <xdr:col>11</xdr:col>
          <xdr:colOff>247650</xdr:colOff>
          <xdr:row>1</xdr:row>
          <xdr:rowOff>228600</xdr:rowOff>
        </xdr:to>
        <xdr:sp macro="" textlink="">
          <xdr:nvSpPr>
            <xdr:cNvPr id="34819" name="Object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</xdr:row>
          <xdr:rowOff>0</xdr:rowOff>
        </xdr:from>
        <xdr:to>
          <xdr:col>13</xdr:col>
          <xdr:colOff>0</xdr:colOff>
          <xdr:row>1</xdr:row>
          <xdr:rowOff>228600</xdr:rowOff>
        </xdr:to>
        <xdr:sp macro="" textlink="">
          <xdr:nvSpPr>
            <xdr:cNvPr id="34820" name="Object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</xdr:row>
          <xdr:rowOff>0</xdr:rowOff>
        </xdr:from>
        <xdr:to>
          <xdr:col>10</xdr:col>
          <xdr:colOff>19050</xdr:colOff>
          <xdr:row>2</xdr:row>
          <xdr:rowOff>228600</xdr:rowOff>
        </xdr:to>
        <xdr:sp macro="" textlink="">
          <xdr:nvSpPr>
            <xdr:cNvPr id="35841" name="Object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</xdr:row>
          <xdr:rowOff>0</xdr:rowOff>
        </xdr:from>
        <xdr:to>
          <xdr:col>11</xdr:col>
          <xdr:colOff>19050</xdr:colOff>
          <xdr:row>2</xdr:row>
          <xdr:rowOff>247650</xdr:rowOff>
        </xdr:to>
        <xdr:sp macro="" textlink="">
          <xdr:nvSpPr>
            <xdr:cNvPr id="35842" name="Object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2</xdr:row>
          <xdr:rowOff>0</xdr:rowOff>
        </xdr:from>
        <xdr:to>
          <xdr:col>12</xdr:col>
          <xdr:colOff>295275</xdr:colOff>
          <xdr:row>2</xdr:row>
          <xdr:rowOff>247650</xdr:rowOff>
        </xdr:to>
        <xdr:sp macro="" textlink="">
          <xdr:nvSpPr>
            <xdr:cNvPr id="35843" name="Object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2</xdr:row>
          <xdr:rowOff>0</xdr:rowOff>
        </xdr:from>
        <xdr:to>
          <xdr:col>13</xdr:col>
          <xdr:colOff>0</xdr:colOff>
          <xdr:row>2</xdr:row>
          <xdr:rowOff>190500</xdr:rowOff>
        </xdr:to>
        <xdr:sp macro="" textlink="">
          <xdr:nvSpPr>
            <xdr:cNvPr id="35844" name="Object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2</xdr:row>
          <xdr:rowOff>0</xdr:rowOff>
        </xdr:from>
        <xdr:to>
          <xdr:col>13</xdr:col>
          <xdr:colOff>581025</xdr:colOff>
          <xdr:row>2</xdr:row>
          <xdr:rowOff>247650</xdr:rowOff>
        </xdr:to>
        <xdr:sp macro="" textlink="">
          <xdr:nvSpPr>
            <xdr:cNvPr id="35845" name="Object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</xdr:row>
          <xdr:rowOff>0</xdr:rowOff>
        </xdr:from>
        <xdr:to>
          <xdr:col>7</xdr:col>
          <xdr:colOff>209550</xdr:colOff>
          <xdr:row>2</xdr:row>
          <xdr:rowOff>247650</xdr:rowOff>
        </xdr:to>
        <xdr:sp macro="" textlink="">
          <xdr:nvSpPr>
            <xdr:cNvPr id="36865" name="Object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</xdr:row>
          <xdr:rowOff>0</xdr:rowOff>
        </xdr:from>
        <xdr:to>
          <xdr:col>10</xdr:col>
          <xdr:colOff>19050</xdr:colOff>
          <xdr:row>2</xdr:row>
          <xdr:rowOff>285750</xdr:rowOff>
        </xdr:to>
        <xdr:sp macro="" textlink="">
          <xdr:nvSpPr>
            <xdr:cNvPr id="36866" name="Object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</xdr:row>
          <xdr:rowOff>0</xdr:rowOff>
        </xdr:from>
        <xdr:to>
          <xdr:col>10</xdr:col>
          <xdr:colOff>552450</xdr:colOff>
          <xdr:row>2</xdr:row>
          <xdr:rowOff>228600</xdr:rowOff>
        </xdr:to>
        <xdr:sp macro="" textlink="">
          <xdr:nvSpPr>
            <xdr:cNvPr id="36867" name="Object 3" hidden="1">
              <a:extLst>
                <a:ext uri="{63B3BB69-23CF-44E3-9099-C40C66FF867C}">
                  <a14:compatExt spid="_x0000_s368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2</xdr:row>
          <xdr:rowOff>0</xdr:rowOff>
        </xdr:from>
        <xdr:to>
          <xdr:col>11</xdr:col>
          <xdr:colOff>304800</xdr:colOff>
          <xdr:row>2</xdr:row>
          <xdr:rowOff>190500</xdr:rowOff>
        </xdr:to>
        <xdr:sp macro="" textlink="">
          <xdr:nvSpPr>
            <xdr:cNvPr id="36868" name="Object 4" hidden="1">
              <a:extLst>
                <a:ext uri="{63B3BB69-23CF-44E3-9099-C40C66FF867C}">
                  <a14:compatExt spid="_x0000_s368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2</xdr:row>
          <xdr:rowOff>0</xdr:rowOff>
        </xdr:from>
        <xdr:to>
          <xdr:col>14</xdr:col>
          <xdr:colOff>209550</xdr:colOff>
          <xdr:row>2</xdr:row>
          <xdr:rowOff>247650</xdr:rowOff>
        </xdr:to>
        <xdr:sp macro="" textlink="">
          <xdr:nvSpPr>
            <xdr:cNvPr id="36869" name="Object 5" hidden="1">
              <a:extLst>
                <a:ext uri="{63B3BB69-23CF-44E3-9099-C40C66FF867C}">
                  <a14:compatExt spid="_x0000_s368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19</xdr:row>
          <xdr:rowOff>0</xdr:rowOff>
        </xdr:from>
        <xdr:to>
          <xdr:col>7</xdr:col>
          <xdr:colOff>247650</xdr:colOff>
          <xdr:row>20</xdr:row>
          <xdr:rowOff>57150</xdr:rowOff>
        </xdr:to>
        <xdr:sp macro="" textlink="">
          <xdr:nvSpPr>
            <xdr:cNvPr id="36870" name="Object 6" hidden="1">
              <a:extLst>
                <a:ext uri="{63B3BB69-23CF-44E3-9099-C40C66FF867C}">
                  <a14:compatExt spid="_x0000_s368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19</xdr:row>
          <xdr:rowOff>0</xdr:rowOff>
        </xdr:from>
        <xdr:to>
          <xdr:col>8</xdr:col>
          <xdr:colOff>514350</xdr:colOff>
          <xdr:row>20</xdr:row>
          <xdr:rowOff>19050</xdr:rowOff>
        </xdr:to>
        <xdr:sp macro="" textlink="">
          <xdr:nvSpPr>
            <xdr:cNvPr id="36871" name="Object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19</xdr:row>
          <xdr:rowOff>0</xdr:rowOff>
        </xdr:from>
        <xdr:to>
          <xdr:col>9</xdr:col>
          <xdr:colOff>438150</xdr:colOff>
          <xdr:row>20</xdr:row>
          <xdr:rowOff>47625</xdr:rowOff>
        </xdr:to>
        <xdr:sp macro="" textlink="">
          <xdr:nvSpPr>
            <xdr:cNvPr id="36872" name="Object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19</xdr:row>
          <xdr:rowOff>0</xdr:rowOff>
        </xdr:from>
        <xdr:to>
          <xdr:col>10</xdr:col>
          <xdr:colOff>342900</xdr:colOff>
          <xdr:row>20</xdr:row>
          <xdr:rowOff>57150</xdr:rowOff>
        </xdr:to>
        <xdr:sp macro="" textlink="">
          <xdr:nvSpPr>
            <xdr:cNvPr id="36873" name="Object 9" hidden="1">
              <a:extLst>
                <a:ext uri="{63B3BB69-23CF-44E3-9099-C40C66FF867C}">
                  <a14:compatExt spid="_x0000_s368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19</xdr:row>
          <xdr:rowOff>0</xdr:rowOff>
        </xdr:from>
        <xdr:to>
          <xdr:col>11</xdr:col>
          <xdr:colOff>285750</xdr:colOff>
          <xdr:row>20</xdr:row>
          <xdr:rowOff>47625</xdr:rowOff>
        </xdr:to>
        <xdr:sp macro="" textlink="">
          <xdr:nvSpPr>
            <xdr:cNvPr id="36874" name="Object 10" hidden="1">
              <a:extLst>
                <a:ext uri="{63B3BB69-23CF-44E3-9099-C40C66FF867C}">
                  <a14:compatExt spid="_x0000_s368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19</xdr:row>
          <xdr:rowOff>0</xdr:rowOff>
        </xdr:from>
        <xdr:to>
          <xdr:col>12</xdr:col>
          <xdr:colOff>266700</xdr:colOff>
          <xdr:row>20</xdr:row>
          <xdr:rowOff>19050</xdr:rowOff>
        </xdr:to>
        <xdr:sp macro="" textlink="">
          <xdr:nvSpPr>
            <xdr:cNvPr id="36875" name="Object 11" hidden="1">
              <a:extLst>
                <a:ext uri="{63B3BB69-23CF-44E3-9099-C40C66FF867C}">
                  <a14:compatExt spid="_x0000_s368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19</xdr:row>
          <xdr:rowOff>0</xdr:rowOff>
        </xdr:from>
        <xdr:to>
          <xdr:col>13</xdr:col>
          <xdr:colOff>400050</xdr:colOff>
          <xdr:row>20</xdr:row>
          <xdr:rowOff>19050</xdr:rowOff>
        </xdr:to>
        <xdr:sp macro="" textlink="">
          <xdr:nvSpPr>
            <xdr:cNvPr id="36876" name="Object 12" hidden="1">
              <a:extLst>
                <a:ext uri="{63B3BB69-23CF-44E3-9099-C40C66FF867C}">
                  <a14:compatExt spid="_x0000_s368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19</xdr:row>
          <xdr:rowOff>0</xdr:rowOff>
        </xdr:from>
        <xdr:to>
          <xdr:col>14</xdr:col>
          <xdr:colOff>323850</xdr:colOff>
          <xdr:row>20</xdr:row>
          <xdr:rowOff>38100</xdr:rowOff>
        </xdr:to>
        <xdr:sp macro="" textlink="">
          <xdr:nvSpPr>
            <xdr:cNvPr id="36877" name="Object 13" hidden="1">
              <a:extLst>
                <a:ext uri="{63B3BB69-23CF-44E3-9099-C40C66FF867C}">
                  <a14:compatExt spid="_x0000_s368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19</xdr:row>
          <xdr:rowOff>0</xdr:rowOff>
        </xdr:from>
        <xdr:to>
          <xdr:col>15</xdr:col>
          <xdr:colOff>314325</xdr:colOff>
          <xdr:row>19</xdr:row>
          <xdr:rowOff>209550</xdr:rowOff>
        </xdr:to>
        <xdr:sp macro="" textlink="">
          <xdr:nvSpPr>
            <xdr:cNvPr id="36878" name="Object 14" hidden="1">
              <a:extLst>
                <a:ext uri="{63B3BB69-23CF-44E3-9099-C40C66FF867C}">
                  <a14:compatExt spid="_x0000_s368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9525</xdr:rowOff>
        </xdr:from>
        <xdr:to>
          <xdr:col>4</xdr:col>
          <xdr:colOff>323850</xdr:colOff>
          <xdr:row>14</xdr:row>
          <xdr:rowOff>85725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600075</xdr:colOff>
          <xdr:row>3</xdr:row>
          <xdr:rowOff>0</xdr:rowOff>
        </xdr:from>
        <xdr:to>
          <xdr:col>17</xdr:col>
          <xdr:colOff>0</xdr:colOff>
          <xdr:row>15</xdr:row>
          <xdr:rowOff>28575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16</xdr:row>
          <xdr:rowOff>161925</xdr:rowOff>
        </xdr:from>
        <xdr:to>
          <xdr:col>12</xdr:col>
          <xdr:colOff>438150</xdr:colOff>
          <xdr:row>29</xdr:row>
          <xdr:rowOff>114300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15</xdr:row>
          <xdr:rowOff>142875</xdr:rowOff>
        </xdr:from>
        <xdr:to>
          <xdr:col>21</xdr:col>
          <xdr:colOff>180975</xdr:colOff>
          <xdr:row>28</xdr:row>
          <xdr:rowOff>114300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495300</xdr:colOff>
          <xdr:row>17</xdr:row>
          <xdr:rowOff>57150</xdr:rowOff>
        </xdr:from>
        <xdr:to>
          <xdr:col>4</xdr:col>
          <xdr:colOff>352425</xdr:colOff>
          <xdr:row>30</xdr:row>
          <xdr:rowOff>19050</xdr:rowOff>
        </xdr:to>
        <xdr:sp macro="" textlink="">
          <xdr:nvSpPr>
            <xdr:cNvPr id="5127" name="Object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0</xdr:colOff>
          <xdr:row>23</xdr:row>
          <xdr:rowOff>161925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5</xdr:row>
      <xdr:rowOff>160020</xdr:rowOff>
    </xdr:from>
    <xdr:to>
      <xdr:col>15</xdr:col>
      <xdr:colOff>472440</xdr:colOff>
      <xdr:row>5</xdr:row>
      <xdr:rowOff>160020</xdr:rowOff>
    </xdr:to>
    <xdr:cxnSp macro="">
      <xdr:nvCxnSpPr>
        <xdr:cNvPr id="3" name="Прямая соединительная линия 2"/>
        <xdr:cNvCxnSpPr/>
      </xdr:nvCxnSpPr>
      <xdr:spPr>
        <a:xfrm>
          <a:off x="5074920" y="10744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601980</xdr:colOff>
      <xdr:row>5</xdr:row>
      <xdr:rowOff>152400</xdr:rowOff>
    </xdr:from>
    <xdr:to>
      <xdr:col>11</xdr:col>
      <xdr:colOff>15240</xdr:colOff>
      <xdr:row>9</xdr:row>
      <xdr:rowOff>7620</xdr:rowOff>
    </xdr:to>
    <xdr:cxnSp macro="">
      <xdr:nvCxnSpPr>
        <xdr:cNvPr id="5" name="Прямая со стрелкой 4"/>
        <xdr:cNvCxnSpPr/>
      </xdr:nvCxnSpPr>
      <xdr:spPr>
        <a:xfrm>
          <a:off x="669798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548640</xdr:colOff>
      <xdr:row>5</xdr:row>
      <xdr:rowOff>152400</xdr:rowOff>
    </xdr:from>
    <xdr:to>
      <xdr:col>13</xdr:col>
      <xdr:colOff>571500</xdr:colOff>
      <xdr:row>9</xdr:row>
      <xdr:rowOff>7620</xdr:rowOff>
    </xdr:to>
    <xdr:cxnSp macro="">
      <xdr:nvCxnSpPr>
        <xdr:cNvPr id="6" name="Прямая со стрелкой 5"/>
        <xdr:cNvCxnSpPr/>
      </xdr:nvCxnSpPr>
      <xdr:spPr>
        <a:xfrm>
          <a:off x="847344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441960</xdr:colOff>
      <xdr:row>5</xdr:row>
      <xdr:rowOff>60960</xdr:rowOff>
    </xdr:from>
    <xdr:to>
      <xdr:col>13</xdr:col>
      <xdr:colOff>342900</xdr:colOff>
      <xdr:row>5</xdr:row>
      <xdr:rowOff>76200</xdr:rowOff>
    </xdr:to>
    <xdr:cxnSp macro="">
      <xdr:nvCxnSpPr>
        <xdr:cNvPr id="7" name="Прямая со стрелкой 6"/>
        <xdr:cNvCxnSpPr/>
      </xdr:nvCxnSpPr>
      <xdr:spPr>
        <a:xfrm flipV="1">
          <a:off x="7147560" y="97536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5</xdr:row>
      <xdr:rowOff>45720</xdr:rowOff>
    </xdr:from>
    <xdr:to>
      <xdr:col>10</xdr:col>
      <xdr:colOff>358140</xdr:colOff>
      <xdr:row>5</xdr:row>
      <xdr:rowOff>60960</xdr:rowOff>
    </xdr:to>
    <xdr:cxnSp macro="">
      <xdr:nvCxnSpPr>
        <xdr:cNvPr id="9" name="Прямая со стрелкой 8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5</xdr:row>
      <xdr:rowOff>53340</xdr:rowOff>
    </xdr:from>
    <xdr:to>
      <xdr:col>16</xdr:col>
      <xdr:colOff>457200</xdr:colOff>
      <xdr:row>5</xdr:row>
      <xdr:rowOff>68580</xdr:rowOff>
    </xdr:to>
    <xdr:cxnSp macro="">
      <xdr:nvCxnSpPr>
        <xdr:cNvPr id="10" name="Прямая со стрелкой 9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198120</xdr:colOff>
      <xdr:row>16</xdr:row>
      <xdr:rowOff>22860</xdr:rowOff>
    </xdr:from>
    <xdr:to>
      <xdr:col>15</xdr:col>
      <xdr:colOff>472440</xdr:colOff>
      <xdr:row>16</xdr:row>
      <xdr:rowOff>22860</xdr:rowOff>
    </xdr:to>
    <xdr:cxnSp macro="">
      <xdr:nvCxnSpPr>
        <xdr:cNvPr id="12" name="Прямая соединительная линия 11"/>
        <xdr:cNvCxnSpPr/>
      </xdr:nvCxnSpPr>
      <xdr:spPr>
        <a:xfrm>
          <a:off x="5074920" y="31318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610263</xdr:colOff>
      <xdr:row>16</xdr:row>
      <xdr:rowOff>6629</xdr:rowOff>
    </xdr:from>
    <xdr:to>
      <xdr:col>11</xdr:col>
      <xdr:colOff>8283</xdr:colOff>
      <xdr:row>19</xdr:row>
      <xdr:rowOff>57979</xdr:rowOff>
    </xdr:to>
    <xdr:cxnSp macro="">
      <xdr:nvCxnSpPr>
        <xdr:cNvPr id="13" name="Прямая со стрелкой 12"/>
        <xdr:cNvCxnSpPr/>
      </xdr:nvCxnSpPr>
      <xdr:spPr>
        <a:xfrm>
          <a:off x="6764241" y="3054629"/>
          <a:ext cx="10933" cy="6228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546653</xdr:colOff>
      <xdr:row>16</xdr:row>
      <xdr:rowOff>14799</xdr:rowOff>
    </xdr:from>
    <xdr:to>
      <xdr:col>13</xdr:col>
      <xdr:colOff>548640</xdr:colOff>
      <xdr:row>19</xdr:row>
      <xdr:rowOff>16565</xdr:rowOff>
    </xdr:to>
    <xdr:cxnSp macro="">
      <xdr:nvCxnSpPr>
        <xdr:cNvPr id="14" name="Прямая со стрелкой 13"/>
        <xdr:cNvCxnSpPr/>
      </xdr:nvCxnSpPr>
      <xdr:spPr>
        <a:xfrm flipH="1">
          <a:off x="8539370" y="3062799"/>
          <a:ext cx="1987" cy="57326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373380</xdr:colOff>
      <xdr:row>15</xdr:row>
      <xdr:rowOff>68580</xdr:rowOff>
    </xdr:from>
    <xdr:to>
      <xdr:col>13</xdr:col>
      <xdr:colOff>381000</xdr:colOff>
      <xdr:row>15</xdr:row>
      <xdr:rowOff>76200</xdr:rowOff>
    </xdr:to>
    <xdr:cxnSp macro="">
      <xdr:nvCxnSpPr>
        <xdr:cNvPr id="15" name="Прямая со стрелкой 14"/>
        <xdr:cNvCxnSpPr/>
      </xdr:nvCxnSpPr>
      <xdr:spPr>
        <a:xfrm flipH="1">
          <a:off x="7078980" y="2994660"/>
          <a:ext cx="1226820" cy="76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15</xdr:row>
      <xdr:rowOff>45720</xdr:rowOff>
    </xdr:from>
    <xdr:to>
      <xdr:col>10</xdr:col>
      <xdr:colOff>358140</xdr:colOff>
      <xdr:row>15</xdr:row>
      <xdr:rowOff>60960</xdr:rowOff>
    </xdr:to>
    <xdr:cxnSp macro="">
      <xdr:nvCxnSpPr>
        <xdr:cNvPr id="16" name="Прямая со стрелкой 15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15</xdr:row>
      <xdr:rowOff>53340</xdr:rowOff>
    </xdr:from>
    <xdr:to>
      <xdr:col>16</xdr:col>
      <xdr:colOff>457200</xdr:colOff>
      <xdr:row>15</xdr:row>
      <xdr:rowOff>68580</xdr:rowOff>
    </xdr:to>
    <xdr:cxnSp macro="">
      <xdr:nvCxnSpPr>
        <xdr:cNvPr id="17" name="Прямая со стрелкой 16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590550</xdr:colOff>
          <xdr:row>25</xdr:row>
          <xdr:rowOff>180975</xdr:rowOff>
        </xdr:from>
        <xdr:to>
          <xdr:col>13</xdr:col>
          <xdr:colOff>266700</xdr:colOff>
          <xdr:row>34</xdr:row>
          <xdr:rowOff>133350</xdr:rowOff>
        </xdr:to>
        <xdr:sp macro="" textlink="">
          <xdr:nvSpPr>
            <xdr:cNvPr id="13315" name="Object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123825</xdr:colOff>
          <xdr:row>25</xdr:row>
          <xdr:rowOff>28575</xdr:rowOff>
        </xdr:from>
        <xdr:to>
          <xdr:col>4</xdr:col>
          <xdr:colOff>0</xdr:colOff>
          <xdr:row>26</xdr:row>
          <xdr:rowOff>57150</xdr:rowOff>
        </xdr:to>
        <xdr:sp macro="" textlink="">
          <xdr:nvSpPr>
            <xdr:cNvPr id="16417" name="Object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</xdr:row>
          <xdr:rowOff>133350</xdr:rowOff>
        </xdr:from>
        <xdr:to>
          <xdr:col>20</xdr:col>
          <xdr:colOff>85725</xdr:colOff>
          <xdr:row>10</xdr:row>
          <xdr:rowOff>152400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12</xdr:row>
          <xdr:rowOff>9525</xdr:rowOff>
        </xdr:from>
        <xdr:to>
          <xdr:col>20</xdr:col>
          <xdr:colOff>95250</xdr:colOff>
          <xdr:row>21</xdr:row>
          <xdr:rowOff>438150</xdr:rowOff>
        </xdr:to>
        <xdr:sp macro="" textlink="">
          <xdr:nvSpPr>
            <xdr:cNvPr id="15362" name="Object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123825</xdr:colOff>
          <xdr:row>4</xdr:row>
          <xdr:rowOff>0</xdr:rowOff>
        </xdr:from>
        <xdr:to>
          <xdr:col>5</xdr:col>
          <xdr:colOff>523875</xdr:colOff>
          <xdr:row>5</xdr:row>
          <xdr:rowOff>19050</xdr:rowOff>
        </xdr:to>
        <xdr:sp macro="" textlink="">
          <xdr:nvSpPr>
            <xdr:cNvPr id="25613" name="Object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133350</xdr:colOff>
          <xdr:row>3</xdr:row>
          <xdr:rowOff>333375</xdr:rowOff>
        </xdr:from>
        <xdr:to>
          <xdr:col>6</xdr:col>
          <xdr:colOff>1181100</xdr:colOff>
          <xdr:row>5</xdr:row>
          <xdr:rowOff>85725</xdr:rowOff>
        </xdr:to>
        <xdr:sp macro="" textlink="">
          <xdr:nvSpPr>
            <xdr:cNvPr id="25614" name="Object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95250</xdr:colOff>
          <xdr:row>3</xdr:row>
          <xdr:rowOff>352425</xdr:rowOff>
        </xdr:from>
        <xdr:to>
          <xdr:col>9</xdr:col>
          <xdr:colOff>57150</xdr:colOff>
          <xdr:row>4</xdr:row>
          <xdr:rowOff>180975</xdr:rowOff>
        </xdr:to>
        <xdr:sp macro="" textlink="">
          <xdr:nvSpPr>
            <xdr:cNvPr id="25615" name="Object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466725</xdr:colOff>
          <xdr:row>4</xdr:row>
          <xdr:rowOff>9525</xdr:rowOff>
        </xdr:from>
        <xdr:to>
          <xdr:col>9</xdr:col>
          <xdr:colOff>561975</xdr:colOff>
          <xdr:row>5</xdr:row>
          <xdr:rowOff>9525</xdr:rowOff>
        </xdr:to>
        <xdr:sp macro="" textlink="">
          <xdr:nvSpPr>
            <xdr:cNvPr id="25616" name="Object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219075</xdr:colOff>
          <xdr:row>4</xdr:row>
          <xdr:rowOff>19050</xdr:rowOff>
        </xdr:from>
        <xdr:to>
          <xdr:col>10</xdr:col>
          <xdr:colOff>361950</xdr:colOff>
          <xdr:row>4</xdr:row>
          <xdr:rowOff>171450</xdr:rowOff>
        </xdr:to>
        <xdr:sp macro="" textlink="">
          <xdr:nvSpPr>
            <xdr:cNvPr id="25617" name="Object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171450</xdr:colOff>
          <xdr:row>3</xdr:row>
          <xdr:rowOff>352425</xdr:rowOff>
        </xdr:from>
        <xdr:to>
          <xdr:col>11</xdr:col>
          <xdr:colOff>495300</xdr:colOff>
          <xdr:row>5</xdr:row>
          <xdr:rowOff>9525</xdr:rowOff>
        </xdr:to>
        <xdr:sp macro="" textlink="">
          <xdr:nvSpPr>
            <xdr:cNvPr id="25618" name="Object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152400</xdr:colOff>
          <xdr:row>4</xdr:row>
          <xdr:rowOff>0</xdr:rowOff>
        </xdr:from>
        <xdr:to>
          <xdr:col>12</xdr:col>
          <xdr:colOff>561975</xdr:colOff>
          <xdr:row>5</xdr:row>
          <xdr:rowOff>28575</xdr:rowOff>
        </xdr:to>
        <xdr:sp macro="" textlink="">
          <xdr:nvSpPr>
            <xdr:cNvPr id="25619" name="Object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152400</xdr:colOff>
          <xdr:row>4</xdr:row>
          <xdr:rowOff>9525</xdr:rowOff>
        </xdr:from>
        <xdr:to>
          <xdr:col>13</xdr:col>
          <xdr:colOff>514350</xdr:colOff>
          <xdr:row>5</xdr:row>
          <xdr:rowOff>28575</xdr:rowOff>
        </xdr:to>
        <xdr:sp macro="" textlink="">
          <xdr:nvSpPr>
            <xdr:cNvPr id="25620" name="Object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238125</xdr:colOff>
          <xdr:row>6</xdr:row>
          <xdr:rowOff>0</xdr:rowOff>
        </xdr:from>
        <xdr:to>
          <xdr:col>11</xdr:col>
          <xdr:colOff>590550</xdr:colOff>
          <xdr:row>7</xdr:row>
          <xdr:rowOff>47625</xdr:rowOff>
        </xdr:to>
        <xdr:sp macro="" textlink="">
          <xdr:nvSpPr>
            <xdr:cNvPr id="9220" name="Object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161925</xdr:colOff>
          <xdr:row>8</xdr:row>
          <xdr:rowOff>133350</xdr:rowOff>
        </xdr:from>
        <xdr:to>
          <xdr:col>11</xdr:col>
          <xdr:colOff>542925</xdr:colOff>
          <xdr:row>9</xdr:row>
          <xdr:rowOff>161925</xdr:rowOff>
        </xdr:to>
        <xdr:sp macro="" textlink="">
          <xdr:nvSpPr>
            <xdr:cNvPr id="9219" name="Object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219075</xdr:colOff>
          <xdr:row>4</xdr:row>
          <xdr:rowOff>180975</xdr:rowOff>
        </xdr:from>
        <xdr:to>
          <xdr:col>10</xdr:col>
          <xdr:colOff>457200</xdr:colOff>
          <xdr:row>6</xdr:row>
          <xdr:rowOff>38100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428625</xdr:colOff>
          <xdr:row>4</xdr:row>
          <xdr:rowOff>228600</xdr:rowOff>
        </xdr:from>
        <xdr:to>
          <xdr:col>12</xdr:col>
          <xdr:colOff>209550</xdr:colOff>
          <xdr:row>5</xdr:row>
          <xdr:rowOff>209550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0</xdr:row>
          <xdr:rowOff>152400</xdr:rowOff>
        </xdr:from>
        <xdr:to>
          <xdr:col>14</xdr:col>
          <xdr:colOff>38100</xdr:colOff>
          <xdr:row>3</xdr:row>
          <xdr:rowOff>0</xdr:rowOff>
        </xdr:to>
        <xdr:sp macro="" textlink="">
          <xdr:nvSpPr>
            <xdr:cNvPr id="9221" name="Object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104775</xdr:colOff>
          <xdr:row>3</xdr:row>
          <xdr:rowOff>133350</xdr:rowOff>
        </xdr:from>
        <xdr:to>
          <xdr:col>17</xdr:col>
          <xdr:colOff>428625</xdr:colOff>
          <xdr:row>3</xdr:row>
          <xdr:rowOff>447675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104775</xdr:colOff>
          <xdr:row>3</xdr:row>
          <xdr:rowOff>152400</xdr:rowOff>
        </xdr:from>
        <xdr:to>
          <xdr:col>18</xdr:col>
          <xdr:colOff>561975</xdr:colOff>
          <xdr:row>3</xdr:row>
          <xdr:rowOff>466725</xdr:rowOff>
        </xdr:to>
        <xdr:sp macro="" textlink="">
          <xdr:nvSpPr>
            <xdr:cNvPr id="24578" name="Object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57150</xdr:colOff>
          <xdr:row>3</xdr:row>
          <xdr:rowOff>104775</xdr:rowOff>
        </xdr:from>
        <xdr:to>
          <xdr:col>19</xdr:col>
          <xdr:colOff>419100</xdr:colOff>
          <xdr:row>3</xdr:row>
          <xdr:rowOff>419100</xdr:rowOff>
        </xdr:to>
        <xdr:sp macro="" textlink="">
          <xdr:nvSpPr>
            <xdr:cNvPr id="24579" name="Object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133350</xdr:colOff>
          <xdr:row>3</xdr:row>
          <xdr:rowOff>142875</xdr:rowOff>
        </xdr:from>
        <xdr:to>
          <xdr:col>21</xdr:col>
          <xdr:colOff>485775</xdr:colOff>
          <xdr:row>3</xdr:row>
          <xdr:rowOff>400050</xdr:rowOff>
        </xdr:to>
        <xdr:sp macro="" textlink="">
          <xdr:nvSpPr>
            <xdr:cNvPr id="24580" name="Object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3</xdr:row>
          <xdr:rowOff>104775</xdr:rowOff>
        </xdr:from>
        <xdr:to>
          <xdr:col>22</xdr:col>
          <xdr:colOff>552450</xdr:colOff>
          <xdr:row>3</xdr:row>
          <xdr:rowOff>381000</xdr:rowOff>
        </xdr:to>
        <xdr:sp macro="" textlink="">
          <xdr:nvSpPr>
            <xdr:cNvPr id="24581" name="Object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85725</xdr:colOff>
          <xdr:row>3</xdr:row>
          <xdr:rowOff>114300</xdr:rowOff>
        </xdr:from>
        <xdr:to>
          <xdr:col>23</xdr:col>
          <xdr:colOff>485775</xdr:colOff>
          <xdr:row>3</xdr:row>
          <xdr:rowOff>381000</xdr:rowOff>
        </xdr:to>
        <xdr:sp macro="" textlink="">
          <xdr:nvSpPr>
            <xdr:cNvPr id="24582" name="Object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152012</xdr:colOff>
          <xdr:row>3</xdr:row>
          <xdr:rowOff>84753</xdr:rowOff>
        </xdr:from>
        <xdr:to>
          <xdr:col>29</xdr:col>
          <xdr:colOff>380612</xdr:colOff>
          <xdr:row>3</xdr:row>
          <xdr:rowOff>332403</xdr:rowOff>
        </xdr:to>
        <xdr:sp macro="" textlink="">
          <xdr:nvSpPr>
            <xdr:cNvPr id="24595" name="Object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161925</xdr:colOff>
          <xdr:row>3</xdr:row>
          <xdr:rowOff>47237</xdr:rowOff>
        </xdr:from>
        <xdr:to>
          <xdr:col>30</xdr:col>
          <xdr:colOff>523875</xdr:colOff>
          <xdr:row>3</xdr:row>
          <xdr:rowOff>323462</xdr:rowOff>
        </xdr:to>
        <xdr:sp macro="" textlink="">
          <xdr:nvSpPr>
            <xdr:cNvPr id="24596" name="Object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74839</xdr:colOff>
          <xdr:row>3</xdr:row>
          <xdr:rowOff>46070</xdr:rowOff>
        </xdr:from>
        <xdr:to>
          <xdr:col>32</xdr:col>
          <xdr:colOff>360589</xdr:colOff>
          <xdr:row>3</xdr:row>
          <xdr:rowOff>312770</xdr:rowOff>
        </xdr:to>
        <xdr:sp macro="" textlink="">
          <xdr:nvSpPr>
            <xdr:cNvPr id="24597" name="Object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74450</xdr:colOff>
          <xdr:row>3</xdr:row>
          <xdr:rowOff>27603</xdr:rowOff>
        </xdr:from>
        <xdr:to>
          <xdr:col>33</xdr:col>
          <xdr:colOff>388775</xdr:colOff>
          <xdr:row>3</xdr:row>
          <xdr:rowOff>284778</xdr:rowOff>
        </xdr:to>
        <xdr:sp macro="" textlink="">
          <xdr:nvSpPr>
            <xdr:cNvPr id="24598" name="Object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85336</xdr:colOff>
          <xdr:row>3</xdr:row>
          <xdr:rowOff>17884</xdr:rowOff>
        </xdr:from>
        <xdr:to>
          <xdr:col>34</xdr:col>
          <xdr:colOff>494911</xdr:colOff>
          <xdr:row>3</xdr:row>
          <xdr:rowOff>275059</xdr:rowOff>
        </xdr:to>
        <xdr:sp macro="" textlink="">
          <xdr:nvSpPr>
            <xdr:cNvPr id="24599" name="Object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164841</xdr:colOff>
          <xdr:row>3</xdr:row>
          <xdr:rowOff>171256</xdr:rowOff>
        </xdr:from>
        <xdr:to>
          <xdr:col>38</xdr:col>
          <xdr:colOff>526791</xdr:colOff>
          <xdr:row>3</xdr:row>
          <xdr:rowOff>417157</xdr:rowOff>
        </xdr:to>
        <xdr:sp macro="" textlink="">
          <xdr:nvSpPr>
            <xdr:cNvPr id="24600" name="Object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97000</xdr:colOff>
          <xdr:row>3</xdr:row>
          <xdr:rowOff>74256</xdr:rowOff>
        </xdr:from>
        <xdr:to>
          <xdr:col>39</xdr:col>
          <xdr:colOff>516100</xdr:colOff>
          <xdr:row>3</xdr:row>
          <xdr:rowOff>320157</xdr:rowOff>
        </xdr:to>
        <xdr:sp macro="" textlink="">
          <xdr:nvSpPr>
            <xdr:cNvPr id="24601" name="Object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115855</xdr:colOff>
          <xdr:row>3</xdr:row>
          <xdr:rowOff>46458</xdr:rowOff>
        </xdr:from>
        <xdr:to>
          <xdr:col>40</xdr:col>
          <xdr:colOff>496855</xdr:colOff>
          <xdr:row>3</xdr:row>
          <xdr:rowOff>288471</xdr:rowOff>
        </xdr:to>
        <xdr:sp macro="" textlink="">
          <xdr:nvSpPr>
            <xdr:cNvPr id="24602" name="Object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136072</xdr:colOff>
          <xdr:row>3</xdr:row>
          <xdr:rowOff>96222</xdr:rowOff>
        </xdr:from>
        <xdr:to>
          <xdr:col>41</xdr:col>
          <xdr:colOff>536122</xdr:colOff>
          <xdr:row>3</xdr:row>
          <xdr:rowOff>347760</xdr:rowOff>
        </xdr:to>
        <xdr:sp macro="" textlink="">
          <xdr:nvSpPr>
            <xdr:cNvPr id="24603" name="Object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125963</xdr:colOff>
          <xdr:row>3</xdr:row>
          <xdr:rowOff>114494</xdr:rowOff>
        </xdr:from>
        <xdr:to>
          <xdr:col>42</xdr:col>
          <xdr:colOff>487913</xdr:colOff>
          <xdr:row>3</xdr:row>
          <xdr:rowOff>356507</xdr:rowOff>
        </xdr:to>
        <xdr:sp macro="" textlink="">
          <xdr:nvSpPr>
            <xdr:cNvPr id="24604" name="Object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104775</xdr:colOff>
          <xdr:row>3</xdr:row>
          <xdr:rowOff>103803</xdr:rowOff>
        </xdr:from>
        <xdr:to>
          <xdr:col>48</xdr:col>
          <xdr:colOff>466725</xdr:colOff>
          <xdr:row>3</xdr:row>
          <xdr:rowOff>359229</xdr:rowOff>
        </xdr:to>
        <xdr:sp macro="" textlink="">
          <xdr:nvSpPr>
            <xdr:cNvPr id="24605" name="Object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ksimka\Desktop\&#1051;&#1080;&#1089;&#1090;%20Microsoft%20Excel%20(06.05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ис 1-2 Довжини"/>
      <sheetName val="Таблиця 1-3"/>
      <sheetName val="Потокорозподіл"/>
      <sheetName val="Unom"/>
      <sheetName val="Fрозр"/>
      <sheetName val="мех міцн"/>
      <sheetName val="Нагрів"/>
      <sheetName val="падіння напруги"/>
      <sheetName val="Трансформатори"/>
      <sheetName val="Економ частина"/>
      <sheetName val="Втрати потужності"/>
      <sheetName val="РОЗДІЛ 2"/>
      <sheetName val="Table 2-4"/>
      <sheetName val="Tabl 2-5"/>
    </sheetNames>
    <sheetDataSet>
      <sheetData sheetId="0">
        <row r="4">
          <cell r="F4">
            <v>6</v>
          </cell>
        </row>
        <row r="5">
          <cell r="F5">
            <v>6</v>
          </cell>
        </row>
        <row r="6">
          <cell r="F6">
            <v>10</v>
          </cell>
        </row>
        <row r="7">
          <cell r="F7">
            <v>10</v>
          </cell>
        </row>
        <row r="8">
          <cell r="F8">
            <v>6</v>
          </cell>
        </row>
        <row r="11">
          <cell r="B11">
            <v>47</v>
          </cell>
          <cell r="C11">
            <v>30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2">
          <cell r="E12" t="str">
            <v>ВП-3</v>
          </cell>
          <cell r="F12" t="str">
            <v>АС-150/34</v>
          </cell>
          <cell r="G12">
            <v>6.6</v>
          </cell>
          <cell r="H12">
            <v>0.19800000000000001</v>
          </cell>
          <cell r="I12">
            <v>0.40600000000000003</v>
          </cell>
        </row>
        <row r="13">
          <cell r="E13" t="str">
            <v>3-Б</v>
          </cell>
          <cell r="F13" t="str">
            <v>АС-150/34</v>
          </cell>
          <cell r="G13">
            <v>1.8</v>
          </cell>
          <cell r="H13">
            <v>0.19800000000000001</v>
          </cell>
          <cell r="I13">
            <v>0.40600000000000003</v>
          </cell>
        </row>
        <row r="14">
          <cell r="E14" t="str">
            <v>3-Д</v>
          </cell>
          <cell r="F14" t="str">
            <v>АС-150/34</v>
          </cell>
          <cell r="G14">
            <v>7.8</v>
          </cell>
          <cell r="H14">
            <v>0.19800000000000001</v>
          </cell>
          <cell r="I14">
            <v>0.40600000000000003</v>
          </cell>
        </row>
        <row r="25">
          <cell r="E25" t="str">
            <v>ВП-2</v>
          </cell>
          <cell r="F25" t="str">
            <v>АС-150/34</v>
          </cell>
          <cell r="G25">
            <v>8.1999999999999993</v>
          </cell>
          <cell r="H25">
            <v>0.19800000000000001</v>
          </cell>
          <cell r="I25">
            <v>0.40600000000000003</v>
          </cell>
        </row>
        <row r="26">
          <cell r="E26" t="str">
            <v>2-Г</v>
          </cell>
          <cell r="F26" t="str">
            <v>АС-120/27</v>
          </cell>
          <cell r="G26">
            <v>4</v>
          </cell>
          <cell r="H26">
            <v>0.249</v>
          </cell>
          <cell r="I26">
            <v>0.41399999999999998</v>
          </cell>
        </row>
        <row r="27">
          <cell r="E27" t="str">
            <v>2-Е</v>
          </cell>
          <cell r="F27" t="str">
            <v>АС-120/27</v>
          </cell>
          <cell r="G27">
            <v>8.4</v>
          </cell>
          <cell r="H27">
            <v>0.249</v>
          </cell>
          <cell r="I27">
            <v>0.41399999999999998</v>
          </cell>
        </row>
        <row r="30">
          <cell r="E30" t="str">
            <v>ДЖ-В</v>
          </cell>
          <cell r="F30" t="str">
            <v>АС-185/43</v>
          </cell>
          <cell r="G30">
            <v>23.3</v>
          </cell>
          <cell r="H30">
            <v>0.16200000000000001</v>
          </cell>
          <cell r="I30">
            <v>0.41299999999999998</v>
          </cell>
        </row>
        <row r="31">
          <cell r="E31" t="str">
            <v>В-А</v>
          </cell>
          <cell r="F31" t="str">
            <v>АС-150/34</v>
          </cell>
          <cell r="G31">
            <v>6.6</v>
          </cell>
          <cell r="H31">
            <v>0.19800000000000001</v>
          </cell>
          <cell r="I31">
            <v>0.42</v>
          </cell>
        </row>
      </sheetData>
      <sheetData sheetId="9">
        <row r="15">
          <cell r="A15">
            <v>4</v>
          </cell>
          <cell r="B15">
            <v>3</v>
          </cell>
          <cell r="K15">
            <v>1.8</v>
          </cell>
        </row>
        <row r="21">
          <cell r="K21">
            <v>17.850000000000001</v>
          </cell>
        </row>
        <row r="26">
          <cell r="G26" t="str">
            <v>ТДТН-25000/110/35</v>
          </cell>
        </row>
        <row r="27">
          <cell r="C27" t="str">
            <v>Б</v>
          </cell>
          <cell r="F27" t="str">
            <v>6+1,4i</v>
          </cell>
          <cell r="G27" t="str">
            <v>ТМН-6300/35</v>
          </cell>
        </row>
        <row r="28">
          <cell r="C28" t="str">
            <v>В</v>
          </cell>
          <cell r="F28" t="str">
            <v>20+5,1i</v>
          </cell>
        </row>
        <row r="29">
          <cell r="C29" t="str">
            <v>Г</v>
          </cell>
          <cell r="F29" t="str">
            <v>7+1,85i</v>
          </cell>
          <cell r="G29" t="str">
            <v>ТМН-6300/35</v>
          </cell>
        </row>
        <row r="30">
          <cell r="C30" t="str">
            <v>Д</v>
          </cell>
          <cell r="F30" t="str">
            <v>5+1,4i</v>
          </cell>
          <cell r="G30" t="str">
            <v>ТМН-4000/35</v>
          </cell>
        </row>
        <row r="31">
          <cell r="C31" t="str">
            <v>Е</v>
          </cell>
          <cell r="F31" t="str">
            <v>5+1,2i</v>
          </cell>
          <cell r="G31" t="str">
            <v>ТМН-4000/35</v>
          </cell>
        </row>
      </sheetData>
      <sheetData sheetId="10"/>
      <sheetData sheetId="11"/>
      <sheetData sheetId="12">
        <row r="5">
          <cell r="S5">
            <v>1.89</v>
          </cell>
          <cell r="T5">
            <v>4.8099999999999996</v>
          </cell>
          <cell r="U5">
            <v>1.55</v>
          </cell>
        </row>
        <row r="6">
          <cell r="C6" t="str">
            <v>Б</v>
          </cell>
          <cell r="S6">
            <v>0.65</v>
          </cell>
          <cell r="T6">
            <v>1.39</v>
          </cell>
          <cell r="U6">
            <v>0.43</v>
          </cell>
        </row>
        <row r="7">
          <cell r="C7" t="str">
            <v>В</v>
          </cell>
          <cell r="L7" t="str">
            <v>ВП-3</v>
          </cell>
          <cell r="S7">
            <v>0.65</v>
          </cell>
          <cell r="T7">
            <v>1.34</v>
          </cell>
          <cell r="U7">
            <v>0</v>
          </cell>
        </row>
        <row r="8">
          <cell r="C8" t="str">
            <v>Г</v>
          </cell>
          <cell r="L8" t="str">
            <v>3-Б</v>
          </cell>
          <cell r="S8">
            <v>0.18</v>
          </cell>
          <cell r="T8">
            <v>0.37</v>
          </cell>
          <cell r="U8">
            <v>0</v>
          </cell>
        </row>
        <row r="9">
          <cell r="C9" t="str">
            <v>Д</v>
          </cell>
          <cell r="L9" t="str">
            <v>3-Д</v>
          </cell>
          <cell r="S9">
            <v>0.77</v>
          </cell>
          <cell r="T9">
            <v>1.58</v>
          </cell>
          <cell r="U9">
            <v>0</v>
          </cell>
        </row>
        <row r="10">
          <cell r="C10" t="str">
            <v>Е</v>
          </cell>
          <cell r="L10" t="str">
            <v>ВП-2</v>
          </cell>
          <cell r="S10">
            <v>0.81</v>
          </cell>
          <cell r="T10">
            <v>1.66</v>
          </cell>
          <cell r="U10">
            <v>0</v>
          </cell>
        </row>
        <row r="11">
          <cell r="L11" t="str">
            <v>2-Г</v>
          </cell>
          <cell r="S11">
            <v>0.5</v>
          </cell>
          <cell r="T11">
            <v>0.83</v>
          </cell>
          <cell r="U11">
            <v>0</v>
          </cell>
        </row>
        <row r="12">
          <cell r="L12" t="str">
            <v>2-Е</v>
          </cell>
          <cell r="S12">
            <v>1.05</v>
          </cell>
          <cell r="T12">
            <v>1.74</v>
          </cell>
          <cell r="U12">
            <v>0</v>
          </cell>
        </row>
        <row r="15">
          <cell r="H15">
            <v>1.6E-2</v>
          </cell>
          <cell r="I15">
            <v>2.1999999999999999E-2</v>
          </cell>
          <cell r="J15">
            <v>0.10100000000000001</v>
          </cell>
          <cell r="K15">
            <v>0.22600000000000001</v>
          </cell>
        </row>
        <row r="16">
          <cell r="H16">
            <v>3.5999999999999997E-2</v>
          </cell>
          <cell r="I16">
            <v>7.0999999999999994E-2</v>
          </cell>
          <cell r="J16">
            <v>0.224</v>
          </cell>
          <cell r="K16">
            <v>1.3979999999999999</v>
          </cell>
        </row>
        <row r="17">
          <cell r="H17">
            <v>1.6E-2</v>
          </cell>
          <cell r="I17">
            <v>3.1E-2</v>
          </cell>
          <cell r="J17">
            <v>0.10100000000000001</v>
          </cell>
          <cell r="K17">
            <v>0.312</v>
          </cell>
        </row>
        <row r="18">
          <cell r="H18">
            <v>1.0999999999999999E-2</v>
          </cell>
          <cell r="I18">
            <v>2.8000000000000001E-2</v>
          </cell>
          <cell r="J18">
            <v>7.1999999999999995E-2</v>
          </cell>
          <cell r="K18">
            <v>0.253</v>
          </cell>
        </row>
        <row r="19">
          <cell r="H19">
            <v>1.0999999999999999E-2</v>
          </cell>
          <cell r="I19">
            <v>2.8000000000000001E-2</v>
          </cell>
          <cell r="J19">
            <v>7.1999999999999995E-2</v>
          </cell>
          <cell r="K19">
            <v>0.248</v>
          </cell>
        </row>
        <row r="29">
          <cell r="I29">
            <v>5.7000000000000002E-2</v>
          </cell>
          <cell r="J29">
            <v>0.35</v>
          </cell>
        </row>
        <row r="34">
          <cell r="D34">
            <v>0.74060000000000004</v>
          </cell>
          <cell r="E34">
            <v>0.74060000000000004</v>
          </cell>
          <cell r="L34">
            <v>28.43</v>
          </cell>
          <cell r="M34">
            <v>0</v>
          </cell>
          <cell r="N34">
            <v>17.850000000000001</v>
          </cell>
        </row>
      </sheetData>
      <sheetData sheetId="13">
        <row r="5">
          <cell r="G5" t="str">
            <v>Б</v>
          </cell>
          <cell r="M5" t="str">
            <v>6,038+1,727i</v>
          </cell>
        </row>
        <row r="6">
          <cell r="G6" t="str">
            <v>В</v>
          </cell>
          <cell r="M6" t="str">
            <v>20,107+5,732i</v>
          </cell>
        </row>
        <row r="7">
          <cell r="G7" t="str">
            <v>Г</v>
          </cell>
          <cell r="M7" t="str">
            <v>7,047+2,263i</v>
          </cell>
        </row>
        <row r="8">
          <cell r="G8" t="str">
            <v>Д</v>
          </cell>
          <cell r="M8" t="str">
            <v>5,039+1,725i</v>
          </cell>
        </row>
        <row r="9">
          <cell r="G9" t="str">
            <v>Е</v>
          </cell>
          <cell r="M9" t="str">
            <v>5,039+1,52i</v>
          </cell>
        </row>
        <row r="10">
          <cell r="M10" t="str">
            <v>0,057+0,135i</v>
          </cell>
        </row>
        <row r="11">
          <cell r="M11" t="str">
            <v>0</v>
          </cell>
        </row>
        <row r="12">
          <cell r="M12" t="str">
            <v>4+1,2i</v>
          </cell>
        </row>
        <row r="13">
          <cell r="L13" t="str">
            <v>0</v>
          </cell>
        </row>
        <row r="14">
          <cell r="M14" t="str">
            <v>0</v>
          </cell>
        </row>
      </sheetData>
      <sheetData sheetId="14">
        <row r="5">
          <cell r="H5" t="str">
            <v>2-Е</v>
          </cell>
          <cell r="L5" t="str">
            <v>1,05+1,74i</v>
          </cell>
          <cell r="N5" t="str">
            <v>5,063+1,559i</v>
          </cell>
        </row>
        <row r="6">
          <cell r="H6" t="str">
            <v>2-Г</v>
          </cell>
          <cell r="L6" t="str">
            <v>0,5+0,83i</v>
          </cell>
          <cell r="N6" t="str">
            <v>7,069+2,3i</v>
          </cell>
        </row>
        <row r="7">
          <cell r="H7" t="str">
            <v>ВП-2</v>
          </cell>
          <cell r="L7" t="str">
            <v>0,81+1,66i</v>
          </cell>
          <cell r="N7" t="str">
            <v>12,239+4,079i</v>
          </cell>
        </row>
        <row r="8">
          <cell r="H8" t="str">
            <v>3-Д</v>
          </cell>
          <cell r="L8" t="str">
            <v>0,77+1,58i</v>
          </cell>
          <cell r="N8" t="str">
            <v>5,057+1,762i</v>
          </cell>
        </row>
        <row r="9">
          <cell r="H9" t="str">
            <v>3-Б</v>
          </cell>
          <cell r="L9" t="str">
            <v>0,18+0,37i</v>
          </cell>
          <cell r="N9" t="str">
            <v>6,044+1,739i</v>
          </cell>
        </row>
        <row r="10">
          <cell r="H10" t="str">
            <v>ВП-3</v>
          </cell>
          <cell r="L10" t="str">
            <v>0,65+1,34i</v>
          </cell>
          <cell r="N10" t="str">
            <v>11,173+3,649i</v>
          </cell>
        </row>
        <row r="11">
          <cell r="H11" t="str">
            <v>0-ШСН</v>
          </cell>
          <cell r="L11" t="str">
            <v>0,7406</v>
          </cell>
          <cell r="N11" t="str">
            <v>23,449+7,728i</v>
          </cell>
        </row>
        <row r="12">
          <cell r="H12" t="str">
            <v>0-ШНН</v>
          </cell>
          <cell r="L12" t="str">
            <v>0,7406+17,85i</v>
          </cell>
          <cell r="N12" t="str">
            <v>4,001+1,226i</v>
          </cell>
        </row>
        <row r="13">
          <cell r="H13" t="str">
            <v>ШВН-0</v>
          </cell>
          <cell r="L13" t="str">
            <v>0,7406+28,43i</v>
          </cell>
          <cell r="N13" t="str">
            <v>27,501+10,913i</v>
          </cell>
        </row>
        <row r="14">
          <cell r="H14" t="str">
            <v>В-А(ШВН)</v>
          </cell>
          <cell r="L14" t="str">
            <v>0,65+1,39i</v>
          </cell>
          <cell r="N14" t="str">
            <v>27,605+11,149i</v>
          </cell>
        </row>
        <row r="15">
          <cell r="H15" t="str">
            <v>ДЖ-В</v>
          </cell>
          <cell r="L15" t="str">
            <v>1,89+4,81i</v>
          </cell>
          <cell r="N15" t="str">
            <v>48,112+17,899i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13.wmf"/><Relationship Id="rId4" Type="http://schemas.openxmlformats.org/officeDocument/2006/relationships/oleObject" Target="../embeddings/oleObject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7" Type="http://schemas.openxmlformats.org/officeDocument/2006/relationships/image" Target="../media/image15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6" Type="http://schemas.openxmlformats.org/officeDocument/2006/relationships/package" Target="../embeddings/Microsoft_Visio_Drawing13.vsdx"/><Relationship Id="rId5" Type="http://schemas.openxmlformats.org/officeDocument/2006/relationships/image" Target="../media/image14.emf"/><Relationship Id="rId4" Type="http://schemas.openxmlformats.org/officeDocument/2006/relationships/package" Target="../embeddings/Microsoft_Visio_Drawing12.vsdx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13" Type="http://schemas.openxmlformats.org/officeDocument/2006/relationships/image" Target="../media/image20.wmf"/><Relationship Id="rId18" Type="http://schemas.openxmlformats.org/officeDocument/2006/relationships/oleObject" Target="../embeddings/oleObject9.bin"/><Relationship Id="rId3" Type="http://schemas.openxmlformats.org/officeDocument/2006/relationships/vmlDrawing" Target="../drawings/vmlDrawing7.vml"/><Relationship Id="rId7" Type="http://schemas.openxmlformats.org/officeDocument/2006/relationships/image" Target="../media/image17.wmf"/><Relationship Id="rId12" Type="http://schemas.openxmlformats.org/officeDocument/2006/relationships/oleObject" Target="../embeddings/oleObject6.bin"/><Relationship Id="rId17" Type="http://schemas.openxmlformats.org/officeDocument/2006/relationships/image" Target="../media/image22.wmf"/><Relationship Id="rId2" Type="http://schemas.openxmlformats.org/officeDocument/2006/relationships/drawing" Target="../drawings/drawing7.xml"/><Relationship Id="rId16" Type="http://schemas.openxmlformats.org/officeDocument/2006/relationships/oleObject" Target="../embeddings/oleObject8.bin"/><Relationship Id="rId20" Type="http://schemas.openxmlformats.org/officeDocument/2006/relationships/comments" Target="../comments1.xml"/><Relationship Id="rId1" Type="http://schemas.openxmlformats.org/officeDocument/2006/relationships/printerSettings" Target="../printerSettings/printerSettings10.bin"/><Relationship Id="rId6" Type="http://schemas.openxmlformats.org/officeDocument/2006/relationships/oleObject" Target="../embeddings/oleObject3.bin"/><Relationship Id="rId11" Type="http://schemas.openxmlformats.org/officeDocument/2006/relationships/image" Target="../media/image19.wmf"/><Relationship Id="rId5" Type="http://schemas.openxmlformats.org/officeDocument/2006/relationships/image" Target="../media/image16.wmf"/><Relationship Id="rId15" Type="http://schemas.openxmlformats.org/officeDocument/2006/relationships/image" Target="../media/image21.wmf"/><Relationship Id="rId10" Type="http://schemas.openxmlformats.org/officeDocument/2006/relationships/oleObject" Target="../embeddings/oleObject5.bin"/><Relationship Id="rId19" Type="http://schemas.openxmlformats.org/officeDocument/2006/relationships/image" Target="../media/image23.wmf"/><Relationship Id="rId4" Type="http://schemas.openxmlformats.org/officeDocument/2006/relationships/oleObject" Target="../embeddings/oleObject2.bin"/><Relationship Id="rId9" Type="http://schemas.openxmlformats.org/officeDocument/2006/relationships/image" Target="../media/image18.wmf"/><Relationship Id="rId14" Type="http://schemas.openxmlformats.org/officeDocument/2006/relationships/oleObject" Target="../embeddings/oleObject7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2.bin"/><Relationship Id="rId13" Type="http://schemas.openxmlformats.org/officeDocument/2006/relationships/image" Target="../media/image28.emf"/><Relationship Id="rId3" Type="http://schemas.openxmlformats.org/officeDocument/2006/relationships/vmlDrawing" Target="../drawings/vmlDrawing8.vml"/><Relationship Id="rId7" Type="http://schemas.openxmlformats.org/officeDocument/2006/relationships/image" Target="../media/image25.wmf"/><Relationship Id="rId12" Type="http://schemas.openxmlformats.org/officeDocument/2006/relationships/oleObject" Target="../embeddings/oleObject14.bin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Relationship Id="rId6" Type="http://schemas.openxmlformats.org/officeDocument/2006/relationships/oleObject" Target="../embeddings/oleObject11.bin"/><Relationship Id="rId11" Type="http://schemas.openxmlformats.org/officeDocument/2006/relationships/image" Target="../media/image27.wmf"/><Relationship Id="rId5" Type="http://schemas.openxmlformats.org/officeDocument/2006/relationships/image" Target="../media/image24.wmf"/><Relationship Id="rId10" Type="http://schemas.openxmlformats.org/officeDocument/2006/relationships/oleObject" Target="../embeddings/oleObject13.bin"/><Relationship Id="rId4" Type="http://schemas.openxmlformats.org/officeDocument/2006/relationships/oleObject" Target="../embeddings/oleObject10.bin"/><Relationship Id="rId9" Type="http://schemas.openxmlformats.org/officeDocument/2006/relationships/image" Target="../media/image26.emf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3.wmf"/><Relationship Id="rId18" Type="http://schemas.openxmlformats.org/officeDocument/2006/relationships/oleObject" Target="../embeddings/oleObject22.bin"/><Relationship Id="rId26" Type="http://schemas.openxmlformats.org/officeDocument/2006/relationships/oleObject" Target="../embeddings/oleObject26.bin"/><Relationship Id="rId21" Type="http://schemas.openxmlformats.org/officeDocument/2006/relationships/image" Target="../media/image37.emf"/><Relationship Id="rId34" Type="http://schemas.openxmlformats.org/officeDocument/2006/relationships/oleObject" Target="../embeddings/oleObject30.bin"/><Relationship Id="rId7" Type="http://schemas.openxmlformats.org/officeDocument/2006/relationships/image" Target="../media/image30.wmf"/><Relationship Id="rId12" Type="http://schemas.openxmlformats.org/officeDocument/2006/relationships/oleObject" Target="../embeddings/oleObject19.bin"/><Relationship Id="rId17" Type="http://schemas.openxmlformats.org/officeDocument/2006/relationships/image" Target="../media/image35.wmf"/><Relationship Id="rId25" Type="http://schemas.openxmlformats.org/officeDocument/2006/relationships/image" Target="../media/image39.emf"/><Relationship Id="rId33" Type="http://schemas.openxmlformats.org/officeDocument/2006/relationships/image" Target="../media/image43.wmf"/><Relationship Id="rId2" Type="http://schemas.openxmlformats.org/officeDocument/2006/relationships/drawing" Target="../drawings/drawing9.xml"/><Relationship Id="rId16" Type="http://schemas.openxmlformats.org/officeDocument/2006/relationships/oleObject" Target="../embeddings/oleObject21.bin"/><Relationship Id="rId20" Type="http://schemas.openxmlformats.org/officeDocument/2006/relationships/oleObject" Target="../embeddings/oleObject23.bin"/><Relationship Id="rId29" Type="http://schemas.openxmlformats.org/officeDocument/2006/relationships/image" Target="../media/image41.wmf"/><Relationship Id="rId1" Type="http://schemas.openxmlformats.org/officeDocument/2006/relationships/printerSettings" Target="../printerSettings/printerSettings12.bin"/><Relationship Id="rId6" Type="http://schemas.openxmlformats.org/officeDocument/2006/relationships/oleObject" Target="../embeddings/oleObject16.bin"/><Relationship Id="rId11" Type="http://schemas.openxmlformats.org/officeDocument/2006/relationships/image" Target="../media/image32.wmf"/><Relationship Id="rId24" Type="http://schemas.openxmlformats.org/officeDocument/2006/relationships/oleObject" Target="../embeddings/oleObject25.bin"/><Relationship Id="rId32" Type="http://schemas.openxmlformats.org/officeDocument/2006/relationships/oleObject" Target="../embeddings/oleObject29.bin"/><Relationship Id="rId37" Type="http://schemas.openxmlformats.org/officeDocument/2006/relationships/image" Target="../media/image45.wmf"/><Relationship Id="rId5" Type="http://schemas.openxmlformats.org/officeDocument/2006/relationships/image" Target="../media/image29.wmf"/><Relationship Id="rId15" Type="http://schemas.openxmlformats.org/officeDocument/2006/relationships/image" Target="../media/image34.wmf"/><Relationship Id="rId23" Type="http://schemas.openxmlformats.org/officeDocument/2006/relationships/image" Target="../media/image38.wmf"/><Relationship Id="rId28" Type="http://schemas.openxmlformats.org/officeDocument/2006/relationships/oleObject" Target="../embeddings/oleObject27.bin"/><Relationship Id="rId36" Type="http://schemas.openxmlformats.org/officeDocument/2006/relationships/oleObject" Target="../embeddings/oleObject31.bin"/><Relationship Id="rId10" Type="http://schemas.openxmlformats.org/officeDocument/2006/relationships/oleObject" Target="../embeddings/oleObject18.bin"/><Relationship Id="rId19" Type="http://schemas.openxmlformats.org/officeDocument/2006/relationships/image" Target="../media/image36.wmf"/><Relationship Id="rId31" Type="http://schemas.openxmlformats.org/officeDocument/2006/relationships/image" Target="../media/image42.wmf"/><Relationship Id="rId4" Type="http://schemas.openxmlformats.org/officeDocument/2006/relationships/oleObject" Target="../embeddings/oleObject15.bin"/><Relationship Id="rId9" Type="http://schemas.openxmlformats.org/officeDocument/2006/relationships/image" Target="../media/image31.wmf"/><Relationship Id="rId14" Type="http://schemas.openxmlformats.org/officeDocument/2006/relationships/oleObject" Target="../embeddings/oleObject20.bin"/><Relationship Id="rId22" Type="http://schemas.openxmlformats.org/officeDocument/2006/relationships/oleObject" Target="../embeddings/oleObject24.bin"/><Relationship Id="rId27" Type="http://schemas.openxmlformats.org/officeDocument/2006/relationships/image" Target="../media/image40.emf"/><Relationship Id="rId30" Type="http://schemas.openxmlformats.org/officeDocument/2006/relationships/oleObject" Target="../embeddings/oleObject28.bin"/><Relationship Id="rId35" Type="http://schemas.openxmlformats.org/officeDocument/2006/relationships/image" Target="../media/image44.emf"/><Relationship Id="rId8" Type="http://schemas.openxmlformats.org/officeDocument/2006/relationships/oleObject" Target="../embeddings/oleObject17.bin"/><Relationship Id="rId3" Type="http://schemas.openxmlformats.org/officeDocument/2006/relationships/vmlDrawing" Target="../drawings/vmlDrawing9.vml"/></Relationships>
</file>

<file path=xl/worksheets/_rels/sheet15.xml.rels><?xml version="1.0" encoding="UTF-8" standalone="yes"?>
<Relationships xmlns="http://schemas.openxmlformats.org/package/2006/relationships"><Relationship Id="rId26" Type="http://schemas.openxmlformats.org/officeDocument/2006/relationships/oleObject" Target="../embeddings/oleObject43.bin"/><Relationship Id="rId21" Type="http://schemas.openxmlformats.org/officeDocument/2006/relationships/image" Target="../media/image54.wmf"/><Relationship Id="rId42" Type="http://schemas.openxmlformats.org/officeDocument/2006/relationships/oleObject" Target="../embeddings/oleObject51.bin"/><Relationship Id="rId47" Type="http://schemas.openxmlformats.org/officeDocument/2006/relationships/image" Target="../media/image67.wmf"/><Relationship Id="rId63" Type="http://schemas.openxmlformats.org/officeDocument/2006/relationships/oleObject" Target="../embeddings/oleObject62.bin"/><Relationship Id="rId68" Type="http://schemas.openxmlformats.org/officeDocument/2006/relationships/image" Target="../media/image77.wmf"/><Relationship Id="rId84" Type="http://schemas.openxmlformats.org/officeDocument/2006/relationships/image" Target="../media/image85.wmf"/><Relationship Id="rId16" Type="http://schemas.openxmlformats.org/officeDocument/2006/relationships/oleObject" Target="../embeddings/oleObject38.bin"/><Relationship Id="rId11" Type="http://schemas.openxmlformats.org/officeDocument/2006/relationships/image" Target="../media/image49.wmf"/><Relationship Id="rId32" Type="http://schemas.openxmlformats.org/officeDocument/2006/relationships/oleObject" Target="../embeddings/oleObject46.bin"/><Relationship Id="rId37" Type="http://schemas.openxmlformats.org/officeDocument/2006/relationships/image" Target="../media/image62.wmf"/><Relationship Id="rId53" Type="http://schemas.openxmlformats.org/officeDocument/2006/relationships/image" Target="../media/image70.emf"/><Relationship Id="rId58" Type="http://schemas.openxmlformats.org/officeDocument/2006/relationships/oleObject" Target="../embeddings/oleObject59.bin"/><Relationship Id="rId74" Type="http://schemas.openxmlformats.org/officeDocument/2006/relationships/image" Target="../media/image80.wmf"/><Relationship Id="rId79" Type="http://schemas.openxmlformats.org/officeDocument/2006/relationships/oleObject" Target="../embeddings/oleObject70.bin"/><Relationship Id="rId5" Type="http://schemas.openxmlformats.org/officeDocument/2006/relationships/image" Target="../media/image46.wmf"/><Relationship Id="rId19" Type="http://schemas.openxmlformats.org/officeDocument/2006/relationships/image" Target="../media/image53.wmf"/><Relationship Id="rId14" Type="http://schemas.openxmlformats.org/officeDocument/2006/relationships/oleObject" Target="../embeddings/oleObject37.bin"/><Relationship Id="rId22" Type="http://schemas.openxmlformats.org/officeDocument/2006/relationships/oleObject" Target="../embeddings/oleObject41.bin"/><Relationship Id="rId27" Type="http://schemas.openxmlformats.org/officeDocument/2006/relationships/image" Target="../media/image57.wmf"/><Relationship Id="rId30" Type="http://schemas.openxmlformats.org/officeDocument/2006/relationships/oleObject" Target="../embeddings/oleObject45.bin"/><Relationship Id="rId35" Type="http://schemas.openxmlformats.org/officeDocument/2006/relationships/image" Target="../media/image61.wmf"/><Relationship Id="rId43" Type="http://schemas.openxmlformats.org/officeDocument/2006/relationships/image" Target="../media/image65.wmf"/><Relationship Id="rId48" Type="http://schemas.openxmlformats.org/officeDocument/2006/relationships/oleObject" Target="../embeddings/oleObject54.bin"/><Relationship Id="rId56" Type="http://schemas.openxmlformats.org/officeDocument/2006/relationships/oleObject" Target="../embeddings/oleObject58.bin"/><Relationship Id="rId64" Type="http://schemas.openxmlformats.org/officeDocument/2006/relationships/image" Target="../media/image75.wmf"/><Relationship Id="rId69" Type="http://schemas.openxmlformats.org/officeDocument/2006/relationships/oleObject" Target="../embeddings/oleObject65.bin"/><Relationship Id="rId77" Type="http://schemas.openxmlformats.org/officeDocument/2006/relationships/oleObject" Target="../embeddings/oleObject69.bin"/><Relationship Id="rId8" Type="http://schemas.openxmlformats.org/officeDocument/2006/relationships/oleObject" Target="../embeddings/oleObject34.bin"/><Relationship Id="rId51" Type="http://schemas.openxmlformats.org/officeDocument/2006/relationships/image" Target="../media/image69.wmf"/><Relationship Id="rId72" Type="http://schemas.openxmlformats.org/officeDocument/2006/relationships/image" Target="../media/image79.wmf"/><Relationship Id="rId80" Type="http://schemas.openxmlformats.org/officeDocument/2006/relationships/image" Target="../media/image83.wmf"/><Relationship Id="rId85" Type="http://schemas.openxmlformats.org/officeDocument/2006/relationships/oleObject" Target="../embeddings/oleObject73.bin"/><Relationship Id="rId3" Type="http://schemas.openxmlformats.org/officeDocument/2006/relationships/vmlDrawing" Target="../drawings/vmlDrawing10.vml"/><Relationship Id="rId12" Type="http://schemas.openxmlformats.org/officeDocument/2006/relationships/oleObject" Target="../embeddings/oleObject36.bin"/><Relationship Id="rId17" Type="http://schemas.openxmlformats.org/officeDocument/2006/relationships/image" Target="../media/image52.wmf"/><Relationship Id="rId25" Type="http://schemas.openxmlformats.org/officeDocument/2006/relationships/image" Target="../media/image56.wmf"/><Relationship Id="rId33" Type="http://schemas.openxmlformats.org/officeDocument/2006/relationships/image" Target="../media/image60.wmf"/><Relationship Id="rId38" Type="http://schemas.openxmlformats.org/officeDocument/2006/relationships/oleObject" Target="../embeddings/oleObject49.bin"/><Relationship Id="rId46" Type="http://schemas.openxmlformats.org/officeDocument/2006/relationships/oleObject" Target="../embeddings/oleObject53.bin"/><Relationship Id="rId59" Type="http://schemas.openxmlformats.org/officeDocument/2006/relationships/oleObject" Target="../embeddings/oleObject60.bin"/><Relationship Id="rId67" Type="http://schemas.openxmlformats.org/officeDocument/2006/relationships/oleObject" Target="../embeddings/oleObject64.bin"/><Relationship Id="rId20" Type="http://schemas.openxmlformats.org/officeDocument/2006/relationships/oleObject" Target="../embeddings/oleObject40.bin"/><Relationship Id="rId41" Type="http://schemas.openxmlformats.org/officeDocument/2006/relationships/image" Target="../media/image64.wmf"/><Relationship Id="rId54" Type="http://schemas.openxmlformats.org/officeDocument/2006/relationships/oleObject" Target="../embeddings/oleObject57.bin"/><Relationship Id="rId62" Type="http://schemas.openxmlformats.org/officeDocument/2006/relationships/image" Target="../media/image74.wmf"/><Relationship Id="rId70" Type="http://schemas.openxmlformats.org/officeDocument/2006/relationships/image" Target="../media/image78.wmf"/><Relationship Id="rId75" Type="http://schemas.openxmlformats.org/officeDocument/2006/relationships/oleObject" Target="../embeddings/oleObject68.bin"/><Relationship Id="rId83" Type="http://schemas.openxmlformats.org/officeDocument/2006/relationships/oleObject" Target="../embeddings/oleObject72.bin"/><Relationship Id="rId88" Type="http://schemas.openxmlformats.org/officeDocument/2006/relationships/image" Target="../media/image87.wmf"/><Relationship Id="rId1" Type="http://schemas.openxmlformats.org/officeDocument/2006/relationships/printerSettings" Target="../printerSettings/printerSettings13.bin"/><Relationship Id="rId6" Type="http://schemas.openxmlformats.org/officeDocument/2006/relationships/oleObject" Target="../embeddings/oleObject33.bin"/><Relationship Id="rId15" Type="http://schemas.openxmlformats.org/officeDocument/2006/relationships/image" Target="../media/image51.wmf"/><Relationship Id="rId23" Type="http://schemas.openxmlformats.org/officeDocument/2006/relationships/image" Target="../media/image55.wmf"/><Relationship Id="rId28" Type="http://schemas.openxmlformats.org/officeDocument/2006/relationships/oleObject" Target="../embeddings/oleObject44.bin"/><Relationship Id="rId36" Type="http://schemas.openxmlformats.org/officeDocument/2006/relationships/oleObject" Target="../embeddings/oleObject48.bin"/><Relationship Id="rId49" Type="http://schemas.openxmlformats.org/officeDocument/2006/relationships/image" Target="../media/image68.wmf"/><Relationship Id="rId57" Type="http://schemas.openxmlformats.org/officeDocument/2006/relationships/image" Target="../media/image72.wmf"/><Relationship Id="rId10" Type="http://schemas.openxmlformats.org/officeDocument/2006/relationships/oleObject" Target="../embeddings/oleObject35.bin"/><Relationship Id="rId31" Type="http://schemas.openxmlformats.org/officeDocument/2006/relationships/image" Target="../media/image59.wmf"/><Relationship Id="rId44" Type="http://schemas.openxmlformats.org/officeDocument/2006/relationships/oleObject" Target="../embeddings/oleObject52.bin"/><Relationship Id="rId52" Type="http://schemas.openxmlformats.org/officeDocument/2006/relationships/oleObject" Target="../embeddings/oleObject56.bin"/><Relationship Id="rId60" Type="http://schemas.openxmlformats.org/officeDocument/2006/relationships/image" Target="../media/image73.wmf"/><Relationship Id="rId65" Type="http://schemas.openxmlformats.org/officeDocument/2006/relationships/oleObject" Target="../embeddings/oleObject63.bin"/><Relationship Id="rId73" Type="http://schemas.openxmlformats.org/officeDocument/2006/relationships/oleObject" Target="../embeddings/oleObject67.bin"/><Relationship Id="rId78" Type="http://schemas.openxmlformats.org/officeDocument/2006/relationships/image" Target="../media/image82.wmf"/><Relationship Id="rId81" Type="http://schemas.openxmlformats.org/officeDocument/2006/relationships/oleObject" Target="../embeddings/oleObject71.bin"/><Relationship Id="rId86" Type="http://schemas.openxmlformats.org/officeDocument/2006/relationships/image" Target="../media/image86.wmf"/><Relationship Id="rId4" Type="http://schemas.openxmlformats.org/officeDocument/2006/relationships/oleObject" Target="../embeddings/oleObject32.bin"/><Relationship Id="rId9" Type="http://schemas.openxmlformats.org/officeDocument/2006/relationships/image" Target="../media/image48.wmf"/><Relationship Id="rId13" Type="http://schemas.openxmlformats.org/officeDocument/2006/relationships/image" Target="../media/image50.wmf"/><Relationship Id="rId18" Type="http://schemas.openxmlformats.org/officeDocument/2006/relationships/oleObject" Target="../embeddings/oleObject39.bin"/><Relationship Id="rId39" Type="http://schemas.openxmlformats.org/officeDocument/2006/relationships/image" Target="../media/image63.wmf"/><Relationship Id="rId34" Type="http://schemas.openxmlformats.org/officeDocument/2006/relationships/oleObject" Target="../embeddings/oleObject47.bin"/><Relationship Id="rId50" Type="http://schemas.openxmlformats.org/officeDocument/2006/relationships/oleObject" Target="../embeddings/oleObject55.bin"/><Relationship Id="rId55" Type="http://schemas.openxmlformats.org/officeDocument/2006/relationships/image" Target="../media/image71.wmf"/><Relationship Id="rId76" Type="http://schemas.openxmlformats.org/officeDocument/2006/relationships/image" Target="../media/image81.wmf"/><Relationship Id="rId7" Type="http://schemas.openxmlformats.org/officeDocument/2006/relationships/image" Target="../media/image47.wmf"/><Relationship Id="rId71" Type="http://schemas.openxmlformats.org/officeDocument/2006/relationships/oleObject" Target="../embeddings/oleObject66.bin"/><Relationship Id="rId2" Type="http://schemas.openxmlformats.org/officeDocument/2006/relationships/drawing" Target="../drawings/drawing10.xml"/><Relationship Id="rId29" Type="http://schemas.openxmlformats.org/officeDocument/2006/relationships/image" Target="../media/image58.wmf"/><Relationship Id="rId24" Type="http://schemas.openxmlformats.org/officeDocument/2006/relationships/oleObject" Target="../embeddings/oleObject42.bin"/><Relationship Id="rId40" Type="http://schemas.openxmlformats.org/officeDocument/2006/relationships/oleObject" Target="../embeddings/oleObject50.bin"/><Relationship Id="rId45" Type="http://schemas.openxmlformats.org/officeDocument/2006/relationships/image" Target="../media/image66.wmf"/><Relationship Id="rId66" Type="http://schemas.openxmlformats.org/officeDocument/2006/relationships/image" Target="../media/image76.wmf"/><Relationship Id="rId87" Type="http://schemas.openxmlformats.org/officeDocument/2006/relationships/oleObject" Target="../embeddings/oleObject74.bin"/><Relationship Id="rId61" Type="http://schemas.openxmlformats.org/officeDocument/2006/relationships/oleObject" Target="../embeddings/oleObject61.bin"/><Relationship Id="rId82" Type="http://schemas.openxmlformats.org/officeDocument/2006/relationships/image" Target="../media/image84.wmf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0.wmf"/><Relationship Id="rId3" Type="http://schemas.openxmlformats.org/officeDocument/2006/relationships/oleObject" Target="../embeddings/oleObject75.bin"/><Relationship Id="rId7" Type="http://schemas.openxmlformats.org/officeDocument/2006/relationships/oleObject" Target="../embeddings/oleObject77.bin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Relationship Id="rId6" Type="http://schemas.openxmlformats.org/officeDocument/2006/relationships/image" Target="../media/image89.wmf"/><Relationship Id="rId5" Type="http://schemas.openxmlformats.org/officeDocument/2006/relationships/oleObject" Target="../embeddings/oleObject76.bin"/><Relationship Id="rId10" Type="http://schemas.openxmlformats.org/officeDocument/2006/relationships/image" Target="../media/image91.wmf"/><Relationship Id="rId4" Type="http://schemas.openxmlformats.org/officeDocument/2006/relationships/image" Target="../media/image88.wmf"/><Relationship Id="rId9" Type="http://schemas.openxmlformats.org/officeDocument/2006/relationships/oleObject" Target="../embeddings/oleObject78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4.wmf"/><Relationship Id="rId3" Type="http://schemas.openxmlformats.org/officeDocument/2006/relationships/oleObject" Target="../embeddings/oleObject79.bin"/><Relationship Id="rId7" Type="http://schemas.openxmlformats.org/officeDocument/2006/relationships/oleObject" Target="../embeddings/oleObject81.bin"/><Relationship Id="rId12" Type="http://schemas.openxmlformats.org/officeDocument/2006/relationships/image" Target="../media/image96.wmf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Relationship Id="rId6" Type="http://schemas.openxmlformats.org/officeDocument/2006/relationships/image" Target="../media/image93.wmf"/><Relationship Id="rId11" Type="http://schemas.openxmlformats.org/officeDocument/2006/relationships/oleObject" Target="../embeddings/oleObject83.bin"/><Relationship Id="rId5" Type="http://schemas.openxmlformats.org/officeDocument/2006/relationships/oleObject" Target="../embeddings/oleObject80.bin"/><Relationship Id="rId10" Type="http://schemas.openxmlformats.org/officeDocument/2006/relationships/image" Target="../media/image95.wmf"/><Relationship Id="rId4" Type="http://schemas.openxmlformats.org/officeDocument/2006/relationships/image" Target="../media/image92.wmf"/><Relationship Id="rId9" Type="http://schemas.openxmlformats.org/officeDocument/2006/relationships/oleObject" Target="../embeddings/oleObject82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9.wmf"/><Relationship Id="rId13" Type="http://schemas.openxmlformats.org/officeDocument/2006/relationships/oleObject" Target="../embeddings/oleObject89.bin"/><Relationship Id="rId18" Type="http://schemas.openxmlformats.org/officeDocument/2006/relationships/image" Target="../media/image104.wmf"/><Relationship Id="rId26" Type="http://schemas.openxmlformats.org/officeDocument/2006/relationships/image" Target="../media/image108.wmf"/><Relationship Id="rId3" Type="http://schemas.openxmlformats.org/officeDocument/2006/relationships/oleObject" Target="../embeddings/oleObject84.bin"/><Relationship Id="rId21" Type="http://schemas.openxmlformats.org/officeDocument/2006/relationships/oleObject" Target="../embeddings/oleObject93.bin"/><Relationship Id="rId7" Type="http://schemas.openxmlformats.org/officeDocument/2006/relationships/oleObject" Target="../embeddings/oleObject86.bin"/><Relationship Id="rId12" Type="http://schemas.openxmlformats.org/officeDocument/2006/relationships/image" Target="../media/image101.wmf"/><Relationship Id="rId17" Type="http://schemas.openxmlformats.org/officeDocument/2006/relationships/oleObject" Target="../embeddings/oleObject91.bin"/><Relationship Id="rId25" Type="http://schemas.openxmlformats.org/officeDocument/2006/relationships/oleObject" Target="../embeddings/oleObject95.bin"/><Relationship Id="rId2" Type="http://schemas.openxmlformats.org/officeDocument/2006/relationships/vmlDrawing" Target="../drawings/vmlDrawing13.vml"/><Relationship Id="rId16" Type="http://schemas.openxmlformats.org/officeDocument/2006/relationships/image" Target="../media/image103.wmf"/><Relationship Id="rId20" Type="http://schemas.openxmlformats.org/officeDocument/2006/relationships/image" Target="../media/image105.wmf"/><Relationship Id="rId29" Type="http://schemas.openxmlformats.org/officeDocument/2006/relationships/oleObject" Target="../embeddings/oleObject97.bin"/><Relationship Id="rId1" Type="http://schemas.openxmlformats.org/officeDocument/2006/relationships/drawing" Target="../drawings/drawing13.xml"/><Relationship Id="rId6" Type="http://schemas.openxmlformats.org/officeDocument/2006/relationships/image" Target="../media/image98.wmf"/><Relationship Id="rId11" Type="http://schemas.openxmlformats.org/officeDocument/2006/relationships/oleObject" Target="../embeddings/oleObject88.bin"/><Relationship Id="rId24" Type="http://schemas.openxmlformats.org/officeDocument/2006/relationships/image" Target="../media/image107.wmf"/><Relationship Id="rId5" Type="http://schemas.openxmlformats.org/officeDocument/2006/relationships/oleObject" Target="../embeddings/oleObject85.bin"/><Relationship Id="rId15" Type="http://schemas.openxmlformats.org/officeDocument/2006/relationships/oleObject" Target="../embeddings/oleObject90.bin"/><Relationship Id="rId23" Type="http://schemas.openxmlformats.org/officeDocument/2006/relationships/oleObject" Target="../embeddings/oleObject94.bin"/><Relationship Id="rId28" Type="http://schemas.openxmlformats.org/officeDocument/2006/relationships/image" Target="../media/image109.wmf"/><Relationship Id="rId10" Type="http://schemas.openxmlformats.org/officeDocument/2006/relationships/image" Target="../media/image100.wmf"/><Relationship Id="rId19" Type="http://schemas.openxmlformats.org/officeDocument/2006/relationships/oleObject" Target="../embeddings/oleObject92.bin"/><Relationship Id="rId4" Type="http://schemas.openxmlformats.org/officeDocument/2006/relationships/image" Target="../media/image97.wmf"/><Relationship Id="rId9" Type="http://schemas.openxmlformats.org/officeDocument/2006/relationships/oleObject" Target="../embeddings/oleObject87.bin"/><Relationship Id="rId14" Type="http://schemas.openxmlformats.org/officeDocument/2006/relationships/image" Target="../media/image102.wmf"/><Relationship Id="rId22" Type="http://schemas.openxmlformats.org/officeDocument/2006/relationships/image" Target="../media/image106.wmf"/><Relationship Id="rId27" Type="http://schemas.openxmlformats.org/officeDocument/2006/relationships/oleObject" Target="../embeddings/oleObject96.bin"/><Relationship Id="rId30" Type="http://schemas.openxmlformats.org/officeDocument/2006/relationships/image" Target="../media/image110.w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2.vsdx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package" Target="../embeddings/Microsoft_Visio_Drawing4.vsd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Drawing1.vsd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package" Target="../embeddings/Microsoft_Visio_Drawing3.vsdx"/><Relationship Id="rId4" Type="http://schemas.openxmlformats.org/officeDocument/2006/relationships/package" Target="../embeddings/Microsoft_Visio_Drawing.vsdx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7.vsdx"/><Relationship Id="rId13" Type="http://schemas.openxmlformats.org/officeDocument/2006/relationships/image" Target="../media/image10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12" Type="http://schemas.openxmlformats.org/officeDocument/2006/relationships/package" Target="../embeddings/Microsoft_Visio_Drawing9.vsdx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Visio_Drawing6.vsdx"/><Relationship Id="rId11" Type="http://schemas.openxmlformats.org/officeDocument/2006/relationships/image" Target="../media/image9.emf"/><Relationship Id="rId5" Type="http://schemas.openxmlformats.org/officeDocument/2006/relationships/image" Target="../media/image6.emf"/><Relationship Id="rId10" Type="http://schemas.openxmlformats.org/officeDocument/2006/relationships/package" Target="../embeddings/Microsoft_Visio_Drawing8.vsdx"/><Relationship Id="rId4" Type="http://schemas.openxmlformats.org/officeDocument/2006/relationships/package" Target="../embeddings/Microsoft_Visio_Drawing5.vsdx"/><Relationship Id="rId9" Type="http://schemas.openxmlformats.org/officeDocument/2006/relationships/image" Target="../media/image8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10.vsd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11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2.emf"/><Relationship Id="rId4" Type="http://schemas.openxmlformats.org/officeDocument/2006/relationships/package" Target="../embeddings/Microsoft_Visio_Drawing11.vsdx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B18" sqref="B18"/>
    </sheetView>
  </sheetViews>
  <sheetFormatPr defaultRowHeight="15" x14ac:dyDescent="0.25"/>
  <cols>
    <col min="6" max="6" width="10.85546875" customWidth="1"/>
    <col min="7" max="7" width="9.140625" customWidth="1"/>
    <col min="8" max="8" width="11.85546875" customWidth="1"/>
    <col min="10" max="10" width="9.5703125" bestFit="1" customWidth="1"/>
    <col min="11" max="11" width="10" customWidth="1"/>
  </cols>
  <sheetData>
    <row r="1" spans="1:13" x14ac:dyDescent="0.25">
      <c r="A1" s="4" t="s">
        <v>71</v>
      </c>
    </row>
    <row r="2" spans="1:13" x14ac:dyDescent="0.25">
      <c r="A2" s="90" t="s">
        <v>0</v>
      </c>
      <c r="B2" s="3" t="s">
        <v>1</v>
      </c>
      <c r="C2" s="3" t="s">
        <v>3</v>
      </c>
      <c r="D2" s="3" t="s">
        <v>5</v>
      </c>
      <c r="E2" s="3" t="s">
        <v>7</v>
      </c>
      <c r="F2" s="3" t="s">
        <v>8</v>
      </c>
      <c r="G2" s="90" t="s">
        <v>10</v>
      </c>
      <c r="H2" s="2"/>
      <c r="M2" s="1"/>
    </row>
    <row r="3" spans="1:13" x14ac:dyDescent="0.25">
      <c r="A3" s="90"/>
      <c r="B3" s="3" t="s">
        <v>2</v>
      </c>
      <c r="C3" s="3" t="s">
        <v>4</v>
      </c>
      <c r="D3" s="3" t="s">
        <v>6</v>
      </c>
      <c r="E3" s="3" t="s">
        <v>6</v>
      </c>
      <c r="F3" s="3" t="s">
        <v>9</v>
      </c>
      <c r="G3" s="90"/>
      <c r="H3" s="2"/>
      <c r="M3" s="1"/>
    </row>
    <row r="4" spans="1:13" x14ac:dyDescent="0.25">
      <c r="A4" s="2" t="s">
        <v>11</v>
      </c>
      <c r="B4" s="4">
        <v>16</v>
      </c>
      <c r="C4" s="4">
        <v>12</v>
      </c>
      <c r="D4" s="4">
        <v>100</v>
      </c>
      <c r="E4" s="4">
        <v>240</v>
      </c>
      <c r="F4" s="4">
        <v>6</v>
      </c>
      <c r="G4" s="3" t="s">
        <v>19</v>
      </c>
      <c r="H4" s="3"/>
      <c r="M4" s="1"/>
    </row>
    <row r="5" spans="1:13" x14ac:dyDescent="0.25">
      <c r="A5" s="2" t="s">
        <v>12</v>
      </c>
      <c r="B5" s="4">
        <v>20</v>
      </c>
      <c r="C5" s="4">
        <v>13</v>
      </c>
      <c r="D5" s="4">
        <v>95</v>
      </c>
      <c r="E5" s="4">
        <v>125</v>
      </c>
      <c r="F5" s="4">
        <v>10</v>
      </c>
      <c r="G5" s="3" t="s">
        <v>20</v>
      </c>
      <c r="H5" s="3"/>
      <c r="M5" s="1"/>
    </row>
    <row r="6" spans="1:13" x14ac:dyDescent="0.25">
      <c r="A6" s="2" t="s">
        <v>13</v>
      </c>
      <c r="B6" s="4">
        <v>35</v>
      </c>
      <c r="C6" s="4">
        <v>19</v>
      </c>
      <c r="D6" s="4">
        <v>50</v>
      </c>
      <c r="E6" s="4">
        <v>260</v>
      </c>
      <c r="F6" s="4">
        <v>10</v>
      </c>
      <c r="G6" s="3" t="s">
        <v>20</v>
      </c>
      <c r="H6" s="3"/>
      <c r="M6" s="1"/>
    </row>
    <row r="7" spans="1:13" x14ac:dyDescent="0.25">
      <c r="A7" s="2" t="s">
        <v>14</v>
      </c>
      <c r="B7" s="4">
        <v>32</v>
      </c>
      <c r="C7" s="4">
        <v>15.5</v>
      </c>
      <c r="D7" s="4">
        <v>140</v>
      </c>
      <c r="E7" s="4">
        <v>260</v>
      </c>
      <c r="F7" s="4">
        <v>10</v>
      </c>
      <c r="G7" s="3" t="s">
        <v>20</v>
      </c>
      <c r="H7" s="3"/>
      <c r="M7" s="1"/>
    </row>
    <row r="8" spans="1:13" x14ac:dyDescent="0.25">
      <c r="A8" s="2" t="s">
        <v>15</v>
      </c>
      <c r="B8" s="4">
        <v>27</v>
      </c>
      <c r="C8" s="4">
        <v>13.8</v>
      </c>
      <c r="D8" s="4">
        <v>75</v>
      </c>
      <c r="E8" s="4">
        <v>265</v>
      </c>
      <c r="F8" s="4">
        <v>6</v>
      </c>
      <c r="G8" s="3" t="s">
        <v>19</v>
      </c>
      <c r="H8" s="3"/>
      <c r="M8" s="1"/>
    </row>
    <row r="9" spans="1:13" x14ac:dyDescent="0.25">
      <c r="A9" s="2" t="s">
        <v>16</v>
      </c>
      <c r="B9" s="4">
        <v>35</v>
      </c>
      <c r="C9" s="4">
        <v>17</v>
      </c>
      <c r="D9" s="4">
        <v>130</v>
      </c>
      <c r="E9" s="4">
        <v>195</v>
      </c>
      <c r="F9" s="4">
        <v>6</v>
      </c>
      <c r="G9" s="3" t="s">
        <v>19</v>
      </c>
      <c r="H9" s="3"/>
      <c r="M9" s="1"/>
    </row>
    <row r="10" spans="1:13" x14ac:dyDescent="0.25">
      <c r="A10" s="2" t="s">
        <v>17</v>
      </c>
      <c r="B10" s="4" t="s">
        <v>18</v>
      </c>
      <c r="C10" s="4" t="s">
        <v>18</v>
      </c>
      <c r="D10" s="4">
        <v>20</v>
      </c>
      <c r="E10" s="4">
        <v>90</v>
      </c>
      <c r="F10" s="4"/>
      <c r="G10" s="4"/>
      <c r="H10" s="4"/>
      <c r="I10" s="4"/>
    </row>
    <row r="11" spans="1:13" x14ac:dyDescent="0.25">
      <c r="A11" s="12" t="s">
        <v>21</v>
      </c>
      <c r="B11" s="4">
        <f>SUM(B4:B9,)</f>
        <v>165</v>
      </c>
      <c r="C11" s="4">
        <f>SUM(C4:C9,)</f>
        <v>90.3</v>
      </c>
      <c r="D11" s="4"/>
      <c r="E11" s="4"/>
      <c r="F11" s="4"/>
      <c r="G11" s="4"/>
      <c r="H11" s="4"/>
      <c r="I11" s="4"/>
    </row>
    <row r="13" spans="1:13" x14ac:dyDescent="0.25">
      <c r="A13" s="20" t="s">
        <v>70</v>
      </c>
      <c r="B13" s="4"/>
      <c r="C13" s="4"/>
      <c r="D13" s="4"/>
      <c r="E13" s="4"/>
      <c r="F13" s="4"/>
      <c r="G13" s="4"/>
      <c r="H13" s="4"/>
    </row>
    <row r="14" spans="1:13" x14ac:dyDescent="0.25">
      <c r="A14" s="90" t="s">
        <v>0</v>
      </c>
      <c r="B14" s="3" t="s">
        <v>1</v>
      </c>
      <c r="C14" s="3" t="s">
        <v>5</v>
      </c>
      <c r="D14" s="3" t="s">
        <v>32</v>
      </c>
      <c r="E14" s="3" t="s">
        <v>7</v>
      </c>
      <c r="F14" s="3" t="s">
        <v>34</v>
      </c>
      <c r="G14" s="13" t="s">
        <v>35</v>
      </c>
      <c r="H14" s="3" t="s">
        <v>36</v>
      </c>
      <c r="J14" s="3" t="s">
        <v>31</v>
      </c>
      <c r="K14" s="4"/>
    </row>
    <row r="15" spans="1:13" x14ac:dyDescent="0.25">
      <c r="A15" s="90"/>
      <c r="B15" s="3" t="s">
        <v>2</v>
      </c>
      <c r="C15" s="3" t="s">
        <v>6</v>
      </c>
      <c r="D15" s="3" t="s">
        <v>33</v>
      </c>
      <c r="E15" s="3" t="s">
        <v>6</v>
      </c>
      <c r="F15" s="3" t="s">
        <v>33</v>
      </c>
      <c r="G15" s="3" t="s">
        <v>6</v>
      </c>
      <c r="H15" s="3" t="s">
        <v>33</v>
      </c>
      <c r="J15" s="4" t="s">
        <v>37</v>
      </c>
      <c r="K15" s="4" t="s">
        <v>38</v>
      </c>
    </row>
    <row r="16" spans="1:13" x14ac:dyDescent="0.25">
      <c r="A16" s="2" t="s">
        <v>11</v>
      </c>
      <c r="B16" s="4">
        <v>16</v>
      </c>
      <c r="C16" s="4">
        <v>100</v>
      </c>
      <c r="D16" s="4">
        <f>PRODUCT(B16:C16)</f>
        <v>1600</v>
      </c>
      <c r="E16" s="4">
        <v>240</v>
      </c>
      <c r="F16" s="4">
        <f>PRODUCT(B16,E16)</f>
        <v>3840</v>
      </c>
      <c r="G16" s="14">
        <f t="shared" ref="G16:G21" si="0">SQRT(($J$16-C16)^2+($K$16-E16)^2)</f>
        <v>11.334508122550599</v>
      </c>
      <c r="H16" s="14">
        <f>PRODUCT(B16,G16)</f>
        <v>181.35212996080958</v>
      </c>
      <c r="J16" s="14">
        <f>D22/B22</f>
        <v>98.818181818181813</v>
      </c>
      <c r="K16" s="14">
        <f>F22/B22</f>
        <v>228.72727272727272</v>
      </c>
    </row>
    <row r="17" spans="1:12" x14ac:dyDescent="0.25">
      <c r="A17" s="2" t="s">
        <v>12</v>
      </c>
      <c r="B17" s="4">
        <v>20</v>
      </c>
      <c r="C17" s="4">
        <v>95</v>
      </c>
      <c r="D17" s="4">
        <f>PRODUCT(B17,C17)</f>
        <v>1900</v>
      </c>
      <c r="E17" s="4">
        <v>125</v>
      </c>
      <c r="F17" s="4">
        <f t="shared" ref="F17:F21" si="1">PRODUCT(B17,E17)</f>
        <v>2500</v>
      </c>
      <c r="G17" s="14">
        <f t="shared" si="0"/>
        <v>103.79752222396597</v>
      </c>
      <c r="H17" s="14">
        <f t="shared" ref="H17:H21" si="2">PRODUCT(B17,G17)</f>
        <v>2075.9504444793192</v>
      </c>
    </row>
    <row r="18" spans="1:12" x14ac:dyDescent="0.25">
      <c r="A18" s="2" t="s">
        <v>13</v>
      </c>
      <c r="B18" s="4">
        <v>35</v>
      </c>
      <c r="C18" s="4">
        <v>50</v>
      </c>
      <c r="D18" s="4">
        <f>PRODUCT(B18,C18)</f>
        <v>1750</v>
      </c>
      <c r="E18" s="4">
        <v>260</v>
      </c>
      <c r="F18" s="4">
        <f t="shared" si="1"/>
        <v>9100</v>
      </c>
      <c r="G18" s="14">
        <f t="shared" si="0"/>
        <v>57.975842789108619</v>
      </c>
      <c r="H18" s="14">
        <f t="shared" si="2"/>
        <v>2029.1544976188015</v>
      </c>
      <c r="J18" s="5" t="s">
        <v>39</v>
      </c>
      <c r="K18" s="5" t="s">
        <v>40</v>
      </c>
    </row>
    <row r="19" spans="1:12" x14ac:dyDescent="0.25">
      <c r="A19" s="2" t="s">
        <v>14</v>
      </c>
      <c r="B19" s="4">
        <v>32</v>
      </c>
      <c r="C19" s="4">
        <v>140</v>
      </c>
      <c r="D19" s="4">
        <f>PRODUCT(B19,C19)</f>
        <v>4480</v>
      </c>
      <c r="E19" s="4">
        <v>260</v>
      </c>
      <c r="F19" s="4">
        <f t="shared" si="1"/>
        <v>8320</v>
      </c>
      <c r="G19" s="14">
        <f t="shared" si="0"/>
        <v>51.710014695750296</v>
      </c>
      <c r="H19" s="14">
        <f t="shared" si="2"/>
        <v>1654.7204702640095</v>
      </c>
      <c r="J19" s="15">
        <f>H22/B22</f>
        <v>52.851280464284486</v>
      </c>
      <c r="K19">
        <f>SQRT((D10-J16)^2+(K16-E10)^2)</f>
        <v>159.55426031125296</v>
      </c>
      <c r="L19">
        <f>K19/J19</f>
        <v>3.0189289438138696</v>
      </c>
    </row>
    <row r="20" spans="1:12" x14ac:dyDescent="0.25">
      <c r="A20" s="2" t="s">
        <v>15</v>
      </c>
      <c r="B20" s="4">
        <v>27</v>
      </c>
      <c r="C20" s="4">
        <v>75</v>
      </c>
      <c r="D20" s="4">
        <f>PRODUCT(B20:C20)</f>
        <v>2025</v>
      </c>
      <c r="E20" s="4">
        <v>265</v>
      </c>
      <c r="F20" s="4">
        <f t="shared" si="1"/>
        <v>7155</v>
      </c>
      <c r="G20" s="14">
        <f t="shared" si="0"/>
        <v>43.393738360800633</v>
      </c>
      <c r="H20" s="14">
        <f t="shared" si="2"/>
        <v>1171.6309357416171</v>
      </c>
    </row>
    <row r="21" spans="1:12" x14ac:dyDescent="0.25">
      <c r="A21" s="2" t="s">
        <v>16</v>
      </c>
      <c r="B21" s="4">
        <v>35</v>
      </c>
      <c r="C21" s="4">
        <v>130</v>
      </c>
      <c r="D21" s="4">
        <f>PRODUCT(B21:C21)</f>
        <v>4550</v>
      </c>
      <c r="E21" s="4">
        <v>195</v>
      </c>
      <c r="F21" s="4">
        <f t="shared" si="1"/>
        <v>6825</v>
      </c>
      <c r="G21" s="14">
        <f t="shared" si="0"/>
        <v>45.932937101210946</v>
      </c>
      <c r="H21" s="14">
        <f t="shared" si="2"/>
        <v>1607.6527985423832</v>
      </c>
    </row>
    <row r="22" spans="1:12" x14ac:dyDescent="0.25">
      <c r="A22" s="12" t="s">
        <v>21</v>
      </c>
      <c r="B22" s="4">
        <f>SUM(B15:B21,)</f>
        <v>165</v>
      </c>
      <c r="C22" s="4"/>
      <c r="D22" s="4">
        <f>SUM(D16:D21)</f>
        <v>16305</v>
      </c>
      <c r="E22" s="4"/>
      <c r="F22" s="4">
        <f>SUM(F16:F21)</f>
        <v>37740</v>
      </c>
      <c r="G22" s="4"/>
      <c r="H22" s="14">
        <f>SUM(H16:H21)</f>
        <v>8720.4612766069404</v>
      </c>
    </row>
    <row r="25" spans="1:12" x14ac:dyDescent="0.25">
      <c r="A25" s="2" t="s">
        <v>23</v>
      </c>
      <c r="B25" s="2" t="s">
        <v>24</v>
      </c>
      <c r="C25" s="12" t="s">
        <v>21</v>
      </c>
      <c r="D25" s="3" t="s">
        <v>22</v>
      </c>
    </row>
    <row r="26" spans="1:12" x14ac:dyDescent="0.25">
      <c r="A26" s="2">
        <f>POWER(B11,2)</f>
        <v>27225</v>
      </c>
      <c r="B26" s="3">
        <f>POWER(C11,2)</f>
        <v>8154.0899999999992</v>
      </c>
      <c r="C26" s="3">
        <f>SUM(A26:B26)</f>
        <v>35379.089999999997</v>
      </c>
      <c r="D26" s="3">
        <f>SQRT(C26)</f>
        <v>188.09330131612873</v>
      </c>
    </row>
    <row r="27" spans="1:12" x14ac:dyDescent="0.25">
      <c r="A27" s="3"/>
      <c r="B27" s="3"/>
      <c r="C27" s="3"/>
      <c r="D27" s="3"/>
    </row>
    <row r="28" spans="1:12" x14ac:dyDescent="0.25">
      <c r="A28" s="12" t="s">
        <v>25</v>
      </c>
      <c r="B28" s="3" t="s">
        <v>26</v>
      </c>
      <c r="C28" s="3" t="s">
        <v>27</v>
      </c>
      <c r="D28" s="3" t="s">
        <v>27</v>
      </c>
    </row>
    <row r="29" spans="1:12" x14ac:dyDescent="0.25">
      <c r="A29" s="3">
        <f>PRODUCT(0.05,D26)</f>
        <v>9.4046650658064372</v>
      </c>
      <c r="B29" s="3">
        <f>PRODUCT(0.15,D26)</f>
        <v>28.213995197419308</v>
      </c>
      <c r="C29" s="3">
        <v>0.95</v>
      </c>
      <c r="D29" s="3">
        <v>0.98</v>
      </c>
    </row>
    <row r="30" spans="1:12" x14ac:dyDescent="0.25">
      <c r="A30" s="3"/>
      <c r="B30" s="3"/>
      <c r="C30" s="3"/>
      <c r="D30" s="3"/>
    </row>
    <row r="31" spans="1:12" x14ac:dyDescent="0.25">
      <c r="A31" s="3" t="s">
        <v>28</v>
      </c>
      <c r="B31" s="3" t="s">
        <v>29</v>
      </c>
      <c r="C31" s="3" t="s">
        <v>30</v>
      </c>
      <c r="D31" s="3"/>
    </row>
    <row r="32" spans="1:12" x14ac:dyDescent="0.25">
      <c r="A32" s="3">
        <f>PRODUCT(C29,B11)+A29</f>
        <v>166.15466506580643</v>
      </c>
      <c r="B32" s="3">
        <f>PRODUCT(D29,C11)+B29</f>
        <v>116.70799519741931</v>
      </c>
      <c r="C32" s="3">
        <f>SUM(A32:B32)</f>
        <v>282.86266026322573</v>
      </c>
      <c r="D32" s="3"/>
    </row>
    <row r="34" spans="1:2" x14ac:dyDescent="0.25">
      <c r="A34" t="s">
        <v>255</v>
      </c>
      <c r="B34">
        <v>7100</v>
      </c>
    </row>
    <row r="36" spans="1:2" x14ac:dyDescent="0.25">
      <c r="A36" t="s">
        <v>256</v>
      </c>
      <c r="B36">
        <f>ROUND((0.124+B34/10000)^2*8760,0)</f>
        <v>6093</v>
      </c>
    </row>
    <row r="38" spans="1:2" x14ac:dyDescent="0.25">
      <c r="B38" t="s">
        <v>72</v>
      </c>
    </row>
  </sheetData>
  <mergeCells count="3">
    <mergeCell ref="A2:A3"/>
    <mergeCell ref="G2:G3"/>
    <mergeCell ref="A14:A1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46"/>
  <sheetViews>
    <sheetView workbookViewId="0">
      <selection activeCell="L10" sqref="L10"/>
    </sheetView>
  </sheetViews>
  <sheetFormatPr defaultRowHeight="15" x14ac:dyDescent="0.25"/>
  <cols>
    <col min="4" max="4" width="17.28515625" customWidth="1"/>
    <col min="5" max="5" width="19.5703125" bestFit="1" customWidth="1"/>
    <col min="6" max="6" width="15" bestFit="1" customWidth="1"/>
    <col min="7" max="7" width="19.85546875" customWidth="1"/>
    <col min="8" max="8" width="22.28515625" customWidth="1"/>
    <col min="9" max="9" width="13.42578125" customWidth="1"/>
    <col min="10" max="10" width="19.42578125" customWidth="1"/>
    <col min="11" max="11" width="23" customWidth="1"/>
  </cols>
  <sheetData>
    <row r="2" spans="1:12" ht="15.75" thickBot="1" x14ac:dyDescent="0.3">
      <c r="C2" t="s">
        <v>184</v>
      </c>
    </row>
    <row r="3" spans="1:12" ht="30.75" customHeight="1" x14ac:dyDescent="0.25">
      <c r="C3" s="96" t="s">
        <v>173</v>
      </c>
      <c r="D3" s="65" t="s">
        <v>174</v>
      </c>
      <c r="E3" s="96" t="s">
        <v>175</v>
      </c>
      <c r="F3" s="96" t="s">
        <v>176</v>
      </c>
      <c r="G3" s="96" t="s">
        <v>177</v>
      </c>
      <c r="H3" s="96" t="s">
        <v>178</v>
      </c>
      <c r="I3" s="126" t="s">
        <v>179</v>
      </c>
      <c r="J3" s="126" t="s">
        <v>180</v>
      </c>
      <c r="K3" s="126" t="s">
        <v>181</v>
      </c>
    </row>
    <row r="4" spans="1:12" ht="19.5" thickBot="1" x14ac:dyDescent="0.3">
      <c r="C4" s="98"/>
      <c r="D4" s="33" t="s">
        <v>9</v>
      </c>
      <c r="E4" s="106"/>
      <c r="F4" s="106"/>
      <c r="G4" s="106"/>
      <c r="H4" s="106"/>
      <c r="I4" s="127"/>
      <c r="J4" s="127"/>
      <c r="K4" s="127"/>
    </row>
    <row r="5" spans="1:12" ht="19.5" thickBot="1" x14ac:dyDescent="0.3">
      <c r="A5">
        <f>Потокорозподіл!F26</f>
        <v>146.15</v>
      </c>
      <c r="B5">
        <f>Потокорозподіл!G26</f>
        <v>103.7</v>
      </c>
      <c r="C5" s="62" t="str">
        <f>'Табл1-1  1-2'!A4</f>
        <v>А</v>
      </c>
      <c r="D5" s="33">
        <v>220</v>
      </c>
      <c r="E5" s="66" t="str">
        <f>COMPLEX(A5,B5)</f>
        <v>146.15+103.7i</v>
      </c>
      <c r="F5" s="68">
        <f>IMABS(E5)</f>
        <v>179.20243441426791</v>
      </c>
      <c r="G5" s="68">
        <f>0.7*F5</f>
        <v>125.44170408998752</v>
      </c>
      <c r="H5" s="66">
        <v>125</v>
      </c>
      <c r="I5" s="66">
        <v>2</v>
      </c>
      <c r="J5" s="67">
        <f>F5/I5/H5</f>
        <v>0.71680973765707168</v>
      </c>
      <c r="K5" s="67">
        <f>F5/H5</f>
        <v>1.4336194753141434</v>
      </c>
      <c r="L5" t="s">
        <v>183</v>
      </c>
    </row>
    <row r="6" spans="1:12" ht="19.5" thickBot="1" x14ac:dyDescent="0.3">
      <c r="A6">
        <f>'Табл1-1  1-2'!B5</f>
        <v>20</v>
      </c>
      <c r="B6">
        <f>'Табл1-1  1-2'!C5</f>
        <v>13</v>
      </c>
      <c r="C6" s="62" t="str">
        <f>'Табл1-1  1-2'!A5</f>
        <v>Б</v>
      </c>
      <c r="D6" s="33">
        <v>220</v>
      </c>
      <c r="E6" s="66" t="str">
        <f t="shared" ref="E6:E10" si="0">COMPLEX(A6,B6)</f>
        <v>20+13i</v>
      </c>
      <c r="F6" s="68">
        <f t="shared" ref="F6:F10" si="1">IMABS(E6)</f>
        <v>23.853720883753127</v>
      </c>
      <c r="G6" s="68">
        <f t="shared" ref="G6:G9" si="2">0.7*F6</f>
        <v>16.697604618627189</v>
      </c>
      <c r="H6" s="71">
        <v>25</v>
      </c>
      <c r="I6" s="66">
        <v>2</v>
      </c>
      <c r="J6" s="67">
        <f>F6/I6/H6</f>
        <v>0.47707441767506253</v>
      </c>
      <c r="K6" s="67">
        <f>F6/H6</f>
        <v>0.95414883535012507</v>
      </c>
      <c r="L6" t="s">
        <v>205</v>
      </c>
    </row>
    <row r="7" spans="1:12" ht="19.5" thickBot="1" x14ac:dyDescent="0.3">
      <c r="A7">
        <f>'Табл1-1  1-2'!B6</f>
        <v>35</v>
      </c>
      <c r="B7">
        <f>'Табл1-1  1-2'!C6</f>
        <v>19</v>
      </c>
      <c r="C7" s="62" t="str">
        <f>'Табл1-1  1-2'!A6</f>
        <v>В</v>
      </c>
      <c r="D7" s="33">
        <v>110</v>
      </c>
      <c r="E7" s="66" t="str">
        <f t="shared" si="0"/>
        <v>35+19i</v>
      </c>
      <c r="F7" s="68">
        <f t="shared" si="1"/>
        <v>39.824615503479755</v>
      </c>
      <c r="G7" s="68">
        <f>0.7*F7</f>
        <v>27.877230852435826</v>
      </c>
      <c r="H7" s="66">
        <v>40</v>
      </c>
      <c r="I7" s="66">
        <v>2</v>
      </c>
      <c r="J7" s="67">
        <f>F7/I7/H7</f>
        <v>0.49780769379349693</v>
      </c>
      <c r="K7" s="67">
        <f>F7/H7</f>
        <v>0.99561538758699386</v>
      </c>
      <c r="L7" t="s">
        <v>182</v>
      </c>
    </row>
    <row r="8" spans="1:12" ht="19.5" thickBot="1" x14ac:dyDescent="0.3">
      <c r="A8">
        <f>'Табл1-1  1-2'!B7</f>
        <v>32</v>
      </c>
      <c r="B8">
        <f>'Табл1-1  1-2'!C7</f>
        <v>15.5</v>
      </c>
      <c r="C8" s="62" t="str">
        <f>'Табл1-1  1-2'!A7</f>
        <v>Г</v>
      </c>
      <c r="D8" s="33">
        <v>110</v>
      </c>
      <c r="E8" s="66" t="str">
        <f t="shared" si="0"/>
        <v>32+15.5i</v>
      </c>
      <c r="F8" s="68">
        <f t="shared" si="1"/>
        <v>35.556293395122054</v>
      </c>
      <c r="G8" s="68">
        <f t="shared" si="2"/>
        <v>24.889405376585437</v>
      </c>
      <c r="H8" s="66">
        <v>25</v>
      </c>
      <c r="I8" s="66">
        <v>2</v>
      </c>
      <c r="J8" s="67">
        <f t="shared" ref="J8:J10" si="3">F8/I8/H8</f>
        <v>0.71112586790244103</v>
      </c>
      <c r="K8" s="67">
        <f t="shared" ref="K8:K10" si="4">F8/H8</f>
        <v>1.4222517358048821</v>
      </c>
      <c r="L8" t="s">
        <v>182</v>
      </c>
    </row>
    <row r="9" spans="1:12" ht="19.5" thickBot="1" x14ac:dyDescent="0.3">
      <c r="A9">
        <f>'Табл1-1  1-2'!B8</f>
        <v>27</v>
      </c>
      <c r="B9">
        <f>'Табл1-1  1-2'!C8</f>
        <v>13.8</v>
      </c>
      <c r="C9" s="62" t="str">
        <f>'Табл1-1  1-2'!A8</f>
        <v>Д</v>
      </c>
      <c r="D9" s="33">
        <v>110</v>
      </c>
      <c r="E9" s="66" t="str">
        <f t="shared" si="0"/>
        <v>27+13.8i</v>
      </c>
      <c r="F9" s="68">
        <f t="shared" si="1"/>
        <v>30.322269044383869</v>
      </c>
      <c r="G9" s="68">
        <f t="shared" si="2"/>
        <v>21.225588331068707</v>
      </c>
      <c r="H9" s="66">
        <v>25</v>
      </c>
      <c r="I9" s="66">
        <v>2</v>
      </c>
      <c r="J9" s="67">
        <f t="shared" si="3"/>
        <v>0.60644538088767741</v>
      </c>
      <c r="K9" s="67">
        <f t="shared" si="4"/>
        <v>1.2128907617753548</v>
      </c>
      <c r="L9" t="s">
        <v>182</v>
      </c>
    </row>
    <row r="10" spans="1:12" ht="19.5" thickBot="1" x14ac:dyDescent="0.3">
      <c r="A10">
        <f>'Табл1-1  1-2'!B9</f>
        <v>35</v>
      </c>
      <c r="B10">
        <f>'Табл1-1  1-2'!C9</f>
        <v>17</v>
      </c>
      <c r="C10" s="62" t="str">
        <f>'Табл1-1  1-2'!A9</f>
        <v>Е</v>
      </c>
      <c r="D10" s="33">
        <v>110</v>
      </c>
      <c r="E10" s="66" t="str">
        <f t="shared" si="0"/>
        <v>35+17i</v>
      </c>
      <c r="F10" s="68">
        <f t="shared" si="1"/>
        <v>38.910152916687437</v>
      </c>
      <c r="G10" s="68">
        <f>0.7*F10</f>
        <v>27.237107041681206</v>
      </c>
      <c r="H10" s="66">
        <v>40</v>
      </c>
      <c r="I10" s="66">
        <v>2</v>
      </c>
      <c r="J10" s="67">
        <f t="shared" si="3"/>
        <v>0.48637691145859296</v>
      </c>
      <c r="K10" s="67">
        <f t="shared" si="4"/>
        <v>0.97275382291718593</v>
      </c>
      <c r="L10" t="s">
        <v>182</v>
      </c>
    </row>
    <row r="14" spans="1:12" ht="15.75" thickBot="1" x14ac:dyDescent="0.3">
      <c r="C14" t="s">
        <v>185</v>
      </c>
    </row>
    <row r="15" spans="1:12" ht="28.5" customHeight="1" x14ac:dyDescent="0.25">
      <c r="C15" s="96" t="s">
        <v>186</v>
      </c>
      <c r="D15" s="96" t="s">
        <v>196</v>
      </c>
      <c r="E15" s="96" t="s">
        <v>195</v>
      </c>
      <c r="F15" s="96" t="s">
        <v>191</v>
      </c>
      <c r="G15" s="96" t="s">
        <v>194</v>
      </c>
      <c r="H15" s="96" t="s">
        <v>187</v>
      </c>
      <c r="I15" s="96" t="s">
        <v>192</v>
      </c>
      <c r="J15" s="96" t="s">
        <v>188</v>
      </c>
      <c r="K15" s="96" t="s">
        <v>193</v>
      </c>
    </row>
    <row r="16" spans="1:12" ht="6.75" customHeight="1" thickBot="1" x14ac:dyDescent="0.3">
      <c r="C16" s="98"/>
      <c r="D16" s="106"/>
      <c r="E16" s="106"/>
      <c r="F16" s="98"/>
      <c r="G16" s="106"/>
      <c r="H16" s="98"/>
      <c r="I16" s="106"/>
      <c r="J16" s="98"/>
      <c r="K16" s="106"/>
    </row>
    <row r="17" spans="1:12" ht="42.75" customHeight="1" thickBot="1" x14ac:dyDescent="0.3">
      <c r="A17">
        <f>'Табл1-1  1-2'!B4</f>
        <v>16</v>
      </c>
      <c r="B17">
        <f>'Табл1-1  1-2'!C4</f>
        <v>12</v>
      </c>
      <c r="C17" s="64" t="str">
        <f>C5</f>
        <v>А</v>
      </c>
      <c r="D17" s="33">
        <f>A17</f>
        <v>16</v>
      </c>
      <c r="E17" s="33">
        <f>B17</f>
        <v>12</v>
      </c>
      <c r="F17" s="33">
        <f>E17/D17</f>
        <v>0.75</v>
      </c>
      <c r="G17" s="33">
        <f>D17*(F17-0.25)</f>
        <v>8</v>
      </c>
      <c r="H17" s="33" t="s">
        <v>197</v>
      </c>
      <c r="I17" s="33">
        <f>'Табл1-1  1-2'!F4</f>
        <v>6</v>
      </c>
      <c r="J17" s="33" t="s">
        <v>202</v>
      </c>
      <c r="K17" s="33">
        <f>4*0.9+4*1.125</f>
        <v>8.1</v>
      </c>
    </row>
    <row r="18" spans="1:12" ht="38.25" thickBot="1" x14ac:dyDescent="0.3">
      <c r="A18">
        <f>'Табл1-1  1-2'!B5</f>
        <v>20</v>
      </c>
      <c r="B18">
        <f>'Табл1-1  1-2'!C5</f>
        <v>13</v>
      </c>
      <c r="C18" s="64" t="str">
        <f t="shared" ref="C18:C22" si="5">C6</f>
        <v>Б</v>
      </c>
      <c r="D18" s="33">
        <f t="shared" ref="D18:D22" si="6">A18</f>
        <v>20</v>
      </c>
      <c r="E18" s="33">
        <f t="shared" ref="E18:E22" si="7">B18</f>
        <v>13</v>
      </c>
      <c r="F18" s="33">
        <f t="shared" ref="F18:F22" si="8">E18/D18</f>
        <v>0.65</v>
      </c>
      <c r="G18" s="33">
        <f t="shared" ref="G18:G22" si="9">D18*(F18-0.25)</f>
        <v>8</v>
      </c>
      <c r="H18" s="33" t="s">
        <v>206</v>
      </c>
      <c r="I18" s="33">
        <f>'Табл1-1  1-2'!F5</f>
        <v>10</v>
      </c>
      <c r="J18" s="33" t="s">
        <v>203</v>
      </c>
      <c r="K18" s="33">
        <f>4*0.9+4*1.125</f>
        <v>8.1</v>
      </c>
    </row>
    <row r="19" spans="1:12" ht="38.25" thickBot="1" x14ac:dyDescent="0.3">
      <c r="A19">
        <f>'Табл1-1  1-2'!B6</f>
        <v>35</v>
      </c>
      <c r="B19">
        <f>'Табл1-1  1-2'!C6</f>
        <v>19</v>
      </c>
      <c r="C19" s="64" t="str">
        <f t="shared" si="5"/>
        <v>В</v>
      </c>
      <c r="D19" s="33">
        <f t="shared" si="6"/>
        <v>35</v>
      </c>
      <c r="E19" s="33">
        <f t="shared" si="7"/>
        <v>19</v>
      </c>
      <c r="F19" s="33">
        <f t="shared" si="8"/>
        <v>0.54285714285714282</v>
      </c>
      <c r="G19" s="33">
        <f t="shared" si="9"/>
        <v>10.249999999999998</v>
      </c>
      <c r="H19" s="33" t="s">
        <v>198</v>
      </c>
      <c r="I19" s="33">
        <f>'Табл1-1  1-2'!F6</f>
        <v>10</v>
      </c>
      <c r="J19" s="33" t="s">
        <v>200</v>
      </c>
      <c r="K19" s="33">
        <f>4*2.7</f>
        <v>10.8</v>
      </c>
    </row>
    <row r="20" spans="1:12" ht="38.25" thickBot="1" x14ac:dyDescent="0.3">
      <c r="A20">
        <f>'Табл1-1  1-2'!B7</f>
        <v>32</v>
      </c>
      <c r="B20">
        <f>'Табл1-1  1-2'!C7</f>
        <v>15.5</v>
      </c>
      <c r="C20" s="64" t="str">
        <f t="shared" si="5"/>
        <v>Г</v>
      </c>
      <c r="D20" s="33">
        <f t="shared" si="6"/>
        <v>32</v>
      </c>
      <c r="E20" s="33">
        <f t="shared" si="7"/>
        <v>15.5</v>
      </c>
      <c r="F20" s="33">
        <f t="shared" si="8"/>
        <v>0.484375</v>
      </c>
      <c r="G20" s="33">
        <f t="shared" si="9"/>
        <v>7.5</v>
      </c>
      <c r="H20" s="33" t="s">
        <v>199</v>
      </c>
      <c r="I20" s="33">
        <f>'Табл1-1  1-2'!F7</f>
        <v>10</v>
      </c>
      <c r="J20" s="33" t="s">
        <v>204</v>
      </c>
      <c r="K20" s="33">
        <f>4*1.8</f>
        <v>7.2</v>
      </c>
    </row>
    <row r="21" spans="1:12" ht="38.25" thickBot="1" x14ac:dyDescent="0.3">
      <c r="A21">
        <f>'Табл1-1  1-2'!B8</f>
        <v>27</v>
      </c>
      <c r="B21">
        <f>'Табл1-1  1-2'!C8</f>
        <v>13.8</v>
      </c>
      <c r="C21" s="64" t="str">
        <f t="shared" si="5"/>
        <v>Д</v>
      </c>
      <c r="D21" s="33">
        <f t="shared" si="6"/>
        <v>27</v>
      </c>
      <c r="E21" s="33">
        <f t="shared" si="7"/>
        <v>13.8</v>
      </c>
      <c r="F21" s="33">
        <f t="shared" si="8"/>
        <v>0.51111111111111118</v>
      </c>
      <c r="G21" s="33">
        <f t="shared" si="9"/>
        <v>7.0500000000000016</v>
      </c>
      <c r="H21" s="33" t="s">
        <v>199</v>
      </c>
      <c r="I21" s="33">
        <f>'Табл1-1  1-2'!F8</f>
        <v>6</v>
      </c>
      <c r="J21" s="33" t="s">
        <v>201</v>
      </c>
      <c r="K21" s="33">
        <f>4*1.8</f>
        <v>7.2</v>
      </c>
    </row>
    <row r="22" spans="1:12" ht="38.25" thickBot="1" x14ac:dyDescent="0.3">
      <c r="A22">
        <f>'Табл1-1  1-2'!B9</f>
        <v>35</v>
      </c>
      <c r="B22">
        <f>'Табл1-1  1-2'!C9</f>
        <v>17</v>
      </c>
      <c r="C22" s="64" t="str">
        <f t="shared" si="5"/>
        <v>Е</v>
      </c>
      <c r="D22" s="33">
        <f t="shared" si="6"/>
        <v>35</v>
      </c>
      <c r="E22" s="33">
        <f t="shared" si="7"/>
        <v>17</v>
      </c>
      <c r="F22" s="33">
        <f t="shared" si="8"/>
        <v>0.48571428571428571</v>
      </c>
      <c r="G22" s="33">
        <f t="shared" si="9"/>
        <v>8.25</v>
      </c>
      <c r="H22" s="33" t="s">
        <v>198</v>
      </c>
      <c r="I22" s="33">
        <f>'Табл1-1  1-2'!F9</f>
        <v>6</v>
      </c>
      <c r="J22" s="33" t="str">
        <f>J17</f>
        <v>4xУК-6-900 4xУК-6-1125</v>
      </c>
      <c r="K22" s="33">
        <f>3*2.7</f>
        <v>8.1000000000000014</v>
      </c>
    </row>
    <row r="23" spans="1:12" ht="19.5" thickBot="1" x14ac:dyDescent="0.3">
      <c r="C23" s="123" t="s">
        <v>189</v>
      </c>
      <c r="D23" s="124"/>
      <c r="E23" s="124"/>
      <c r="F23" s="125"/>
      <c r="G23" s="70">
        <f>SUM(G17:G22)</f>
        <v>49.050000000000004</v>
      </c>
      <c r="H23" s="33" t="s">
        <v>190</v>
      </c>
      <c r="I23" s="33" t="s">
        <v>190</v>
      </c>
      <c r="J23" s="33" t="s">
        <v>190</v>
      </c>
      <c r="K23" s="70">
        <f>SUM(K17:K22)</f>
        <v>49.500000000000007</v>
      </c>
      <c r="L23">
        <f>(G23-K23)/G23*100</f>
        <v>-0.91743119266055628</v>
      </c>
    </row>
    <row r="27" spans="1:12" ht="15.75" thickBot="1" x14ac:dyDescent="0.3">
      <c r="C27" t="s">
        <v>207</v>
      </c>
    </row>
    <row r="28" spans="1:12" ht="27" customHeight="1" x14ac:dyDescent="0.25">
      <c r="C28" s="63" t="s">
        <v>208</v>
      </c>
      <c r="D28" s="96" t="s">
        <v>175</v>
      </c>
      <c r="E28" s="96" t="s">
        <v>210</v>
      </c>
      <c r="F28" s="96" t="s">
        <v>211</v>
      </c>
      <c r="G28" s="96" t="s">
        <v>212</v>
      </c>
      <c r="H28" s="96" t="s">
        <v>213</v>
      </c>
      <c r="I28" s="126" t="str">
        <f>I3</f>
        <v>nт</v>
      </c>
      <c r="J28" s="126" t="str">
        <f>J3</f>
        <v>Kз</v>
      </c>
      <c r="K28" s="126" t="str">
        <f>K3</f>
        <v>Kзав</v>
      </c>
    </row>
    <row r="29" spans="1:12" ht="23.25" customHeight="1" thickBot="1" x14ac:dyDescent="0.3">
      <c r="C29" s="64" t="s">
        <v>209</v>
      </c>
      <c r="D29" s="106"/>
      <c r="E29" s="106"/>
      <c r="F29" s="106"/>
      <c r="G29" s="106"/>
      <c r="H29" s="106"/>
      <c r="I29" s="127"/>
      <c r="J29" s="127"/>
      <c r="K29" s="127"/>
    </row>
    <row r="30" spans="1:12" ht="37.5" customHeight="1" thickBot="1" x14ac:dyDescent="0.3">
      <c r="A30">
        <f>A5</f>
        <v>146.15</v>
      </c>
      <c r="B30">
        <f>B5</f>
        <v>103.7</v>
      </c>
      <c r="C30" s="64" t="str">
        <f>C17</f>
        <v>А</v>
      </c>
      <c r="D30" s="66" t="str">
        <f>E5</f>
        <v>146.15+103.7i</v>
      </c>
      <c r="E30" s="66">
        <f>K17+K19+K20+K21+K22</f>
        <v>41.4</v>
      </c>
      <c r="F30" s="66" t="str">
        <f>COMPLEX(A30,B30-E30)</f>
        <v>146.15+62.3i</v>
      </c>
      <c r="G30" s="66" t="str">
        <f>H17</f>
        <v>АТДЦТН-125000/220/110/35</v>
      </c>
      <c r="H30" s="66">
        <f>H5</f>
        <v>125</v>
      </c>
      <c r="I30" s="66">
        <v>2</v>
      </c>
      <c r="J30" s="67">
        <f>IMABS(F30)/I30/H30</f>
        <v>0.63549807238102607</v>
      </c>
      <c r="K30" s="67">
        <f>IMABS(D30)/I30/H30</f>
        <v>0.71680973765707168</v>
      </c>
    </row>
    <row r="31" spans="1:12" ht="39.75" customHeight="1" thickBot="1" x14ac:dyDescent="0.3">
      <c r="A31">
        <f t="shared" ref="A31:B35" si="10">A6</f>
        <v>20</v>
      </c>
      <c r="B31">
        <f t="shared" si="10"/>
        <v>13</v>
      </c>
      <c r="C31" s="64" t="str">
        <f t="shared" ref="C31:C35" si="11">C18</f>
        <v>Б</v>
      </c>
      <c r="D31" s="66" t="str">
        <f t="shared" ref="D31:D35" si="12">E6</f>
        <v>20+13i</v>
      </c>
      <c r="E31" s="66">
        <f>K18</f>
        <v>8.1</v>
      </c>
      <c r="F31" s="66" t="str">
        <f t="shared" ref="F31:F35" si="13">COMPLEX(A31,B31-E31)</f>
        <v>20+4.9i</v>
      </c>
      <c r="G31" s="66" t="str">
        <f t="shared" ref="G31:G35" si="14">H18</f>
        <v>ТДТН-25000/220/35/10</v>
      </c>
      <c r="H31" s="66">
        <f t="shared" ref="H31:H35" si="15">H6</f>
        <v>25</v>
      </c>
      <c r="I31" s="66">
        <v>2</v>
      </c>
      <c r="J31" s="67">
        <f t="shared" ref="J31:J35" si="16">IMABS(F31)/I31/H31</f>
        <v>0.41183006204015754</v>
      </c>
      <c r="K31" s="67">
        <f t="shared" ref="K31:K35" si="17">IMABS(D31)/I31/H31</f>
        <v>0.47707441767506253</v>
      </c>
    </row>
    <row r="32" spans="1:12" ht="39.75" customHeight="1" thickBot="1" x14ac:dyDescent="0.3">
      <c r="A32">
        <f t="shared" si="10"/>
        <v>35</v>
      </c>
      <c r="B32">
        <f t="shared" si="10"/>
        <v>19</v>
      </c>
      <c r="C32" s="64" t="str">
        <f t="shared" si="11"/>
        <v>В</v>
      </c>
      <c r="D32" s="66" t="str">
        <f t="shared" si="12"/>
        <v>35+19i</v>
      </c>
      <c r="E32" s="66">
        <f t="shared" ref="E32:E35" si="18">K19</f>
        <v>10.8</v>
      </c>
      <c r="F32" s="66" t="str">
        <f t="shared" si="13"/>
        <v>35+8.2i</v>
      </c>
      <c r="G32" s="66" t="str">
        <f t="shared" si="14"/>
        <v>ТРДН-40000/110/35</v>
      </c>
      <c r="H32" s="66">
        <f t="shared" si="15"/>
        <v>40</v>
      </c>
      <c r="I32" s="66">
        <v>2</v>
      </c>
      <c r="J32" s="67">
        <f t="shared" si="16"/>
        <v>0.44934674806879371</v>
      </c>
      <c r="K32" s="67">
        <f t="shared" si="17"/>
        <v>0.49780769379349693</v>
      </c>
    </row>
    <row r="33" spans="1:12" ht="38.25" customHeight="1" thickBot="1" x14ac:dyDescent="0.3">
      <c r="A33">
        <f t="shared" si="10"/>
        <v>32</v>
      </c>
      <c r="B33">
        <f t="shared" si="10"/>
        <v>15.5</v>
      </c>
      <c r="C33" s="64" t="str">
        <f t="shared" si="11"/>
        <v>Г</v>
      </c>
      <c r="D33" s="66" t="str">
        <f t="shared" si="12"/>
        <v>32+15.5i</v>
      </c>
      <c r="E33" s="66">
        <f t="shared" si="18"/>
        <v>7.2</v>
      </c>
      <c r="F33" s="66" t="str">
        <f t="shared" si="13"/>
        <v>32+8.3i</v>
      </c>
      <c r="G33" s="66" t="str">
        <f t="shared" si="14"/>
        <v>ТРДН-25000/110/35</v>
      </c>
      <c r="H33" s="66">
        <f t="shared" si="15"/>
        <v>25</v>
      </c>
      <c r="I33" s="66">
        <v>2</v>
      </c>
      <c r="J33" s="67">
        <f t="shared" si="16"/>
        <v>0.66117773707226424</v>
      </c>
      <c r="K33" s="67">
        <f t="shared" si="17"/>
        <v>0.71112586790244103</v>
      </c>
    </row>
    <row r="34" spans="1:12" ht="39" customHeight="1" thickBot="1" x14ac:dyDescent="0.3">
      <c r="A34">
        <f t="shared" si="10"/>
        <v>27</v>
      </c>
      <c r="B34">
        <f t="shared" si="10"/>
        <v>13.8</v>
      </c>
      <c r="C34" s="64" t="str">
        <f t="shared" si="11"/>
        <v>Д</v>
      </c>
      <c r="D34" s="66" t="str">
        <f t="shared" si="12"/>
        <v>27+13.8i</v>
      </c>
      <c r="E34" s="66">
        <f t="shared" si="18"/>
        <v>7.2</v>
      </c>
      <c r="F34" s="66" t="str">
        <f t="shared" si="13"/>
        <v>27+6.6i</v>
      </c>
      <c r="G34" s="66" t="str">
        <f t="shared" si="14"/>
        <v>ТРДН-25000/110/35</v>
      </c>
      <c r="H34" s="66">
        <f t="shared" si="15"/>
        <v>25</v>
      </c>
      <c r="I34" s="66">
        <v>2</v>
      </c>
      <c r="J34" s="67">
        <f t="shared" si="16"/>
        <v>0.55589927145122253</v>
      </c>
      <c r="K34" s="67">
        <f t="shared" si="17"/>
        <v>0.60644538088767741</v>
      </c>
    </row>
    <row r="35" spans="1:12" ht="40.5" customHeight="1" thickBot="1" x14ac:dyDescent="0.3">
      <c r="A35">
        <f t="shared" si="10"/>
        <v>35</v>
      </c>
      <c r="B35">
        <f t="shared" si="10"/>
        <v>17</v>
      </c>
      <c r="C35" s="64" t="str">
        <f t="shared" si="11"/>
        <v>Е</v>
      </c>
      <c r="D35" s="66" t="str">
        <f t="shared" si="12"/>
        <v>35+17i</v>
      </c>
      <c r="E35" s="66">
        <f t="shared" si="18"/>
        <v>8.1000000000000014</v>
      </c>
      <c r="F35" s="66" t="str">
        <f t="shared" si="13"/>
        <v>35+8.9i</v>
      </c>
      <c r="G35" s="66" t="str">
        <f t="shared" si="14"/>
        <v>ТРДН-40000/110/35</v>
      </c>
      <c r="H35" s="66">
        <f t="shared" si="15"/>
        <v>40</v>
      </c>
      <c r="I35" s="66">
        <v>2</v>
      </c>
      <c r="J35" s="67">
        <f t="shared" si="16"/>
        <v>0.45142309699438288</v>
      </c>
      <c r="K35" s="67">
        <f t="shared" si="17"/>
        <v>0.48637691145859296</v>
      </c>
    </row>
    <row r="38" spans="1:12" x14ac:dyDescent="0.25">
      <c r="C38" t="s">
        <v>214</v>
      </c>
    </row>
    <row r="39" spans="1:12" ht="15.75" thickBot="1" x14ac:dyDescent="0.3"/>
    <row r="40" spans="1:12" ht="37.5" customHeight="1" thickBot="1" x14ac:dyDescent="0.3">
      <c r="C40" s="96" t="s">
        <v>173</v>
      </c>
      <c r="D40" s="99" t="s">
        <v>221</v>
      </c>
      <c r="E40" s="99" t="s">
        <v>222</v>
      </c>
      <c r="F40" s="128" t="s">
        <v>215</v>
      </c>
      <c r="G40" s="129"/>
      <c r="H40" s="99" t="s">
        <v>216</v>
      </c>
      <c r="I40" s="123" t="s">
        <v>217</v>
      </c>
      <c r="J40" s="124"/>
      <c r="K40" s="125"/>
      <c r="L40" s="73"/>
    </row>
    <row r="41" spans="1:12" ht="54" customHeight="1" x14ac:dyDescent="0.25">
      <c r="C41" s="105"/>
      <c r="D41" s="105"/>
      <c r="E41" s="105"/>
      <c r="F41" s="96" t="s">
        <v>218</v>
      </c>
      <c r="G41" s="96" t="s">
        <v>219</v>
      </c>
      <c r="H41" s="100"/>
      <c r="I41" s="126" t="str">
        <f>J28</f>
        <v>Kз</v>
      </c>
      <c r="J41" s="126" t="str">
        <f>K28</f>
        <v>Kзав</v>
      </c>
      <c r="K41" s="96" t="s">
        <v>220</v>
      </c>
      <c r="L41" s="72"/>
    </row>
    <row r="42" spans="1:12" ht="19.5" hidden="1" customHeight="1" thickBot="1" x14ac:dyDescent="0.3">
      <c r="C42" s="105"/>
      <c r="D42" s="132"/>
      <c r="E42" s="132"/>
      <c r="F42" s="132"/>
      <c r="G42" s="97"/>
      <c r="H42" s="100"/>
      <c r="I42" s="130"/>
      <c r="J42" s="130"/>
      <c r="K42" s="97"/>
      <c r="L42" s="72"/>
    </row>
    <row r="43" spans="1:12" ht="19.5" thickBot="1" x14ac:dyDescent="0.3">
      <c r="C43" s="106"/>
      <c r="D43" s="131"/>
      <c r="E43" s="131"/>
      <c r="F43" s="131"/>
      <c r="G43" s="131"/>
      <c r="H43" s="131"/>
      <c r="I43" s="131"/>
      <c r="J43" s="131"/>
      <c r="K43" s="131"/>
      <c r="L43" s="73"/>
    </row>
    <row r="44" spans="1:12" ht="57.75" customHeight="1" thickBot="1" x14ac:dyDescent="0.3">
      <c r="C44" s="64" t="s">
        <v>12</v>
      </c>
      <c r="D44" s="66" t="str">
        <f>F31</f>
        <v>20+4.9i</v>
      </c>
      <c r="E44" s="66">
        <f>IMABS(D44)</f>
        <v>20.591503102007877</v>
      </c>
      <c r="F44" s="66">
        <f>H31</f>
        <v>25</v>
      </c>
      <c r="G44" s="66">
        <f>16</f>
        <v>16</v>
      </c>
      <c r="H44" s="66">
        <v>2</v>
      </c>
      <c r="I44" s="66">
        <f>E44/H44/F44</f>
        <v>0.41183006204015754</v>
      </c>
      <c r="J44" s="66">
        <f>E44/G44</f>
        <v>1.2869689438754923</v>
      </c>
      <c r="K44" s="66" t="s">
        <v>223</v>
      </c>
      <c r="L44" s="73"/>
    </row>
    <row r="45" spans="1:12" ht="57.75" customHeight="1" thickBot="1" x14ac:dyDescent="0.3">
      <c r="C45" s="64" t="s">
        <v>13</v>
      </c>
      <c r="D45" s="66" t="str">
        <f>F32</f>
        <v>35+8.2i</v>
      </c>
      <c r="E45" s="66">
        <f>IMABS(D45)</f>
        <v>35.947739845503499</v>
      </c>
      <c r="F45" s="66">
        <f>H32</f>
        <v>40</v>
      </c>
      <c r="G45" s="66">
        <v>25</v>
      </c>
      <c r="H45" s="66">
        <v>2</v>
      </c>
      <c r="I45" s="66">
        <f t="shared" ref="I45:I46" si="19">E45/H45/F45</f>
        <v>0.44934674806879371</v>
      </c>
      <c r="J45" s="66">
        <f t="shared" ref="J45:J46" si="20">E45/G45</f>
        <v>1.4379095938201401</v>
      </c>
      <c r="K45" s="74" t="s">
        <v>225</v>
      </c>
    </row>
    <row r="46" spans="1:12" ht="38.25" thickBot="1" x14ac:dyDescent="0.3">
      <c r="C46" s="64" t="s">
        <v>14</v>
      </c>
      <c r="D46" s="66" t="str">
        <f>F33</f>
        <v>32+8.3i</v>
      </c>
      <c r="E46" s="66">
        <f>IMABS(D46)</f>
        <v>33.05888685361321</v>
      </c>
      <c r="F46" s="66">
        <f>H33</f>
        <v>25</v>
      </c>
      <c r="G46" s="66">
        <v>16</v>
      </c>
      <c r="H46" s="66">
        <v>2</v>
      </c>
      <c r="I46" s="66">
        <f t="shared" si="19"/>
        <v>0.66117773707226424</v>
      </c>
      <c r="J46" s="66">
        <f t="shared" si="20"/>
        <v>2.0661804283508256</v>
      </c>
      <c r="K46" s="69" t="s">
        <v>224</v>
      </c>
    </row>
  </sheetData>
  <mergeCells count="37">
    <mergeCell ref="C40:C43"/>
    <mergeCell ref="F40:G40"/>
    <mergeCell ref="I40:K40"/>
    <mergeCell ref="J41:J43"/>
    <mergeCell ref="K41:K43"/>
    <mergeCell ref="H40:H43"/>
    <mergeCell ref="I41:I43"/>
    <mergeCell ref="D40:D43"/>
    <mergeCell ref="E40:E43"/>
    <mergeCell ref="F41:F43"/>
    <mergeCell ref="G41:G43"/>
    <mergeCell ref="D28:D29"/>
    <mergeCell ref="E28:E29"/>
    <mergeCell ref="F28:F29"/>
    <mergeCell ref="G28:G29"/>
    <mergeCell ref="H28:H29"/>
    <mergeCell ref="K15:K16"/>
    <mergeCell ref="I15:I16"/>
    <mergeCell ref="I28:I29"/>
    <mergeCell ref="J28:J29"/>
    <mergeCell ref="K28:K29"/>
    <mergeCell ref="C3:C4"/>
    <mergeCell ref="I3:I4"/>
    <mergeCell ref="J3:J4"/>
    <mergeCell ref="K3:K4"/>
    <mergeCell ref="E3:E4"/>
    <mergeCell ref="F3:F4"/>
    <mergeCell ref="G3:G4"/>
    <mergeCell ref="H3:H4"/>
    <mergeCell ref="C15:C16"/>
    <mergeCell ref="F15:F16"/>
    <mergeCell ref="H15:H16"/>
    <mergeCell ref="J15:J16"/>
    <mergeCell ref="C23:F23"/>
    <mergeCell ref="D15:D16"/>
    <mergeCell ref="E15:E16"/>
    <mergeCell ref="G15:G16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6417" r:id="rId4">
          <objectPr defaultSize="0" autoPict="0" r:id="rId5">
            <anchor moveWithCells="1" sizeWithCells="1">
              <from>
                <xdr:col>3</xdr:col>
                <xdr:colOff>123825</xdr:colOff>
                <xdr:row>25</xdr:row>
                <xdr:rowOff>28575</xdr:rowOff>
              </from>
              <to>
                <xdr:col>4</xdr:col>
                <xdr:colOff>0</xdr:colOff>
                <xdr:row>26</xdr:row>
                <xdr:rowOff>57150</xdr:rowOff>
              </to>
            </anchor>
          </objectPr>
        </oleObject>
      </mc:Choice>
      <mc:Fallback>
        <oleObject progId="Equation.3" shapeId="16417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"/>
  <sheetViews>
    <sheetView zoomScale="80" zoomScaleNormal="80" workbookViewId="0">
      <selection activeCell="I17" sqref="I17"/>
    </sheetView>
  </sheetViews>
  <sheetFormatPr defaultRowHeight="15" x14ac:dyDescent="0.25"/>
  <cols>
    <col min="5" max="5" width="16.140625" customWidth="1"/>
    <col min="6" max="6" width="10.140625" customWidth="1"/>
    <col min="7" max="7" width="12.5703125" customWidth="1"/>
    <col min="8" max="8" width="8.85546875" customWidth="1"/>
    <col min="9" max="9" width="15.42578125" customWidth="1"/>
    <col min="10" max="10" width="10.28515625" customWidth="1"/>
  </cols>
  <sheetData>
    <row r="1" spans="2:11" ht="15.75" thickBot="1" x14ac:dyDescent="0.3"/>
    <row r="2" spans="2:11" ht="21.75" customHeight="1" thickTop="1" x14ac:dyDescent="0.25">
      <c r="B2" s="148" t="s">
        <v>107</v>
      </c>
      <c r="C2" s="150" t="s">
        <v>67</v>
      </c>
      <c r="D2" s="150" t="s">
        <v>105</v>
      </c>
      <c r="E2" s="154" t="s">
        <v>128</v>
      </c>
      <c r="F2" s="154" t="s">
        <v>129</v>
      </c>
      <c r="G2" s="154" t="s">
        <v>121</v>
      </c>
      <c r="H2" s="154" t="s">
        <v>130</v>
      </c>
      <c r="I2" s="150" t="s">
        <v>116</v>
      </c>
      <c r="J2" s="154" t="s">
        <v>131</v>
      </c>
      <c r="K2" s="152" t="s">
        <v>132</v>
      </c>
    </row>
    <row r="3" spans="2:11" ht="50.25" customHeight="1" thickBot="1" x14ac:dyDescent="0.3">
      <c r="B3" s="149"/>
      <c r="C3" s="151"/>
      <c r="D3" s="151"/>
      <c r="E3" s="155"/>
      <c r="F3" s="155"/>
      <c r="G3" s="155"/>
      <c r="H3" s="155"/>
      <c r="I3" s="151"/>
      <c r="J3" s="155"/>
      <c r="K3" s="153"/>
    </row>
    <row r="4" spans="2:11" ht="24.75" customHeight="1" thickBot="1" x14ac:dyDescent="0.3">
      <c r="B4" s="144" t="s">
        <v>19</v>
      </c>
      <c r="C4" s="144" t="s">
        <v>143</v>
      </c>
      <c r="D4" s="138" t="s">
        <v>137</v>
      </c>
      <c r="E4" s="139"/>
      <c r="F4" s="139"/>
      <c r="G4" s="139"/>
      <c r="H4" s="139"/>
      <c r="I4" s="139"/>
      <c r="J4" s="139"/>
      <c r="K4" s="140"/>
    </row>
    <row r="5" spans="2:11" ht="19.5" thickBot="1" x14ac:dyDescent="0.3">
      <c r="B5" s="144"/>
      <c r="C5" s="146"/>
      <c r="D5" s="41" t="s">
        <v>68</v>
      </c>
      <c r="E5" s="41" t="str">
        <f>COMPLEX(62,32.8)</f>
        <v>62+32.8i</v>
      </c>
      <c r="F5" s="41">
        <f>IMABS(E5)</f>
        <v>70.141571125830936</v>
      </c>
      <c r="G5" s="41">
        <v>110</v>
      </c>
      <c r="H5" s="51">
        <f>(F5/SQRT(3)/G5)*1000</f>
        <v>368.14777246256159</v>
      </c>
      <c r="I5" s="41" t="s">
        <v>126</v>
      </c>
      <c r="J5" s="41">
        <v>680</v>
      </c>
      <c r="K5" s="41" t="s">
        <v>127</v>
      </c>
    </row>
    <row r="6" spans="2:11" ht="19.5" thickBot="1" x14ac:dyDescent="0.3">
      <c r="B6" s="144"/>
      <c r="C6" s="146"/>
      <c r="D6" s="41" t="s">
        <v>139</v>
      </c>
      <c r="E6" s="41" t="str">
        <f>COMPLEX(35,19)</f>
        <v>35+19i</v>
      </c>
      <c r="F6" s="41">
        <f>IMABS(E6)</f>
        <v>39.824615503479755</v>
      </c>
      <c r="G6" s="41">
        <v>110</v>
      </c>
      <c r="H6" s="41">
        <f>(F6/SQRT(3)/G6)*1000</f>
        <v>209.02502255733981</v>
      </c>
      <c r="I6" s="41" t="s">
        <v>109</v>
      </c>
      <c r="J6" s="41">
        <v>450</v>
      </c>
      <c r="K6" s="41" t="s">
        <v>127</v>
      </c>
    </row>
    <row r="7" spans="2:11" ht="21" customHeight="1" thickBot="1" x14ac:dyDescent="0.3">
      <c r="B7" s="147"/>
      <c r="C7" s="146"/>
      <c r="D7" s="141" t="s">
        <v>138</v>
      </c>
      <c r="E7" s="142"/>
      <c r="F7" s="142"/>
      <c r="G7" s="142"/>
      <c r="H7" s="142"/>
      <c r="I7" s="142"/>
      <c r="J7" s="142"/>
      <c r="K7" s="143"/>
    </row>
    <row r="8" spans="2:11" ht="19.5" thickBot="1" x14ac:dyDescent="0.3">
      <c r="B8" s="147"/>
      <c r="C8" s="146"/>
      <c r="D8" s="41" t="s">
        <v>73</v>
      </c>
      <c r="E8" s="41" t="str">
        <f>E5</f>
        <v>62+32.8i</v>
      </c>
      <c r="F8" s="41">
        <f>IMABS(E8)</f>
        <v>70.141571125830936</v>
      </c>
      <c r="G8" s="41">
        <v>110</v>
      </c>
      <c r="H8" s="51">
        <f>(F8/SQRT(3)/G8)*1000</f>
        <v>368.14777246256159</v>
      </c>
      <c r="I8" s="41" t="s">
        <v>125</v>
      </c>
      <c r="J8" s="41">
        <v>610</v>
      </c>
      <c r="K8" s="41" t="s">
        <v>127</v>
      </c>
    </row>
    <row r="9" spans="2:11" ht="19.5" thickBot="1" x14ac:dyDescent="0.3">
      <c r="B9" s="147"/>
      <c r="C9" s="146"/>
      <c r="D9" s="41" t="s">
        <v>74</v>
      </c>
      <c r="E9" s="41" t="str">
        <f>COMPLEX(35,19)</f>
        <v>35+19i</v>
      </c>
      <c r="F9" s="41">
        <f>IMABS(E9)</f>
        <v>39.824615503479755</v>
      </c>
      <c r="G9" s="41">
        <v>110</v>
      </c>
      <c r="H9" s="51">
        <f>(F9/SQRT(3)/G9)*1000</f>
        <v>209.02502255733981</v>
      </c>
      <c r="I9" s="41" t="str">
        <f>I6</f>
        <v>АС-150/34</v>
      </c>
      <c r="J9" s="41">
        <v>450</v>
      </c>
      <c r="K9" s="41" t="s">
        <v>127</v>
      </c>
    </row>
    <row r="10" spans="2:11" ht="19.5" thickBot="1" x14ac:dyDescent="0.3">
      <c r="B10" s="147"/>
      <c r="C10" s="144" t="s">
        <v>144</v>
      </c>
      <c r="D10" s="53" t="str">
        <f>'Таблиця 1-4'!D6</f>
        <v>В-Д</v>
      </c>
      <c r="E10" s="53" t="str">
        <f>Fрозр!F7</f>
        <v>35+19i</v>
      </c>
      <c r="F10" s="51">
        <f t="shared" ref="F10" si="0">IMABS(E10)</f>
        <v>39.824615503479755</v>
      </c>
      <c r="G10" s="41">
        <v>110</v>
      </c>
      <c r="H10" s="53">
        <f>(F10/SQRT(3)/G10)*1000</f>
        <v>209.02502255733981</v>
      </c>
      <c r="I10" s="53" t="s">
        <v>109</v>
      </c>
      <c r="J10" s="53">
        <v>450</v>
      </c>
      <c r="K10" s="53" t="s">
        <v>127</v>
      </c>
    </row>
    <row r="11" spans="2:11" ht="19.5" thickBot="1" x14ac:dyDescent="0.3">
      <c r="B11" s="147"/>
      <c r="C11" s="145"/>
      <c r="D11" s="53" t="str">
        <f>'Таблиця 1-4'!D7</f>
        <v>ВП-Д</v>
      </c>
      <c r="E11" s="53" t="str">
        <f>Fрозр!F8</f>
        <v>62+32.8i</v>
      </c>
      <c r="F11" s="51">
        <f>IMABS(E11)</f>
        <v>70.141571125830936</v>
      </c>
      <c r="G11" s="41">
        <v>110</v>
      </c>
      <c r="H11" s="53">
        <f>(F11/SQRT(3)/G11)*1000</f>
        <v>368.14777246256159</v>
      </c>
      <c r="I11" s="53" t="s">
        <v>125</v>
      </c>
      <c r="J11" s="53">
        <v>450</v>
      </c>
      <c r="K11" s="53" t="s">
        <v>127</v>
      </c>
    </row>
    <row r="12" spans="2:11" ht="21" customHeight="1" thickBot="1" x14ac:dyDescent="0.3">
      <c r="B12" s="144" t="s">
        <v>20</v>
      </c>
      <c r="C12" s="144" t="s">
        <v>143</v>
      </c>
      <c r="D12" s="141" t="s">
        <v>141</v>
      </c>
      <c r="E12" s="142"/>
      <c r="F12" s="142"/>
      <c r="G12" s="142"/>
      <c r="H12" s="142"/>
      <c r="I12" s="142"/>
      <c r="J12" s="142"/>
      <c r="K12" s="143"/>
    </row>
    <row r="13" spans="2:11" ht="19.5" thickBot="1" x14ac:dyDescent="0.3">
      <c r="B13" s="144"/>
      <c r="C13" s="146"/>
      <c r="D13" s="41" t="s">
        <v>80</v>
      </c>
      <c r="E13" s="41" t="str">
        <f>COMPLEX(67,32.5)</f>
        <v>67+32.5i</v>
      </c>
      <c r="F13" s="41">
        <f>IMABS(E13)</f>
        <v>74.46643539206103</v>
      </c>
      <c r="G13" s="41">
        <v>110</v>
      </c>
      <c r="H13" s="51">
        <f>(F13/SQRT(3)/G13)*1000</f>
        <v>390.84742290180287</v>
      </c>
      <c r="I13" s="41" t="s">
        <v>125</v>
      </c>
      <c r="J13" s="41">
        <v>610</v>
      </c>
      <c r="K13" s="41" t="s">
        <v>127</v>
      </c>
    </row>
    <row r="14" spans="2:11" ht="19.5" thickBot="1" x14ac:dyDescent="0.3">
      <c r="B14" s="144"/>
      <c r="C14" s="146"/>
      <c r="D14" s="41" t="s">
        <v>81</v>
      </c>
      <c r="E14" s="41" t="str">
        <f>COMPLEX(32,15.5)</f>
        <v>32+15.5i</v>
      </c>
      <c r="F14" s="41">
        <f>IMABS(E14)</f>
        <v>35.556293395122054</v>
      </c>
      <c r="G14" s="41">
        <v>110</v>
      </c>
      <c r="H14" s="41">
        <f>(F14/SQRT(3)/G14)*1000</f>
        <v>186.62214148235481</v>
      </c>
      <c r="I14" s="41" t="s">
        <v>109</v>
      </c>
      <c r="J14" s="41">
        <v>450</v>
      </c>
      <c r="K14" s="41" t="s">
        <v>127</v>
      </c>
    </row>
    <row r="15" spans="2:11" ht="18.75" customHeight="1" thickBot="1" x14ac:dyDescent="0.3">
      <c r="B15" s="147"/>
      <c r="C15" s="146"/>
      <c r="D15" s="141" t="s">
        <v>140</v>
      </c>
      <c r="E15" s="142"/>
      <c r="F15" s="142"/>
      <c r="G15" s="142"/>
      <c r="H15" s="142"/>
      <c r="I15" s="142"/>
      <c r="J15" s="142"/>
      <c r="K15" s="143"/>
    </row>
    <row r="16" spans="2:11" ht="27" customHeight="1" thickBot="1" x14ac:dyDescent="0.3">
      <c r="B16" s="147"/>
      <c r="C16" s="146"/>
      <c r="D16" s="41" t="s">
        <v>79</v>
      </c>
      <c r="E16" s="41" t="str">
        <f>E13</f>
        <v>67+32.5i</v>
      </c>
      <c r="F16" s="41">
        <f>IMABS(E16)</f>
        <v>74.46643539206103</v>
      </c>
      <c r="G16" s="41">
        <v>110</v>
      </c>
      <c r="H16" s="51">
        <f>(F16/SQRT(3)/G16)*1000</f>
        <v>390.84742290180287</v>
      </c>
      <c r="I16" s="41" t="s">
        <v>126</v>
      </c>
      <c r="J16" s="41">
        <v>680</v>
      </c>
      <c r="K16" s="41" t="s">
        <v>127</v>
      </c>
    </row>
    <row r="17" spans="2:11" ht="22.5" customHeight="1" thickBot="1" x14ac:dyDescent="0.3">
      <c r="B17" s="147"/>
      <c r="C17" s="146"/>
      <c r="D17" s="41" t="s">
        <v>142</v>
      </c>
      <c r="E17" s="41" t="str">
        <f>COMPLEX(35,17)</f>
        <v>35+17i</v>
      </c>
      <c r="F17" s="41">
        <f>IMABS(E17)</f>
        <v>38.910152916687437</v>
      </c>
      <c r="G17" s="41">
        <v>110</v>
      </c>
      <c r="H17" s="51">
        <f t="shared" ref="H17:H22" si="1">(F17/SQRT(3)/G17)*1000</f>
        <v>204.22533873326358</v>
      </c>
      <c r="I17" s="41" t="s">
        <v>109</v>
      </c>
      <c r="J17" s="41">
        <v>450</v>
      </c>
      <c r="K17" s="41" t="s">
        <v>127</v>
      </c>
    </row>
    <row r="18" spans="2:11" ht="19.5" thickBot="1" x14ac:dyDescent="0.3">
      <c r="B18" s="147"/>
      <c r="C18" s="144" t="s">
        <v>144</v>
      </c>
      <c r="D18" s="52" t="str">
        <f>Fрозр!E12</f>
        <v>ВП-2</v>
      </c>
      <c r="E18" s="52" t="str">
        <f>Fрозр!F12</f>
        <v>67+32.5i</v>
      </c>
      <c r="F18" s="52">
        <f>Fрозр!G12</f>
        <v>74.47</v>
      </c>
      <c r="G18" s="41">
        <v>110</v>
      </c>
      <c r="H18" s="51">
        <f t="shared" si="1"/>
        <v>390.86613224137665</v>
      </c>
      <c r="I18" s="52" t="s">
        <v>126</v>
      </c>
      <c r="J18" s="52">
        <v>680</v>
      </c>
      <c r="K18" s="52" t="s">
        <v>127</v>
      </c>
    </row>
    <row r="19" spans="2:11" ht="19.5" thickBot="1" x14ac:dyDescent="0.3">
      <c r="B19" s="147"/>
      <c r="C19" s="145"/>
      <c r="D19" s="52" t="str">
        <f>Fрозр!E13</f>
        <v>Г-2</v>
      </c>
      <c r="E19" s="52" t="str">
        <f>Fрозр!F13</f>
        <v>32+15.5i</v>
      </c>
      <c r="F19" s="52">
        <f>Fрозр!G13</f>
        <v>35.56</v>
      </c>
      <c r="G19" s="41">
        <v>110</v>
      </c>
      <c r="H19" s="51">
        <f t="shared" si="1"/>
        <v>186.64159611257361</v>
      </c>
      <c r="I19" s="52" t="s">
        <v>136</v>
      </c>
      <c r="J19" s="52">
        <v>375</v>
      </c>
      <c r="K19" s="52" t="s">
        <v>127</v>
      </c>
    </row>
    <row r="20" spans="2:11" ht="19.5" thickBot="1" x14ac:dyDescent="0.3">
      <c r="B20" s="147"/>
      <c r="C20" s="145"/>
      <c r="D20" s="52" t="str">
        <f>Fрозр!E14</f>
        <v>Е-2</v>
      </c>
      <c r="E20" s="52" t="str">
        <f>Fрозр!F14</f>
        <v>35+17i</v>
      </c>
      <c r="F20" s="52">
        <f>Fрозр!G14</f>
        <v>38.909999999999997</v>
      </c>
      <c r="G20" s="52">
        <f>Fрозр!H14</f>
        <v>110</v>
      </c>
      <c r="H20" s="51">
        <f t="shared" si="1"/>
        <v>204.22453612880309</v>
      </c>
      <c r="I20" s="52" t="s">
        <v>109</v>
      </c>
      <c r="J20" s="52">
        <v>450</v>
      </c>
      <c r="K20" s="52" t="s">
        <v>127</v>
      </c>
    </row>
    <row r="21" spans="2:11" ht="38.25" thickBot="1" x14ac:dyDescent="0.3">
      <c r="B21" s="133" t="s">
        <v>123</v>
      </c>
      <c r="C21" s="133"/>
      <c r="D21" s="52" t="str">
        <f>'Таблиця 1-4'!D14</f>
        <v>ДЖ-3</v>
      </c>
      <c r="E21" s="52" t="str">
        <f>Fрозр!F15</f>
        <v>166.15+116.7i</v>
      </c>
      <c r="F21" s="52">
        <f>Fрозр!G15</f>
        <v>203.04</v>
      </c>
      <c r="G21" s="52">
        <f>Fрозр!H15</f>
        <v>220</v>
      </c>
      <c r="H21" s="51">
        <f>(F21/SQRT(3)/G21)*1000</f>
        <v>532.84181207391646</v>
      </c>
      <c r="I21" s="52" t="s">
        <v>135</v>
      </c>
      <c r="J21" s="52">
        <v>825</v>
      </c>
      <c r="K21" s="52" t="s">
        <v>127</v>
      </c>
    </row>
    <row r="22" spans="2:11" ht="38.25" thickBot="1" x14ac:dyDescent="0.3">
      <c r="B22" s="134"/>
      <c r="C22" s="136"/>
      <c r="D22" s="52" t="str">
        <f>'Таблиця 1-4'!D15</f>
        <v>3-ВП</v>
      </c>
      <c r="E22" s="52" t="str">
        <f>Fрозр!F16</f>
        <v>146.15+103.7i</v>
      </c>
      <c r="F22" s="52">
        <f>Fрозр!G16</f>
        <v>179.2</v>
      </c>
      <c r="G22" s="52">
        <f>Fрозр!H16</f>
        <v>220</v>
      </c>
      <c r="H22" s="51">
        <f t="shared" si="1"/>
        <v>470.27803744900427</v>
      </c>
      <c r="I22" s="52" t="s">
        <v>126</v>
      </c>
      <c r="J22" s="52">
        <v>680</v>
      </c>
      <c r="K22" s="52" t="s">
        <v>127</v>
      </c>
    </row>
    <row r="23" spans="2:11" ht="19.5" thickBot="1" x14ac:dyDescent="0.3">
      <c r="B23" s="135"/>
      <c r="C23" s="137"/>
      <c r="D23" s="52" t="str">
        <f>'Таблиця 1-4'!D16</f>
        <v>3-Б</v>
      </c>
      <c r="E23" s="52" t="str">
        <f>Fрозр!F17</f>
        <v>20+13i</v>
      </c>
      <c r="F23" s="52">
        <f>Fрозр!G17</f>
        <v>23.85</v>
      </c>
      <c r="G23" s="52">
        <f>Fрозр!H17</f>
        <v>220</v>
      </c>
      <c r="H23" s="51">
        <f>(F23/SQRT(3)/G23)*1000</f>
        <v>62.590017818966253</v>
      </c>
      <c r="I23" s="52" t="s">
        <v>125</v>
      </c>
      <c r="J23" s="52">
        <v>610</v>
      </c>
      <c r="K23" s="52" t="s">
        <v>127</v>
      </c>
    </row>
  </sheetData>
  <mergeCells count="22">
    <mergeCell ref="B2:B3"/>
    <mergeCell ref="D2:D3"/>
    <mergeCell ref="I2:I3"/>
    <mergeCell ref="D15:K15"/>
    <mergeCell ref="B12:B20"/>
    <mergeCell ref="K2:K3"/>
    <mergeCell ref="C2:C3"/>
    <mergeCell ref="E2:E3"/>
    <mergeCell ref="F2:F3"/>
    <mergeCell ref="G2:G3"/>
    <mergeCell ref="H2:H3"/>
    <mergeCell ref="J2:J3"/>
    <mergeCell ref="B21:B23"/>
    <mergeCell ref="C21:C23"/>
    <mergeCell ref="D4:K4"/>
    <mergeCell ref="D7:K7"/>
    <mergeCell ref="D12:K12"/>
    <mergeCell ref="C10:C11"/>
    <mergeCell ref="C12:C17"/>
    <mergeCell ref="C18:C20"/>
    <mergeCell ref="B4:B11"/>
    <mergeCell ref="C4:C9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5361" r:id="rId4">
          <objectPr defaultSize="0" r:id="rId5">
            <anchor moveWithCells="1">
              <from>
                <xdr:col>13</xdr:col>
                <xdr:colOff>9525</xdr:colOff>
                <xdr:row>1</xdr:row>
                <xdr:rowOff>133350</xdr:rowOff>
              </from>
              <to>
                <xdr:col>20</xdr:col>
                <xdr:colOff>85725</xdr:colOff>
                <xdr:row>10</xdr:row>
                <xdr:rowOff>152400</xdr:rowOff>
              </to>
            </anchor>
          </objectPr>
        </oleObject>
      </mc:Choice>
      <mc:Fallback>
        <oleObject progId="Visio.Drawing.15" shapeId="15361" r:id="rId4"/>
      </mc:Fallback>
    </mc:AlternateContent>
    <mc:AlternateContent xmlns:mc="http://schemas.openxmlformats.org/markup-compatibility/2006">
      <mc:Choice Requires="x14">
        <oleObject progId="Visio.Drawing.15" shapeId="15362" r:id="rId6">
          <objectPr defaultSize="0" r:id="rId7">
            <anchor moveWithCells="1">
              <from>
                <xdr:col>13</xdr:col>
                <xdr:colOff>9525</xdr:colOff>
                <xdr:row>12</xdr:row>
                <xdr:rowOff>9525</xdr:rowOff>
              </from>
              <to>
                <xdr:col>20</xdr:col>
                <xdr:colOff>95250</xdr:colOff>
                <xdr:row>21</xdr:row>
                <xdr:rowOff>438150</xdr:rowOff>
              </to>
            </anchor>
          </objectPr>
        </oleObject>
      </mc:Choice>
      <mc:Fallback>
        <oleObject progId="Visio.Drawing.15" shapeId="15362" r:id="rId6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7"/>
  <sheetViews>
    <sheetView topLeftCell="C3" workbookViewId="0">
      <selection activeCell="G28" sqref="G28"/>
    </sheetView>
  </sheetViews>
  <sheetFormatPr defaultRowHeight="15" x14ac:dyDescent="0.25"/>
  <cols>
    <col min="3" max="3" width="9.28515625" bestFit="1" customWidth="1"/>
    <col min="4" max="4" width="15.42578125" bestFit="1" customWidth="1"/>
    <col min="5" max="5" width="18.7109375" customWidth="1"/>
    <col min="6" max="6" width="9.42578125" bestFit="1" customWidth="1"/>
    <col min="7" max="7" width="19" customWidth="1"/>
    <col min="8" max="8" width="15.28515625" customWidth="1"/>
    <col min="9" max="9" width="9.140625" customWidth="1"/>
    <col min="10" max="10" width="15.5703125" bestFit="1" customWidth="1"/>
    <col min="11" max="12" width="9.42578125" bestFit="1" customWidth="1"/>
    <col min="13" max="13" width="10.85546875" bestFit="1" customWidth="1"/>
    <col min="14" max="14" width="11" bestFit="1" customWidth="1"/>
  </cols>
  <sheetData>
    <row r="1" spans="1:16" ht="15" customHeight="1" x14ac:dyDescent="0.25"/>
    <row r="2" spans="1:16" ht="15" customHeight="1" x14ac:dyDescent="0.25"/>
    <row r="3" spans="1:16" ht="15" customHeight="1" x14ac:dyDescent="0.25"/>
    <row r="4" spans="1:16" ht="30" customHeight="1" x14ac:dyDescent="0.25"/>
    <row r="5" spans="1:16" ht="15" customHeight="1" x14ac:dyDescent="0.25">
      <c r="C5" s="114"/>
      <c r="D5" s="114" t="s">
        <v>67</v>
      </c>
      <c r="E5" s="114" t="s">
        <v>253</v>
      </c>
      <c r="F5" s="114" t="s">
        <v>9</v>
      </c>
      <c r="G5" s="114" t="s">
        <v>97</v>
      </c>
      <c r="H5" s="114" t="s">
        <v>116</v>
      </c>
      <c r="I5" s="112" t="s">
        <v>257</v>
      </c>
      <c r="J5" s="112" t="s">
        <v>258</v>
      </c>
      <c r="K5" s="114" t="s">
        <v>87</v>
      </c>
      <c r="L5" s="114" t="s">
        <v>147</v>
      </c>
      <c r="M5" s="114" t="s">
        <v>2</v>
      </c>
      <c r="N5" s="114" t="s">
        <v>254</v>
      </c>
    </row>
    <row r="6" spans="1:16" ht="15" customHeight="1" x14ac:dyDescent="0.25">
      <c r="C6" s="114"/>
      <c r="D6" s="114"/>
      <c r="E6" s="114"/>
      <c r="F6" s="114"/>
      <c r="G6" s="114"/>
      <c r="H6" s="114"/>
      <c r="I6" s="156"/>
      <c r="J6" s="156"/>
      <c r="K6" s="114"/>
      <c r="L6" s="114"/>
      <c r="M6" s="114"/>
      <c r="N6" s="114"/>
    </row>
    <row r="7" spans="1:16" ht="15" customHeight="1" x14ac:dyDescent="0.25">
      <c r="C7" s="114"/>
      <c r="D7" s="114"/>
      <c r="E7" s="114"/>
      <c r="F7" s="114"/>
      <c r="G7" s="114"/>
      <c r="H7" s="114"/>
      <c r="I7" s="113"/>
      <c r="J7" s="113"/>
      <c r="K7" s="114"/>
      <c r="L7" s="114"/>
      <c r="M7" s="114"/>
      <c r="N7" s="114"/>
    </row>
    <row r="8" spans="1:16" ht="15" customHeight="1" x14ac:dyDescent="0.25">
      <c r="A8">
        <f>Потокорозподіл!E5</f>
        <v>26.968</v>
      </c>
      <c r="B8">
        <f>Потокорозподіл!F5</f>
        <v>14.375</v>
      </c>
      <c r="C8" s="112" t="s">
        <v>19</v>
      </c>
      <c r="D8" s="114" t="s">
        <v>51</v>
      </c>
      <c r="E8" s="80" t="str">
        <f>Потокорозподіл!C5</f>
        <v>ВП-В</v>
      </c>
      <c r="F8" s="80">
        <v>110</v>
      </c>
      <c r="G8" s="80" t="str">
        <f>COMPLEX(A8,B8)</f>
        <v>26.968+14.375i</v>
      </c>
      <c r="H8" s="80" t="str">
        <f>нагрів!I8</f>
        <v>АС-240/56</v>
      </c>
      <c r="I8" s="80">
        <v>0.12</v>
      </c>
      <c r="J8" s="80">
        <f>Потокорозподіл!D5</f>
        <v>11.8</v>
      </c>
      <c r="K8" s="80">
        <f>'Таблиця 1-4'!G3</f>
        <v>1</v>
      </c>
      <c r="L8" s="80">
        <f>ROUND(I8*J8/K8,2)</f>
        <v>1.42</v>
      </c>
      <c r="M8" s="80">
        <f>ROUND((A8^2+B8^2)/F8^2*L8,3)</f>
        <v>0.11</v>
      </c>
      <c r="N8" s="80" t="s">
        <v>62</v>
      </c>
      <c r="P8">
        <f>'Табл1-1  1-2'!B36</f>
        <v>6093</v>
      </c>
    </row>
    <row r="9" spans="1:16" ht="15" customHeight="1" x14ac:dyDescent="0.25">
      <c r="A9">
        <f>Потокорозподіл!E6</f>
        <v>35.031999999999996</v>
      </c>
      <c r="B9">
        <f>Потокорозподіл!F6</f>
        <v>18.425000000000001</v>
      </c>
      <c r="C9" s="156"/>
      <c r="D9" s="157"/>
      <c r="E9" s="80" t="str">
        <f>Потокорозподіл!C6</f>
        <v>ВП-Д</v>
      </c>
      <c r="F9" s="80">
        <f>F8</f>
        <v>110</v>
      </c>
      <c r="G9" s="80" t="str">
        <f>COMPLEX(A9,B9)</f>
        <v>35.032+18.425i</v>
      </c>
      <c r="H9" s="80" t="str">
        <f>нагрів!I5</f>
        <v>АС-300/67</v>
      </c>
      <c r="I9" s="80">
        <f>I8</f>
        <v>0.12</v>
      </c>
      <c r="J9" s="80">
        <f>Потокорозподіл!D6</f>
        <v>7.8</v>
      </c>
      <c r="K9" s="80">
        <f>'Таблиця 1-4'!G4</f>
        <v>1</v>
      </c>
      <c r="L9" s="80">
        <f>ROUND(I9*J9/K9,2)</f>
        <v>0.94</v>
      </c>
      <c r="M9" s="80">
        <f t="shared" ref="M9:M10" si="0">ROUND((A9^2+B9^2)/F9^2*L9,3)</f>
        <v>0.122</v>
      </c>
      <c r="N9" s="80" t="s">
        <v>62</v>
      </c>
    </row>
    <row r="10" spans="1:16" ht="15" customHeight="1" x14ac:dyDescent="0.25">
      <c r="A10">
        <f>-Потокорозподіл!E7</f>
        <v>8.032</v>
      </c>
      <c r="B10">
        <f>-Потокорозподіл!F7</f>
        <v>4.625</v>
      </c>
      <c r="C10" s="156"/>
      <c r="D10" s="157"/>
      <c r="E10" s="80" t="str">
        <f>Потокорозподіл!C7</f>
        <v>В-Д</v>
      </c>
      <c r="F10" s="80">
        <f>F9</f>
        <v>110</v>
      </c>
      <c r="G10" s="80" t="str">
        <f>COMPLEX(A10,B10)</f>
        <v>8.032+4.625i</v>
      </c>
      <c r="H10" s="80" t="str">
        <f>нагрів!I9</f>
        <v>АС-150/34</v>
      </c>
      <c r="I10" s="80">
        <f>0.198</f>
        <v>0.19800000000000001</v>
      </c>
      <c r="J10" s="80">
        <f>Потокорозподіл!D7</f>
        <v>5.6</v>
      </c>
      <c r="K10" s="80">
        <f>'Таблиця 1-4'!G5</f>
        <v>1</v>
      </c>
      <c r="L10" s="80">
        <f>ROUND(I10*J10/K10,2)</f>
        <v>1.1100000000000001</v>
      </c>
      <c r="M10" s="80">
        <f t="shared" si="0"/>
        <v>8.0000000000000002E-3</v>
      </c>
      <c r="N10" s="80" t="s">
        <v>62</v>
      </c>
    </row>
    <row r="11" spans="1:16" ht="15" customHeight="1" x14ac:dyDescent="0.25">
      <c r="C11" s="156"/>
      <c r="D11" s="157"/>
      <c r="E11" s="158"/>
      <c r="F11" s="158"/>
      <c r="G11" s="158"/>
      <c r="H11" s="158"/>
      <c r="I11" s="158"/>
      <c r="J11" s="158"/>
      <c r="K11" s="158"/>
      <c r="L11" s="158"/>
      <c r="M11" s="81">
        <f>SUM(M8:M10)</f>
        <v>0.24</v>
      </c>
      <c r="N11" s="80">
        <f>M11*P8</f>
        <v>1462.32</v>
      </c>
    </row>
    <row r="12" spans="1:16" ht="15" customHeight="1" x14ac:dyDescent="0.25">
      <c r="A12">
        <f>Потокорозподіл!E8</f>
        <v>35</v>
      </c>
      <c r="B12">
        <f>Потокорозподіл!F8</f>
        <v>19</v>
      </c>
      <c r="C12" s="156"/>
      <c r="D12" s="112" t="s">
        <v>55</v>
      </c>
      <c r="E12" s="80" t="str">
        <f>Потокорозподіл!C8</f>
        <v>В-Д</v>
      </c>
      <c r="F12" s="80">
        <f>F8</f>
        <v>110</v>
      </c>
      <c r="G12" s="80" t="str">
        <f>COMPLEX(A12,B12)</f>
        <v>35+19i</v>
      </c>
      <c r="H12" s="80" t="str">
        <f>нагрів!I10</f>
        <v>АС-150/34</v>
      </c>
      <c r="I12" s="80">
        <v>0.19800000000000001</v>
      </c>
      <c r="J12" s="80">
        <f>Потокорозподіл!D8</f>
        <v>5.6</v>
      </c>
      <c r="K12" s="80">
        <f>'Таблиця 1-4'!G6</f>
        <v>2</v>
      </c>
      <c r="L12" s="80">
        <f>ROUND(I12*J12/K12,2)</f>
        <v>0.55000000000000004</v>
      </c>
      <c r="M12" s="80">
        <f>ROUND((A12^2+B12^2)/F12^2*L12,3)</f>
        <v>7.1999999999999995E-2</v>
      </c>
      <c r="N12" s="80" t="s">
        <v>62</v>
      </c>
    </row>
    <row r="13" spans="1:16" ht="15" customHeight="1" x14ac:dyDescent="0.25">
      <c r="A13">
        <f>Потокорозподіл!E9</f>
        <v>62</v>
      </c>
      <c r="B13">
        <f>Потокорозподіл!F9</f>
        <v>32.799999999999997</v>
      </c>
      <c r="C13" s="156"/>
      <c r="D13" s="156"/>
      <c r="E13" s="80" t="str">
        <f>Потокорозподіл!C9</f>
        <v>ВП-Д</v>
      </c>
      <c r="F13" s="80">
        <f>F12</f>
        <v>110</v>
      </c>
      <c r="G13" s="80" t="str">
        <f>COMPLEX(A13,B13)</f>
        <v>62+32.8i</v>
      </c>
      <c r="H13" s="80" t="str">
        <f>нагрів!I11</f>
        <v>АС-240/56</v>
      </c>
      <c r="I13" s="80">
        <f>0.12</f>
        <v>0.12</v>
      </c>
      <c r="J13" s="80">
        <f>Потокорозподіл!D9</f>
        <v>7.8</v>
      </c>
      <c r="K13" s="80">
        <v>2</v>
      </c>
      <c r="L13" s="80">
        <f>ROUND(I13*J13/K13,2)</f>
        <v>0.47</v>
      </c>
      <c r="M13" s="80">
        <f>ROUND((A13^2+B13^2)/F13^2*L13,3)</f>
        <v>0.191</v>
      </c>
      <c r="N13" s="80" t="s">
        <v>62</v>
      </c>
    </row>
    <row r="14" spans="1:16" ht="15" customHeight="1" x14ac:dyDescent="0.25">
      <c r="C14" s="113"/>
      <c r="D14" s="113"/>
      <c r="E14" s="114"/>
      <c r="F14" s="157"/>
      <c r="G14" s="157"/>
      <c r="H14" s="157"/>
      <c r="I14" s="157"/>
      <c r="J14" s="157"/>
      <c r="K14" s="157"/>
      <c r="L14" s="157"/>
      <c r="M14" s="81">
        <f>SUM(M12:M13)</f>
        <v>0.26300000000000001</v>
      </c>
      <c r="N14" s="80">
        <f>M14*P8</f>
        <v>1602.4590000000001</v>
      </c>
    </row>
    <row r="15" spans="1:16" ht="15" customHeight="1" x14ac:dyDescent="0.25">
      <c r="A15">
        <f>Потокорозподіл!E11</f>
        <v>34.843000000000004</v>
      </c>
      <c r="B15">
        <f>Потокорозподіл!F11</f>
        <v>16.891999999999999</v>
      </c>
      <c r="C15" s="114" t="s">
        <v>246</v>
      </c>
      <c r="D15" s="114" t="s">
        <v>51</v>
      </c>
      <c r="E15" s="80" t="str">
        <f>Потокорозподіл!C11</f>
        <v>ВП-Г</v>
      </c>
      <c r="F15" s="80">
        <f>F12</f>
        <v>110</v>
      </c>
      <c r="G15" s="80" t="str">
        <f>COMPLEX(A15,B15)</f>
        <v>34.843+16.892i</v>
      </c>
      <c r="H15" s="80" t="str">
        <f>нагрів!I16</f>
        <v>АС-300/67</v>
      </c>
      <c r="I15" s="80">
        <v>0.12</v>
      </c>
      <c r="J15" s="80">
        <f>Потокорозподіл!D11</f>
        <v>9.8000000000000007</v>
      </c>
      <c r="K15" s="80">
        <v>1</v>
      </c>
      <c r="L15" s="80">
        <f>ROUND(I15*J15/K15,2)</f>
        <v>1.18</v>
      </c>
      <c r="M15" s="80">
        <f>ROUND((A15^2+B15^2)/F15^2*L15,3)</f>
        <v>0.14599999999999999</v>
      </c>
      <c r="N15" s="80" t="s">
        <v>62</v>
      </c>
    </row>
    <row r="16" spans="1:16" ht="15" customHeight="1" x14ac:dyDescent="0.25">
      <c r="A16">
        <f>Потокорозподіл!E12</f>
        <v>32.156999999999996</v>
      </c>
      <c r="B16">
        <f>Потокорозподіл!F12</f>
        <v>15.608000000000001</v>
      </c>
      <c r="C16" s="114"/>
      <c r="D16" s="114"/>
      <c r="E16" s="80" t="str">
        <f>Потокорозподіл!C12</f>
        <v>ВП-Е</v>
      </c>
      <c r="F16" s="80">
        <f>F15</f>
        <v>110</v>
      </c>
      <c r="G16" s="80" t="str">
        <f>COMPLEX(A16,B16)</f>
        <v>32.157+15.608i</v>
      </c>
      <c r="H16" s="80" t="str">
        <f>нагрів!I13</f>
        <v>АС-240/56</v>
      </c>
      <c r="I16" s="80">
        <f>0.12</f>
        <v>0.12</v>
      </c>
      <c r="J16" s="80">
        <f>Потокорозподіл!D12</f>
        <v>11.9</v>
      </c>
      <c r="K16" s="80">
        <v>1</v>
      </c>
      <c r="L16" s="80">
        <f>ROUND(I16*J16/K16,2)</f>
        <v>1.43</v>
      </c>
      <c r="M16" s="80">
        <f t="shared" ref="M16" si="1">ROUND((A16^2+B16^2)/F16^2*L16,3)</f>
        <v>0.151</v>
      </c>
      <c r="N16" s="80" t="s">
        <v>62</v>
      </c>
    </row>
    <row r="17" spans="1:14" ht="15" customHeight="1" x14ac:dyDescent="0.25">
      <c r="A17">
        <f>Потокорозподіл!E13</f>
        <v>2.8430000000000035</v>
      </c>
      <c r="B17">
        <f>Потокорозподіл!F13</f>
        <v>1.3919999999999995</v>
      </c>
      <c r="C17" s="114"/>
      <c r="D17" s="114"/>
      <c r="E17" s="80" t="str">
        <f>Потокорозподіл!C13</f>
        <v>Е-Г</v>
      </c>
      <c r="F17" s="80">
        <f>F16</f>
        <v>110</v>
      </c>
      <c r="G17" s="80" t="str">
        <f>COMPLEX(A17,B17)</f>
        <v>2.843+1.392i</v>
      </c>
      <c r="H17" s="80" t="str">
        <f>нагрів!I17</f>
        <v>АС-150/34</v>
      </c>
      <c r="I17" s="80">
        <f>0.198</f>
        <v>0.19800000000000001</v>
      </c>
      <c r="J17" s="80">
        <f>Потокорозподіл!D13</f>
        <v>14.5</v>
      </c>
      <c r="K17" s="80">
        <v>1</v>
      </c>
      <c r="L17" s="80">
        <f>ROUND(I17*J17/K17,2)</f>
        <v>2.87</v>
      </c>
      <c r="M17" s="80">
        <f>ROUND((A17^2+B17^2)/F17^2*L17,3)</f>
        <v>2E-3</v>
      </c>
      <c r="N17" s="80" t="s">
        <v>62</v>
      </c>
    </row>
    <row r="18" spans="1:14" ht="15" customHeight="1" x14ac:dyDescent="0.25">
      <c r="C18" s="114"/>
      <c r="D18" s="114"/>
      <c r="E18" s="83"/>
      <c r="F18" s="80"/>
      <c r="G18" s="80"/>
      <c r="H18" s="80"/>
      <c r="I18" s="80"/>
      <c r="J18" s="83"/>
      <c r="K18" s="80"/>
      <c r="L18" s="80"/>
      <c r="M18" s="81">
        <f>SUM(M15:M17)</f>
        <v>0.29899999999999999</v>
      </c>
      <c r="N18" s="82">
        <f>M18*P8</f>
        <v>1821.807</v>
      </c>
    </row>
    <row r="19" spans="1:14" ht="15" customHeight="1" x14ac:dyDescent="0.25">
      <c r="A19">
        <f>Потокорозподіл!E14</f>
        <v>67</v>
      </c>
      <c r="B19">
        <f>Потокорозподіл!F14</f>
        <v>32.5</v>
      </c>
      <c r="C19" s="114"/>
      <c r="D19" s="114" t="s">
        <v>54</v>
      </c>
      <c r="E19" s="80" t="str">
        <f>Потокорозподіл!C14</f>
        <v>ВП-2</v>
      </c>
      <c r="F19" s="80">
        <f>F15</f>
        <v>110</v>
      </c>
      <c r="G19" s="80" t="str">
        <f>COMPLEX(A19,B19)</f>
        <v>67+32.5i</v>
      </c>
      <c r="H19" s="80" t="str">
        <f>нагрів!I18</f>
        <v>АС-300/67</v>
      </c>
      <c r="I19" s="80">
        <v>0.12</v>
      </c>
      <c r="J19" s="80">
        <f>Потокорозподіл!D14</f>
        <v>5.4</v>
      </c>
      <c r="K19" s="80">
        <v>2</v>
      </c>
      <c r="L19" s="80">
        <f>ROUND(I19*J19/K19,2)</f>
        <v>0.32</v>
      </c>
      <c r="M19" s="80">
        <f>ROUND((A19^2+B19^2)/F19^2*L19,3)</f>
        <v>0.14699999999999999</v>
      </c>
      <c r="N19" s="80" t="s">
        <v>62</v>
      </c>
    </row>
    <row r="20" spans="1:14" ht="15" customHeight="1" x14ac:dyDescent="0.25">
      <c r="A20">
        <f>Потокорозподіл!E15</f>
        <v>32</v>
      </c>
      <c r="B20">
        <f>Потокорозподіл!F15</f>
        <v>15.5</v>
      </c>
      <c r="C20" s="114"/>
      <c r="D20" s="157"/>
      <c r="E20" s="80" t="str">
        <f>Потокорозподіл!C15</f>
        <v>Г-2</v>
      </c>
      <c r="F20" s="80">
        <f>F19</f>
        <v>110</v>
      </c>
      <c r="G20" s="80" t="str">
        <f>COMPLEX(A20,B20)</f>
        <v>32+15.5i</v>
      </c>
      <c r="H20" s="80" t="str">
        <f>нагрів!I19</f>
        <v>АС-120/27</v>
      </c>
      <c r="I20" s="80">
        <v>0.249</v>
      </c>
      <c r="J20" s="80">
        <f>Потокорозподіл!D15</f>
        <v>7.2</v>
      </c>
      <c r="K20" s="80">
        <v>2</v>
      </c>
      <c r="L20" s="80">
        <f>ROUND(I20*J20/K20,2)</f>
        <v>0.9</v>
      </c>
      <c r="M20" s="80">
        <f t="shared" ref="M20:M21" si="2">ROUND((A20^2+B20^2)/F20^2*L20,3)</f>
        <v>9.4E-2</v>
      </c>
      <c r="N20" s="80" t="s">
        <v>62</v>
      </c>
    </row>
    <row r="21" spans="1:14" ht="15" customHeight="1" x14ac:dyDescent="0.25">
      <c r="A21">
        <f>Потокорозподіл!E16</f>
        <v>35</v>
      </c>
      <c r="B21">
        <f>Потокорозподіл!F16</f>
        <v>17</v>
      </c>
      <c r="C21" s="114"/>
      <c r="D21" s="157"/>
      <c r="E21" s="80" t="str">
        <f>Потокорозподіл!C16</f>
        <v>Е-2</v>
      </c>
      <c r="F21" s="80">
        <f>F20</f>
        <v>110</v>
      </c>
      <c r="G21" s="80" t="str">
        <f>COMPLEX(A21,B21)</f>
        <v>35+17i</v>
      </c>
      <c r="H21" s="80" t="str">
        <f>нагрів!I20</f>
        <v>АС-150/34</v>
      </c>
      <c r="I21" s="80">
        <v>0.19800000000000001</v>
      </c>
      <c r="J21" s="80">
        <f>Потокорозподіл!D16</f>
        <v>8.3000000000000007</v>
      </c>
      <c r="K21" s="80">
        <v>2</v>
      </c>
      <c r="L21" s="80">
        <f>ROUND(I21*J21/K21,2)</f>
        <v>0.82</v>
      </c>
      <c r="M21" s="80">
        <f t="shared" si="2"/>
        <v>0.10299999999999999</v>
      </c>
      <c r="N21" s="80" t="s">
        <v>62</v>
      </c>
    </row>
    <row r="22" spans="1:14" ht="15" customHeight="1" x14ac:dyDescent="0.25">
      <c r="C22" s="114"/>
      <c r="D22" s="157"/>
      <c r="E22" s="114"/>
      <c r="F22" s="157"/>
      <c r="G22" s="157"/>
      <c r="H22" s="157"/>
      <c r="I22" s="157"/>
      <c r="J22" s="157"/>
      <c r="K22" s="157"/>
      <c r="L22" s="157"/>
      <c r="M22" s="81">
        <f>SUM(M19:M21)</f>
        <v>0.34399999999999997</v>
      </c>
      <c r="N22" s="82">
        <f>M22*P8</f>
        <v>2095.9919999999997</v>
      </c>
    </row>
    <row r="23" spans="1:14" ht="15" customHeight="1" x14ac:dyDescent="0.25"/>
    <row r="24" spans="1:14" ht="15" customHeight="1" x14ac:dyDescent="0.25"/>
    <row r="25" spans="1:14" ht="15" customHeight="1" x14ac:dyDescent="0.25"/>
    <row r="26" spans="1:14" ht="15" customHeight="1" x14ac:dyDescent="0.25"/>
    <row r="27" spans="1:14" ht="15" customHeight="1" x14ac:dyDescent="0.25"/>
    <row r="28" spans="1:14" ht="15" customHeight="1" x14ac:dyDescent="0.25"/>
    <row r="29" spans="1:14" ht="15" customHeight="1" x14ac:dyDescent="0.25"/>
    <row r="30" spans="1:14" ht="15" customHeight="1" x14ac:dyDescent="0.25"/>
    <row r="31" spans="1:14" ht="15" customHeight="1" x14ac:dyDescent="0.25"/>
    <row r="32" spans="1:14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</sheetData>
  <mergeCells count="21">
    <mergeCell ref="D12:D14"/>
    <mergeCell ref="C15:C22"/>
    <mergeCell ref="D15:D18"/>
    <mergeCell ref="D19:D22"/>
    <mergeCell ref="E22:L22"/>
    <mergeCell ref="E14:L14"/>
    <mergeCell ref="C8:C14"/>
    <mergeCell ref="E11:L11"/>
    <mergeCell ref="D8:D11"/>
    <mergeCell ref="K5:K7"/>
    <mergeCell ref="L5:L7"/>
    <mergeCell ref="M5:M7"/>
    <mergeCell ref="N5:N7"/>
    <mergeCell ref="C5:C7"/>
    <mergeCell ref="D5:D7"/>
    <mergeCell ref="E5:E7"/>
    <mergeCell ref="F5:F7"/>
    <mergeCell ref="G5:G7"/>
    <mergeCell ref="H5:H7"/>
    <mergeCell ref="I5:I7"/>
    <mergeCell ref="J5:J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5613" r:id="rId4">
          <objectPr defaultSize="0" autoPict="0" r:id="rId5">
            <anchor moveWithCells="1" sizeWithCells="1">
              <from>
                <xdr:col>5</xdr:col>
                <xdr:colOff>123825</xdr:colOff>
                <xdr:row>4</xdr:row>
                <xdr:rowOff>0</xdr:rowOff>
              </from>
              <to>
                <xdr:col>5</xdr:col>
                <xdr:colOff>523875</xdr:colOff>
                <xdr:row>5</xdr:row>
                <xdr:rowOff>19050</xdr:rowOff>
              </to>
            </anchor>
          </objectPr>
        </oleObject>
      </mc:Choice>
      <mc:Fallback>
        <oleObject progId="Equation.3" shapeId="25613" r:id="rId4"/>
      </mc:Fallback>
    </mc:AlternateContent>
    <mc:AlternateContent xmlns:mc="http://schemas.openxmlformats.org/markup-compatibility/2006">
      <mc:Choice Requires="x14">
        <oleObject progId="Equation.3" shapeId="25614" r:id="rId6">
          <objectPr defaultSize="0" autoPict="0" r:id="rId7">
            <anchor moveWithCells="1" sizeWithCells="1">
              <from>
                <xdr:col>6</xdr:col>
                <xdr:colOff>133350</xdr:colOff>
                <xdr:row>3</xdr:row>
                <xdr:rowOff>333375</xdr:rowOff>
              </from>
              <to>
                <xdr:col>6</xdr:col>
                <xdr:colOff>1181100</xdr:colOff>
                <xdr:row>5</xdr:row>
                <xdr:rowOff>85725</xdr:rowOff>
              </to>
            </anchor>
          </objectPr>
        </oleObject>
      </mc:Choice>
      <mc:Fallback>
        <oleObject progId="Equation.3" shapeId="25614" r:id="rId6"/>
      </mc:Fallback>
    </mc:AlternateContent>
    <mc:AlternateContent xmlns:mc="http://schemas.openxmlformats.org/markup-compatibility/2006">
      <mc:Choice Requires="x14">
        <oleObject progId="Equation.3" shapeId="25615" r:id="rId8">
          <objectPr defaultSize="0" autoPict="0" r:id="rId9">
            <anchor moveWithCells="1" sizeWithCells="1">
              <from>
                <xdr:col>8</xdr:col>
                <xdr:colOff>95250</xdr:colOff>
                <xdr:row>3</xdr:row>
                <xdr:rowOff>352425</xdr:rowOff>
              </from>
              <to>
                <xdr:col>9</xdr:col>
                <xdr:colOff>57150</xdr:colOff>
                <xdr:row>4</xdr:row>
                <xdr:rowOff>180975</xdr:rowOff>
              </to>
            </anchor>
          </objectPr>
        </oleObject>
      </mc:Choice>
      <mc:Fallback>
        <oleObject progId="Equation.3" shapeId="25615" r:id="rId8"/>
      </mc:Fallback>
    </mc:AlternateContent>
    <mc:AlternateContent xmlns:mc="http://schemas.openxmlformats.org/markup-compatibility/2006">
      <mc:Choice Requires="x14">
        <oleObject progId="Equation.3" shapeId="25616" r:id="rId10">
          <objectPr defaultSize="0" autoPict="0" r:id="rId11">
            <anchor moveWithCells="1" sizeWithCells="1">
              <from>
                <xdr:col>9</xdr:col>
                <xdr:colOff>466725</xdr:colOff>
                <xdr:row>4</xdr:row>
                <xdr:rowOff>9525</xdr:rowOff>
              </from>
              <to>
                <xdr:col>9</xdr:col>
                <xdr:colOff>561975</xdr:colOff>
                <xdr:row>5</xdr:row>
                <xdr:rowOff>9525</xdr:rowOff>
              </to>
            </anchor>
          </objectPr>
        </oleObject>
      </mc:Choice>
      <mc:Fallback>
        <oleObject progId="Equation.3" shapeId="25616" r:id="rId10"/>
      </mc:Fallback>
    </mc:AlternateContent>
    <mc:AlternateContent xmlns:mc="http://schemas.openxmlformats.org/markup-compatibility/2006">
      <mc:Choice Requires="x14">
        <oleObject progId="Equation.3" shapeId="25617" r:id="rId12">
          <objectPr defaultSize="0" autoPict="0" r:id="rId13">
            <anchor moveWithCells="1" sizeWithCells="1">
              <from>
                <xdr:col>10</xdr:col>
                <xdr:colOff>219075</xdr:colOff>
                <xdr:row>4</xdr:row>
                <xdr:rowOff>19050</xdr:rowOff>
              </from>
              <to>
                <xdr:col>10</xdr:col>
                <xdr:colOff>361950</xdr:colOff>
                <xdr:row>4</xdr:row>
                <xdr:rowOff>171450</xdr:rowOff>
              </to>
            </anchor>
          </objectPr>
        </oleObject>
      </mc:Choice>
      <mc:Fallback>
        <oleObject progId="Equation.3" shapeId="25617" r:id="rId12"/>
      </mc:Fallback>
    </mc:AlternateContent>
    <mc:AlternateContent xmlns:mc="http://schemas.openxmlformats.org/markup-compatibility/2006">
      <mc:Choice Requires="x14">
        <oleObject progId="Equation.3" shapeId="25618" r:id="rId14">
          <objectPr defaultSize="0" autoPict="0" r:id="rId15">
            <anchor moveWithCells="1" sizeWithCells="1">
              <from>
                <xdr:col>11</xdr:col>
                <xdr:colOff>171450</xdr:colOff>
                <xdr:row>3</xdr:row>
                <xdr:rowOff>352425</xdr:rowOff>
              </from>
              <to>
                <xdr:col>11</xdr:col>
                <xdr:colOff>495300</xdr:colOff>
                <xdr:row>5</xdr:row>
                <xdr:rowOff>9525</xdr:rowOff>
              </to>
            </anchor>
          </objectPr>
        </oleObject>
      </mc:Choice>
      <mc:Fallback>
        <oleObject progId="Equation.3" shapeId="25618" r:id="rId14"/>
      </mc:Fallback>
    </mc:AlternateContent>
    <mc:AlternateContent xmlns:mc="http://schemas.openxmlformats.org/markup-compatibility/2006">
      <mc:Choice Requires="x14">
        <oleObject progId="Equation.3" shapeId="25619" r:id="rId16">
          <objectPr defaultSize="0" autoPict="0" r:id="rId17">
            <anchor moveWithCells="1" sizeWithCells="1">
              <from>
                <xdr:col>12</xdr:col>
                <xdr:colOff>152400</xdr:colOff>
                <xdr:row>4</xdr:row>
                <xdr:rowOff>0</xdr:rowOff>
              </from>
              <to>
                <xdr:col>12</xdr:col>
                <xdr:colOff>561975</xdr:colOff>
                <xdr:row>5</xdr:row>
                <xdr:rowOff>28575</xdr:rowOff>
              </to>
            </anchor>
          </objectPr>
        </oleObject>
      </mc:Choice>
      <mc:Fallback>
        <oleObject progId="Equation.3" shapeId="25619" r:id="rId16"/>
      </mc:Fallback>
    </mc:AlternateContent>
    <mc:AlternateContent xmlns:mc="http://schemas.openxmlformats.org/markup-compatibility/2006">
      <mc:Choice Requires="x14">
        <oleObject progId="Equation.3" shapeId="25620" r:id="rId18">
          <objectPr defaultSize="0" autoPict="0" r:id="rId19">
            <anchor moveWithCells="1" sizeWithCells="1">
              <from>
                <xdr:col>13</xdr:col>
                <xdr:colOff>152400</xdr:colOff>
                <xdr:row>4</xdr:row>
                <xdr:rowOff>9525</xdr:rowOff>
              </from>
              <to>
                <xdr:col>13</xdr:col>
                <xdr:colOff>514350</xdr:colOff>
                <xdr:row>5</xdr:row>
                <xdr:rowOff>28575</xdr:rowOff>
              </to>
            </anchor>
          </objectPr>
        </oleObject>
      </mc:Choice>
      <mc:Fallback>
        <oleObject progId="Equation.3" shapeId="25620" r:id="rId18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7"/>
  <sheetViews>
    <sheetView topLeftCell="B1" workbookViewId="0">
      <selection activeCell="E10" sqref="E10"/>
    </sheetView>
  </sheetViews>
  <sheetFormatPr defaultRowHeight="15" x14ac:dyDescent="0.25"/>
  <cols>
    <col min="2" max="4" width="12.7109375" customWidth="1"/>
    <col min="5" max="5" width="16.42578125" customWidth="1"/>
    <col min="6" max="6" width="16.5703125" customWidth="1"/>
    <col min="7" max="9" width="12.7109375" customWidth="1"/>
  </cols>
  <sheetData>
    <row r="1" spans="2:9" ht="15.75" thickBot="1" x14ac:dyDescent="0.3"/>
    <row r="2" spans="2:9" ht="26.25" customHeight="1" thickTop="1" thickBot="1" x14ac:dyDescent="0.3">
      <c r="B2" s="21" t="s">
        <v>66</v>
      </c>
      <c r="C2" s="22" t="s">
        <v>67</v>
      </c>
      <c r="D2" s="22" t="s">
        <v>43</v>
      </c>
      <c r="E2" s="23" t="s">
        <v>169</v>
      </c>
      <c r="F2" s="23" t="s">
        <v>170</v>
      </c>
      <c r="G2" s="24" t="s">
        <v>87</v>
      </c>
      <c r="H2" s="23" t="s">
        <v>171</v>
      </c>
      <c r="I2" s="25" t="s">
        <v>172</v>
      </c>
    </row>
    <row r="3" spans="2:9" ht="20.25" thickTop="1" thickBot="1" x14ac:dyDescent="0.3">
      <c r="B3" s="166" t="s">
        <v>19</v>
      </c>
      <c r="C3" s="168" t="s">
        <v>88</v>
      </c>
      <c r="D3" s="26" t="str">
        <f>Потокорозподіл!C5</f>
        <v>ВП-В</v>
      </c>
      <c r="E3" s="26">
        <f>Потокорозподіл!D5</f>
        <v>11.8</v>
      </c>
      <c r="F3" s="28">
        <f>Потокорозподіл!E5</f>
        <v>26.968</v>
      </c>
      <c r="G3" s="26">
        <v>1</v>
      </c>
      <c r="H3" s="26">
        <f>ROUND(4.34*SQRT(E3+16*F3/G3),1)</f>
        <v>91.4</v>
      </c>
      <c r="I3" s="164">
        <v>110</v>
      </c>
    </row>
    <row r="4" spans="2:9" ht="20.25" thickTop="1" thickBot="1" x14ac:dyDescent="0.3">
      <c r="B4" s="160"/>
      <c r="C4" s="169"/>
      <c r="D4" s="26" t="str">
        <f>Потокорозподіл!C6</f>
        <v>ВП-Д</v>
      </c>
      <c r="E4" s="26">
        <f>Потокорозподіл!D6</f>
        <v>7.8</v>
      </c>
      <c r="F4" s="28">
        <f>Потокорозподіл!E6</f>
        <v>35.031999999999996</v>
      </c>
      <c r="G4" s="27">
        <v>1</v>
      </c>
      <c r="H4" s="26">
        <f>ROUND(4.34*SQRT(E4+16*F4/G4),1)</f>
        <v>103.5</v>
      </c>
      <c r="I4" s="134"/>
    </row>
    <row r="5" spans="2:9" ht="20.25" thickTop="1" thickBot="1" x14ac:dyDescent="0.3">
      <c r="B5" s="160"/>
      <c r="C5" s="170"/>
      <c r="D5" s="26" t="str">
        <f>Потокорозподіл!C7</f>
        <v>В-Д</v>
      </c>
      <c r="E5" s="26">
        <f>Потокорозподіл!D7</f>
        <v>5.6</v>
      </c>
      <c r="F5" s="28">
        <f>-Потокорозподіл!E7</f>
        <v>8.032</v>
      </c>
      <c r="G5" s="27">
        <v>1</v>
      </c>
      <c r="H5" s="26">
        <f t="shared" ref="H5:H12" si="0">ROUND(4.34*SQRT(E5+16*F5/G5),1)</f>
        <v>50.3</v>
      </c>
      <c r="I5" s="165"/>
    </row>
    <row r="6" spans="2:9" ht="20.25" thickTop="1" thickBot="1" x14ac:dyDescent="0.3">
      <c r="B6" s="160"/>
      <c r="C6" s="171" t="s">
        <v>89</v>
      </c>
      <c r="D6" s="26" t="str">
        <f>Потокорозподіл!C8</f>
        <v>В-Д</v>
      </c>
      <c r="E6" s="26">
        <f>Потокорозподіл!D8</f>
        <v>5.6</v>
      </c>
      <c r="F6" s="28">
        <f>Потокорозподіл!E8</f>
        <v>35</v>
      </c>
      <c r="G6" s="27">
        <v>2</v>
      </c>
      <c r="H6" s="26">
        <f t="shared" si="0"/>
        <v>73.3</v>
      </c>
      <c r="I6" s="162">
        <v>110</v>
      </c>
    </row>
    <row r="7" spans="2:9" ht="20.25" thickTop="1" thickBot="1" x14ac:dyDescent="0.3">
      <c r="B7" s="167"/>
      <c r="C7" s="170"/>
      <c r="D7" s="26" t="str">
        <f>Потокорозподіл!C9</f>
        <v>ВП-Д</v>
      </c>
      <c r="E7" s="26">
        <f>Потокорозподіл!D9</f>
        <v>7.8</v>
      </c>
      <c r="F7" s="28">
        <f>Потокорозподіл!E9</f>
        <v>62</v>
      </c>
      <c r="G7" s="27">
        <v>2</v>
      </c>
      <c r="H7" s="26">
        <f t="shared" si="0"/>
        <v>97.4</v>
      </c>
      <c r="I7" s="165"/>
    </row>
    <row r="8" spans="2:9" ht="20.25" thickTop="1" thickBot="1" x14ac:dyDescent="0.3">
      <c r="B8" s="172" t="s">
        <v>20</v>
      </c>
      <c r="C8" s="171" t="s">
        <v>88</v>
      </c>
      <c r="D8" s="29" t="str">
        <f>'Вар2. Длинна'!F5</f>
        <v>ВП-Г</v>
      </c>
      <c r="E8" s="29">
        <f>'Вар2. Длинна'!G5</f>
        <v>9.8000000000000007</v>
      </c>
      <c r="F8" s="28">
        <f>Потокорозподіл!E11</f>
        <v>34.843000000000004</v>
      </c>
      <c r="G8" s="29">
        <v>1</v>
      </c>
      <c r="H8" s="26">
        <f t="shared" si="0"/>
        <v>103.4</v>
      </c>
      <c r="I8" s="173">
        <v>110</v>
      </c>
    </row>
    <row r="9" spans="2:9" ht="20.25" thickTop="1" thickBot="1" x14ac:dyDescent="0.3">
      <c r="B9" s="160"/>
      <c r="C9" s="169"/>
      <c r="D9" s="29" t="str">
        <f>'Вар2. Длинна'!F6</f>
        <v>ВП-Е</v>
      </c>
      <c r="E9" s="29">
        <f>'Вар2. Длинна'!G6</f>
        <v>11.9</v>
      </c>
      <c r="F9" s="28">
        <f>Потокорозподіл!E12</f>
        <v>32.156999999999996</v>
      </c>
      <c r="G9" s="29">
        <v>1</v>
      </c>
      <c r="H9" s="26">
        <f t="shared" si="0"/>
        <v>99.6</v>
      </c>
      <c r="I9" s="174"/>
    </row>
    <row r="10" spans="2:9" ht="20.25" thickTop="1" thickBot="1" x14ac:dyDescent="0.3">
      <c r="B10" s="160"/>
      <c r="C10" s="170"/>
      <c r="D10" s="29" t="str">
        <f>'Вар2. Длинна'!F7</f>
        <v>Е-Г</v>
      </c>
      <c r="E10" s="29">
        <f>'Вар2. Длинна'!G7</f>
        <v>14.5</v>
      </c>
      <c r="F10" s="28">
        <f>Потокорозподіл!E13</f>
        <v>2.8430000000000035</v>
      </c>
      <c r="G10" s="29">
        <v>1</v>
      </c>
      <c r="H10" s="26">
        <f t="shared" si="0"/>
        <v>33.6</v>
      </c>
      <c r="I10" s="175"/>
    </row>
    <row r="11" spans="2:9" ht="20.25" thickTop="1" thickBot="1" x14ac:dyDescent="0.3">
      <c r="B11" s="160"/>
      <c r="C11" s="171" t="s">
        <v>90</v>
      </c>
      <c r="D11" s="29" t="str">
        <f>'Вар2. Длинна'!X23</f>
        <v>ВП-2</v>
      </c>
      <c r="E11" s="29">
        <f>'Вар2. Длинна'!Y23</f>
        <v>5.4</v>
      </c>
      <c r="F11" s="28">
        <f>Потокорозподіл!E14</f>
        <v>67</v>
      </c>
      <c r="G11" s="29">
        <v>2</v>
      </c>
      <c r="H11" s="26">
        <f t="shared" si="0"/>
        <v>101</v>
      </c>
      <c r="I11" s="173">
        <v>110</v>
      </c>
    </row>
    <row r="12" spans="2:9" ht="20.25" thickTop="1" thickBot="1" x14ac:dyDescent="0.3">
      <c r="B12" s="160"/>
      <c r="C12" s="169"/>
      <c r="D12" s="29" t="str">
        <f>'Вар2. Длинна'!X24</f>
        <v>Г-2</v>
      </c>
      <c r="E12" s="29">
        <f>'Вар2. Длинна'!Y24</f>
        <v>7.2</v>
      </c>
      <c r="F12" s="28">
        <f>Потокорозподіл!E15</f>
        <v>32</v>
      </c>
      <c r="G12" s="29">
        <v>2</v>
      </c>
      <c r="H12" s="26">
        <f t="shared" si="0"/>
        <v>70.400000000000006</v>
      </c>
      <c r="I12" s="174"/>
    </row>
    <row r="13" spans="2:9" ht="20.25" thickTop="1" thickBot="1" x14ac:dyDescent="0.3">
      <c r="B13" s="167"/>
      <c r="C13" s="170"/>
      <c r="D13" s="29" t="str">
        <f>'Вар2. Длинна'!X25</f>
        <v>Е-2</v>
      </c>
      <c r="E13" s="29">
        <f>'Вар2. Длинна'!Y25</f>
        <v>8.3000000000000007</v>
      </c>
      <c r="F13" s="28">
        <f>Потокорозподіл!E16</f>
        <v>35</v>
      </c>
      <c r="G13" s="29">
        <v>2</v>
      </c>
      <c r="H13" s="29">
        <f t="shared" ref="H13:H15" si="1">ROUND(4.34*SQRT(E13+16*F13/G13),1)</f>
        <v>73.7</v>
      </c>
      <c r="I13" s="175"/>
    </row>
    <row r="14" spans="2:9" ht="20.25" thickTop="1" thickBot="1" x14ac:dyDescent="0.3">
      <c r="B14" s="159" t="s">
        <v>91</v>
      </c>
      <c r="C14" s="162"/>
      <c r="D14" s="30" t="str">
        <f>'мережа зовнішньго електр.'!G4</f>
        <v>ДЖ-3</v>
      </c>
      <c r="E14" s="30">
        <f>'мережа зовнішньго електр.'!H4</f>
        <v>14.8</v>
      </c>
      <c r="F14" s="28">
        <f>Потокорозподіл!F25</f>
        <v>166.15</v>
      </c>
      <c r="G14" s="30">
        <v>2</v>
      </c>
      <c r="H14" s="30">
        <f t="shared" si="1"/>
        <v>159.1</v>
      </c>
      <c r="I14" s="173">
        <v>220</v>
      </c>
    </row>
    <row r="15" spans="2:9" ht="22.5" customHeight="1" thickTop="1" thickBot="1" x14ac:dyDescent="0.3">
      <c r="B15" s="160"/>
      <c r="C15" s="134"/>
      <c r="D15" s="30" t="str">
        <f>'мережа зовнішньго електр.'!G5</f>
        <v>3-ВП</v>
      </c>
      <c r="E15" s="30">
        <f>'мережа зовнішньго електр.'!H5</f>
        <v>22.6</v>
      </c>
      <c r="F15" s="28">
        <f>Потокорозподіл!F26</f>
        <v>146.15</v>
      </c>
      <c r="G15" s="31">
        <v>2</v>
      </c>
      <c r="H15" s="31">
        <f t="shared" si="1"/>
        <v>149.80000000000001</v>
      </c>
      <c r="I15" s="174"/>
    </row>
    <row r="16" spans="2:9" ht="20.25" thickTop="1" thickBot="1" x14ac:dyDescent="0.3">
      <c r="B16" s="161"/>
      <c r="C16" s="163"/>
      <c r="D16" s="30" t="str">
        <f>'мережа зовнішньго електр.'!G6</f>
        <v>3-Б</v>
      </c>
      <c r="E16" s="30">
        <f>'мережа зовнішньго електр.'!H6</f>
        <v>10.8</v>
      </c>
      <c r="F16" s="28">
        <f>Потокорозподіл!F27</f>
        <v>20</v>
      </c>
      <c r="G16" s="32">
        <v>2</v>
      </c>
      <c r="H16" s="32">
        <f>ROUND(4.34*SQRT(E16+16*F16/G16),1)</f>
        <v>56.7</v>
      </c>
      <c r="I16" s="175"/>
    </row>
    <row r="17" ht="15.75" thickTop="1" x14ac:dyDescent="0.25"/>
  </sheetData>
  <mergeCells count="13">
    <mergeCell ref="B14:B16"/>
    <mergeCell ref="C14:C16"/>
    <mergeCell ref="I3:I5"/>
    <mergeCell ref="I6:I7"/>
    <mergeCell ref="B3:B7"/>
    <mergeCell ref="C3:C5"/>
    <mergeCell ref="C6:C7"/>
    <mergeCell ref="B8:B13"/>
    <mergeCell ref="C8:C10"/>
    <mergeCell ref="C11:C13"/>
    <mergeCell ref="I8:I10"/>
    <mergeCell ref="I11:I13"/>
    <mergeCell ref="I14:I16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9221" r:id="rId4">
          <objectPr defaultSize="0" autoPict="0" r:id="rId5">
            <anchor moveWithCells="1" sizeWithCells="1">
              <from>
                <xdr:col>10</xdr:col>
                <xdr:colOff>28575</xdr:colOff>
                <xdr:row>0</xdr:row>
                <xdr:rowOff>152400</xdr:rowOff>
              </from>
              <to>
                <xdr:col>14</xdr:col>
                <xdr:colOff>38100</xdr:colOff>
                <xdr:row>3</xdr:row>
                <xdr:rowOff>0</xdr:rowOff>
              </to>
            </anchor>
          </objectPr>
        </oleObject>
      </mc:Choice>
      <mc:Fallback>
        <oleObject progId="Equation.DSMT4" shapeId="9221" r:id="rId4"/>
      </mc:Fallback>
    </mc:AlternateContent>
    <mc:AlternateContent xmlns:mc="http://schemas.openxmlformats.org/markup-compatibility/2006">
      <mc:Choice Requires="x14">
        <oleObject progId="Equation.3" shapeId="9220" r:id="rId6">
          <objectPr defaultSize="0" autoPict="0" r:id="rId7">
            <anchor moveWithCells="1" sizeWithCells="1">
              <from>
                <xdr:col>11</xdr:col>
                <xdr:colOff>238125</xdr:colOff>
                <xdr:row>6</xdr:row>
                <xdr:rowOff>0</xdr:rowOff>
              </from>
              <to>
                <xdr:col>11</xdr:col>
                <xdr:colOff>590550</xdr:colOff>
                <xdr:row>7</xdr:row>
                <xdr:rowOff>47625</xdr:rowOff>
              </to>
            </anchor>
          </objectPr>
        </oleObject>
      </mc:Choice>
      <mc:Fallback>
        <oleObject progId="Equation.3" shapeId="9220" r:id="rId6"/>
      </mc:Fallback>
    </mc:AlternateContent>
    <mc:AlternateContent xmlns:mc="http://schemas.openxmlformats.org/markup-compatibility/2006">
      <mc:Choice Requires="x14">
        <oleObject progId="Equation.3" shapeId="9219" r:id="rId8">
          <objectPr defaultSize="0" autoPict="0" r:id="rId9">
            <anchor moveWithCells="1" sizeWithCells="1">
              <from>
                <xdr:col>11</xdr:col>
                <xdr:colOff>161925</xdr:colOff>
                <xdr:row>8</xdr:row>
                <xdr:rowOff>133350</xdr:rowOff>
              </from>
              <to>
                <xdr:col>11</xdr:col>
                <xdr:colOff>542925</xdr:colOff>
                <xdr:row>9</xdr:row>
                <xdr:rowOff>161925</xdr:rowOff>
              </to>
            </anchor>
          </objectPr>
        </oleObject>
      </mc:Choice>
      <mc:Fallback>
        <oleObject progId="Equation.3" shapeId="9219" r:id="rId8"/>
      </mc:Fallback>
    </mc:AlternateContent>
    <mc:AlternateContent xmlns:mc="http://schemas.openxmlformats.org/markup-compatibility/2006">
      <mc:Choice Requires="x14">
        <oleObject progId="Equation.3" shapeId="9218" r:id="rId10">
          <objectPr defaultSize="0" autoPict="0" r:id="rId11">
            <anchor moveWithCells="1" sizeWithCells="1">
              <from>
                <xdr:col>10</xdr:col>
                <xdr:colOff>219075</xdr:colOff>
                <xdr:row>4</xdr:row>
                <xdr:rowOff>180975</xdr:rowOff>
              </from>
              <to>
                <xdr:col>10</xdr:col>
                <xdr:colOff>457200</xdr:colOff>
                <xdr:row>6</xdr:row>
                <xdr:rowOff>38100</xdr:rowOff>
              </to>
            </anchor>
          </objectPr>
        </oleObject>
      </mc:Choice>
      <mc:Fallback>
        <oleObject progId="Equation.3" shapeId="9218" r:id="rId10"/>
      </mc:Fallback>
    </mc:AlternateContent>
    <mc:AlternateContent xmlns:mc="http://schemas.openxmlformats.org/markup-compatibility/2006">
      <mc:Choice Requires="x14">
        <oleObject progId="Equation.3" shapeId="9217" r:id="rId12">
          <objectPr defaultSize="0" autoPict="0" r:id="rId13">
            <anchor moveWithCells="1" sizeWithCells="1">
              <from>
                <xdr:col>11</xdr:col>
                <xdr:colOff>428625</xdr:colOff>
                <xdr:row>4</xdr:row>
                <xdr:rowOff>228600</xdr:rowOff>
              </from>
              <to>
                <xdr:col>12</xdr:col>
                <xdr:colOff>209550</xdr:colOff>
                <xdr:row>5</xdr:row>
                <xdr:rowOff>209550</xdr:rowOff>
              </to>
            </anchor>
          </objectPr>
        </oleObject>
      </mc:Choice>
      <mc:Fallback>
        <oleObject progId="Equation.3" shapeId="9217" r:id="rId12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BA41"/>
  <sheetViews>
    <sheetView topLeftCell="AO1" zoomScale="98" zoomScaleNormal="98" workbookViewId="0">
      <selection activeCell="AW17" sqref="AW17"/>
    </sheetView>
  </sheetViews>
  <sheetFormatPr defaultRowHeight="15" x14ac:dyDescent="0.25"/>
  <cols>
    <col min="5" max="5" width="9.85546875" bestFit="1" customWidth="1"/>
    <col min="8" max="8" width="19" customWidth="1"/>
    <col min="9" max="9" width="31.85546875" customWidth="1"/>
    <col min="31" max="32" width="10.42578125" bestFit="1" customWidth="1"/>
    <col min="39" max="39" width="11.7109375" bestFit="1" customWidth="1"/>
    <col min="50" max="50" width="10.28515625" bestFit="1" customWidth="1"/>
    <col min="52" max="52" width="11.140625" bestFit="1" customWidth="1"/>
    <col min="53" max="53" width="19.42578125" customWidth="1"/>
  </cols>
  <sheetData>
    <row r="2" spans="3:53" x14ac:dyDescent="0.25">
      <c r="C2" s="112" t="s">
        <v>66</v>
      </c>
      <c r="D2" s="112" t="s">
        <v>106</v>
      </c>
      <c r="E2" s="112" t="s">
        <v>226</v>
      </c>
      <c r="F2" s="112" t="s">
        <v>42</v>
      </c>
      <c r="G2" s="112" t="s">
        <v>228</v>
      </c>
      <c r="H2" s="112" t="s">
        <v>116</v>
      </c>
      <c r="I2" s="112" t="s">
        <v>227</v>
      </c>
      <c r="J2" s="112" t="s">
        <v>230</v>
      </c>
      <c r="K2" s="112" t="s">
        <v>229</v>
      </c>
      <c r="L2" s="112" t="s">
        <v>233</v>
      </c>
    </row>
    <row r="3" spans="3:53" ht="15.75" thickBot="1" x14ac:dyDescent="0.3">
      <c r="C3" s="156"/>
      <c r="D3" s="119"/>
      <c r="E3" s="119"/>
      <c r="F3" s="156"/>
      <c r="G3" s="119"/>
      <c r="H3" s="119"/>
      <c r="I3" s="119"/>
      <c r="J3" s="156"/>
      <c r="K3" s="119"/>
      <c r="L3" s="156"/>
    </row>
    <row r="4" spans="3:53" ht="86.25" customHeight="1" thickBot="1" x14ac:dyDescent="0.3">
      <c r="C4" s="113"/>
      <c r="D4" s="120"/>
      <c r="E4" s="120"/>
      <c r="F4" s="113"/>
      <c r="G4" s="120"/>
      <c r="H4" s="120"/>
      <c r="I4" s="120"/>
      <c r="J4" s="113"/>
      <c r="K4" s="120"/>
      <c r="L4" s="113"/>
      <c r="O4" s="96" t="s">
        <v>107</v>
      </c>
      <c r="P4" s="96" t="s">
        <v>67</v>
      </c>
      <c r="Q4" s="96" t="s">
        <v>234</v>
      </c>
      <c r="R4" s="75" t="s">
        <v>235</v>
      </c>
      <c r="S4" s="75" t="s">
        <v>235</v>
      </c>
      <c r="T4" s="75" t="s">
        <v>236</v>
      </c>
      <c r="U4" s="96" t="s">
        <v>237</v>
      </c>
      <c r="V4" s="75" t="s">
        <v>235</v>
      </c>
      <c r="W4" s="76" t="s">
        <v>238</v>
      </c>
      <c r="X4" s="75" t="s">
        <v>236</v>
      </c>
      <c r="AA4" s="112" t="s">
        <v>66</v>
      </c>
      <c r="AB4" s="112" t="s">
        <v>106</v>
      </c>
      <c r="AC4" s="112" t="s">
        <v>247</v>
      </c>
      <c r="AD4" s="112" t="s">
        <v>248</v>
      </c>
      <c r="AE4" s="112" t="s">
        <v>249</v>
      </c>
      <c r="AF4" s="112" t="s">
        <v>250</v>
      </c>
      <c r="AG4" s="112" t="s">
        <v>251</v>
      </c>
      <c r="AH4" s="112" t="s">
        <v>252</v>
      </c>
      <c r="AI4" s="112" t="s">
        <v>252</v>
      </c>
      <c r="AK4" s="112" t="s">
        <v>66</v>
      </c>
      <c r="AL4" s="112" t="s">
        <v>106</v>
      </c>
      <c r="AM4" s="85" t="s">
        <v>235</v>
      </c>
      <c r="AN4" s="85" t="s">
        <v>235</v>
      </c>
      <c r="AO4" s="85" t="s">
        <v>235</v>
      </c>
      <c r="AP4" s="85" t="s">
        <v>235</v>
      </c>
      <c r="AQ4" s="85" t="s">
        <v>235</v>
      </c>
      <c r="AS4" s="85" t="s">
        <v>259</v>
      </c>
      <c r="AT4" s="85" t="s">
        <v>260</v>
      </c>
      <c r="AU4" s="85" t="s">
        <v>261</v>
      </c>
      <c r="AV4" s="85" t="s">
        <v>262</v>
      </c>
      <c r="AW4" s="85" t="s">
        <v>235</v>
      </c>
      <c r="AX4" s="85" t="s">
        <v>263</v>
      </c>
      <c r="AY4" s="85" t="s">
        <v>264</v>
      </c>
      <c r="AZ4" s="85" t="s">
        <v>265</v>
      </c>
      <c r="BA4" s="85" t="s">
        <v>266</v>
      </c>
    </row>
    <row r="5" spans="3:53" ht="9" hidden="1" customHeight="1" thickBot="1" x14ac:dyDescent="0.3">
      <c r="C5" s="85" t="s">
        <v>19</v>
      </c>
      <c r="D5" s="112" t="str">
        <f>'Таблиця 1-4'!C3</f>
        <v>а</v>
      </c>
      <c r="E5" s="85" t="str">
        <f>'Таблиця 1-4'!D3</f>
        <v>ВП-В</v>
      </c>
      <c r="F5" s="85">
        <f>'Таблиця 1-4'!E3</f>
        <v>11.8</v>
      </c>
      <c r="G5" s="85">
        <f>Fрозр!H4</f>
        <v>110</v>
      </c>
      <c r="H5" s="85" t="str">
        <f>нагрів!I8</f>
        <v>АС-240/56</v>
      </c>
      <c r="I5" s="85" t="s">
        <v>231</v>
      </c>
      <c r="J5" s="85">
        <f>16.6</f>
        <v>16.600000000000001</v>
      </c>
      <c r="K5" s="85">
        <v>1</v>
      </c>
      <c r="L5" s="85">
        <f>J5*F5*K5</f>
        <v>195.88000000000002</v>
      </c>
      <c r="O5" s="97"/>
      <c r="P5" s="97"/>
      <c r="Q5" s="97"/>
      <c r="R5" s="44" t="s">
        <v>239</v>
      </c>
      <c r="S5" s="77" t="s">
        <v>240</v>
      </c>
      <c r="T5" s="44" t="s">
        <v>241</v>
      </c>
      <c r="U5" s="97"/>
      <c r="V5" s="44" t="s">
        <v>239</v>
      </c>
      <c r="W5" s="44" t="s">
        <v>242</v>
      </c>
      <c r="X5" s="44" t="s">
        <v>241</v>
      </c>
      <c r="AA5" s="119"/>
      <c r="AB5" s="119"/>
      <c r="AC5" s="176"/>
      <c r="AD5" s="176"/>
      <c r="AE5" s="156"/>
      <c r="AF5" s="176"/>
      <c r="AG5" s="176"/>
      <c r="AH5" s="156"/>
      <c r="AI5" s="156"/>
      <c r="AK5" s="119"/>
      <c r="AL5" s="119"/>
      <c r="AM5" s="85" t="s">
        <v>254</v>
      </c>
      <c r="AN5" s="85" t="s">
        <v>254</v>
      </c>
      <c r="AO5" s="85" t="s">
        <v>254</v>
      </c>
      <c r="AP5" s="85" t="s">
        <v>254</v>
      </c>
      <c r="AQ5" s="84" t="s">
        <v>267</v>
      </c>
      <c r="AS5" s="85" t="s">
        <v>268</v>
      </c>
      <c r="AT5" s="85" t="s">
        <v>146</v>
      </c>
      <c r="AU5" s="85" t="s">
        <v>267</v>
      </c>
      <c r="AV5" s="84" t="s">
        <v>267</v>
      </c>
      <c r="AW5" s="84" t="s">
        <v>267</v>
      </c>
      <c r="AX5" s="84" t="s">
        <v>269</v>
      </c>
      <c r="AY5" s="84" t="s">
        <v>267</v>
      </c>
      <c r="AZ5" s="84" t="s">
        <v>269</v>
      </c>
      <c r="BA5" s="85" t="s">
        <v>270</v>
      </c>
    </row>
    <row r="6" spans="3:53" ht="1.5" hidden="1" customHeight="1" thickBot="1" x14ac:dyDescent="0.3">
      <c r="C6" s="86"/>
      <c r="D6" s="156"/>
      <c r="E6" s="85" t="str">
        <f>'Таблиця 1-4'!D4</f>
        <v>ВП-Д</v>
      </c>
      <c r="F6" s="85">
        <f>'Таблиця 1-4'!E4</f>
        <v>7.8</v>
      </c>
      <c r="G6" s="85">
        <f>Fрозр!H5</f>
        <v>110</v>
      </c>
      <c r="H6" s="85" t="str">
        <f>нагрів!I5</f>
        <v>АС-300/67</v>
      </c>
      <c r="I6" s="85" t="s">
        <v>231</v>
      </c>
      <c r="J6" s="85">
        <f>19.2</f>
        <v>19.2</v>
      </c>
      <c r="K6" s="85">
        <v>1</v>
      </c>
      <c r="L6" s="85">
        <f>J6*F6*K6</f>
        <v>149.76</v>
      </c>
      <c r="O6" s="98"/>
      <c r="P6" s="98"/>
      <c r="Q6" s="98"/>
      <c r="R6" s="78"/>
      <c r="S6" s="33" t="s">
        <v>242</v>
      </c>
      <c r="T6" s="78"/>
      <c r="U6" s="98"/>
      <c r="V6" s="78"/>
      <c r="W6" s="78"/>
      <c r="X6" s="78"/>
      <c r="AA6" s="120"/>
      <c r="AB6" s="120"/>
      <c r="AC6" s="177"/>
      <c r="AD6" s="177"/>
      <c r="AE6" s="113"/>
      <c r="AF6" s="177"/>
      <c r="AG6" s="177"/>
      <c r="AH6" s="113"/>
      <c r="AI6" s="113"/>
      <c r="AK6" s="120"/>
      <c r="AL6" s="120"/>
      <c r="AM6" s="87"/>
      <c r="AN6" s="87"/>
      <c r="AO6" s="87"/>
      <c r="AP6" s="87"/>
      <c r="AQ6" s="85" t="s">
        <v>271</v>
      </c>
      <c r="AS6" s="87"/>
      <c r="AT6" s="87"/>
      <c r="AU6" s="87"/>
      <c r="AV6" s="85" t="s">
        <v>271</v>
      </c>
      <c r="AW6" s="85" t="s">
        <v>271</v>
      </c>
      <c r="AX6" s="85" t="s">
        <v>271</v>
      </c>
      <c r="AY6" s="85" t="s">
        <v>271</v>
      </c>
      <c r="AZ6" s="85" t="s">
        <v>271</v>
      </c>
      <c r="BA6" s="87"/>
    </row>
    <row r="7" spans="3:53" ht="24.95" customHeight="1" thickBot="1" x14ac:dyDescent="0.3">
      <c r="C7" s="112" t="s">
        <v>19</v>
      </c>
      <c r="D7" s="156"/>
      <c r="E7" s="85" t="str">
        <f>'Таблиця 1-4'!D5</f>
        <v>В-Д</v>
      </c>
      <c r="F7" s="85">
        <f>'Таблиця 1-4'!E5</f>
        <v>5.6</v>
      </c>
      <c r="G7" s="85">
        <f>Fрозр!H6</f>
        <v>110</v>
      </c>
      <c r="H7" s="85" t="str">
        <f>нагрів!I6</f>
        <v>АС-150/34</v>
      </c>
      <c r="I7" s="85" t="s">
        <v>231</v>
      </c>
      <c r="J7" s="85">
        <f>'Таблиця 1-4'!E3</f>
        <v>11.8</v>
      </c>
      <c r="K7" s="85">
        <v>1</v>
      </c>
      <c r="L7" s="85">
        <f>J7*F7*K7</f>
        <v>66.08</v>
      </c>
      <c r="O7" s="178" t="s">
        <v>19</v>
      </c>
      <c r="P7" s="33" t="s">
        <v>51</v>
      </c>
      <c r="Q7" s="79" t="s">
        <v>243</v>
      </c>
      <c r="R7" s="33">
        <v>2</v>
      </c>
      <c r="S7" s="33">
        <v>9.1</v>
      </c>
      <c r="T7" s="33">
        <f>R7*S7</f>
        <v>18.2</v>
      </c>
      <c r="U7" s="79" t="s">
        <v>244</v>
      </c>
      <c r="V7" s="33">
        <v>2</v>
      </c>
      <c r="W7" s="33">
        <v>21</v>
      </c>
      <c r="X7" s="33">
        <f>V7*W7</f>
        <v>42</v>
      </c>
      <c r="AA7" s="112" t="s">
        <v>19</v>
      </c>
      <c r="AB7" s="85" t="s">
        <v>51</v>
      </c>
      <c r="AC7" s="85">
        <f>L10</f>
        <v>153.44</v>
      </c>
      <c r="AD7" s="112">
        <v>7.2</v>
      </c>
      <c r="AE7" s="85">
        <f>ROUND($AD$7/100*AC7,2)</f>
        <v>11.05</v>
      </c>
      <c r="AF7" s="85">
        <f>T7+X7</f>
        <v>60.2</v>
      </c>
      <c r="AG7" s="112">
        <v>14.4</v>
      </c>
      <c r="AH7" s="85">
        <f>ROUND($AG$7/100*AF7,2)</f>
        <v>8.67</v>
      </c>
      <c r="AI7" s="85">
        <f>AE7+AH7</f>
        <v>19.72</v>
      </c>
      <c r="AK7" s="112" t="s">
        <v>19</v>
      </c>
      <c r="AL7" s="85" t="s">
        <v>51</v>
      </c>
      <c r="AM7" s="85">
        <f>'Втрати потужності'!N11</f>
        <v>1462.32</v>
      </c>
      <c r="AN7" s="85" t="s">
        <v>62</v>
      </c>
      <c r="AO7" s="85" t="s">
        <v>62</v>
      </c>
      <c r="AP7" s="85" t="s">
        <v>62</v>
      </c>
      <c r="AQ7" s="85">
        <f>ROUND(1.68*AM7,1)</f>
        <v>2456.6999999999998</v>
      </c>
      <c r="AS7" s="112" t="s">
        <v>19</v>
      </c>
      <c r="AT7" s="85" t="str">
        <f>AL7</f>
        <v>а)</v>
      </c>
      <c r="AU7" s="85">
        <f>AC7+AF7</f>
        <v>213.64</v>
      </c>
      <c r="AV7" s="85">
        <f>AI7</f>
        <v>19.72</v>
      </c>
      <c r="AW7" s="85">
        <f>AQ7</f>
        <v>2456.6999999999998</v>
      </c>
      <c r="AX7" s="85">
        <f>AV7+AW7</f>
        <v>2476.4199999999996</v>
      </c>
      <c r="AY7" s="81">
        <f>0.2*AU7+AX7</f>
        <v>2519.1479999999997</v>
      </c>
      <c r="AZ7" s="85"/>
      <c r="BA7" s="58"/>
    </row>
    <row r="8" spans="3:53" ht="24.95" customHeight="1" thickBot="1" x14ac:dyDescent="0.3">
      <c r="C8" s="156"/>
      <c r="D8" s="156"/>
      <c r="E8" s="85" t="str">
        <f>'Таблиця 1-4'!D6</f>
        <v>В-Д</v>
      </c>
      <c r="F8" s="85">
        <f>'Таблиця 1-4'!E6</f>
        <v>5.6</v>
      </c>
      <c r="G8" s="85">
        <f>Fрозр!H7</f>
        <v>110</v>
      </c>
      <c r="H8" s="85" t="str">
        <f>нагрів!I11</f>
        <v>АС-240/56</v>
      </c>
      <c r="I8" s="85" t="s">
        <v>231</v>
      </c>
      <c r="J8" s="85">
        <f>'Таблиця 1-4'!E4</f>
        <v>7.8</v>
      </c>
      <c r="K8" s="85">
        <v>1</v>
      </c>
      <c r="L8" s="85">
        <f>J8*F8*K8</f>
        <v>43.68</v>
      </c>
      <c r="O8" s="179"/>
      <c r="P8" s="33" t="s">
        <v>55</v>
      </c>
      <c r="Q8" s="79" t="s">
        <v>243</v>
      </c>
      <c r="R8" s="33">
        <v>2</v>
      </c>
      <c r="S8" s="33">
        <v>9.1</v>
      </c>
      <c r="T8" s="33">
        <f>R8*S8</f>
        <v>18.2</v>
      </c>
      <c r="U8" s="79" t="s">
        <v>245</v>
      </c>
      <c r="V8" s="33">
        <v>2</v>
      </c>
      <c r="W8" s="33">
        <v>10.8</v>
      </c>
      <c r="X8" s="33">
        <f>V8*W8</f>
        <v>21.6</v>
      </c>
      <c r="AA8" s="120"/>
      <c r="AB8" s="85" t="s">
        <v>55</v>
      </c>
      <c r="AC8" s="85">
        <f>L13</f>
        <v>184.39999999999998</v>
      </c>
      <c r="AD8" s="120"/>
      <c r="AE8" s="85">
        <f>ROUND($AD$7/100*AC8,2)</f>
        <v>13.28</v>
      </c>
      <c r="AF8" s="85">
        <f t="shared" ref="AF8:AF10" si="0">T8+X8</f>
        <v>39.799999999999997</v>
      </c>
      <c r="AG8" s="120"/>
      <c r="AH8" s="85">
        <f t="shared" ref="AH8:AH10" si="1">ROUND($AE$8/100*AF8,2)</f>
        <v>5.29</v>
      </c>
      <c r="AI8" s="85">
        <f t="shared" ref="AI8:AI10" si="2">AE8+AH8</f>
        <v>18.57</v>
      </c>
      <c r="AK8" s="120"/>
      <c r="AL8" s="85" t="s">
        <v>55</v>
      </c>
      <c r="AM8" s="85">
        <f>'Втрати потужності'!N14</f>
        <v>1602.4590000000001</v>
      </c>
      <c r="AN8" s="85" t="s">
        <v>62</v>
      </c>
      <c r="AO8" s="85" t="s">
        <v>62</v>
      </c>
      <c r="AP8" s="85" t="s">
        <v>62</v>
      </c>
      <c r="AQ8" s="85">
        <f>ROUND(1.68*AM8,1)</f>
        <v>2692.1</v>
      </c>
      <c r="AS8" s="120"/>
      <c r="AT8" s="85" t="str">
        <f>AL8</f>
        <v>д)</v>
      </c>
      <c r="AU8" s="85">
        <f t="shared" ref="AU8:AU10" si="3">AC8+AF8</f>
        <v>224.2</v>
      </c>
      <c r="AV8" s="85">
        <f t="shared" ref="AV8:AV10" si="4">AI8</f>
        <v>18.57</v>
      </c>
      <c r="AW8" s="85">
        <f t="shared" ref="AW8:AW10" si="5">AQ8</f>
        <v>2692.1</v>
      </c>
      <c r="AX8" s="85">
        <f t="shared" ref="AX8:AX10" si="6">AV8+AW8</f>
        <v>2710.67</v>
      </c>
      <c r="AY8" s="85">
        <f t="shared" ref="AY8:AY10" si="7">0.2*AU8+AX8</f>
        <v>2755.51</v>
      </c>
      <c r="AZ8" s="85">
        <f>AY8-AY7</f>
        <v>236.36200000000053</v>
      </c>
      <c r="BA8" s="58">
        <f>AZ8/AY8*100</f>
        <v>8.5777950361276325</v>
      </c>
    </row>
    <row r="9" spans="3:53" ht="24.95" customHeight="1" thickBot="1" x14ac:dyDescent="0.3">
      <c r="C9" s="156"/>
      <c r="D9" s="113"/>
      <c r="E9" s="85" t="str">
        <f>'Таблиця 1-4'!D7</f>
        <v>ВП-Д</v>
      </c>
      <c r="F9" s="85">
        <f>'Таблиця 1-4'!E7</f>
        <v>7.8</v>
      </c>
      <c r="G9" s="85">
        <f>Fрозр!H8</f>
        <v>110</v>
      </c>
      <c r="H9" s="85" t="str">
        <f>нагрів!I8</f>
        <v>АС-240/56</v>
      </c>
      <c r="I9" s="85" t="s">
        <v>231</v>
      </c>
      <c r="J9" s="85">
        <f>'Таблиця 1-4'!E5</f>
        <v>5.6</v>
      </c>
      <c r="K9" s="85">
        <v>1</v>
      </c>
      <c r="L9" s="85">
        <f>J9*F9*K9</f>
        <v>43.68</v>
      </c>
      <c r="O9" s="178" t="s">
        <v>20</v>
      </c>
      <c r="P9" s="33" t="s">
        <v>51</v>
      </c>
      <c r="Q9" s="79" t="s">
        <v>243</v>
      </c>
      <c r="R9" s="33">
        <v>2</v>
      </c>
      <c r="S9" s="33">
        <v>9.1</v>
      </c>
      <c r="T9" s="33">
        <f>R9*S9</f>
        <v>18.2</v>
      </c>
      <c r="U9" s="79" t="s">
        <v>244</v>
      </c>
      <c r="V9" s="33">
        <v>2</v>
      </c>
      <c r="W9" s="33">
        <v>21</v>
      </c>
      <c r="X9" s="33">
        <f>V9*W9</f>
        <v>42</v>
      </c>
      <c r="AA9" s="112" t="s">
        <v>246</v>
      </c>
      <c r="AB9" s="85" t="s">
        <v>51</v>
      </c>
      <c r="AC9" s="85">
        <f>L17</f>
        <v>447.90000000000003</v>
      </c>
      <c r="AD9" s="112">
        <v>7.2</v>
      </c>
      <c r="AE9" s="85">
        <f>ROUND($AD$9/100*AC10,2)</f>
        <v>21.58</v>
      </c>
      <c r="AF9" s="85">
        <f t="shared" si="0"/>
        <v>60.2</v>
      </c>
      <c r="AG9" s="112">
        <v>14.4</v>
      </c>
      <c r="AH9" s="85">
        <f t="shared" si="1"/>
        <v>7.99</v>
      </c>
      <c r="AI9" s="85">
        <f t="shared" si="2"/>
        <v>29.57</v>
      </c>
      <c r="AK9" s="112" t="s">
        <v>20</v>
      </c>
      <c r="AL9" s="85" t="s">
        <v>51</v>
      </c>
      <c r="AM9" s="82">
        <f>'Втрати потужності'!N18</f>
        <v>1821.807</v>
      </c>
      <c r="AN9" s="85" t="s">
        <v>62</v>
      </c>
      <c r="AO9" s="85" t="s">
        <v>62</v>
      </c>
      <c r="AP9" s="85" t="s">
        <v>62</v>
      </c>
      <c r="AQ9" s="85">
        <f>ROUND(1.68*AM9,1)</f>
        <v>3060.6</v>
      </c>
      <c r="AS9" s="112" t="s">
        <v>20</v>
      </c>
      <c r="AT9" s="85" t="str">
        <f>AL9</f>
        <v>а)</v>
      </c>
      <c r="AU9" s="85">
        <f>AC9+AF9</f>
        <v>508.1</v>
      </c>
      <c r="AV9" s="85">
        <f t="shared" si="4"/>
        <v>29.57</v>
      </c>
      <c r="AW9" s="85">
        <f t="shared" si="5"/>
        <v>3060.6</v>
      </c>
      <c r="AX9" s="85">
        <f>AV9+AW9</f>
        <v>3090.17</v>
      </c>
      <c r="AY9" s="81">
        <f t="shared" si="7"/>
        <v>3191.79</v>
      </c>
      <c r="AZ9" s="85"/>
      <c r="BA9" s="58"/>
    </row>
    <row r="10" spans="3:53" ht="24.95" customHeight="1" thickBot="1" x14ac:dyDescent="0.3">
      <c r="C10" s="156"/>
      <c r="D10" s="116"/>
      <c r="E10" s="181"/>
      <c r="F10" s="181"/>
      <c r="G10" s="181"/>
      <c r="H10" s="181"/>
      <c r="I10" s="181"/>
      <c r="J10" s="181"/>
      <c r="K10" s="182"/>
      <c r="L10" s="85">
        <f>SUM(L7:L9)</f>
        <v>153.44</v>
      </c>
      <c r="O10" s="179"/>
      <c r="P10" s="33" t="s">
        <v>54</v>
      </c>
      <c r="Q10" s="79" t="s">
        <v>243</v>
      </c>
      <c r="R10" s="33">
        <v>2</v>
      </c>
      <c r="S10" s="33">
        <v>9.1</v>
      </c>
      <c r="T10" s="33">
        <f>R10*S10</f>
        <v>18.2</v>
      </c>
      <c r="U10" s="79" t="s">
        <v>245</v>
      </c>
      <c r="V10" s="33">
        <v>2</v>
      </c>
      <c r="W10" s="33">
        <v>10.8</v>
      </c>
      <c r="X10" s="33">
        <f>V10*W10</f>
        <v>21.6</v>
      </c>
      <c r="AA10" s="120"/>
      <c r="AB10" s="85" t="s">
        <v>54</v>
      </c>
      <c r="AC10" s="85">
        <f>L21</f>
        <v>299.78000000000003</v>
      </c>
      <c r="AD10" s="120"/>
      <c r="AE10" s="85">
        <f>ROUND($AD$9/100*AC10,2)</f>
        <v>21.58</v>
      </c>
      <c r="AF10" s="85">
        <f t="shared" si="0"/>
        <v>39.799999999999997</v>
      </c>
      <c r="AG10" s="120"/>
      <c r="AH10" s="85">
        <f t="shared" si="1"/>
        <v>5.29</v>
      </c>
      <c r="AI10" s="85">
        <f t="shared" si="2"/>
        <v>26.869999999999997</v>
      </c>
      <c r="AK10" s="113"/>
      <c r="AL10" s="85" t="s">
        <v>54</v>
      </c>
      <c r="AM10" s="82">
        <f>'Втрати потужності'!N22</f>
        <v>2095.9919999999997</v>
      </c>
      <c r="AN10" s="85" t="s">
        <v>62</v>
      </c>
      <c r="AO10" s="85" t="s">
        <v>62</v>
      </c>
      <c r="AP10" s="85" t="s">
        <v>62</v>
      </c>
      <c r="AQ10" s="85">
        <f>ROUND(1.68*AM10,1)</f>
        <v>3521.3</v>
      </c>
      <c r="AS10" s="113"/>
      <c r="AT10" s="85" t="str">
        <f>AL10</f>
        <v>г)</v>
      </c>
      <c r="AU10" s="85">
        <f t="shared" si="3"/>
        <v>339.58000000000004</v>
      </c>
      <c r="AV10" s="85">
        <f t="shared" si="4"/>
        <v>26.869999999999997</v>
      </c>
      <c r="AW10" s="85">
        <f t="shared" si="5"/>
        <v>3521.3</v>
      </c>
      <c r="AX10" s="85">
        <f t="shared" si="6"/>
        <v>3548.17</v>
      </c>
      <c r="AY10" s="85">
        <f t="shared" si="7"/>
        <v>3616.0860000000002</v>
      </c>
      <c r="AZ10" s="85">
        <f>AY10-AY9</f>
        <v>424.29600000000028</v>
      </c>
      <c r="BA10" s="58">
        <f>AZ10/AY10*100</f>
        <v>11.733570495834453</v>
      </c>
    </row>
    <row r="11" spans="3:53" ht="15" customHeight="1" x14ac:dyDescent="0.25">
      <c r="C11" s="156"/>
      <c r="D11" s="112" t="s">
        <v>89</v>
      </c>
      <c r="E11" s="85" t="str">
        <f>'Таблиця 1-4'!D6</f>
        <v>В-Д</v>
      </c>
      <c r="F11" s="85">
        <f>'Таблиця 1-4'!E6</f>
        <v>5.6</v>
      </c>
      <c r="G11" s="85">
        <f>Fрозр!H8</f>
        <v>110</v>
      </c>
      <c r="H11" s="85" t="str">
        <f>нагрів!I10</f>
        <v>АС-150/34</v>
      </c>
      <c r="I11" s="85" t="s">
        <v>232</v>
      </c>
      <c r="J11" s="85">
        <f>'Таблиця 1-4'!E6</f>
        <v>5.6</v>
      </c>
      <c r="K11" s="85">
        <v>2</v>
      </c>
      <c r="L11" s="85">
        <f>J11*F11*K11</f>
        <v>62.719999999999992</v>
      </c>
    </row>
    <row r="12" spans="3:53" ht="15" customHeight="1" x14ac:dyDescent="0.25">
      <c r="C12" s="156"/>
      <c r="D12" s="113"/>
      <c r="E12" s="85" t="str">
        <f>'Таблиця 1-4'!D7</f>
        <v>ВП-Д</v>
      </c>
      <c r="F12" s="85">
        <f>'Таблиця 1-4'!E7</f>
        <v>7.8</v>
      </c>
      <c r="G12" s="85">
        <f>Fрозр!H9</f>
        <v>110</v>
      </c>
      <c r="H12" s="85" t="str">
        <f>нагрів!I9</f>
        <v>АС-150/34</v>
      </c>
      <c r="I12" s="85" t="s">
        <v>232</v>
      </c>
      <c r="J12" s="85">
        <f>'Таблиця 1-4'!E7</f>
        <v>7.8</v>
      </c>
      <c r="K12" s="85">
        <v>2</v>
      </c>
      <c r="L12" s="85">
        <f t="shared" ref="L12" si="8">J12*F12*K12</f>
        <v>121.67999999999999</v>
      </c>
    </row>
    <row r="13" spans="3:53" ht="15" customHeight="1" x14ac:dyDescent="0.25">
      <c r="C13" s="113"/>
      <c r="D13" s="116"/>
      <c r="E13" s="181"/>
      <c r="F13" s="181"/>
      <c r="G13" s="181"/>
      <c r="H13" s="181"/>
      <c r="I13" s="181"/>
      <c r="J13" s="181"/>
      <c r="K13" s="182"/>
      <c r="L13" s="85">
        <f>SUM(L11:L12)</f>
        <v>184.39999999999998</v>
      </c>
    </row>
    <row r="14" spans="3:53" ht="15" customHeight="1" x14ac:dyDescent="0.25">
      <c r="C14" s="114" t="s">
        <v>20</v>
      </c>
      <c r="D14" s="114" t="s">
        <v>88</v>
      </c>
      <c r="E14" s="85" t="str">
        <f>'Таблиця 1-4'!D8</f>
        <v>ВП-Г</v>
      </c>
      <c r="F14" s="85">
        <f>'Таблиця 1-4'!E8</f>
        <v>9.8000000000000007</v>
      </c>
      <c r="G14" s="85">
        <f>Fрозр!H12</f>
        <v>110</v>
      </c>
      <c r="H14" s="85" t="str">
        <f>нагрів!I16</f>
        <v>АС-300/67</v>
      </c>
      <c r="I14" s="85" t="s">
        <v>231</v>
      </c>
      <c r="J14" s="85">
        <f>'Таблиця 1-4'!E8</f>
        <v>9.8000000000000007</v>
      </c>
      <c r="K14" s="85">
        <v>1</v>
      </c>
      <c r="L14" s="85">
        <f>J14*F14*K14</f>
        <v>96.04000000000002</v>
      </c>
    </row>
    <row r="15" spans="3:53" ht="15" customHeight="1" x14ac:dyDescent="0.25">
      <c r="C15" s="180"/>
      <c r="D15" s="180"/>
      <c r="E15" s="85" t="str">
        <f>'Таблиця 1-4'!D9</f>
        <v>ВП-Е</v>
      </c>
      <c r="F15" s="85">
        <f>'Таблиця 1-4'!E9</f>
        <v>11.9</v>
      </c>
      <c r="G15" s="85">
        <f>Fрозр!H13</f>
        <v>110</v>
      </c>
      <c r="H15" s="85" t="str">
        <f>нагрів!I13</f>
        <v>АС-240/56</v>
      </c>
      <c r="I15" s="85" t="s">
        <v>231</v>
      </c>
      <c r="J15" s="85">
        <f>'Таблиця 1-4'!E9</f>
        <v>11.9</v>
      </c>
      <c r="K15" s="85">
        <v>1</v>
      </c>
      <c r="L15" s="85">
        <f t="shared" ref="L15:L16" si="9">J15*F15*K15</f>
        <v>141.61000000000001</v>
      </c>
    </row>
    <row r="16" spans="3:53" ht="15" customHeight="1" x14ac:dyDescent="0.25">
      <c r="C16" s="180"/>
      <c r="D16" s="180"/>
      <c r="E16" s="85" t="str">
        <f>'Таблиця 1-4'!D10</f>
        <v>Е-Г</v>
      </c>
      <c r="F16" s="85">
        <f>'Таблиця 1-4'!E10</f>
        <v>14.5</v>
      </c>
      <c r="G16" s="85">
        <f>Fрозр!H14</f>
        <v>110</v>
      </c>
      <c r="H16" s="85" t="str">
        <f>нагрів!I14</f>
        <v>АС-150/34</v>
      </c>
      <c r="I16" s="85" t="s">
        <v>231</v>
      </c>
      <c r="J16" s="85">
        <f>'Таблиця 1-4'!E10</f>
        <v>14.5</v>
      </c>
      <c r="K16" s="85">
        <v>1</v>
      </c>
      <c r="L16" s="85">
        <f t="shared" si="9"/>
        <v>210.25</v>
      </c>
    </row>
    <row r="17" spans="3:12" ht="15" customHeight="1" x14ac:dyDescent="0.25">
      <c r="C17" s="180"/>
      <c r="D17" s="114"/>
      <c r="E17" s="180"/>
      <c r="F17" s="180"/>
      <c r="G17" s="180"/>
      <c r="H17" s="180"/>
      <c r="I17" s="180"/>
      <c r="J17" s="180"/>
      <c r="K17" s="180"/>
      <c r="L17" s="85">
        <f>SUM(L14:L16)</f>
        <v>447.90000000000003</v>
      </c>
    </row>
    <row r="18" spans="3:12" ht="15" customHeight="1" x14ac:dyDescent="0.25">
      <c r="C18" s="180"/>
      <c r="D18" s="114" t="s">
        <v>90</v>
      </c>
      <c r="E18" s="85" t="str">
        <f>'Таблиця 1-4'!D11</f>
        <v>ВП-2</v>
      </c>
      <c r="F18" s="85">
        <f>'Таблиця 1-4'!E11</f>
        <v>5.4</v>
      </c>
      <c r="G18" s="85">
        <v>110</v>
      </c>
      <c r="H18" s="85" t="str">
        <f>нагрів!I20</f>
        <v>АС-150/34</v>
      </c>
      <c r="I18" s="85" t="s">
        <v>232</v>
      </c>
      <c r="J18" s="85">
        <f>'Таблиця 1-4'!E11</f>
        <v>5.4</v>
      </c>
      <c r="K18" s="85">
        <v>2</v>
      </c>
      <c r="L18" s="85">
        <f>J18*F18*K18</f>
        <v>58.320000000000007</v>
      </c>
    </row>
    <row r="19" spans="3:12" ht="15" customHeight="1" x14ac:dyDescent="0.25">
      <c r="C19" s="180"/>
      <c r="D19" s="180"/>
      <c r="E19" s="85" t="str">
        <f>'Таблиця 1-4'!D12</f>
        <v>Г-2</v>
      </c>
      <c r="F19" s="85">
        <f>'Таблиця 1-4'!E12</f>
        <v>7.2</v>
      </c>
      <c r="G19" s="85">
        <v>110</v>
      </c>
      <c r="H19" s="85" t="str">
        <f>нагрів!I17</f>
        <v>АС-150/34</v>
      </c>
      <c r="I19" s="85" t="s">
        <v>232</v>
      </c>
      <c r="J19" s="85">
        <f>'Таблиця 1-4'!E12</f>
        <v>7.2</v>
      </c>
      <c r="K19" s="85">
        <v>2</v>
      </c>
      <c r="L19" s="85">
        <f>J19*F19*K19</f>
        <v>103.68</v>
      </c>
    </row>
    <row r="20" spans="3:12" ht="15" customHeight="1" x14ac:dyDescent="0.25">
      <c r="C20" s="180"/>
      <c r="D20" s="180"/>
      <c r="E20" s="85" t="str">
        <f>'Таблиця 1-4'!D13</f>
        <v>Е-2</v>
      </c>
      <c r="F20" s="85">
        <f>'Таблиця 1-4'!E13</f>
        <v>8.3000000000000007</v>
      </c>
      <c r="G20" s="85">
        <v>110</v>
      </c>
      <c r="H20" s="85" t="str">
        <f>нагрів!I18</f>
        <v>АС-300/67</v>
      </c>
      <c r="I20" s="85" t="s">
        <v>232</v>
      </c>
      <c r="J20" s="85">
        <f>'Таблиця 1-4'!E13</f>
        <v>8.3000000000000007</v>
      </c>
      <c r="K20" s="85">
        <v>2</v>
      </c>
      <c r="L20" s="85">
        <f t="shared" ref="L20" si="10">J20*F20*K20</f>
        <v>137.78000000000003</v>
      </c>
    </row>
    <row r="21" spans="3:12" ht="15" customHeight="1" x14ac:dyDescent="0.25">
      <c r="C21" s="180"/>
      <c r="D21" s="114"/>
      <c r="E21" s="180"/>
      <c r="F21" s="180"/>
      <c r="G21" s="180"/>
      <c r="H21" s="180"/>
      <c r="I21" s="180"/>
      <c r="J21" s="180"/>
      <c r="K21" s="180"/>
      <c r="L21" s="85">
        <f>SUM(L18:L20)</f>
        <v>299.78000000000003</v>
      </c>
    </row>
    <row r="23" spans="3:12" ht="26.25" customHeight="1" x14ac:dyDescent="0.25"/>
    <row r="41" ht="18.75" customHeight="1" x14ac:dyDescent="0.25"/>
  </sheetData>
  <mergeCells count="47">
    <mergeCell ref="AL4:AL6"/>
    <mergeCell ref="AK7:AK8"/>
    <mergeCell ref="AS7:AS8"/>
    <mergeCell ref="AK9:AK10"/>
    <mergeCell ref="AS9:AS10"/>
    <mergeCell ref="E2:E4"/>
    <mergeCell ref="G2:G4"/>
    <mergeCell ref="H2:H4"/>
    <mergeCell ref="I2:I4"/>
    <mergeCell ref="AK4:AK6"/>
    <mergeCell ref="K2:K4"/>
    <mergeCell ref="L2:L4"/>
    <mergeCell ref="AB4:AB6"/>
    <mergeCell ref="AA7:AA8"/>
    <mergeCell ref="C14:C21"/>
    <mergeCell ref="D10:K10"/>
    <mergeCell ref="D17:K17"/>
    <mergeCell ref="D13:K13"/>
    <mergeCell ref="D21:K21"/>
    <mergeCell ref="D11:D12"/>
    <mergeCell ref="D14:D16"/>
    <mergeCell ref="D18:D20"/>
    <mergeCell ref="C2:C4"/>
    <mergeCell ref="F2:F4"/>
    <mergeCell ref="J2:J4"/>
    <mergeCell ref="D2:D4"/>
    <mergeCell ref="P4:P6"/>
    <mergeCell ref="Q4:Q6"/>
    <mergeCell ref="U4:U6"/>
    <mergeCell ref="O7:O8"/>
    <mergeCell ref="AA4:AA6"/>
    <mergeCell ref="C7:C13"/>
    <mergeCell ref="D5:D9"/>
    <mergeCell ref="AH4:AH6"/>
    <mergeCell ref="AI4:AI6"/>
    <mergeCell ref="AC4:AC6"/>
    <mergeCell ref="AD4:AD6"/>
    <mergeCell ref="AE4:AE6"/>
    <mergeCell ref="AF4:AF6"/>
    <mergeCell ref="AG4:AG6"/>
    <mergeCell ref="AD7:AD8"/>
    <mergeCell ref="AG7:AG8"/>
    <mergeCell ref="AA9:AA10"/>
    <mergeCell ref="AD9:AD10"/>
    <mergeCell ref="AG9:AG10"/>
    <mergeCell ref="O9:O10"/>
    <mergeCell ref="O4:O6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4577" r:id="rId4">
          <objectPr defaultSize="0" autoPict="0" r:id="rId5">
            <anchor moveWithCells="1" sizeWithCells="1">
              <from>
                <xdr:col>17</xdr:col>
                <xdr:colOff>104775</xdr:colOff>
                <xdr:row>3</xdr:row>
                <xdr:rowOff>133350</xdr:rowOff>
              </from>
              <to>
                <xdr:col>17</xdr:col>
                <xdr:colOff>428625</xdr:colOff>
                <xdr:row>3</xdr:row>
                <xdr:rowOff>447675</xdr:rowOff>
              </to>
            </anchor>
          </objectPr>
        </oleObject>
      </mc:Choice>
      <mc:Fallback>
        <oleObject progId="Equation.3" shapeId="24577" r:id="rId4"/>
      </mc:Fallback>
    </mc:AlternateContent>
    <mc:AlternateContent xmlns:mc="http://schemas.openxmlformats.org/markup-compatibility/2006">
      <mc:Choice Requires="x14">
        <oleObject progId="Equation.3" shapeId="24578" r:id="rId6">
          <objectPr defaultSize="0" autoPict="0" r:id="rId7">
            <anchor moveWithCells="1" sizeWithCells="1">
              <from>
                <xdr:col>18</xdr:col>
                <xdr:colOff>104775</xdr:colOff>
                <xdr:row>3</xdr:row>
                <xdr:rowOff>152400</xdr:rowOff>
              </from>
              <to>
                <xdr:col>18</xdr:col>
                <xdr:colOff>561975</xdr:colOff>
                <xdr:row>3</xdr:row>
                <xdr:rowOff>466725</xdr:rowOff>
              </to>
            </anchor>
          </objectPr>
        </oleObject>
      </mc:Choice>
      <mc:Fallback>
        <oleObject progId="Equation.3" shapeId="24578" r:id="rId6"/>
      </mc:Fallback>
    </mc:AlternateContent>
    <mc:AlternateContent xmlns:mc="http://schemas.openxmlformats.org/markup-compatibility/2006">
      <mc:Choice Requires="x14">
        <oleObject progId="Equation.3" shapeId="24579" r:id="rId8">
          <objectPr defaultSize="0" autoPict="0" r:id="rId9">
            <anchor moveWithCells="1" sizeWithCells="1">
              <from>
                <xdr:col>19</xdr:col>
                <xdr:colOff>57150</xdr:colOff>
                <xdr:row>3</xdr:row>
                <xdr:rowOff>104775</xdr:rowOff>
              </from>
              <to>
                <xdr:col>19</xdr:col>
                <xdr:colOff>419100</xdr:colOff>
                <xdr:row>3</xdr:row>
                <xdr:rowOff>419100</xdr:rowOff>
              </to>
            </anchor>
          </objectPr>
        </oleObject>
      </mc:Choice>
      <mc:Fallback>
        <oleObject progId="Equation.3" shapeId="24579" r:id="rId8"/>
      </mc:Fallback>
    </mc:AlternateContent>
    <mc:AlternateContent xmlns:mc="http://schemas.openxmlformats.org/markup-compatibility/2006">
      <mc:Choice Requires="x14">
        <oleObject progId="Equation.3" shapeId="24580" r:id="rId10">
          <objectPr defaultSize="0" autoPict="0" r:id="rId11">
            <anchor moveWithCells="1" sizeWithCells="1">
              <from>
                <xdr:col>21</xdr:col>
                <xdr:colOff>133350</xdr:colOff>
                <xdr:row>3</xdr:row>
                <xdr:rowOff>142875</xdr:rowOff>
              </from>
              <to>
                <xdr:col>21</xdr:col>
                <xdr:colOff>485775</xdr:colOff>
                <xdr:row>3</xdr:row>
                <xdr:rowOff>400050</xdr:rowOff>
              </to>
            </anchor>
          </objectPr>
        </oleObject>
      </mc:Choice>
      <mc:Fallback>
        <oleObject progId="Equation.3" shapeId="24580" r:id="rId10"/>
      </mc:Fallback>
    </mc:AlternateContent>
    <mc:AlternateContent xmlns:mc="http://schemas.openxmlformats.org/markup-compatibility/2006">
      <mc:Choice Requires="x14">
        <oleObject progId="Equation.3" shapeId="24581" r:id="rId12">
          <objectPr defaultSize="0" autoPict="0" r:id="rId13">
            <anchor moveWithCells="1" sizeWithCells="1">
              <from>
                <xdr:col>22</xdr:col>
                <xdr:colOff>85725</xdr:colOff>
                <xdr:row>3</xdr:row>
                <xdr:rowOff>104775</xdr:rowOff>
              </from>
              <to>
                <xdr:col>22</xdr:col>
                <xdr:colOff>552450</xdr:colOff>
                <xdr:row>3</xdr:row>
                <xdr:rowOff>381000</xdr:rowOff>
              </to>
            </anchor>
          </objectPr>
        </oleObject>
      </mc:Choice>
      <mc:Fallback>
        <oleObject progId="Equation.3" shapeId="24581" r:id="rId12"/>
      </mc:Fallback>
    </mc:AlternateContent>
    <mc:AlternateContent xmlns:mc="http://schemas.openxmlformats.org/markup-compatibility/2006">
      <mc:Choice Requires="x14">
        <oleObject progId="Equation.3" shapeId="24582" r:id="rId14">
          <objectPr defaultSize="0" autoPict="0" r:id="rId15">
            <anchor moveWithCells="1" sizeWithCells="1">
              <from>
                <xdr:col>23</xdr:col>
                <xdr:colOff>85725</xdr:colOff>
                <xdr:row>3</xdr:row>
                <xdr:rowOff>114300</xdr:rowOff>
              </from>
              <to>
                <xdr:col>23</xdr:col>
                <xdr:colOff>485775</xdr:colOff>
                <xdr:row>3</xdr:row>
                <xdr:rowOff>381000</xdr:rowOff>
              </to>
            </anchor>
          </objectPr>
        </oleObject>
      </mc:Choice>
      <mc:Fallback>
        <oleObject progId="Equation.3" shapeId="24582" r:id="rId14"/>
      </mc:Fallback>
    </mc:AlternateContent>
    <mc:AlternateContent xmlns:mc="http://schemas.openxmlformats.org/markup-compatibility/2006">
      <mc:Choice Requires="x14">
        <oleObject progId="Equation.3" shapeId="24600" r:id="rId16">
          <objectPr defaultSize="0" autoPict="0" r:id="rId17">
            <anchor moveWithCells="1" sizeWithCells="1">
              <from>
                <xdr:col>38</xdr:col>
                <xdr:colOff>161925</xdr:colOff>
                <xdr:row>3</xdr:row>
                <xdr:rowOff>171450</xdr:rowOff>
              </from>
              <to>
                <xdr:col>38</xdr:col>
                <xdr:colOff>523875</xdr:colOff>
                <xdr:row>3</xdr:row>
                <xdr:rowOff>419100</xdr:rowOff>
              </to>
            </anchor>
          </objectPr>
        </oleObject>
      </mc:Choice>
      <mc:Fallback>
        <oleObject progId="Equation.3" shapeId="24600" r:id="rId16"/>
      </mc:Fallback>
    </mc:AlternateContent>
    <mc:AlternateContent xmlns:mc="http://schemas.openxmlformats.org/markup-compatibility/2006">
      <mc:Choice Requires="x14">
        <oleObject progId="Equation.3" shapeId="24601" r:id="rId18">
          <objectPr defaultSize="0" autoPict="0" r:id="rId19">
            <anchor moveWithCells="1" sizeWithCells="1">
              <from>
                <xdr:col>39</xdr:col>
                <xdr:colOff>95250</xdr:colOff>
                <xdr:row>3</xdr:row>
                <xdr:rowOff>76200</xdr:rowOff>
              </from>
              <to>
                <xdr:col>39</xdr:col>
                <xdr:colOff>514350</xdr:colOff>
                <xdr:row>3</xdr:row>
                <xdr:rowOff>323850</xdr:rowOff>
              </to>
            </anchor>
          </objectPr>
        </oleObject>
      </mc:Choice>
      <mc:Fallback>
        <oleObject progId="Equation.3" shapeId="24601" r:id="rId18"/>
      </mc:Fallback>
    </mc:AlternateContent>
    <mc:AlternateContent xmlns:mc="http://schemas.openxmlformats.org/markup-compatibility/2006">
      <mc:Choice Requires="x14">
        <oleObject progId="Equation.3" shapeId="24602" r:id="rId20">
          <objectPr defaultSize="0" r:id="rId21">
            <anchor moveWithCells="1" sizeWithCells="1">
              <from>
                <xdr:col>40</xdr:col>
                <xdr:colOff>114300</xdr:colOff>
                <xdr:row>3</xdr:row>
                <xdr:rowOff>47625</xdr:rowOff>
              </from>
              <to>
                <xdr:col>40</xdr:col>
                <xdr:colOff>495300</xdr:colOff>
                <xdr:row>3</xdr:row>
                <xdr:rowOff>285750</xdr:rowOff>
              </to>
            </anchor>
          </objectPr>
        </oleObject>
      </mc:Choice>
      <mc:Fallback>
        <oleObject progId="Equation.3" shapeId="24602" r:id="rId20"/>
      </mc:Fallback>
    </mc:AlternateContent>
    <mc:AlternateContent xmlns:mc="http://schemas.openxmlformats.org/markup-compatibility/2006">
      <mc:Choice Requires="x14">
        <oleObject progId="Equation.3" shapeId="24603" r:id="rId22">
          <objectPr defaultSize="0" autoPict="0" r:id="rId23">
            <anchor moveWithCells="1" sizeWithCells="1">
              <from>
                <xdr:col>41</xdr:col>
                <xdr:colOff>133350</xdr:colOff>
                <xdr:row>3</xdr:row>
                <xdr:rowOff>95250</xdr:rowOff>
              </from>
              <to>
                <xdr:col>41</xdr:col>
                <xdr:colOff>533400</xdr:colOff>
                <xdr:row>3</xdr:row>
                <xdr:rowOff>352425</xdr:rowOff>
              </to>
            </anchor>
          </objectPr>
        </oleObject>
      </mc:Choice>
      <mc:Fallback>
        <oleObject progId="Equation.3" shapeId="24603" r:id="rId22"/>
      </mc:Fallback>
    </mc:AlternateContent>
    <mc:AlternateContent xmlns:mc="http://schemas.openxmlformats.org/markup-compatibility/2006">
      <mc:Choice Requires="x14">
        <oleObject progId="Equation.3" shapeId="24604" r:id="rId24">
          <objectPr defaultSize="0" autoPict="0" r:id="rId25">
            <anchor moveWithCells="1" sizeWithCells="1">
              <from>
                <xdr:col>42</xdr:col>
                <xdr:colOff>123825</xdr:colOff>
                <xdr:row>3</xdr:row>
                <xdr:rowOff>114300</xdr:rowOff>
              </from>
              <to>
                <xdr:col>42</xdr:col>
                <xdr:colOff>485775</xdr:colOff>
                <xdr:row>3</xdr:row>
                <xdr:rowOff>352425</xdr:rowOff>
              </to>
            </anchor>
          </objectPr>
        </oleObject>
      </mc:Choice>
      <mc:Fallback>
        <oleObject progId="Equation.3" shapeId="24604" r:id="rId24"/>
      </mc:Fallback>
    </mc:AlternateContent>
    <mc:AlternateContent xmlns:mc="http://schemas.openxmlformats.org/markup-compatibility/2006">
      <mc:Choice Requires="x14">
        <oleObject progId="Equation.3" shapeId="24605" r:id="rId26">
          <objectPr defaultSize="0" autoPict="0" r:id="rId27">
            <anchor moveWithCells="1" sizeWithCells="1">
              <from>
                <xdr:col>48</xdr:col>
                <xdr:colOff>104775</xdr:colOff>
                <xdr:row>3</xdr:row>
                <xdr:rowOff>104775</xdr:rowOff>
              </from>
              <to>
                <xdr:col>48</xdr:col>
                <xdr:colOff>466725</xdr:colOff>
                <xdr:row>3</xdr:row>
                <xdr:rowOff>361950</xdr:rowOff>
              </to>
            </anchor>
          </objectPr>
        </oleObject>
      </mc:Choice>
      <mc:Fallback>
        <oleObject progId="Equation.3" shapeId="24605" r:id="rId26"/>
      </mc:Fallback>
    </mc:AlternateContent>
    <mc:AlternateContent xmlns:mc="http://schemas.openxmlformats.org/markup-compatibility/2006">
      <mc:Choice Requires="x14">
        <oleObject progId="Equation.3" shapeId="24595" r:id="rId28">
          <objectPr defaultSize="0" autoPict="0" r:id="rId29">
            <anchor moveWithCells="1" sizeWithCells="1">
              <from>
                <xdr:col>29</xdr:col>
                <xdr:colOff>152400</xdr:colOff>
                <xdr:row>3</xdr:row>
                <xdr:rowOff>85725</xdr:rowOff>
              </from>
              <to>
                <xdr:col>29</xdr:col>
                <xdr:colOff>381000</xdr:colOff>
                <xdr:row>3</xdr:row>
                <xdr:rowOff>333375</xdr:rowOff>
              </to>
            </anchor>
          </objectPr>
        </oleObject>
      </mc:Choice>
      <mc:Fallback>
        <oleObject progId="Equation.3" shapeId="24595" r:id="rId28"/>
      </mc:Fallback>
    </mc:AlternateContent>
    <mc:AlternateContent xmlns:mc="http://schemas.openxmlformats.org/markup-compatibility/2006">
      <mc:Choice Requires="x14">
        <oleObject progId="Equation.3" shapeId="24596" r:id="rId30">
          <objectPr defaultSize="0" autoPict="0" r:id="rId31">
            <anchor moveWithCells="1" sizeWithCells="1">
              <from>
                <xdr:col>30</xdr:col>
                <xdr:colOff>161925</xdr:colOff>
                <xdr:row>3</xdr:row>
                <xdr:rowOff>47625</xdr:rowOff>
              </from>
              <to>
                <xdr:col>30</xdr:col>
                <xdr:colOff>523875</xdr:colOff>
                <xdr:row>3</xdr:row>
                <xdr:rowOff>323850</xdr:rowOff>
              </to>
            </anchor>
          </objectPr>
        </oleObject>
      </mc:Choice>
      <mc:Fallback>
        <oleObject progId="Equation.3" shapeId="24596" r:id="rId30"/>
      </mc:Fallback>
    </mc:AlternateContent>
    <mc:AlternateContent xmlns:mc="http://schemas.openxmlformats.org/markup-compatibility/2006">
      <mc:Choice Requires="x14">
        <oleObject progId="Equation.3" shapeId="24597" r:id="rId32">
          <objectPr defaultSize="0" autoPict="0" r:id="rId33">
            <anchor moveWithCells="1" sizeWithCells="1">
              <from>
                <xdr:col>32</xdr:col>
                <xdr:colOff>76200</xdr:colOff>
                <xdr:row>3</xdr:row>
                <xdr:rowOff>47625</xdr:rowOff>
              </from>
              <to>
                <xdr:col>32</xdr:col>
                <xdr:colOff>361950</xdr:colOff>
                <xdr:row>3</xdr:row>
                <xdr:rowOff>314325</xdr:rowOff>
              </to>
            </anchor>
          </objectPr>
        </oleObject>
      </mc:Choice>
      <mc:Fallback>
        <oleObject progId="Equation.3" shapeId="24597" r:id="rId32"/>
      </mc:Fallback>
    </mc:AlternateContent>
    <mc:AlternateContent xmlns:mc="http://schemas.openxmlformats.org/markup-compatibility/2006">
      <mc:Choice Requires="x14">
        <oleObject progId="Equation.3" shapeId="24598" r:id="rId34">
          <objectPr defaultSize="0" autoPict="0" r:id="rId35">
            <anchor moveWithCells="1" sizeWithCells="1">
              <from>
                <xdr:col>33</xdr:col>
                <xdr:colOff>76200</xdr:colOff>
                <xdr:row>3</xdr:row>
                <xdr:rowOff>28575</xdr:rowOff>
              </from>
              <to>
                <xdr:col>33</xdr:col>
                <xdr:colOff>390525</xdr:colOff>
                <xdr:row>3</xdr:row>
                <xdr:rowOff>285750</xdr:rowOff>
              </to>
            </anchor>
          </objectPr>
        </oleObject>
      </mc:Choice>
      <mc:Fallback>
        <oleObject progId="Equation.3" shapeId="24598" r:id="rId34"/>
      </mc:Fallback>
    </mc:AlternateContent>
    <mc:AlternateContent xmlns:mc="http://schemas.openxmlformats.org/markup-compatibility/2006">
      <mc:Choice Requires="x14">
        <oleObject progId="Equation.3" shapeId="24599" r:id="rId36">
          <objectPr defaultSize="0" autoPict="0" r:id="rId37">
            <anchor moveWithCells="1" sizeWithCells="1">
              <from>
                <xdr:col>34</xdr:col>
                <xdr:colOff>85725</xdr:colOff>
                <xdr:row>3</xdr:row>
                <xdr:rowOff>19050</xdr:rowOff>
              </from>
              <to>
                <xdr:col>34</xdr:col>
                <xdr:colOff>495300</xdr:colOff>
                <xdr:row>3</xdr:row>
                <xdr:rowOff>276225</xdr:rowOff>
              </to>
            </anchor>
          </objectPr>
        </oleObject>
      </mc:Choice>
      <mc:Fallback>
        <oleObject progId="Equation.3" shapeId="24599" r:id="rId36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W36"/>
  <sheetViews>
    <sheetView tabSelected="1" topLeftCell="A14" workbookViewId="0">
      <selection activeCell="D18" sqref="D18"/>
    </sheetView>
  </sheetViews>
  <sheetFormatPr defaultRowHeight="15" x14ac:dyDescent="0.25"/>
  <cols>
    <col min="4" max="4" width="19.85546875" customWidth="1"/>
    <col min="6" max="6" width="14" bestFit="1" customWidth="1"/>
    <col min="7" max="7" width="12.7109375" bestFit="1" customWidth="1"/>
    <col min="8" max="8" width="10.28515625" customWidth="1"/>
    <col min="9" max="9" width="14" bestFit="1" customWidth="1"/>
    <col min="12" max="12" width="10.28515625" bestFit="1" customWidth="1"/>
    <col min="13" max="13" width="14.7109375" customWidth="1"/>
    <col min="21" max="21" width="10.28515625" bestFit="1" customWidth="1"/>
  </cols>
  <sheetData>
    <row r="2" spans="1:23" ht="15.75" thickBot="1" x14ac:dyDescent="0.3"/>
    <row r="3" spans="1:23" ht="53.45" customHeight="1" x14ac:dyDescent="0.25">
      <c r="C3" s="96" t="s">
        <v>173</v>
      </c>
      <c r="D3" s="96" t="s">
        <v>272</v>
      </c>
      <c r="E3" s="126"/>
      <c r="F3" s="75" t="s">
        <v>235</v>
      </c>
      <c r="G3" s="75" t="s">
        <v>235</v>
      </c>
      <c r="H3" s="126"/>
      <c r="I3" s="75" t="s">
        <v>235</v>
      </c>
      <c r="J3" s="75" t="s">
        <v>235</v>
      </c>
      <c r="L3" s="88" t="s">
        <v>208</v>
      </c>
      <c r="M3" s="96" t="s">
        <v>116</v>
      </c>
      <c r="N3" s="75" t="s">
        <v>235</v>
      </c>
      <c r="O3" s="126"/>
      <c r="P3" s="75" t="s">
        <v>235</v>
      </c>
      <c r="Q3" s="75" t="s">
        <v>235</v>
      </c>
      <c r="R3" s="75" t="s">
        <v>235</v>
      </c>
      <c r="S3" s="75" t="s">
        <v>235</v>
      </c>
      <c r="T3" s="75" t="s">
        <v>235</v>
      </c>
      <c r="U3" s="75" t="s">
        <v>235</v>
      </c>
    </row>
    <row r="4" spans="1:23" ht="42" thickBot="1" x14ac:dyDescent="0.3">
      <c r="C4" s="98"/>
      <c r="D4" s="98"/>
      <c r="E4" s="127"/>
      <c r="F4" s="33" t="s">
        <v>97</v>
      </c>
      <c r="G4" s="33" t="s">
        <v>97</v>
      </c>
      <c r="H4" s="127"/>
      <c r="I4" s="33" t="s">
        <v>2</v>
      </c>
      <c r="J4" s="33" t="s">
        <v>2</v>
      </c>
      <c r="L4" s="89" t="s">
        <v>273</v>
      </c>
      <c r="M4" s="98"/>
      <c r="N4" s="33" t="s">
        <v>65</v>
      </c>
      <c r="O4" s="127"/>
      <c r="P4" s="33" t="s">
        <v>274</v>
      </c>
      <c r="Q4" s="33" t="s">
        <v>274</v>
      </c>
      <c r="R4" s="33" t="s">
        <v>275</v>
      </c>
      <c r="S4" s="33" t="s">
        <v>147</v>
      </c>
      <c r="T4" s="33" t="s">
        <v>147</v>
      </c>
      <c r="U4" s="33" t="s">
        <v>4</v>
      </c>
    </row>
    <row r="5" spans="1:23" ht="19.5" thickBot="1" x14ac:dyDescent="0.3">
      <c r="C5" s="89">
        <v>1</v>
      </c>
      <c r="D5" s="33">
        <v>2</v>
      </c>
      <c r="E5" s="33">
        <v>3</v>
      </c>
      <c r="F5" s="33">
        <v>4</v>
      </c>
      <c r="G5" s="33">
        <v>5</v>
      </c>
      <c r="H5" s="33">
        <v>6</v>
      </c>
      <c r="I5" s="33">
        <v>7</v>
      </c>
      <c r="J5" s="33">
        <v>8</v>
      </c>
      <c r="L5" s="89" t="str">
        <f>'[1]падіння напруги'!E30</f>
        <v>ДЖ-В</v>
      </c>
      <c r="M5" s="66" t="str">
        <f>'[1]падіння напруги'!F30</f>
        <v>АС-185/43</v>
      </c>
      <c r="N5" s="33">
        <f>'[1]падіння напруги'!G30</f>
        <v>23.3</v>
      </c>
      <c r="O5" s="33">
        <v>2</v>
      </c>
      <c r="P5" s="33">
        <f>'[1]падіння напруги'!H30</f>
        <v>0.16200000000000001</v>
      </c>
      <c r="Q5" s="33">
        <f>'[1]падіння напруги'!I30</f>
        <v>0.41299999999999998</v>
      </c>
      <c r="R5" s="33">
        <v>2.75</v>
      </c>
      <c r="S5" s="33">
        <f>ROUND(P5*N5/O5,2)</f>
        <v>1.89</v>
      </c>
      <c r="T5" s="33">
        <f>ROUND(Q5*N5/O5,2)</f>
        <v>4.8099999999999996</v>
      </c>
      <c r="U5" s="33">
        <f>ROUND(R5*10^-6*N5*O5*V5^2,2)</f>
        <v>1.55</v>
      </c>
      <c r="V5">
        <v>110</v>
      </c>
      <c r="W5" t="s">
        <v>276</v>
      </c>
    </row>
    <row r="6" spans="1:23" ht="19.5" thickBot="1" x14ac:dyDescent="0.3">
      <c r="A6" t="s">
        <v>277</v>
      </c>
      <c r="C6" s="89" t="str">
        <f>[1]Трансформатори!C27</f>
        <v>Б</v>
      </c>
      <c r="D6" s="33" t="str">
        <f>[1]Трансформатори!G27</f>
        <v>ТМН-6300/35</v>
      </c>
      <c r="E6" s="33">
        <v>2</v>
      </c>
      <c r="F6" s="33">
        <v>6.3</v>
      </c>
      <c r="G6" s="183" t="e">
        <f>IMABS([1]Трансформатори!F27)</f>
        <v>#NUM!</v>
      </c>
      <c r="H6" s="184" t="e">
        <f>G6/F6/E6</f>
        <v>#NUM!</v>
      </c>
      <c r="I6" s="33">
        <v>8.0000000000000002E-3</v>
      </c>
      <c r="J6" s="33">
        <v>4.65E-2</v>
      </c>
      <c r="L6" s="89" t="str">
        <f>'[1]падіння напруги'!E31</f>
        <v>В-А</v>
      </c>
      <c r="M6" s="66" t="str">
        <f>'[1]падіння напруги'!F31</f>
        <v>АС-150/34</v>
      </c>
      <c r="N6" s="33">
        <f>'[1]падіння напруги'!G31</f>
        <v>6.6</v>
      </c>
      <c r="O6" s="33">
        <v>2</v>
      </c>
      <c r="P6" s="33">
        <f>'[1]падіння напруги'!H31</f>
        <v>0.19800000000000001</v>
      </c>
      <c r="Q6" s="33">
        <f>'[1]падіння напруги'!I31</f>
        <v>0.42</v>
      </c>
      <c r="R6" s="33">
        <v>2.7</v>
      </c>
      <c r="S6" s="33">
        <f>ROUND(P6*N6/O6,2)</f>
        <v>0.65</v>
      </c>
      <c r="T6" s="33">
        <f>ROUND(Q6*N6/O6,2)</f>
        <v>1.39</v>
      </c>
      <c r="U6" s="33">
        <f>ROUND(R6*10^-6*N6*O6*V6^2,2)</f>
        <v>0.43</v>
      </c>
      <c r="V6">
        <v>110</v>
      </c>
    </row>
    <row r="7" spans="1:23" ht="19.5" thickBot="1" x14ac:dyDescent="0.3">
      <c r="A7" t="s">
        <v>278</v>
      </c>
      <c r="C7" s="89" t="str">
        <f>[1]Трансформатори!C28</f>
        <v>В</v>
      </c>
      <c r="D7" s="33" t="s">
        <v>279</v>
      </c>
      <c r="E7" s="33">
        <v>2</v>
      </c>
      <c r="F7" s="33">
        <v>16</v>
      </c>
      <c r="G7" s="183" t="e">
        <f>IMABS([1]Трансформатори!F28)</f>
        <v>#NUM!</v>
      </c>
      <c r="H7" s="184" t="e">
        <f t="shared" ref="H7:H10" si="0">G7/F7/E7</f>
        <v>#NUM!</v>
      </c>
      <c r="I7" s="33">
        <v>1.7999999999999999E-2</v>
      </c>
      <c r="J7" s="33">
        <v>8.5000000000000006E-2</v>
      </c>
      <c r="L7" s="89" t="str">
        <f>'[1]падіння напруги'!E12</f>
        <v>ВП-3</v>
      </c>
      <c r="M7" s="66" t="str">
        <f>'[1]падіння напруги'!F12</f>
        <v>АС-150/34</v>
      </c>
      <c r="N7" s="33">
        <f>'[1]падіння напруги'!G12</f>
        <v>6.6</v>
      </c>
      <c r="O7" s="33">
        <v>2</v>
      </c>
      <c r="P7" s="33">
        <f>'[1]падіння напруги'!H12</f>
        <v>0.19800000000000001</v>
      </c>
      <c r="Q7" s="33">
        <f>'[1]падіння напруги'!I12</f>
        <v>0.40600000000000003</v>
      </c>
      <c r="R7" s="33">
        <v>0</v>
      </c>
      <c r="S7" s="33">
        <f t="shared" ref="S7:S12" si="1">ROUND(P7*N7/O7,2)</f>
        <v>0.65</v>
      </c>
      <c r="T7" s="33">
        <f t="shared" ref="T7:T12" si="2">ROUND(Q7*N7/O7,2)</f>
        <v>1.34</v>
      </c>
      <c r="U7" s="33">
        <f t="shared" ref="U7:U12" si="3">ROUND(R7*10^-6*N7*O7*V7^2,2)</f>
        <v>0</v>
      </c>
      <c r="V7">
        <v>35</v>
      </c>
    </row>
    <row r="8" spans="1:23" ht="19.5" thickBot="1" x14ac:dyDescent="0.3">
      <c r="A8" t="s">
        <v>277</v>
      </c>
      <c r="C8" s="89" t="str">
        <f>[1]Трансформатори!C29</f>
        <v>Г</v>
      </c>
      <c r="D8" s="33" t="str">
        <f>[1]Трансформатори!G29</f>
        <v>ТМН-6300/35</v>
      </c>
      <c r="E8" s="33">
        <v>2</v>
      </c>
      <c r="F8" s="33">
        <v>6.3</v>
      </c>
      <c r="G8" s="183" t="e">
        <f>IMABS([1]Трансформатори!F29)</f>
        <v>#NUM!</v>
      </c>
      <c r="H8" s="184" t="e">
        <f t="shared" si="0"/>
        <v>#NUM!</v>
      </c>
      <c r="I8" s="33">
        <v>8.0000000000000002E-3</v>
      </c>
      <c r="J8" s="33">
        <v>4.65E-2</v>
      </c>
      <c r="L8" s="89" t="str">
        <f>'[1]падіння напруги'!E13</f>
        <v>3-Б</v>
      </c>
      <c r="M8" s="66" t="str">
        <f>'[1]падіння напруги'!F13</f>
        <v>АС-150/34</v>
      </c>
      <c r="N8" s="33">
        <f>'[1]падіння напруги'!G13</f>
        <v>1.8</v>
      </c>
      <c r="O8" s="33">
        <v>2</v>
      </c>
      <c r="P8" s="33">
        <f>'[1]падіння напруги'!H13</f>
        <v>0.19800000000000001</v>
      </c>
      <c r="Q8" s="33">
        <f>'[1]падіння напруги'!I13</f>
        <v>0.40600000000000003</v>
      </c>
      <c r="R8" s="33">
        <v>0</v>
      </c>
      <c r="S8" s="33">
        <f t="shared" si="1"/>
        <v>0.18</v>
      </c>
      <c r="T8" s="33">
        <f t="shared" si="2"/>
        <v>0.37</v>
      </c>
      <c r="U8" s="33">
        <f t="shared" si="3"/>
        <v>0</v>
      </c>
    </row>
    <row r="9" spans="1:23" ht="19.5" thickBot="1" x14ac:dyDescent="0.3">
      <c r="A9" t="s">
        <v>280</v>
      </c>
      <c r="C9" s="89" t="str">
        <f>[1]Трансформатори!C30</f>
        <v>Д</v>
      </c>
      <c r="D9" s="33" t="str">
        <f>[1]Трансформатори!G30</f>
        <v>ТМН-4000/35</v>
      </c>
      <c r="E9" s="33">
        <v>2</v>
      </c>
      <c r="F9" s="33">
        <v>4</v>
      </c>
      <c r="G9" s="183" t="e">
        <f>IMABS([1]Трансформатори!F30)</f>
        <v>#NUM!</v>
      </c>
      <c r="H9" s="184" t="e">
        <f t="shared" si="0"/>
        <v>#NUM!</v>
      </c>
      <c r="I9" s="33">
        <v>5.5999999999999999E-3</v>
      </c>
      <c r="J9" s="33">
        <v>3.3500000000000002E-2</v>
      </c>
      <c r="L9" s="89" t="str">
        <f>'[1]падіння напруги'!E14</f>
        <v>3-Д</v>
      </c>
      <c r="M9" s="66" t="str">
        <f>'[1]падіння напруги'!F14</f>
        <v>АС-150/34</v>
      </c>
      <c r="N9" s="33">
        <f>'[1]падіння напруги'!G14</f>
        <v>7.8</v>
      </c>
      <c r="O9" s="33">
        <v>2</v>
      </c>
      <c r="P9" s="33">
        <f>'[1]падіння напруги'!H14</f>
        <v>0.19800000000000001</v>
      </c>
      <c r="Q9" s="33">
        <f>'[1]падіння напруги'!I14</f>
        <v>0.40600000000000003</v>
      </c>
      <c r="R9" s="33">
        <v>0</v>
      </c>
      <c r="S9" s="33">
        <f t="shared" si="1"/>
        <v>0.77</v>
      </c>
      <c r="T9" s="33">
        <f t="shared" si="2"/>
        <v>1.58</v>
      </c>
      <c r="U9" s="33">
        <f t="shared" si="3"/>
        <v>0</v>
      </c>
    </row>
    <row r="10" spans="1:23" ht="19.5" thickBot="1" x14ac:dyDescent="0.3">
      <c r="A10" t="s">
        <v>280</v>
      </c>
      <c r="C10" s="89" t="str">
        <f>[1]Трансформатори!C31</f>
        <v>Е</v>
      </c>
      <c r="D10" s="33" t="str">
        <f>[1]Трансформатори!G31</f>
        <v>ТМН-4000/35</v>
      </c>
      <c r="E10" s="33">
        <v>2</v>
      </c>
      <c r="F10" s="33">
        <v>4</v>
      </c>
      <c r="G10" s="183" t="e">
        <f>IMABS([1]Трансформатори!F31)</f>
        <v>#NUM!</v>
      </c>
      <c r="H10" s="184" t="e">
        <f t="shared" si="0"/>
        <v>#NUM!</v>
      </c>
      <c r="I10" s="33">
        <v>5.5999999999999999E-3</v>
      </c>
      <c r="J10" s="33">
        <v>3.3500000000000002E-2</v>
      </c>
      <c r="L10" s="89" t="str">
        <f>'[1]падіння напруги'!E25</f>
        <v>ВП-2</v>
      </c>
      <c r="M10" s="66" t="str">
        <f>'[1]падіння напруги'!F25</f>
        <v>АС-150/34</v>
      </c>
      <c r="N10" s="33">
        <f>'[1]падіння напруги'!G25</f>
        <v>8.1999999999999993</v>
      </c>
      <c r="O10" s="33">
        <v>2</v>
      </c>
      <c r="P10" s="33">
        <f>'[1]падіння напруги'!H25</f>
        <v>0.19800000000000001</v>
      </c>
      <c r="Q10" s="33">
        <f>'[1]падіння напруги'!I25</f>
        <v>0.40600000000000003</v>
      </c>
      <c r="R10" s="33">
        <v>0</v>
      </c>
      <c r="S10" s="33">
        <f t="shared" si="1"/>
        <v>0.81</v>
      </c>
      <c r="T10" s="33">
        <f t="shared" si="2"/>
        <v>1.66</v>
      </c>
      <c r="U10" s="33">
        <f t="shared" si="3"/>
        <v>0</v>
      </c>
    </row>
    <row r="11" spans="1:23" ht="19.5" thickBot="1" x14ac:dyDescent="0.3">
      <c r="L11" s="89" t="str">
        <f>'[1]падіння напруги'!E26</f>
        <v>2-Г</v>
      </c>
      <c r="M11" s="66" t="str">
        <f>'[1]падіння напруги'!F26</f>
        <v>АС-120/27</v>
      </c>
      <c r="N11" s="33">
        <f>'[1]падіння напруги'!G26</f>
        <v>4</v>
      </c>
      <c r="O11" s="33">
        <v>2</v>
      </c>
      <c r="P11" s="33">
        <f>'[1]падіння напруги'!H26</f>
        <v>0.249</v>
      </c>
      <c r="Q11" s="33">
        <f>'[1]падіння напруги'!I26</f>
        <v>0.41399999999999998</v>
      </c>
      <c r="R11" s="33">
        <v>0</v>
      </c>
      <c r="S11" s="33">
        <f t="shared" si="1"/>
        <v>0.5</v>
      </c>
      <c r="T11" s="33">
        <f t="shared" si="2"/>
        <v>0.83</v>
      </c>
      <c r="U11" s="33">
        <f t="shared" si="3"/>
        <v>0</v>
      </c>
    </row>
    <row r="12" spans="1:23" ht="19.5" thickBot="1" x14ac:dyDescent="0.3">
      <c r="C12" s="96" t="s">
        <v>173</v>
      </c>
      <c r="D12" s="75" t="s">
        <v>235</v>
      </c>
      <c r="E12" s="75" t="s">
        <v>235</v>
      </c>
      <c r="F12" s="75" t="s">
        <v>235</v>
      </c>
      <c r="G12" s="75" t="s">
        <v>235</v>
      </c>
      <c r="H12" s="75" t="s">
        <v>235</v>
      </c>
      <c r="I12" s="75" t="s">
        <v>235</v>
      </c>
      <c r="J12" s="75" t="s">
        <v>235</v>
      </c>
      <c r="K12" s="75" t="s">
        <v>235</v>
      </c>
      <c r="L12" s="89" t="str">
        <f>'[1]падіння напруги'!E27</f>
        <v>2-Е</v>
      </c>
      <c r="M12" s="66" t="str">
        <f>'[1]падіння напруги'!F27</f>
        <v>АС-120/27</v>
      </c>
      <c r="N12" s="33">
        <f>'[1]падіння напруги'!G27</f>
        <v>8.4</v>
      </c>
      <c r="O12" s="33">
        <v>2</v>
      </c>
      <c r="P12" s="33">
        <f>'[1]падіння напруги'!H27</f>
        <v>0.249</v>
      </c>
      <c r="Q12" s="33">
        <f>'[1]падіння напруги'!I27</f>
        <v>0.41399999999999998</v>
      </c>
      <c r="R12" s="33">
        <v>0</v>
      </c>
      <c r="S12" s="33">
        <f t="shared" si="1"/>
        <v>1.05</v>
      </c>
      <c r="T12" s="33">
        <f t="shared" si="2"/>
        <v>1.74</v>
      </c>
      <c r="U12" s="33">
        <f t="shared" si="3"/>
        <v>0</v>
      </c>
    </row>
    <row r="13" spans="1:23" ht="19.5" thickBot="1" x14ac:dyDescent="0.3">
      <c r="C13" s="98"/>
      <c r="D13" s="33" t="s">
        <v>270</v>
      </c>
      <c r="E13" s="33" t="s">
        <v>270</v>
      </c>
      <c r="F13" s="33" t="s">
        <v>147</v>
      </c>
      <c r="G13" s="33" t="s">
        <v>147</v>
      </c>
      <c r="H13" s="33" t="s">
        <v>2</v>
      </c>
      <c r="I13" s="33" t="s">
        <v>2</v>
      </c>
      <c r="J13" s="33" t="s">
        <v>4</v>
      </c>
      <c r="K13" s="33" t="s">
        <v>4</v>
      </c>
    </row>
    <row r="14" spans="1:23" ht="19.5" thickBot="1" x14ac:dyDescent="0.3">
      <c r="C14" s="89">
        <v>9</v>
      </c>
      <c r="D14" s="33">
        <v>10</v>
      </c>
      <c r="E14" s="33">
        <v>11</v>
      </c>
      <c r="F14" s="33">
        <v>12</v>
      </c>
      <c r="G14" s="33">
        <v>13</v>
      </c>
      <c r="H14" s="33">
        <v>14</v>
      </c>
      <c r="I14" s="33">
        <v>15</v>
      </c>
      <c r="J14" s="33">
        <v>16</v>
      </c>
      <c r="K14" s="33">
        <v>17</v>
      </c>
    </row>
    <row r="15" spans="1:23" ht="19.5" thickBot="1" x14ac:dyDescent="0.3">
      <c r="B15">
        <v>35</v>
      </c>
      <c r="C15" s="89" t="str">
        <f>C6</f>
        <v>Б</v>
      </c>
      <c r="D15" s="33">
        <v>0.8</v>
      </c>
      <c r="E15" s="33">
        <v>7.5</v>
      </c>
      <c r="F15" s="33">
        <f>ROUND(J6*B15^2/F6^2/E6,2)</f>
        <v>0.72</v>
      </c>
      <c r="G15" s="33">
        <f>ROUND(E15/100*B15^2/F6/E6,2)</f>
        <v>7.29</v>
      </c>
      <c r="H15" s="33">
        <f>ROUND(E6*I6,3)</f>
        <v>1.6E-2</v>
      </c>
      <c r="I15" s="33" t="e">
        <f>ROUND(G6^2/B15^2*F15,3)</f>
        <v>#NUM!</v>
      </c>
      <c r="J15" s="185">
        <f>ROUND(D15/100*F6*E6,3)</f>
        <v>0.10100000000000001</v>
      </c>
      <c r="K15" s="33" t="e">
        <f>ROUND(G6^2/B15^2*G15,3)</f>
        <v>#NUM!</v>
      </c>
    </row>
    <row r="16" spans="1:23" ht="19.5" thickBot="1" x14ac:dyDescent="0.3">
      <c r="B16">
        <v>115</v>
      </c>
      <c r="C16" s="89" t="str">
        <f t="shared" ref="C16:C19" si="4">C7</f>
        <v>В</v>
      </c>
      <c r="D16" s="33">
        <v>0.7</v>
      </c>
      <c r="E16" s="33">
        <v>10.5</v>
      </c>
      <c r="F16" s="33">
        <f t="shared" ref="F16:F19" si="5">ROUND(J7*B16^2/F7^2/E7,2)</f>
        <v>2.2000000000000002</v>
      </c>
      <c r="G16" s="33">
        <f t="shared" ref="G16:G19" si="6">ROUND(E16/100*B16^2/F7/E7,2)</f>
        <v>43.39</v>
      </c>
      <c r="H16" s="33">
        <f t="shared" ref="H16:H19" si="7">ROUND(E7*I7,3)</f>
        <v>3.5999999999999997E-2</v>
      </c>
      <c r="I16" s="33" t="e">
        <f t="shared" ref="I16:I19" si="8">ROUND(G7^2/B16^2*F16,3)</f>
        <v>#NUM!</v>
      </c>
      <c r="J16" s="185">
        <f t="shared" ref="J16:J19" si="9">ROUND(D16/100*F7*E7,3)</f>
        <v>0.224</v>
      </c>
      <c r="K16" s="33" t="e">
        <f t="shared" ref="K16:K19" si="10">ROUND(G7^2/B16^2*G16,3)</f>
        <v>#NUM!</v>
      </c>
    </row>
    <row r="17" spans="1:14" ht="19.5" thickBot="1" x14ac:dyDescent="0.3">
      <c r="B17">
        <v>35</v>
      </c>
      <c r="C17" s="89" t="str">
        <f t="shared" si="4"/>
        <v>Г</v>
      </c>
      <c r="D17" s="33">
        <v>0.8</v>
      </c>
      <c r="E17" s="33">
        <v>7.5</v>
      </c>
      <c r="F17" s="33">
        <f t="shared" si="5"/>
        <v>0.72</v>
      </c>
      <c r="G17" s="33">
        <f t="shared" si="6"/>
        <v>7.29</v>
      </c>
      <c r="H17" s="33">
        <f t="shared" si="7"/>
        <v>1.6E-2</v>
      </c>
      <c r="I17" s="33" t="e">
        <f t="shared" si="8"/>
        <v>#NUM!</v>
      </c>
      <c r="J17" s="185">
        <f t="shared" si="9"/>
        <v>0.10100000000000001</v>
      </c>
      <c r="K17" s="33" t="e">
        <f t="shared" si="10"/>
        <v>#NUM!</v>
      </c>
    </row>
    <row r="18" spans="1:14" ht="19.5" thickBot="1" x14ac:dyDescent="0.3">
      <c r="B18">
        <v>35</v>
      </c>
      <c r="C18" s="89" t="str">
        <f t="shared" si="4"/>
        <v>Д</v>
      </c>
      <c r="D18" s="33">
        <v>0.9</v>
      </c>
      <c r="E18" s="33">
        <v>7.5</v>
      </c>
      <c r="F18" s="33">
        <f t="shared" si="5"/>
        <v>1.28</v>
      </c>
      <c r="G18" s="33">
        <f t="shared" si="6"/>
        <v>11.48</v>
      </c>
      <c r="H18" s="33">
        <f t="shared" si="7"/>
        <v>1.0999999999999999E-2</v>
      </c>
      <c r="I18" s="33" t="e">
        <f t="shared" si="8"/>
        <v>#NUM!</v>
      </c>
      <c r="J18" s="185">
        <f t="shared" si="9"/>
        <v>7.1999999999999995E-2</v>
      </c>
      <c r="K18" s="33" t="e">
        <f t="shared" si="10"/>
        <v>#NUM!</v>
      </c>
    </row>
    <row r="19" spans="1:14" ht="19.5" thickBot="1" x14ac:dyDescent="0.3">
      <c r="B19">
        <v>35</v>
      </c>
      <c r="C19" s="89" t="str">
        <f t="shared" si="4"/>
        <v>Е</v>
      </c>
      <c r="D19" s="33">
        <v>0.9</v>
      </c>
      <c r="E19" s="33">
        <v>7.5</v>
      </c>
      <c r="F19" s="33">
        <f t="shared" si="5"/>
        <v>1.28</v>
      </c>
      <c r="G19" s="33">
        <f t="shared" si="6"/>
        <v>11.48</v>
      </c>
      <c r="H19" s="33">
        <f t="shared" si="7"/>
        <v>1.0999999999999999E-2</v>
      </c>
      <c r="I19" s="33" t="e">
        <f t="shared" si="8"/>
        <v>#NUM!</v>
      </c>
      <c r="J19" s="185">
        <f t="shared" si="9"/>
        <v>7.1999999999999995E-2</v>
      </c>
      <c r="K19" s="33" t="e">
        <f t="shared" si="10"/>
        <v>#NUM!</v>
      </c>
    </row>
    <row r="25" spans="1:14" ht="15.75" thickBot="1" x14ac:dyDescent="0.3"/>
    <row r="26" spans="1:14" ht="19.5" thickTop="1" x14ac:dyDescent="0.25">
      <c r="C26" s="186" t="s">
        <v>173</v>
      </c>
      <c r="D26" s="150" t="s">
        <v>272</v>
      </c>
      <c r="E26" s="187" t="s">
        <v>235</v>
      </c>
      <c r="F26" s="188"/>
      <c r="G26" s="187" t="s">
        <v>235</v>
      </c>
      <c r="H26" s="187" t="s">
        <v>235</v>
      </c>
      <c r="I26" s="187" t="s">
        <v>235</v>
      </c>
      <c r="J26" s="187" t="s">
        <v>235</v>
      </c>
      <c r="K26" s="189" t="s">
        <v>235</v>
      </c>
    </row>
    <row r="27" spans="1:14" ht="19.5" thickBot="1" x14ac:dyDescent="0.3">
      <c r="C27" s="190"/>
      <c r="D27" s="191"/>
      <c r="E27" s="192" t="s">
        <v>97</v>
      </c>
      <c r="F27" s="193"/>
      <c r="G27" s="192" t="s">
        <v>2</v>
      </c>
      <c r="H27" s="192" t="s">
        <v>270</v>
      </c>
      <c r="I27" s="192" t="s">
        <v>2</v>
      </c>
      <c r="J27" s="192" t="s">
        <v>4</v>
      </c>
      <c r="K27" s="194" t="s">
        <v>2</v>
      </c>
    </row>
    <row r="28" spans="1:14" ht="20.25" thickTop="1" thickBot="1" x14ac:dyDescent="0.3">
      <c r="C28" s="195">
        <v>1</v>
      </c>
      <c r="D28" s="196">
        <v>2</v>
      </c>
      <c r="E28" s="196">
        <v>3</v>
      </c>
      <c r="F28" s="196">
        <v>4</v>
      </c>
      <c r="G28" s="196">
        <v>5</v>
      </c>
      <c r="H28" s="196">
        <v>6</v>
      </c>
      <c r="I28" s="196">
        <v>7</v>
      </c>
      <c r="J28" s="196">
        <v>8</v>
      </c>
      <c r="K28" s="194">
        <v>9</v>
      </c>
    </row>
    <row r="29" spans="1:14" ht="39" thickTop="1" thickBot="1" x14ac:dyDescent="0.3">
      <c r="A29">
        <v>115</v>
      </c>
      <c r="C29" s="197" t="s">
        <v>281</v>
      </c>
      <c r="D29" s="198" t="str">
        <f>[1]Трансформатори!G26</f>
        <v>ТДТН-25000/110/35</v>
      </c>
      <c r="E29" s="198">
        <v>25</v>
      </c>
      <c r="F29" s="198">
        <v>2</v>
      </c>
      <c r="G29" s="198">
        <v>2.8500000000000001E-2</v>
      </c>
      <c r="H29" s="198">
        <v>0.7</v>
      </c>
      <c r="I29" s="198">
        <f>F29*G29</f>
        <v>5.7000000000000002E-2</v>
      </c>
      <c r="J29" s="198">
        <f>H29/100*E29*F29</f>
        <v>0.35</v>
      </c>
      <c r="K29" s="194">
        <v>0.14000000000000001</v>
      </c>
      <c r="L29" t="s">
        <v>282</v>
      </c>
    </row>
    <row r="30" spans="1:14" ht="15.75" thickTop="1" x14ac:dyDescent="0.25"/>
    <row r="31" spans="1:14" ht="15.75" thickBot="1" x14ac:dyDescent="0.3"/>
    <row r="32" spans="1:14" ht="39" thickTop="1" thickBot="1" x14ac:dyDescent="0.3">
      <c r="C32" s="199" t="s">
        <v>173</v>
      </c>
      <c r="D32" s="187" t="s">
        <v>147</v>
      </c>
      <c r="E32" s="187" t="s">
        <v>147</v>
      </c>
      <c r="F32" s="187" t="s">
        <v>270</v>
      </c>
      <c r="G32" s="187" t="s">
        <v>270</v>
      </c>
      <c r="H32" s="187" t="s">
        <v>270</v>
      </c>
      <c r="I32" s="187" t="s">
        <v>270</v>
      </c>
      <c r="J32" s="187" t="s">
        <v>270</v>
      </c>
      <c r="K32" s="187" t="s">
        <v>270</v>
      </c>
      <c r="L32" s="187" t="s">
        <v>147</v>
      </c>
      <c r="M32" s="187" t="s">
        <v>147</v>
      </c>
      <c r="N32" s="200" t="s">
        <v>147</v>
      </c>
    </row>
    <row r="33" spans="1:14" ht="20.25" thickTop="1" thickBot="1" x14ac:dyDescent="0.3">
      <c r="C33" s="201">
        <v>10</v>
      </c>
      <c r="D33" s="196">
        <v>11</v>
      </c>
      <c r="E33" s="196">
        <v>12</v>
      </c>
      <c r="F33" s="196">
        <v>13</v>
      </c>
      <c r="G33" s="196">
        <v>14</v>
      </c>
      <c r="H33" s="196">
        <v>15</v>
      </c>
      <c r="I33" s="196">
        <v>16</v>
      </c>
      <c r="J33" s="196">
        <v>17</v>
      </c>
      <c r="K33" s="196">
        <v>18</v>
      </c>
      <c r="L33" s="196">
        <v>19</v>
      </c>
      <c r="M33" s="196">
        <v>20</v>
      </c>
      <c r="N33" s="194">
        <v>21</v>
      </c>
    </row>
    <row r="34" spans="1:14" ht="20.25" thickTop="1" thickBot="1" x14ac:dyDescent="0.3">
      <c r="A34" t="s">
        <v>283</v>
      </c>
      <c r="C34" s="202" t="s">
        <v>281</v>
      </c>
      <c r="D34" s="203">
        <f>K29/2/F29*A29^2/E29^2</f>
        <v>0.74060000000000004</v>
      </c>
      <c r="E34" s="203">
        <f>D34</f>
        <v>0.74060000000000004</v>
      </c>
      <c r="F34" s="204">
        <v>17.5</v>
      </c>
      <c r="G34" s="204">
        <v>10.5</v>
      </c>
      <c r="H34" s="204">
        <v>6.5</v>
      </c>
      <c r="I34" s="204">
        <f>0.5*(F34+G34-H34)</f>
        <v>10.75</v>
      </c>
      <c r="J34" s="205">
        <v>0</v>
      </c>
      <c r="K34" s="204">
        <f>0.5*(-G34+H34+F34)</f>
        <v>6.75</v>
      </c>
      <c r="L34" s="206">
        <f>ROUND(I34/100/F29*A29^2/E29,2)</f>
        <v>28.43</v>
      </c>
      <c r="M34" s="204">
        <f>J34</f>
        <v>0</v>
      </c>
      <c r="N34" s="207">
        <f>ROUND(K34/100/F29*A29^2/E29,2)</f>
        <v>17.850000000000001</v>
      </c>
    </row>
    <row r="35" spans="1:14" ht="20.25" thickTop="1" thickBot="1" x14ac:dyDescent="0.3">
      <c r="J35" s="204">
        <f>0.5*(G34+H34-F34)</f>
        <v>-0.25</v>
      </c>
    </row>
    <row r="36" spans="1:14" ht="15.75" thickTop="1" x14ac:dyDescent="0.25"/>
  </sheetData>
  <mergeCells count="10">
    <mergeCell ref="C12:C13"/>
    <mergeCell ref="C26:C27"/>
    <mergeCell ref="D26:D27"/>
    <mergeCell ref="F26:F27"/>
    <mergeCell ref="C3:C4"/>
    <mergeCell ref="D3:D4"/>
    <mergeCell ref="E3:E4"/>
    <mergeCell ref="H3:H4"/>
    <mergeCell ref="M3:M4"/>
    <mergeCell ref="O3:O4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3793" r:id="rId4">
          <objectPr defaultSize="0" autoPict="0" r:id="rId5">
            <anchor moveWithCells="1" sizeWithCells="1">
              <from>
                <xdr:col>4</xdr:col>
                <xdr:colOff>0</xdr:colOff>
                <xdr:row>2</xdr:row>
                <xdr:rowOff>0</xdr:rowOff>
              </from>
              <to>
                <xdr:col>4</xdr:col>
                <xdr:colOff>190500</xdr:colOff>
                <xdr:row>2</xdr:row>
                <xdr:rowOff>209550</xdr:rowOff>
              </to>
            </anchor>
          </objectPr>
        </oleObject>
      </mc:Choice>
      <mc:Fallback>
        <oleObject progId="Equation.3" shapeId="33793" r:id="rId4"/>
      </mc:Fallback>
    </mc:AlternateContent>
    <mc:AlternateContent xmlns:mc="http://schemas.openxmlformats.org/markup-compatibility/2006">
      <mc:Choice Requires="x14">
        <oleObject progId="Equation.3" shapeId="33794" r:id="rId6">
          <objectPr defaultSize="0" autoPict="0" r:id="rId7">
            <anchor moveWithCells="1" sizeWithCells="1">
              <from>
                <xdr:col>5</xdr:col>
                <xdr:colOff>0</xdr:colOff>
                <xdr:row>2</xdr:row>
                <xdr:rowOff>0</xdr:rowOff>
              </from>
              <to>
                <xdr:col>5</xdr:col>
                <xdr:colOff>438150</xdr:colOff>
                <xdr:row>2</xdr:row>
                <xdr:rowOff>228600</xdr:rowOff>
              </to>
            </anchor>
          </objectPr>
        </oleObject>
      </mc:Choice>
      <mc:Fallback>
        <oleObject progId="Equation.3" shapeId="33794" r:id="rId6"/>
      </mc:Fallback>
    </mc:AlternateContent>
    <mc:AlternateContent xmlns:mc="http://schemas.openxmlformats.org/markup-compatibility/2006">
      <mc:Choice Requires="x14">
        <oleObject progId="Equation.3" shapeId="33795" r:id="rId8">
          <objectPr defaultSize="0" autoPict="0" r:id="rId9">
            <anchor moveWithCells="1" sizeWithCells="1">
              <from>
                <xdr:col>6</xdr:col>
                <xdr:colOff>0</xdr:colOff>
                <xdr:row>2</xdr:row>
                <xdr:rowOff>0</xdr:rowOff>
              </from>
              <to>
                <xdr:col>6</xdr:col>
                <xdr:colOff>247650</xdr:colOff>
                <xdr:row>2</xdr:row>
                <xdr:rowOff>247650</xdr:rowOff>
              </to>
            </anchor>
          </objectPr>
        </oleObject>
      </mc:Choice>
      <mc:Fallback>
        <oleObject progId="Equation.3" shapeId="33795" r:id="rId8"/>
      </mc:Fallback>
    </mc:AlternateContent>
    <mc:AlternateContent xmlns:mc="http://schemas.openxmlformats.org/markup-compatibility/2006">
      <mc:Choice Requires="x14">
        <oleObject progId="Equation.3" shapeId="33796" r:id="rId10">
          <objectPr defaultSize="0" autoPict="0" r:id="rId11">
            <anchor moveWithCells="1" sizeWithCells="1">
              <from>
                <xdr:col>7</xdr:col>
                <xdr:colOff>0</xdr:colOff>
                <xdr:row>2</xdr:row>
                <xdr:rowOff>0</xdr:rowOff>
              </from>
              <to>
                <xdr:col>7</xdr:col>
                <xdr:colOff>209550</xdr:colOff>
                <xdr:row>2</xdr:row>
                <xdr:rowOff>228600</xdr:rowOff>
              </to>
            </anchor>
          </objectPr>
        </oleObject>
      </mc:Choice>
      <mc:Fallback>
        <oleObject progId="Equation.3" shapeId="33796" r:id="rId10"/>
      </mc:Fallback>
    </mc:AlternateContent>
    <mc:AlternateContent xmlns:mc="http://schemas.openxmlformats.org/markup-compatibility/2006">
      <mc:Choice Requires="x14">
        <oleObject progId="Equation.3" shapeId="33797" r:id="rId12">
          <objectPr defaultSize="0" autoPict="0" r:id="rId13">
            <anchor moveWithCells="1" sizeWithCells="1">
              <from>
                <xdr:col>8</xdr:col>
                <xdr:colOff>0</xdr:colOff>
                <xdr:row>2</xdr:row>
                <xdr:rowOff>0</xdr:rowOff>
              </from>
              <to>
                <xdr:col>8</xdr:col>
                <xdr:colOff>342900</xdr:colOff>
                <xdr:row>2</xdr:row>
                <xdr:rowOff>209550</xdr:rowOff>
              </to>
            </anchor>
          </objectPr>
        </oleObject>
      </mc:Choice>
      <mc:Fallback>
        <oleObject progId="Equation.3" shapeId="33797" r:id="rId12"/>
      </mc:Fallback>
    </mc:AlternateContent>
    <mc:AlternateContent xmlns:mc="http://schemas.openxmlformats.org/markup-compatibility/2006">
      <mc:Choice Requires="x14">
        <oleObject progId="Equation.3" shapeId="33798" r:id="rId14">
          <objectPr defaultSize="0" autoPict="0" r:id="rId15">
            <anchor moveWithCells="1" sizeWithCells="1">
              <from>
                <xdr:col>9</xdr:col>
                <xdr:colOff>0</xdr:colOff>
                <xdr:row>2</xdr:row>
                <xdr:rowOff>0</xdr:rowOff>
              </from>
              <to>
                <xdr:col>9</xdr:col>
                <xdr:colOff>285750</xdr:colOff>
                <xdr:row>2</xdr:row>
                <xdr:rowOff>209550</xdr:rowOff>
              </to>
            </anchor>
          </objectPr>
        </oleObject>
      </mc:Choice>
      <mc:Fallback>
        <oleObject progId="Equation.3" shapeId="33798" r:id="rId14"/>
      </mc:Fallback>
    </mc:AlternateContent>
    <mc:AlternateContent xmlns:mc="http://schemas.openxmlformats.org/markup-compatibility/2006">
      <mc:Choice Requires="x14">
        <oleObject progId="Equation.3" shapeId="33799" r:id="rId16">
          <objectPr defaultSize="0" autoPict="0" r:id="rId17">
            <anchor moveWithCells="1" sizeWithCells="1">
              <from>
                <xdr:col>13</xdr:col>
                <xdr:colOff>0</xdr:colOff>
                <xdr:row>2</xdr:row>
                <xdr:rowOff>0</xdr:rowOff>
              </from>
              <to>
                <xdr:col>13</xdr:col>
                <xdr:colOff>95250</xdr:colOff>
                <xdr:row>2</xdr:row>
                <xdr:rowOff>171450</xdr:rowOff>
              </to>
            </anchor>
          </objectPr>
        </oleObject>
      </mc:Choice>
      <mc:Fallback>
        <oleObject progId="Equation.3" shapeId="33799" r:id="rId16"/>
      </mc:Fallback>
    </mc:AlternateContent>
    <mc:AlternateContent xmlns:mc="http://schemas.openxmlformats.org/markup-compatibility/2006">
      <mc:Choice Requires="x14">
        <oleObject progId="Equation.3" shapeId="33800" r:id="rId18">
          <objectPr defaultSize="0" autoPict="0" r:id="rId19">
            <anchor moveWithCells="1" sizeWithCells="1">
              <from>
                <xdr:col>14</xdr:col>
                <xdr:colOff>0</xdr:colOff>
                <xdr:row>2</xdr:row>
                <xdr:rowOff>0</xdr:rowOff>
              </from>
              <to>
                <xdr:col>14</xdr:col>
                <xdr:colOff>133350</xdr:colOff>
                <xdr:row>2</xdr:row>
                <xdr:rowOff>152400</xdr:rowOff>
              </to>
            </anchor>
          </objectPr>
        </oleObject>
      </mc:Choice>
      <mc:Fallback>
        <oleObject progId="Equation.3" shapeId="33800" r:id="rId18"/>
      </mc:Fallback>
    </mc:AlternateContent>
    <mc:AlternateContent xmlns:mc="http://schemas.openxmlformats.org/markup-compatibility/2006">
      <mc:Choice Requires="x14">
        <oleObject progId="Equation.3" shapeId="33801" r:id="rId20">
          <objectPr defaultSize="0" autoPict="0" r:id="rId21">
            <anchor moveWithCells="1" sizeWithCells="1">
              <from>
                <xdr:col>15</xdr:col>
                <xdr:colOff>0</xdr:colOff>
                <xdr:row>2</xdr:row>
                <xdr:rowOff>0</xdr:rowOff>
              </from>
              <to>
                <xdr:col>15</xdr:col>
                <xdr:colOff>171450</xdr:colOff>
                <xdr:row>2</xdr:row>
                <xdr:rowOff>247650</xdr:rowOff>
              </to>
            </anchor>
          </objectPr>
        </oleObject>
      </mc:Choice>
      <mc:Fallback>
        <oleObject progId="Equation.3" shapeId="33801" r:id="rId20"/>
      </mc:Fallback>
    </mc:AlternateContent>
    <mc:AlternateContent xmlns:mc="http://schemas.openxmlformats.org/markup-compatibility/2006">
      <mc:Choice Requires="x14">
        <oleObject progId="Equation.3" shapeId="33802" r:id="rId22">
          <objectPr defaultSize="0" autoPict="0" r:id="rId23">
            <anchor moveWithCells="1" sizeWithCells="1">
              <from>
                <xdr:col>16</xdr:col>
                <xdr:colOff>0</xdr:colOff>
                <xdr:row>2</xdr:row>
                <xdr:rowOff>0</xdr:rowOff>
              </from>
              <to>
                <xdr:col>16</xdr:col>
                <xdr:colOff>209550</xdr:colOff>
                <xdr:row>2</xdr:row>
                <xdr:rowOff>247650</xdr:rowOff>
              </to>
            </anchor>
          </objectPr>
        </oleObject>
      </mc:Choice>
      <mc:Fallback>
        <oleObject progId="Equation.3" shapeId="33802" r:id="rId22"/>
      </mc:Fallback>
    </mc:AlternateContent>
    <mc:AlternateContent xmlns:mc="http://schemas.openxmlformats.org/markup-compatibility/2006">
      <mc:Choice Requires="x14">
        <oleObject progId="Equation.3" shapeId="33803" r:id="rId24">
          <objectPr defaultSize="0" autoPict="0" r:id="rId25">
            <anchor moveWithCells="1" sizeWithCells="1">
              <from>
                <xdr:col>17</xdr:col>
                <xdr:colOff>0</xdr:colOff>
                <xdr:row>2</xdr:row>
                <xdr:rowOff>0</xdr:rowOff>
              </from>
              <to>
                <xdr:col>17</xdr:col>
                <xdr:colOff>190500</xdr:colOff>
                <xdr:row>2</xdr:row>
                <xdr:rowOff>247650</xdr:rowOff>
              </to>
            </anchor>
          </objectPr>
        </oleObject>
      </mc:Choice>
      <mc:Fallback>
        <oleObject progId="Equation.3" shapeId="33803" r:id="rId24"/>
      </mc:Fallback>
    </mc:AlternateContent>
    <mc:AlternateContent xmlns:mc="http://schemas.openxmlformats.org/markup-compatibility/2006">
      <mc:Choice Requires="x14">
        <oleObject progId="Equation.3" shapeId="33804" r:id="rId26">
          <objectPr defaultSize="0" autoPict="0" r:id="rId27">
            <anchor moveWithCells="1" sizeWithCells="1">
              <from>
                <xdr:col>18</xdr:col>
                <xdr:colOff>0</xdr:colOff>
                <xdr:row>2</xdr:row>
                <xdr:rowOff>0</xdr:rowOff>
              </from>
              <to>
                <xdr:col>18</xdr:col>
                <xdr:colOff>228600</xdr:colOff>
                <xdr:row>2</xdr:row>
                <xdr:rowOff>247650</xdr:rowOff>
              </to>
            </anchor>
          </objectPr>
        </oleObject>
      </mc:Choice>
      <mc:Fallback>
        <oleObject progId="Equation.3" shapeId="33804" r:id="rId26"/>
      </mc:Fallback>
    </mc:AlternateContent>
    <mc:AlternateContent xmlns:mc="http://schemas.openxmlformats.org/markup-compatibility/2006">
      <mc:Choice Requires="x14">
        <oleObject progId="Equation.3" shapeId="33805" r:id="rId28">
          <objectPr defaultSize="0" autoPict="0" r:id="rId29">
            <anchor moveWithCells="1" sizeWithCells="1">
              <from>
                <xdr:col>19</xdr:col>
                <xdr:colOff>0</xdr:colOff>
                <xdr:row>2</xdr:row>
                <xdr:rowOff>0</xdr:rowOff>
              </from>
              <to>
                <xdr:col>19</xdr:col>
                <xdr:colOff>266700</xdr:colOff>
                <xdr:row>2</xdr:row>
                <xdr:rowOff>247650</xdr:rowOff>
              </to>
            </anchor>
          </objectPr>
        </oleObject>
      </mc:Choice>
      <mc:Fallback>
        <oleObject progId="Equation.3" shapeId="33805" r:id="rId28"/>
      </mc:Fallback>
    </mc:AlternateContent>
    <mc:AlternateContent xmlns:mc="http://schemas.openxmlformats.org/markup-compatibility/2006">
      <mc:Choice Requires="x14">
        <oleObject progId="Equation.3" shapeId="33806" r:id="rId30">
          <objectPr defaultSize="0" autoPict="0" r:id="rId31">
            <anchor moveWithCells="1" sizeWithCells="1">
              <from>
                <xdr:col>20</xdr:col>
                <xdr:colOff>0</xdr:colOff>
                <xdr:row>2</xdr:row>
                <xdr:rowOff>0</xdr:rowOff>
              </from>
              <to>
                <xdr:col>20</xdr:col>
                <xdr:colOff>266700</xdr:colOff>
                <xdr:row>2</xdr:row>
                <xdr:rowOff>228600</xdr:rowOff>
              </to>
            </anchor>
          </objectPr>
        </oleObject>
      </mc:Choice>
      <mc:Fallback>
        <oleObject progId="Equation.3" shapeId="33806" r:id="rId30"/>
      </mc:Fallback>
    </mc:AlternateContent>
    <mc:AlternateContent xmlns:mc="http://schemas.openxmlformats.org/markup-compatibility/2006">
      <mc:Choice Requires="x14">
        <oleObject progId="Equation.3" shapeId="33807" r:id="rId32">
          <objectPr defaultSize="0" autoPict="0" r:id="rId33">
            <anchor moveWithCells="1" sizeWithCells="1">
              <from>
                <xdr:col>3</xdr:col>
                <xdr:colOff>0</xdr:colOff>
                <xdr:row>11</xdr:row>
                <xdr:rowOff>0</xdr:rowOff>
              </from>
              <to>
                <xdr:col>3</xdr:col>
                <xdr:colOff>257175</xdr:colOff>
                <xdr:row>11</xdr:row>
                <xdr:rowOff>209550</xdr:rowOff>
              </to>
            </anchor>
          </objectPr>
        </oleObject>
      </mc:Choice>
      <mc:Fallback>
        <oleObject progId="Equation.3" shapeId="33807" r:id="rId32"/>
      </mc:Fallback>
    </mc:AlternateContent>
    <mc:AlternateContent xmlns:mc="http://schemas.openxmlformats.org/markup-compatibility/2006">
      <mc:Choice Requires="x14">
        <oleObject progId="Equation.3" shapeId="33808" r:id="rId34">
          <objectPr defaultSize="0" autoPict="0" r:id="rId35">
            <anchor moveWithCells="1" sizeWithCells="1">
              <from>
                <xdr:col>4</xdr:col>
                <xdr:colOff>0</xdr:colOff>
                <xdr:row>11</xdr:row>
                <xdr:rowOff>0</xdr:rowOff>
              </from>
              <to>
                <xdr:col>4</xdr:col>
                <xdr:colOff>228600</xdr:colOff>
                <xdr:row>11</xdr:row>
                <xdr:rowOff>209550</xdr:rowOff>
              </to>
            </anchor>
          </objectPr>
        </oleObject>
      </mc:Choice>
      <mc:Fallback>
        <oleObject progId="Equation.3" shapeId="33808" r:id="rId34"/>
      </mc:Fallback>
    </mc:AlternateContent>
    <mc:AlternateContent xmlns:mc="http://schemas.openxmlformats.org/markup-compatibility/2006">
      <mc:Choice Requires="x14">
        <oleObject progId="Equation.3" shapeId="33809" r:id="rId36">
          <objectPr defaultSize="0" autoPict="0" r:id="rId37">
            <anchor moveWithCells="1" sizeWithCells="1">
              <from>
                <xdr:col>5</xdr:col>
                <xdr:colOff>0</xdr:colOff>
                <xdr:row>11</xdr:row>
                <xdr:rowOff>0</xdr:rowOff>
              </from>
              <to>
                <xdr:col>5</xdr:col>
                <xdr:colOff>257175</xdr:colOff>
                <xdr:row>11</xdr:row>
                <xdr:rowOff>209550</xdr:rowOff>
              </to>
            </anchor>
          </objectPr>
        </oleObject>
      </mc:Choice>
      <mc:Fallback>
        <oleObject progId="Equation.3" shapeId="33809" r:id="rId36"/>
      </mc:Fallback>
    </mc:AlternateContent>
    <mc:AlternateContent xmlns:mc="http://schemas.openxmlformats.org/markup-compatibility/2006">
      <mc:Choice Requires="x14">
        <oleObject progId="Equation.3" shapeId="33810" r:id="rId38">
          <objectPr defaultSize="0" autoPict="0" r:id="rId39">
            <anchor moveWithCells="1" sizeWithCells="1">
              <from>
                <xdr:col>6</xdr:col>
                <xdr:colOff>0</xdr:colOff>
                <xdr:row>11</xdr:row>
                <xdr:rowOff>0</xdr:rowOff>
              </from>
              <to>
                <xdr:col>6</xdr:col>
                <xdr:colOff>285750</xdr:colOff>
                <xdr:row>11</xdr:row>
                <xdr:rowOff>209550</xdr:rowOff>
              </to>
            </anchor>
          </objectPr>
        </oleObject>
      </mc:Choice>
      <mc:Fallback>
        <oleObject progId="Equation.3" shapeId="33810" r:id="rId38"/>
      </mc:Fallback>
    </mc:AlternateContent>
    <mc:AlternateContent xmlns:mc="http://schemas.openxmlformats.org/markup-compatibility/2006">
      <mc:Choice Requires="x14">
        <oleObject progId="Equation.3" shapeId="33811" r:id="rId40">
          <objectPr defaultSize="0" autoPict="0" r:id="rId41">
            <anchor moveWithCells="1" sizeWithCells="1">
              <from>
                <xdr:col>7</xdr:col>
                <xdr:colOff>0</xdr:colOff>
                <xdr:row>11</xdr:row>
                <xdr:rowOff>0</xdr:rowOff>
              </from>
              <to>
                <xdr:col>7</xdr:col>
                <xdr:colOff>333375</xdr:colOff>
                <xdr:row>11</xdr:row>
                <xdr:rowOff>228600</xdr:rowOff>
              </to>
            </anchor>
          </objectPr>
        </oleObject>
      </mc:Choice>
      <mc:Fallback>
        <oleObject progId="Equation.3" shapeId="33811" r:id="rId40"/>
      </mc:Fallback>
    </mc:AlternateContent>
    <mc:AlternateContent xmlns:mc="http://schemas.openxmlformats.org/markup-compatibility/2006">
      <mc:Choice Requires="x14">
        <oleObject progId="Equation.3" shapeId="33812" r:id="rId42">
          <objectPr defaultSize="0" autoPict="0" r:id="rId43">
            <anchor moveWithCells="1" sizeWithCells="1">
              <from>
                <xdr:col>8</xdr:col>
                <xdr:colOff>0</xdr:colOff>
                <xdr:row>11</xdr:row>
                <xdr:rowOff>0</xdr:rowOff>
              </from>
              <to>
                <xdr:col>8</xdr:col>
                <xdr:colOff>400050</xdr:colOff>
                <xdr:row>12</xdr:row>
                <xdr:rowOff>19050</xdr:rowOff>
              </to>
            </anchor>
          </objectPr>
        </oleObject>
      </mc:Choice>
      <mc:Fallback>
        <oleObject progId="Equation.3" shapeId="33812" r:id="rId42"/>
      </mc:Fallback>
    </mc:AlternateContent>
    <mc:AlternateContent xmlns:mc="http://schemas.openxmlformats.org/markup-compatibility/2006">
      <mc:Choice Requires="x14">
        <oleObject progId="Equation.3" shapeId="33813" r:id="rId44">
          <objectPr defaultSize="0" autoPict="0" r:id="rId45">
            <anchor moveWithCells="1" sizeWithCells="1">
              <from>
                <xdr:col>9</xdr:col>
                <xdr:colOff>0</xdr:colOff>
                <xdr:row>11</xdr:row>
                <xdr:rowOff>0</xdr:rowOff>
              </from>
              <to>
                <xdr:col>9</xdr:col>
                <xdr:colOff>361950</xdr:colOff>
                <xdr:row>11</xdr:row>
                <xdr:rowOff>228600</xdr:rowOff>
              </to>
            </anchor>
          </objectPr>
        </oleObject>
      </mc:Choice>
      <mc:Fallback>
        <oleObject progId="Equation.3" shapeId="33813" r:id="rId44"/>
      </mc:Fallback>
    </mc:AlternateContent>
    <mc:AlternateContent xmlns:mc="http://schemas.openxmlformats.org/markup-compatibility/2006">
      <mc:Choice Requires="x14">
        <oleObject progId="Equation.3" shapeId="33814" r:id="rId46">
          <objectPr defaultSize="0" autoPict="0" r:id="rId47">
            <anchor moveWithCells="1" sizeWithCells="1">
              <from>
                <xdr:col>10</xdr:col>
                <xdr:colOff>0</xdr:colOff>
                <xdr:row>11</xdr:row>
                <xdr:rowOff>0</xdr:rowOff>
              </from>
              <to>
                <xdr:col>10</xdr:col>
                <xdr:colOff>428625</xdr:colOff>
                <xdr:row>12</xdr:row>
                <xdr:rowOff>19050</xdr:rowOff>
              </to>
            </anchor>
          </objectPr>
        </oleObject>
      </mc:Choice>
      <mc:Fallback>
        <oleObject progId="Equation.3" shapeId="33814" r:id="rId46"/>
      </mc:Fallback>
    </mc:AlternateContent>
    <mc:AlternateContent xmlns:mc="http://schemas.openxmlformats.org/markup-compatibility/2006">
      <mc:Choice Requires="x14">
        <oleObject progId="Equation.DSMT4" shapeId="33815" r:id="rId48">
          <objectPr defaultSize="0" autoPict="0" r:id="rId49">
            <anchor moveWithCells="1" sizeWithCells="1">
              <from>
                <xdr:col>12</xdr:col>
                <xdr:colOff>0</xdr:colOff>
                <xdr:row>14</xdr:row>
                <xdr:rowOff>38100</xdr:rowOff>
              </from>
              <to>
                <xdr:col>13</xdr:col>
                <xdr:colOff>314325</xdr:colOff>
                <xdr:row>16</xdr:row>
                <xdr:rowOff>114300</xdr:rowOff>
              </to>
            </anchor>
          </objectPr>
        </oleObject>
      </mc:Choice>
      <mc:Fallback>
        <oleObject progId="Equation.DSMT4" shapeId="33815" r:id="rId48"/>
      </mc:Fallback>
    </mc:AlternateContent>
    <mc:AlternateContent xmlns:mc="http://schemas.openxmlformats.org/markup-compatibility/2006">
      <mc:Choice Requires="x14">
        <oleObject progId="Equation.DSMT4" shapeId="33816" r:id="rId50">
          <objectPr defaultSize="0" autoPict="0" r:id="rId51">
            <anchor moveWithCells="1" sizeWithCells="1">
              <from>
                <xdr:col>14</xdr:col>
                <xdr:colOff>0</xdr:colOff>
                <xdr:row>15</xdr:row>
                <xdr:rowOff>0</xdr:rowOff>
              </from>
              <to>
                <xdr:col>16</xdr:col>
                <xdr:colOff>76200</xdr:colOff>
                <xdr:row>17</xdr:row>
                <xdr:rowOff>76200</xdr:rowOff>
              </to>
            </anchor>
          </objectPr>
        </oleObject>
      </mc:Choice>
      <mc:Fallback>
        <oleObject progId="Equation.DSMT4" shapeId="33816" r:id="rId50"/>
      </mc:Fallback>
    </mc:AlternateContent>
    <mc:AlternateContent xmlns:mc="http://schemas.openxmlformats.org/markup-compatibility/2006">
      <mc:Choice Requires="x14">
        <oleObject progId="Equation.DSMT4" shapeId="33817" r:id="rId52">
          <objectPr defaultSize="0" autoPict="0" r:id="rId53">
            <anchor moveWithCells="1" sizeWithCells="1">
              <from>
                <xdr:col>12</xdr:col>
                <xdr:colOff>0</xdr:colOff>
                <xdr:row>18</xdr:row>
                <xdr:rowOff>0</xdr:rowOff>
              </from>
              <to>
                <xdr:col>16</xdr:col>
                <xdr:colOff>542925</xdr:colOff>
                <xdr:row>20</xdr:row>
                <xdr:rowOff>171450</xdr:rowOff>
              </to>
            </anchor>
          </objectPr>
        </oleObject>
      </mc:Choice>
      <mc:Fallback>
        <oleObject progId="Equation.DSMT4" shapeId="33817" r:id="rId52"/>
      </mc:Fallback>
    </mc:AlternateContent>
    <mc:AlternateContent xmlns:mc="http://schemas.openxmlformats.org/markup-compatibility/2006">
      <mc:Choice Requires="x14">
        <oleObject progId="Equation.3" shapeId="33818" r:id="rId54">
          <objectPr defaultSize="0" autoPict="0" r:id="rId55">
            <anchor moveWithCells="1" sizeWithCells="1">
              <from>
                <xdr:col>4</xdr:col>
                <xdr:colOff>0</xdr:colOff>
                <xdr:row>25</xdr:row>
                <xdr:rowOff>0</xdr:rowOff>
              </from>
              <to>
                <xdr:col>4</xdr:col>
                <xdr:colOff>361950</xdr:colOff>
                <xdr:row>26</xdr:row>
                <xdr:rowOff>9525</xdr:rowOff>
              </to>
            </anchor>
          </objectPr>
        </oleObject>
      </mc:Choice>
      <mc:Fallback>
        <oleObject progId="Equation.3" shapeId="33818" r:id="rId54"/>
      </mc:Fallback>
    </mc:AlternateContent>
    <mc:AlternateContent xmlns:mc="http://schemas.openxmlformats.org/markup-compatibility/2006">
      <mc:Choice Requires="x14">
        <oleObject progId="Equation.3" shapeId="33819" r:id="rId56">
          <objectPr defaultSize="0" autoPict="0" r:id="rId57">
            <anchor moveWithCells="1" sizeWithCells="1">
              <from>
                <xdr:col>5</xdr:col>
                <xdr:colOff>0</xdr:colOff>
                <xdr:row>25</xdr:row>
                <xdr:rowOff>0</xdr:rowOff>
              </from>
              <to>
                <xdr:col>5</xdr:col>
                <xdr:colOff>209550</xdr:colOff>
                <xdr:row>26</xdr:row>
                <xdr:rowOff>9525</xdr:rowOff>
              </to>
            </anchor>
          </objectPr>
        </oleObject>
      </mc:Choice>
      <mc:Fallback>
        <oleObject progId="Equation.3" shapeId="33819" r:id="rId56"/>
      </mc:Fallback>
    </mc:AlternateContent>
    <mc:AlternateContent xmlns:mc="http://schemas.openxmlformats.org/markup-compatibility/2006">
      <mc:Choice Requires="x14">
        <oleObject progId="Equation.3" shapeId="33820" r:id="rId58">
          <objectPr defaultSize="0" autoPict="0" r:id="rId13">
            <anchor moveWithCells="1" sizeWithCells="1">
              <from>
                <xdr:col>6</xdr:col>
                <xdr:colOff>0</xdr:colOff>
                <xdr:row>25</xdr:row>
                <xdr:rowOff>0</xdr:rowOff>
              </from>
              <to>
                <xdr:col>6</xdr:col>
                <xdr:colOff>400050</xdr:colOff>
                <xdr:row>26</xdr:row>
                <xdr:rowOff>19050</xdr:rowOff>
              </to>
            </anchor>
          </objectPr>
        </oleObject>
      </mc:Choice>
      <mc:Fallback>
        <oleObject progId="Equation.3" shapeId="33820" r:id="rId58"/>
      </mc:Fallback>
    </mc:AlternateContent>
    <mc:AlternateContent xmlns:mc="http://schemas.openxmlformats.org/markup-compatibility/2006">
      <mc:Choice Requires="x14">
        <oleObject progId="Equation.3" shapeId="33821" r:id="rId59">
          <objectPr defaultSize="0" autoPict="0" r:id="rId60">
            <anchor moveWithCells="1" sizeWithCells="1">
              <from>
                <xdr:col>7</xdr:col>
                <xdr:colOff>0</xdr:colOff>
                <xdr:row>25</xdr:row>
                <xdr:rowOff>0</xdr:rowOff>
              </from>
              <to>
                <xdr:col>7</xdr:col>
                <xdr:colOff>314325</xdr:colOff>
                <xdr:row>26</xdr:row>
                <xdr:rowOff>19050</xdr:rowOff>
              </to>
            </anchor>
          </objectPr>
        </oleObject>
      </mc:Choice>
      <mc:Fallback>
        <oleObject progId="Equation.3" shapeId="33821" r:id="rId59"/>
      </mc:Fallback>
    </mc:AlternateContent>
    <mc:AlternateContent xmlns:mc="http://schemas.openxmlformats.org/markup-compatibility/2006">
      <mc:Choice Requires="x14">
        <oleObject progId="Equation.3" shapeId="33822" r:id="rId61">
          <objectPr defaultSize="0" autoPict="0" r:id="rId62">
            <anchor moveWithCells="1" sizeWithCells="1">
              <from>
                <xdr:col>8</xdr:col>
                <xdr:colOff>0</xdr:colOff>
                <xdr:row>25</xdr:row>
                <xdr:rowOff>0</xdr:rowOff>
              </from>
              <to>
                <xdr:col>8</xdr:col>
                <xdr:colOff>361950</xdr:colOff>
                <xdr:row>26</xdr:row>
                <xdr:rowOff>9525</xdr:rowOff>
              </to>
            </anchor>
          </objectPr>
        </oleObject>
      </mc:Choice>
      <mc:Fallback>
        <oleObject progId="Equation.3" shapeId="33822" r:id="rId61"/>
      </mc:Fallback>
    </mc:AlternateContent>
    <mc:AlternateContent xmlns:mc="http://schemas.openxmlformats.org/markup-compatibility/2006">
      <mc:Choice Requires="x14">
        <oleObject progId="Equation.3" shapeId="33823" r:id="rId63">
          <objectPr defaultSize="0" autoPict="0" r:id="rId64">
            <anchor moveWithCells="1" sizeWithCells="1">
              <from>
                <xdr:col>9</xdr:col>
                <xdr:colOff>0</xdr:colOff>
                <xdr:row>25</xdr:row>
                <xdr:rowOff>0</xdr:rowOff>
              </from>
              <to>
                <xdr:col>9</xdr:col>
                <xdr:colOff>400050</xdr:colOff>
                <xdr:row>26</xdr:row>
                <xdr:rowOff>9525</xdr:rowOff>
              </to>
            </anchor>
          </objectPr>
        </oleObject>
      </mc:Choice>
      <mc:Fallback>
        <oleObject progId="Equation.3" shapeId="33823" r:id="rId63"/>
      </mc:Fallback>
    </mc:AlternateContent>
    <mc:AlternateContent xmlns:mc="http://schemas.openxmlformats.org/markup-compatibility/2006">
      <mc:Choice Requires="x14">
        <oleObject progId="Equation.3" shapeId="33824" r:id="rId65">
          <objectPr defaultSize="0" autoPict="0" r:id="rId66">
            <anchor moveWithCells="1" sizeWithCells="1">
              <from>
                <xdr:col>10</xdr:col>
                <xdr:colOff>0</xdr:colOff>
                <xdr:row>25</xdr:row>
                <xdr:rowOff>0</xdr:rowOff>
              </from>
              <to>
                <xdr:col>10</xdr:col>
                <xdr:colOff>304800</xdr:colOff>
                <xdr:row>26</xdr:row>
                <xdr:rowOff>9525</xdr:rowOff>
              </to>
            </anchor>
          </objectPr>
        </oleObject>
      </mc:Choice>
      <mc:Fallback>
        <oleObject progId="Equation.3" shapeId="33824" r:id="rId65"/>
      </mc:Fallback>
    </mc:AlternateContent>
    <mc:AlternateContent xmlns:mc="http://schemas.openxmlformats.org/markup-compatibility/2006">
      <mc:Choice Requires="x14">
        <oleObject progId="Equation.3" shapeId="33825" r:id="rId67">
          <objectPr defaultSize="0" autoPict="0" r:id="rId68">
            <anchor moveWithCells="1" sizeWithCells="1">
              <from>
                <xdr:col>3</xdr:col>
                <xdr:colOff>0</xdr:colOff>
                <xdr:row>31</xdr:row>
                <xdr:rowOff>0</xdr:rowOff>
              </from>
              <to>
                <xdr:col>3</xdr:col>
                <xdr:colOff>638175</xdr:colOff>
                <xdr:row>31</xdr:row>
                <xdr:rowOff>257175</xdr:rowOff>
              </to>
            </anchor>
          </objectPr>
        </oleObject>
      </mc:Choice>
      <mc:Fallback>
        <oleObject progId="Equation.3" shapeId="33825" r:id="rId67"/>
      </mc:Fallback>
    </mc:AlternateContent>
    <mc:AlternateContent xmlns:mc="http://schemas.openxmlformats.org/markup-compatibility/2006">
      <mc:Choice Requires="x14">
        <oleObject progId="Equation.3" shapeId="33826" r:id="rId69">
          <objectPr defaultSize="0" autoPict="0" r:id="rId70">
            <anchor moveWithCells="1" sizeWithCells="1">
              <from>
                <xdr:col>4</xdr:col>
                <xdr:colOff>0</xdr:colOff>
                <xdr:row>31</xdr:row>
                <xdr:rowOff>0</xdr:rowOff>
              </from>
              <to>
                <xdr:col>4</xdr:col>
                <xdr:colOff>247650</xdr:colOff>
                <xdr:row>31</xdr:row>
                <xdr:rowOff>266700</xdr:rowOff>
              </to>
            </anchor>
          </objectPr>
        </oleObject>
      </mc:Choice>
      <mc:Fallback>
        <oleObject progId="Equation.3" shapeId="33826" r:id="rId69"/>
      </mc:Fallback>
    </mc:AlternateContent>
    <mc:AlternateContent xmlns:mc="http://schemas.openxmlformats.org/markup-compatibility/2006">
      <mc:Choice Requires="x14">
        <oleObject progId="Equation.3" shapeId="33827" r:id="rId71">
          <objectPr defaultSize="0" autoPict="0" r:id="rId72">
            <anchor moveWithCells="1" sizeWithCells="1">
              <from>
                <xdr:col>5</xdr:col>
                <xdr:colOff>0</xdr:colOff>
                <xdr:row>31</xdr:row>
                <xdr:rowOff>0</xdr:rowOff>
              </from>
              <to>
                <xdr:col>5</xdr:col>
                <xdr:colOff>400050</xdr:colOff>
                <xdr:row>31</xdr:row>
                <xdr:rowOff>247650</xdr:rowOff>
              </to>
            </anchor>
          </objectPr>
        </oleObject>
      </mc:Choice>
      <mc:Fallback>
        <oleObject progId="Equation.3" shapeId="33827" r:id="rId71"/>
      </mc:Fallback>
    </mc:AlternateContent>
    <mc:AlternateContent xmlns:mc="http://schemas.openxmlformats.org/markup-compatibility/2006">
      <mc:Choice Requires="x14">
        <oleObject progId="Equation.3" shapeId="33828" r:id="rId73">
          <objectPr defaultSize="0" autoPict="0" r:id="rId74">
            <anchor moveWithCells="1" sizeWithCells="1">
              <from>
                <xdr:col>6</xdr:col>
                <xdr:colOff>0</xdr:colOff>
                <xdr:row>31</xdr:row>
                <xdr:rowOff>0</xdr:rowOff>
              </from>
              <to>
                <xdr:col>6</xdr:col>
                <xdr:colOff>381000</xdr:colOff>
                <xdr:row>31</xdr:row>
                <xdr:rowOff>247650</xdr:rowOff>
              </to>
            </anchor>
          </objectPr>
        </oleObject>
      </mc:Choice>
      <mc:Fallback>
        <oleObject progId="Equation.3" shapeId="33828" r:id="rId73"/>
      </mc:Fallback>
    </mc:AlternateContent>
    <mc:AlternateContent xmlns:mc="http://schemas.openxmlformats.org/markup-compatibility/2006">
      <mc:Choice Requires="x14">
        <oleObject progId="Equation.3" shapeId="33829" r:id="rId75">
          <objectPr defaultSize="0" autoPict="0" r:id="rId76">
            <anchor moveWithCells="1" sizeWithCells="1">
              <from>
                <xdr:col>7</xdr:col>
                <xdr:colOff>0</xdr:colOff>
                <xdr:row>31</xdr:row>
                <xdr:rowOff>0</xdr:rowOff>
              </from>
              <to>
                <xdr:col>7</xdr:col>
                <xdr:colOff>400050</xdr:colOff>
                <xdr:row>31</xdr:row>
                <xdr:rowOff>247650</xdr:rowOff>
              </to>
            </anchor>
          </objectPr>
        </oleObject>
      </mc:Choice>
      <mc:Fallback>
        <oleObject progId="Equation.3" shapeId="33829" r:id="rId75"/>
      </mc:Fallback>
    </mc:AlternateContent>
    <mc:AlternateContent xmlns:mc="http://schemas.openxmlformats.org/markup-compatibility/2006">
      <mc:Choice Requires="x14">
        <oleObject progId="Equation.3" shapeId="33830" r:id="rId77">
          <objectPr defaultSize="0" autoPict="0" r:id="rId78">
            <anchor moveWithCells="1" sizeWithCells="1">
              <from>
                <xdr:col>8</xdr:col>
                <xdr:colOff>0</xdr:colOff>
                <xdr:row>31</xdr:row>
                <xdr:rowOff>0</xdr:rowOff>
              </from>
              <to>
                <xdr:col>8</xdr:col>
                <xdr:colOff>323850</xdr:colOff>
                <xdr:row>31</xdr:row>
                <xdr:rowOff>247650</xdr:rowOff>
              </to>
            </anchor>
          </objectPr>
        </oleObject>
      </mc:Choice>
      <mc:Fallback>
        <oleObject progId="Equation.3" shapeId="33830" r:id="rId77"/>
      </mc:Fallback>
    </mc:AlternateContent>
    <mc:AlternateContent xmlns:mc="http://schemas.openxmlformats.org/markup-compatibility/2006">
      <mc:Choice Requires="x14">
        <oleObject progId="Equation.3" shapeId="33831" r:id="rId79">
          <objectPr defaultSize="0" autoPict="0" r:id="rId80">
            <anchor moveWithCells="1" sizeWithCells="1">
              <from>
                <xdr:col>9</xdr:col>
                <xdr:colOff>0</xdr:colOff>
                <xdr:row>31</xdr:row>
                <xdr:rowOff>0</xdr:rowOff>
              </from>
              <to>
                <xdr:col>9</xdr:col>
                <xdr:colOff>323850</xdr:colOff>
                <xdr:row>31</xdr:row>
                <xdr:rowOff>247650</xdr:rowOff>
              </to>
            </anchor>
          </objectPr>
        </oleObject>
      </mc:Choice>
      <mc:Fallback>
        <oleObject progId="Equation.3" shapeId="33831" r:id="rId79"/>
      </mc:Fallback>
    </mc:AlternateContent>
    <mc:AlternateContent xmlns:mc="http://schemas.openxmlformats.org/markup-compatibility/2006">
      <mc:Choice Requires="x14">
        <oleObject progId="Equation.3" shapeId="33832" r:id="rId81">
          <objectPr defaultSize="0" autoPict="0" r:id="rId82">
            <anchor moveWithCells="1" sizeWithCells="1">
              <from>
                <xdr:col>10</xdr:col>
                <xdr:colOff>0</xdr:colOff>
                <xdr:row>31</xdr:row>
                <xdr:rowOff>0</xdr:rowOff>
              </from>
              <to>
                <xdr:col>10</xdr:col>
                <xdr:colOff>323850</xdr:colOff>
                <xdr:row>31</xdr:row>
                <xdr:rowOff>247650</xdr:rowOff>
              </to>
            </anchor>
          </objectPr>
        </oleObject>
      </mc:Choice>
      <mc:Fallback>
        <oleObject progId="Equation.3" shapeId="33832" r:id="rId81"/>
      </mc:Fallback>
    </mc:AlternateContent>
    <mc:AlternateContent xmlns:mc="http://schemas.openxmlformats.org/markup-compatibility/2006">
      <mc:Choice Requires="x14">
        <oleObject progId="Equation.3" shapeId="33833" r:id="rId83">
          <objectPr defaultSize="0" autoPict="0" r:id="rId84">
            <anchor moveWithCells="1" sizeWithCells="1">
              <from>
                <xdr:col>11</xdr:col>
                <xdr:colOff>0</xdr:colOff>
                <xdr:row>31</xdr:row>
                <xdr:rowOff>0</xdr:rowOff>
              </from>
              <to>
                <xdr:col>11</xdr:col>
                <xdr:colOff>285750</xdr:colOff>
                <xdr:row>31</xdr:row>
                <xdr:rowOff>257175</xdr:rowOff>
              </to>
            </anchor>
          </objectPr>
        </oleObject>
      </mc:Choice>
      <mc:Fallback>
        <oleObject progId="Equation.3" shapeId="33833" r:id="rId83"/>
      </mc:Fallback>
    </mc:AlternateContent>
    <mc:AlternateContent xmlns:mc="http://schemas.openxmlformats.org/markup-compatibility/2006">
      <mc:Choice Requires="x14">
        <oleObject progId="Equation.3" shapeId="33834" r:id="rId85">
          <objectPr defaultSize="0" autoPict="0" r:id="rId86">
            <anchor moveWithCells="1" sizeWithCells="1">
              <from>
                <xdr:col>12</xdr:col>
                <xdr:colOff>0</xdr:colOff>
                <xdr:row>31</xdr:row>
                <xdr:rowOff>0</xdr:rowOff>
              </from>
              <to>
                <xdr:col>12</xdr:col>
                <xdr:colOff>285750</xdr:colOff>
                <xdr:row>31</xdr:row>
                <xdr:rowOff>247650</xdr:rowOff>
              </to>
            </anchor>
          </objectPr>
        </oleObject>
      </mc:Choice>
      <mc:Fallback>
        <oleObject progId="Equation.3" shapeId="33834" r:id="rId85"/>
      </mc:Fallback>
    </mc:AlternateContent>
    <mc:AlternateContent xmlns:mc="http://schemas.openxmlformats.org/markup-compatibility/2006">
      <mc:Choice Requires="x14">
        <oleObject progId="Equation.3" shapeId="33835" r:id="rId87">
          <objectPr defaultSize="0" autoPict="0" r:id="rId88">
            <anchor moveWithCells="1" sizeWithCells="1">
              <from>
                <xdr:col>13</xdr:col>
                <xdr:colOff>0</xdr:colOff>
                <xdr:row>31</xdr:row>
                <xdr:rowOff>0</xdr:rowOff>
              </from>
              <to>
                <xdr:col>13</xdr:col>
                <xdr:colOff>304800</xdr:colOff>
                <xdr:row>31</xdr:row>
                <xdr:rowOff>257175</xdr:rowOff>
              </to>
            </anchor>
          </objectPr>
        </oleObject>
      </mc:Choice>
      <mc:Fallback>
        <oleObject progId="Equation.3" shapeId="33835" r:id="rId87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"/>
  <sheetViews>
    <sheetView workbookViewId="0">
      <selection activeCell="K23" sqref="K23"/>
    </sheetView>
  </sheetViews>
  <sheetFormatPr defaultRowHeight="15" x14ac:dyDescent="0.25"/>
  <cols>
    <col min="8" max="8" width="17.28515625" customWidth="1"/>
    <col min="9" max="9" width="14.7109375" customWidth="1"/>
    <col min="10" max="10" width="16.7109375" customWidth="1"/>
    <col min="11" max="11" width="22.28515625" customWidth="1"/>
    <col min="12" max="12" width="16.140625" customWidth="1"/>
    <col min="13" max="13" width="31.42578125" customWidth="1"/>
  </cols>
  <sheetData>
    <row r="1" spans="1:13" ht="15.75" thickBot="1" x14ac:dyDescent="0.3"/>
    <row r="2" spans="1:13" ht="40.5" x14ac:dyDescent="0.25">
      <c r="G2" s="208" t="s">
        <v>173</v>
      </c>
      <c r="H2" s="209" t="s">
        <v>284</v>
      </c>
      <c r="I2" s="210" t="s">
        <v>285</v>
      </c>
      <c r="J2" s="210" t="s">
        <v>235</v>
      </c>
      <c r="K2" s="210" t="s">
        <v>235</v>
      </c>
      <c r="L2" s="210" t="s">
        <v>235</v>
      </c>
      <c r="M2" s="210" t="s">
        <v>235</v>
      </c>
    </row>
    <row r="3" spans="1:13" ht="18.75" x14ac:dyDescent="0.25">
      <c r="G3" s="211"/>
      <c r="H3" s="212" t="s">
        <v>286</v>
      </c>
      <c r="I3" s="212" t="s">
        <v>286</v>
      </c>
      <c r="J3" s="212" t="s">
        <v>286</v>
      </c>
      <c r="K3" s="212" t="s">
        <v>286</v>
      </c>
      <c r="L3" s="212" t="s">
        <v>4</v>
      </c>
      <c r="M3" s="212" t="s">
        <v>286</v>
      </c>
    </row>
    <row r="4" spans="1:13" ht="19.5" thickBot="1" x14ac:dyDescent="0.3">
      <c r="D4" t="s">
        <v>287</v>
      </c>
      <c r="G4" s="213"/>
      <c r="H4" s="214">
        <v>1</v>
      </c>
      <c r="I4" s="214">
        <v>2</v>
      </c>
      <c r="J4" s="214" t="s">
        <v>288</v>
      </c>
      <c r="K4" s="78"/>
      <c r="L4" s="78"/>
      <c r="M4" s="78"/>
    </row>
    <row r="5" spans="1:13" ht="38.25" thickBot="1" x14ac:dyDescent="0.3">
      <c r="A5" t="str">
        <f>[1]Трансформатори!F27</f>
        <v>6+1,4i</v>
      </c>
      <c r="B5">
        <f>'[1]РОЗДІЛ 2'!I15</f>
        <v>2.1999999999999999E-2</v>
      </c>
      <c r="C5">
        <f>'[1]РОЗДІЛ 2'!K15</f>
        <v>0.22600000000000001</v>
      </c>
      <c r="D5">
        <f>'[1]РОЗДІЛ 2'!H15</f>
        <v>1.6E-2</v>
      </c>
      <c r="E5">
        <f>'[1]РОЗДІЛ 2'!J15</f>
        <v>0.10100000000000001</v>
      </c>
      <c r="G5" s="215" t="str">
        <f>'[1]РОЗДІЛ 2'!C6</f>
        <v>Б</v>
      </c>
      <c r="H5" s="214" t="str">
        <f>A5</f>
        <v>6+1,4i</v>
      </c>
      <c r="I5" s="214" t="str">
        <f>COMPLEX(B5,C5)</f>
        <v>0.022+0.226i</v>
      </c>
      <c r="J5" s="214" t="e">
        <f>IMSUM(H5,I5)</f>
        <v>#NUM!</v>
      </c>
      <c r="K5" s="214" t="str">
        <f>COMPLEX(D5,E5)</f>
        <v>0.016+0.101i</v>
      </c>
      <c r="L5" s="214">
        <f>'[1]РОЗДІЛ 2'!U8/2</f>
        <v>0</v>
      </c>
      <c r="M5" s="214" t="e">
        <f>IMSUM(J5,K5,L5)</f>
        <v>#NUM!</v>
      </c>
    </row>
    <row r="6" spans="1:13" ht="38.25" thickBot="1" x14ac:dyDescent="0.3">
      <c r="A6" t="str">
        <f>[1]Трансформатори!F28</f>
        <v>20+5,1i</v>
      </c>
      <c r="B6">
        <f>'[1]РОЗДІЛ 2'!I16</f>
        <v>7.0999999999999994E-2</v>
      </c>
      <c r="C6">
        <f>'[1]РОЗДІЛ 2'!K16</f>
        <v>1.3979999999999999</v>
      </c>
      <c r="D6">
        <f>'[1]РОЗДІЛ 2'!H16</f>
        <v>3.5999999999999997E-2</v>
      </c>
      <c r="E6">
        <f>'[1]РОЗДІЛ 2'!J16</f>
        <v>0.224</v>
      </c>
      <c r="G6" s="215" t="str">
        <f>'[1]РОЗДІЛ 2'!C7</f>
        <v>В</v>
      </c>
      <c r="H6" s="214" t="str">
        <f t="shared" ref="H6:H9" si="0">A6</f>
        <v>20+5,1i</v>
      </c>
      <c r="I6" s="214" t="str">
        <f t="shared" ref="I6:I9" si="1">COMPLEX(B6,C6)</f>
        <v>0.071+1.398i</v>
      </c>
      <c r="J6" s="214" t="e">
        <f t="shared" ref="J6:J9" si="2">IMSUM(H6,I6)</f>
        <v>#NUM!</v>
      </c>
      <c r="K6" s="214" t="str">
        <f t="shared" ref="K6:K10" si="3">COMPLEX(D6,E6)</f>
        <v>0.036+0.224i</v>
      </c>
      <c r="L6" s="214" t="str">
        <f>COMPLEX(0,-('[1]РОЗДІЛ 2'!U5+'[1]РОЗДІЛ 2'!U6)/2)</f>
        <v>-0.99i</v>
      </c>
      <c r="M6" s="214" t="e">
        <f t="shared" ref="M6:M9" si="4">IMSUM(J6,K6,L6)</f>
        <v>#NUM!</v>
      </c>
    </row>
    <row r="7" spans="1:13" ht="38.25" thickBot="1" x14ac:dyDescent="0.3">
      <c r="A7" t="str">
        <f>[1]Трансформатори!F29</f>
        <v>7+1,85i</v>
      </c>
      <c r="B7">
        <f>'[1]РОЗДІЛ 2'!I17</f>
        <v>3.1E-2</v>
      </c>
      <c r="C7">
        <f>'[1]РОЗДІЛ 2'!K17</f>
        <v>0.312</v>
      </c>
      <c r="D7">
        <f>'[1]РОЗДІЛ 2'!H17</f>
        <v>1.6E-2</v>
      </c>
      <c r="E7">
        <f>'[1]РОЗДІЛ 2'!J17</f>
        <v>0.10100000000000001</v>
      </c>
      <c r="G7" s="215" t="str">
        <f>'[1]РОЗДІЛ 2'!C8</f>
        <v>Г</v>
      </c>
      <c r="H7" s="214" t="str">
        <f t="shared" si="0"/>
        <v>7+1,85i</v>
      </c>
      <c r="I7" s="214" t="str">
        <f t="shared" si="1"/>
        <v>0.031+0.312i</v>
      </c>
      <c r="J7" s="214" t="e">
        <f t="shared" si="2"/>
        <v>#NUM!</v>
      </c>
      <c r="K7" s="214" t="str">
        <f t="shared" si="3"/>
        <v>0.016+0.101i</v>
      </c>
      <c r="L7" s="214">
        <v>0</v>
      </c>
      <c r="M7" s="214" t="e">
        <f t="shared" si="4"/>
        <v>#NUM!</v>
      </c>
    </row>
    <row r="8" spans="1:13" ht="38.25" thickBot="1" x14ac:dyDescent="0.3">
      <c r="A8" t="str">
        <f>[1]Трансформатори!F30</f>
        <v>5+1,4i</v>
      </c>
      <c r="B8">
        <f>'[1]РОЗДІЛ 2'!I18</f>
        <v>2.8000000000000001E-2</v>
      </c>
      <c r="C8">
        <f>'[1]РОЗДІЛ 2'!K18</f>
        <v>0.253</v>
      </c>
      <c r="D8">
        <f>'[1]РОЗДІЛ 2'!H18</f>
        <v>1.0999999999999999E-2</v>
      </c>
      <c r="E8">
        <f>'[1]РОЗДІЛ 2'!J18</f>
        <v>7.1999999999999995E-2</v>
      </c>
      <c r="G8" s="215" t="str">
        <f>'[1]РОЗДІЛ 2'!C9</f>
        <v>Д</v>
      </c>
      <c r="H8" s="214" t="str">
        <f t="shared" si="0"/>
        <v>5+1,4i</v>
      </c>
      <c r="I8" s="214" t="str">
        <f t="shared" si="1"/>
        <v>0.028+0.253i</v>
      </c>
      <c r="J8" s="214" t="e">
        <f t="shared" si="2"/>
        <v>#NUM!</v>
      </c>
      <c r="K8" s="214" t="str">
        <f t="shared" si="3"/>
        <v>0.011+0.072i</v>
      </c>
      <c r="L8" s="214">
        <v>0</v>
      </c>
      <c r="M8" s="214" t="e">
        <f t="shared" si="4"/>
        <v>#NUM!</v>
      </c>
    </row>
    <row r="9" spans="1:13" ht="38.25" thickBot="1" x14ac:dyDescent="0.3">
      <c r="A9" t="str">
        <f>[1]Трансформатори!F31</f>
        <v>5+1,2i</v>
      </c>
      <c r="B9">
        <f>'[1]РОЗДІЛ 2'!I19</f>
        <v>2.8000000000000001E-2</v>
      </c>
      <c r="C9">
        <f>'[1]РОЗДІЛ 2'!K19</f>
        <v>0.248</v>
      </c>
      <c r="D9">
        <f>'[1]РОЗДІЛ 2'!H19</f>
        <v>1.0999999999999999E-2</v>
      </c>
      <c r="E9">
        <f>'[1]РОЗДІЛ 2'!J19</f>
        <v>7.1999999999999995E-2</v>
      </c>
      <c r="G9" s="215" t="str">
        <f>'[1]РОЗДІЛ 2'!C10</f>
        <v>Е</v>
      </c>
      <c r="H9" s="214" t="str">
        <f t="shared" si="0"/>
        <v>5+1,2i</v>
      </c>
      <c r="I9" s="214" t="str">
        <f t="shared" si="1"/>
        <v>0.028+0.248i</v>
      </c>
      <c r="J9" s="214" t="e">
        <f t="shared" si="2"/>
        <v>#NUM!</v>
      </c>
      <c r="K9" s="214" t="str">
        <f t="shared" si="3"/>
        <v>0.011+0.072i</v>
      </c>
      <c r="L9" s="214">
        <v>0</v>
      </c>
      <c r="M9" s="214" t="e">
        <f t="shared" si="4"/>
        <v>#NUM!</v>
      </c>
    </row>
    <row r="10" spans="1:13" ht="19.5" thickBot="1" x14ac:dyDescent="0.3">
      <c r="D10">
        <f>'[1]РОЗДІЛ 2'!I29</f>
        <v>5.7000000000000002E-2</v>
      </c>
      <c r="E10">
        <f>'[1]РОЗДІЛ 2'!J29</f>
        <v>0.35</v>
      </c>
      <c r="G10" s="215" t="s">
        <v>289</v>
      </c>
      <c r="H10" s="216" t="s">
        <v>62</v>
      </c>
      <c r="I10" s="216" t="s">
        <v>62</v>
      </c>
      <c r="J10" s="216" t="s">
        <v>62</v>
      </c>
      <c r="K10" s="214" t="str">
        <f t="shared" si="3"/>
        <v>0.057+0.35i</v>
      </c>
      <c r="L10" s="214" t="str">
        <f>COMPLEX(0,-('[1]РОЗДІЛ 2'!U6)/2)</f>
        <v>-0.215i</v>
      </c>
      <c r="M10" s="214" t="str">
        <f>IMSUM(K10,L10)</f>
        <v>0.057+0.135i</v>
      </c>
    </row>
    <row r="11" spans="1:13" ht="19.5" thickBot="1" x14ac:dyDescent="0.3">
      <c r="G11" s="215" t="s">
        <v>290</v>
      </c>
      <c r="H11" s="216" t="s">
        <v>62</v>
      </c>
      <c r="I11" s="216" t="s">
        <v>62</v>
      </c>
      <c r="J11" s="216" t="s">
        <v>62</v>
      </c>
      <c r="K11" s="216" t="s">
        <v>62</v>
      </c>
      <c r="L11" s="214">
        <v>0</v>
      </c>
      <c r="M11" s="214" t="str">
        <f>IMSUM(L11)</f>
        <v>0</v>
      </c>
    </row>
    <row r="12" spans="1:13" ht="19.5" thickBot="1" x14ac:dyDescent="0.3">
      <c r="A12">
        <f>[1]Трансформатори!A15</f>
        <v>4</v>
      </c>
      <c r="B12">
        <f>[1]Трансформатори!B15</f>
        <v>3</v>
      </c>
      <c r="C12">
        <f>[1]Трансформатори!K15</f>
        <v>1.8</v>
      </c>
      <c r="G12" s="215" t="s">
        <v>291</v>
      </c>
      <c r="H12" s="214" t="str">
        <f>COMPLEX(A12,B12-C12)</f>
        <v>4+1.2i</v>
      </c>
      <c r="I12" s="216" t="s">
        <v>62</v>
      </c>
      <c r="J12" s="216" t="s">
        <v>62</v>
      </c>
      <c r="K12" s="216" t="s">
        <v>62</v>
      </c>
      <c r="L12" s="216" t="s">
        <v>62</v>
      </c>
      <c r="M12" s="214" t="str">
        <f>H12</f>
        <v>4+1.2i</v>
      </c>
    </row>
    <row r="13" spans="1:13" ht="19.5" thickBot="1" x14ac:dyDescent="0.3">
      <c r="G13" s="217">
        <v>1</v>
      </c>
      <c r="H13" s="216" t="s">
        <v>62</v>
      </c>
      <c r="I13" s="216" t="s">
        <v>62</v>
      </c>
      <c r="J13" s="216" t="s">
        <v>62</v>
      </c>
      <c r="K13" s="216" t="s">
        <v>62</v>
      </c>
      <c r="L13" s="214" t="str">
        <f>COMPLEX(0,-('[1]РОЗДІЛ 2'!U7+'[1]РОЗДІЛ 2'!U8+'[1]РОЗДІЛ 2'!U9)/2)</f>
        <v>0</v>
      </c>
      <c r="M13" s="214" t="str">
        <f>L13</f>
        <v>0</v>
      </c>
    </row>
    <row r="14" spans="1:13" ht="19.5" thickBot="1" x14ac:dyDescent="0.3">
      <c r="G14" s="217">
        <v>2</v>
      </c>
      <c r="H14" s="216" t="s">
        <v>62</v>
      </c>
      <c r="I14" s="216" t="s">
        <v>62</v>
      </c>
      <c r="J14" s="216" t="s">
        <v>62</v>
      </c>
      <c r="K14" s="216" t="s">
        <v>62</v>
      </c>
      <c r="L14" s="214" t="str">
        <f>COMPLEX(0,-('[1]РОЗДІЛ 2'!U10+'[1]РОЗДІЛ 2'!U11+'[1]РОЗДІЛ 2'!U12)/2)</f>
        <v>0</v>
      </c>
      <c r="M14" s="214" t="str">
        <f>L14</f>
        <v>0</v>
      </c>
    </row>
    <row r="15" spans="1:13" ht="18" x14ac:dyDescent="0.25">
      <c r="H15" s="218" t="s">
        <v>292</v>
      </c>
      <c r="I15" t="str">
        <f>IMSUM(I5,I6,I7,I8,I9)</f>
        <v>0.18+2.437i</v>
      </c>
      <c r="K15" t="str">
        <f>IMSUM(K5,K6,K7,K8,K9,K10)</f>
        <v>0.147+0.92i</v>
      </c>
    </row>
  </sheetData>
  <mergeCells count="1">
    <mergeCell ref="G2:G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4817" r:id="rId3">
          <objectPr defaultSize="0" autoPict="0" r:id="rId4">
            <anchor moveWithCells="1" sizeWithCells="1">
              <from>
                <xdr:col>9</xdr:col>
                <xdr:colOff>0</xdr:colOff>
                <xdr:row>1</xdr:row>
                <xdr:rowOff>0</xdr:rowOff>
              </from>
              <to>
                <xdr:col>9</xdr:col>
                <xdr:colOff>590550</xdr:colOff>
                <xdr:row>1</xdr:row>
                <xdr:rowOff>228600</xdr:rowOff>
              </to>
            </anchor>
          </objectPr>
        </oleObject>
      </mc:Choice>
      <mc:Fallback>
        <oleObject progId="Equation.3" shapeId="34817" r:id="rId3"/>
      </mc:Fallback>
    </mc:AlternateContent>
    <mc:AlternateContent xmlns:mc="http://schemas.openxmlformats.org/markup-compatibility/2006">
      <mc:Choice Requires="x14">
        <oleObject progId="Equation.3" shapeId="34818" r:id="rId5">
          <objectPr defaultSize="0" autoPict="0" r:id="rId6">
            <anchor moveWithCells="1" sizeWithCells="1">
              <from>
                <xdr:col>10</xdr:col>
                <xdr:colOff>0</xdr:colOff>
                <xdr:row>1</xdr:row>
                <xdr:rowOff>0</xdr:rowOff>
              </from>
              <to>
                <xdr:col>11</xdr:col>
                <xdr:colOff>219075</xdr:colOff>
                <xdr:row>1</xdr:row>
                <xdr:rowOff>228600</xdr:rowOff>
              </to>
            </anchor>
          </objectPr>
        </oleObject>
      </mc:Choice>
      <mc:Fallback>
        <oleObject progId="Equation.3" shapeId="34818" r:id="rId5"/>
      </mc:Fallback>
    </mc:AlternateContent>
    <mc:AlternateContent xmlns:mc="http://schemas.openxmlformats.org/markup-compatibility/2006">
      <mc:Choice Requires="x14">
        <oleObject progId="Equation.3" shapeId="34819" r:id="rId7">
          <objectPr defaultSize="0" autoPict="0" r:id="rId8">
            <anchor moveWithCells="1" sizeWithCells="1">
              <from>
                <xdr:col>11</xdr:col>
                <xdr:colOff>0</xdr:colOff>
                <xdr:row>1</xdr:row>
                <xdr:rowOff>0</xdr:rowOff>
              </from>
              <to>
                <xdr:col>11</xdr:col>
                <xdr:colOff>247650</xdr:colOff>
                <xdr:row>1</xdr:row>
                <xdr:rowOff>228600</xdr:rowOff>
              </to>
            </anchor>
          </objectPr>
        </oleObject>
      </mc:Choice>
      <mc:Fallback>
        <oleObject progId="Equation.3" shapeId="34819" r:id="rId7"/>
      </mc:Fallback>
    </mc:AlternateContent>
    <mc:AlternateContent xmlns:mc="http://schemas.openxmlformats.org/markup-compatibility/2006">
      <mc:Choice Requires="x14">
        <oleObject progId="Equation.3" shapeId="34820" r:id="rId9">
          <objectPr defaultSize="0" autoPict="0" r:id="rId10">
            <anchor moveWithCells="1" sizeWithCells="1">
              <from>
                <xdr:col>12</xdr:col>
                <xdr:colOff>0</xdr:colOff>
                <xdr:row>1</xdr:row>
                <xdr:rowOff>0</xdr:rowOff>
              </from>
              <to>
                <xdr:col>13</xdr:col>
                <xdr:colOff>0</xdr:colOff>
                <xdr:row>1</xdr:row>
                <xdr:rowOff>228600</xdr:rowOff>
              </to>
            </anchor>
          </objectPr>
        </oleObject>
      </mc:Choice>
      <mc:Fallback>
        <oleObject progId="Equation.3" shapeId="34820" r:id="rId9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22"/>
  <sheetViews>
    <sheetView workbookViewId="0">
      <selection activeCell="C5" sqref="C5:D5"/>
    </sheetView>
  </sheetViews>
  <sheetFormatPr defaultRowHeight="15" x14ac:dyDescent="0.25"/>
  <cols>
    <col min="8" max="8" width="15.28515625" customWidth="1"/>
    <col min="9" max="9" width="17.5703125" customWidth="1"/>
    <col min="10" max="10" width="18.28515625" customWidth="1"/>
    <col min="11" max="11" width="27.28515625" customWidth="1"/>
    <col min="12" max="12" width="22" customWidth="1"/>
    <col min="13" max="13" width="25.5703125" customWidth="1"/>
    <col min="14" max="14" width="22.5703125" customWidth="1"/>
  </cols>
  <sheetData>
    <row r="2" spans="1:15" ht="15.75" thickBot="1" x14ac:dyDescent="0.3"/>
    <row r="3" spans="1:15" ht="89.45" customHeight="1" x14ac:dyDescent="0.25">
      <c r="H3" s="96" t="s">
        <v>226</v>
      </c>
      <c r="I3" s="96" t="s">
        <v>293</v>
      </c>
      <c r="J3" s="219" t="s">
        <v>235</v>
      </c>
      <c r="K3" s="75" t="s">
        <v>235</v>
      </c>
      <c r="L3" s="75" t="s">
        <v>235</v>
      </c>
      <c r="M3" s="75" t="s">
        <v>235</v>
      </c>
      <c r="N3" s="75" t="s">
        <v>235</v>
      </c>
    </row>
    <row r="4" spans="1:15" ht="19.5" thickBot="1" x14ac:dyDescent="0.3">
      <c r="H4" s="98"/>
      <c r="I4" s="98"/>
      <c r="J4" s="33" t="s">
        <v>97</v>
      </c>
      <c r="K4" s="33" t="s">
        <v>97</v>
      </c>
      <c r="L4" s="33" t="s">
        <v>147</v>
      </c>
      <c r="M4" s="33" t="s">
        <v>97</v>
      </c>
      <c r="N4" s="33" t="s">
        <v>97</v>
      </c>
    </row>
    <row r="5" spans="1:15" ht="19.5" thickBot="1" x14ac:dyDescent="0.3">
      <c r="A5">
        <f>'[1]РОЗДІЛ 2'!S12</f>
        <v>1.05</v>
      </c>
      <c r="B5">
        <f>'[1]РОЗДІЛ 2'!T12</f>
        <v>1.74</v>
      </c>
      <c r="C5" s="220" t="e">
        <f>IMREAL(K5)</f>
        <v>#NUM!</v>
      </c>
      <c r="D5" s="220" t="e">
        <f>IMAGINARY(K5)</f>
        <v>#NUM!</v>
      </c>
      <c r="E5" t="e">
        <f>ROUND((C5^2+D5^2)/G5^2*A5,3)</f>
        <v>#NUM!</v>
      </c>
      <c r="F5" t="e">
        <f>ROUND((C5^2+D5^2)/G5^2*B5,3)</f>
        <v>#NUM!</v>
      </c>
      <c r="G5">
        <v>35</v>
      </c>
      <c r="H5" s="221" t="str">
        <f>'[1]РОЗДІЛ 2'!L12</f>
        <v>2-Е</v>
      </c>
      <c r="I5" s="222" t="s">
        <v>16</v>
      </c>
      <c r="J5" s="222" t="str">
        <f>'[1]Table 2-4'!M9</f>
        <v>5,039+1,52i</v>
      </c>
      <c r="K5" s="222" t="str">
        <f>J5</f>
        <v>5,039+1,52i</v>
      </c>
      <c r="L5" s="222" t="str">
        <f>COMPLEX(A5,B5)</f>
        <v>1.05+1.74i</v>
      </c>
      <c r="M5" s="222" t="e">
        <f t="shared" ref="M5:M15" si="0">COMPLEX(E5,F5)</f>
        <v>#NUM!</v>
      </c>
      <c r="N5" s="222" t="e">
        <f t="shared" ref="N5:N15" si="1">IMSUM(K5,M5)</f>
        <v>#NUM!</v>
      </c>
    </row>
    <row r="6" spans="1:15" ht="19.5" thickBot="1" x14ac:dyDescent="0.3">
      <c r="A6">
        <f>'[1]РОЗДІЛ 2'!S11</f>
        <v>0.5</v>
      </c>
      <c r="B6">
        <f>'[1]РОЗДІЛ 2'!T11</f>
        <v>0.83</v>
      </c>
      <c r="C6" s="220" t="e">
        <f t="shared" ref="C6:C15" si="2">IMREAL(K6)</f>
        <v>#NUM!</v>
      </c>
      <c r="D6" s="220" t="e">
        <f t="shared" ref="D6:D15" si="3">IMAGINARY(K6)</f>
        <v>#NUM!</v>
      </c>
      <c r="E6" t="e">
        <f t="shared" ref="E6:E15" si="4">ROUND((C6^2+D6^2)/G6^2*A6,3)</f>
        <v>#NUM!</v>
      </c>
      <c r="F6" t="e">
        <f t="shared" ref="F6:F15" si="5">ROUND((C6^2+D6^2)/G6^2*B6,3)</f>
        <v>#NUM!</v>
      </c>
      <c r="G6">
        <v>35</v>
      </c>
      <c r="H6" s="221" t="str">
        <f>'[1]РОЗДІЛ 2'!L11</f>
        <v>2-Г</v>
      </c>
      <c r="I6" s="222" t="s">
        <v>14</v>
      </c>
      <c r="J6" s="222" t="str">
        <f>'[1]Table 2-4'!M7</f>
        <v>7,047+2,263i</v>
      </c>
      <c r="K6" s="222" t="str">
        <f>J6</f>
        <v>7,047+2,263i</v>
      </c>
      <c r="L6" s="222" t="str">
        <f>COMPLEX(A6,B6)</f>
        <v>0.5+0.83i</v>
      </c>
      <c r="M6" s="222" t="e">
        <f t="shared" si="0"/>
        <v>#NUM!</v>
      </c>
      <c r="N6" s="222" t="e">
        <f t="shared" si="1"/>
        <v>#NUM!</v>
      </c>
    </row>
    <row r="7" spans="1:15" ht="19.5" thickBot="1" x14ac:dyDescent="0.3">
      <c r="A7">
        <f>'[1]РОЗДІЛ 2'!S10</f>
        <v>0.81</v>
      </c>
      <c r="B7">
        <f>'[1]РОЗДІЛ 2'!T10</f>
        <v>1.66</v>
      </c>
      <c r="C7" s="220" t="e">
        <f t="shared" si="2"/>
        <v>#NUM!</v>
      </c>
      <c r="D7" s="220" t="e">
        <f t="shared" si="3"/>
        <v>#NUM!</v>
      </c>
      <c r="E7" t="e">
        <f t="shared" si="4"/>
        <v>#NUM!</v>
      </c>
      <c r="F7" t="e">
        <f t="shared" si="5"/>
        <v>#NUM!</v>
      </c>
      <c r="G7">
        <v>35</v>
      </c>
      <c r="H7" s="221" t="str">
        <f>'[1]РОЗДІЛ 2'!L10</f>
        <v>ВП-2</v>
      </c>
      <c r="I7" s="222">
        <v>2</v>
      </c>
      <c r="J7" s="222" t="str">
        <f>'[1]Table 2-4'!M14</f>
        <v>0</v>
      </c>
      <c r="K7" s="222" t="e">
        <f>IMSUM(N5,N6,J7)</f>
        <v>#NUM!</v>
      </c>
      <c r="L7" s="222" t="str">
        <f>COMPLEX(A7,B7)</f>
        <v>0.81+1.66i</v>
      </c>
      <c r="M7" s="222" t="e">
        <f t="shared" si="0"/>
        <v>#NUM!</v>
      </c>
      <c r="N7" s="223" t="e">
        <f t="shared" si="1"/>
        <v>#NUM!</v>
      </c>
    </row>
    <row r="8" spans="1:15" ht="19.5" thickBot="1" x14ac:dyDescent="0.3">
      <c r="A8">
        <f>'[1]РОЗДІЛ 2'!S9</f>
        <v>0.77</v>
      </c>
      <c r="B8">
        <f>'[1]РОЗДІЛ 2'!T9</f>
        <v>1.58</v>
      </c>
      <c r="C8" s="220" t="e">
        <f t="shared" si="2"/>
        <v>#NUM!</v>
      </c>
      <c r="D8" s="220" t="e">
        <f t="shared" si="3"/>
        <v>#NUM!</v>
      </c>
      <c r="E8" t="e">
        <f t="shared" si="4"/>
        <v>#NUM!</v>
      </c>
      <c r="F8" t="e">
        <f t="shared" si="5"/>
        <v>#NUM!</v>
      </c>
      <c r="G8">
        <v>35</v>
      </c>
      <c r="H8" s="224" t="str">
        <f>'[1]РОЗДІЛ 2'!L9</f>
        <v>3-Д</v>
      </c>
      <c r="I8" s="225" t="s">
        <v>15</v>
      </c>
      <c r="J8" s="225" t="str">
        <f>'[1]Table 2-4'!M8</f>
        <v>5,039+1,725i</v>
      </c>
      <c r="K8" s="225" t="str">
        <f>J8</f>
        <v>5,039+1,725i</v>
      </c>
      <c r="L8" s="225" t="str">
        <f t="shared" ref="L8:L15" si="6">COMPLEX(A8,B8)</f>
        <v>0.77+1.58i</v>
      </c>
      <c r="M8" s="225" t="e">
        <f t="shared" si="0"/>
        <v>#NUM!</v>
      </c>
      <c r="N8" s="225" t="e">
        <f t="shared" si="1"/>
        <v>#NUM!</v>
      </c>
    </row>
    <row r="9" spans="1:15" ht="19.5" thickBot="1" x14ac:dyDescent="0.3">
      <c r="A9">
        <f>'[1]РОЗДІЛ 2'!S8</f>
        <v>0.18</v>
      </c>
      <c r="B9">
        <f>'[1]РОЗДІЛ 2'!T8</f>
        <v>0.37</v>
      </c>
      <c r="C9" s="220" t="e">
        <f t="shared" si="2"/>
        <v>#NUM!</v>
      </c>
      <c r="D9" s="220" t="e">
        <f t="shared" si="3"/>
        <v>#NUM!</v>
      </c>
      <c r="E9" t="e">
        <f t="shared" si="4"/>
        <v>#NUM!</v>
      </c>
      <c r="F9" t="e">
        <f t="shared" si="5"/>
        <v>#NUM!</v>
      </c>
      <c r="G9">
        <v>35</v>
      </c>
      <c r="H9" s="224" t="str">
        <f>'[1]РОЗДІЛ 2'!L8</f>
        <v>3-Б</v>
      </c>
      <c r="I9" s="225" t="s">
        <v>12</v>
      </c>
      <c r="J9" s="225" t="str">
        <f>'[1]Table 2-4'!M5</f>
        <v>6,038+1,727i</v>
      </c>
      <c r="K9" s="225" t="str">
        <f>J9</f>
        <v>6,038+1,727i</v>
      </c>
      <c r="L9" s="225" t="str">
        <f t="shared" si="6"/>
        <v>0.18+0.37i</v>
      </c>
      <c r="M9" s="225" t="e">
        <f t="shared" si="0"/>
        <v>#NUM!</v>
      </c>
      <c r="N9" s="225" t="e">
        <f t="shared" si="1"/>
        <v>#NUM!</v>
      </c>
    </row>
    <row r="10" spans="1:15" ht="19.5" thickBot="1" x14ac:dyDescent="0.3">
      <c r="A10">
        <f>'[1]РОЗДІЛ 2'!S7</f>
        <v>0.65</v>
      </c>
      <c r="B10">
        <f>'[1]РОЗДІЛ 2'!T7</f>
        <v>1.34</v>
      </c>
      <c r="C10" s="220" t="e">
        <f t="shared" si="2"/>
        <v>#NUM!</v>
      </c>
      <c r="D10" s="220" t="e">
        <f t="shared" si="3"/>
        <v>#NUM!</v>
      </c>
      <c r="E10" t="e">
        <f t="shared" si="4"/>
        <v>#NUM!</v>
      </c>
      <c r="F10" t="e">
        <f t="shared" si="5"/>
        <v>#NUM!</v>
      </c>
      <c r="G10">
        <v>35</v>
      </c>
      <c r="H10" s="224" t="str">
        <f>'[1]РОЗДІЛ 2'!L7</f>
        <v>ВП-3</v>
      </c>
      <c r="I10" s="225">
        <v>3</v>
      </c>
      <c r="J10" s="225" t="str">
        <f>'[1]Table 2-4'!L13</f>
        <v>0</v>
      </c>
      <c r="K10" s="225" t="e">
        <f>IMSUM(N8,N9,J10)</f>
        <v>#NUM!</v>
      </c>
      <c r="L10" s="225" t="str">
        <f t="shared" si="6"/>
        <v>0.65+1.34i</v>
      </c>
      <c r="M10" s="225" t="e">
        <f t="shared" si="0"/>
        <v>#NUM!</v>
      </c>
      <c r="N10" s="226" t="e">
        <f t="shared" si="1"/>
        <v>#NUM!</v>
      </c>
    </row>
    <row r="11" spans="1:15" ht="19.5" thickBot="1" x14ac:dyDescent="0.3">
      <c r="A11">
        <f>'[1]РОЗДІЛ 2'!D34</f>
        <v>0.74060000000000004</v>
      </c>
      <c r="B11">
        <f>'[1]РОЗДІЛ 2'!M34</f>
        <v>0</v>
      </c>
      <c r="C11" s="220" t="e">
        <f t="shared" si="2"/>
        <v>#NUM!</v>
      </c>
      <c r="D11" s="220" t="e">
        <f t="shared" si="3"/>
        <v>#NUM!</v>
      </c>
      <c r="E11" t="e">
        <f t="shared" si="4"/>
        <v>#NUM!</v>
      </c>
      <c r="F11" t="e">
        <f t="shared" si="5"/>
        <v>#NUM!</v>
      </c>
      <c r="G11">
        <v>110</v>
      </c>
      <c r="H11" s="227" t="s">
        <v>294</v>
      </c>
      <c r="I11" s="228" t="s">
        <v>290</v>
      </c>
      <c r="J11" s="228" t="str">
        <f>'[1]Table 2-4'!M11</f>
        <v>0</v>
      </c>
      <c r="K11" s="228" t="e">
        <f>IMSUM(N7,N10,J11)</f>
        <v>#NUM!</v>
      </c>
      <c r="L11" s="228" t="str">
        <f t="shared" si="6"/>
        <v>0.7406</v>
      </c>
      <c r="M11" s="228" t="e">
        <f t="shared" si="0"/>
        <v>#NUM!</v>
      </c>
      <c r="N11" s="228" t="e">
        <f t="shared" si="1"/>
        <v>#NUM!</v>
      </c>
    </row>
    <row r="12" spans="1:15" ht="19.5" thickBot="1" x14ac:dyDescent="0.3">
      <c r="A12">
        <f>'[1]РОЗДІЛ 2'!E34</f>
        <v>0.74060000000000004</v>
      </c>
      <c r="B12">
        <f>'[1]РОЗДІЛ 2'!N34</f>
        <v>17.850000000000001</v>
      </c>
      <c r="C12" s="220" t="e">
        <f t="shared" si="2"/>
        <v>#NUM!</v>
      </c>
      <c r="D12" s="220" t="e">
        <f t="shared" si="3"/>
        <v>#NUM!</v>
      </c>
      <c r="E12" t="e">
        <f t="shared" si="4"/>
        <v>#NUM!</v>
      </c>
      <c r="F12" t="e">
        <f t="shared" si="5"/>
        <v>#NUM!</v>
      </c>
      <c r="G12">
        <v>110</v>
      </c>
      <c r="H12" s="227" t="s">
        <v>295</v>
      </c>
      <c r="I12" s="228" t="s">
        <v>291</v>
      </c>
      <c r="J12" s="228" t="str">
        <f>'[1]Table 2-4'!M12</f>
        <v>4+1,2i</v>
      </c>
      <c r="K12" s="228" t="str">
        <f>J12</f>
        <v>4+1,2i</v>
      </c>
      <c r="L12" s="228" t="str">
        <f t="shared" si="6"/>
        <v>0.7406+17.85i</v>
      </c>
      <c r="M12" s="228" t="e">
        <f t="shared" si="0"/>
        <v>#NUM!</v>
      </c>
      <c r="N12" s="228" t="e">
        <f t="shared" si="1"/>
        <v>#NUM!</v>
      </c>
    </row>
    <row r="13" spans="1:15" ht="19.5" thickBot="1" x14ac:dyDescent="0.3">
      <c r="A13">
        <f>'[1]РОЗДІЛ 2'!D34</f>
        <v>0.74060000000000004</v>
      </c>
      <c r="B13" s="229">
        <f>'[1]РОЗДІЛ 2'!L34</f>
        <v>28.43</v>
      </c>
      <c r="C13" s="220" t="e">
        <f t="shared" si="2"/>
        <v>#NUM!</v>
      </c>
      <c r="D13" s="220" t="e">
        <f t="shared" si="3"/>
        <v>#NUM!</v>
      </c>
      <c r="E13" t="e">
        <f t="shared" si="4"/>
        <v>#NUM!</v>
      </c>
      <c r="F13" t="e">
        <f t="shared" si="5"/>
        <v>#NUM!</v>
      </c>
      <c r="G13">
        <v>110</v>
      </c>
      <c r="H13" s="227" t="s">
        <v>296</v>
      </c>
      <c r="I13" s="230">
        <v>0</v>
      </c>
      <c r="J13" s="228">
        <v>0</v>
      </c>
      <c r="K13" s="228" t="e">
        <f>IMSUM(N11,N12)</f>
        <v>#NUM!</v>
      </c>
      <c r="L13" s="228" t="str">
        <f t="shared" si="6"/>
        <v>0.7406+28.43i</v>
      </c>
      <c r="M13" s="228" t="e">
        <f t="shared" si="0"/>
        <v>#NUM!</v>
      </c>
      <c r="N13" s="231" t="e">
        <f t="shared" si="1"/>
        <v>#NUM!</v>
      </c>
    </row>
    <row r="14" spans="1:15" ht="19.5" thickBot="1" x14ac:dyDescent="0.3">
      <c r="A14">
        <f>'[1]РОЗДІЛ 2'!S6</f>
        <v>0.65</v>
      </c>
      <c r="B14">
        <f>'[1]РОЗДІЛ 2'!T6</f>
        <v>1.39</v>
      </c>
      <c r="C14" s="220" t="e">
        <f t="shared" si="2"/>
        <v>#NUM!</v>
      </c>
      <c r="D14" s="220" t="e">
        <f t="shared" si="3"/>
        <v>#NUM!</v>
      </c>
      <c r="E14" t="e">
        <f t="shared" si="4"/>
        <v>#NUM!</v>
      </c>
      <c r="F14" t="e">
        <f t="shared" si="5"/>
        <v>#NUM!</v>
      </c>
      <c r="G14">
        <v>110</v>
      </c>
      <c r="H14" s="89" t="s">
        <v>297</v>
      </c>
      <c r="I14" s="33" t="s">
        <v>289</v>
      </c>
      <c r="J14" s="33" t="str">
        <f>'[1]Table 2-4'!M10</f>
        <v>0,057+0,135i</v>
      </c>
      <c r="K14" s="33" t="e">
        <f>IMSUM(J14,N13)</f>
        <v>#NUM!</v>
      </c>
      <c r="L14" s="36" t="str">
        <f t="shared" si="6"/>
        <v>0.65+1.39i</v>
      </c>
      <c r="M14" s="36" t="e">
        <f t="shared" si="0"/>
        <v>#NUM!</v>
      </c>
      <c r="N14" s="36" t="e">
        <f t="shared" si="1"/>
        <v>#NUM!</v>
      </c>
    </row>
    <row r="15" spans="1:15" ht="19.5" thickBot="1" x14ac:dyDescent="0.3">
      <c r="A15">
        <f>'[1]РОЗДІЛ 2'!S5</f>
        <v>1.89</v>
      </c>
      <c r="B15">
        <f>'[1]РОЗДІЛ 2'!T5</f>
        <v>4.8099999999999996</v>
      </c>
      <c r="C15" s="220" t="e">
        <f t="shared" si="2"/>
        <v>#NUM!</v>
      </c>
      <c r="D15" s="220" t="e">
        <f t="shared" si="3"/>
        <v>#NUM!</v>
      </c>
      <c r="E15" t="e">
        <f t="shared" si="4"/>
        <v>#NUM!</v>
      </c>
      <c r="F15" t="e">
        <f t="shared" si="5"/>
        <v>#NUM!</v>
      </c>
      <c r="G15">
        <v>110</v>
      </c>
      <c r="H15" s="89" t="s">
        <v>298</v>
      </c>
      <c r="I15" s="33" t="s">
        <v>13</v>
      </c>
      <c r="J15" s="33" t="str">
        <f>'[1]Table 2-4'!M6</f>
        <v>20,107+5,732i</v>
      </c>
      <c r="K15" s="33" t="e">
        <f>IMSUM(J15,N14)</f>
        <v>#NUM!</v>
      </c>
      <c r="L15" s="36" t="str">
        <f t="shared" si="6"/>
        <v>1.89+4.81i</v>
      </c>
      <c r="M15" s="36" t="e">
        <f t="shared" si="0"/>
        <v>#NUM!</v>
      </c>
      <c r="N15" s="232" t="e">
        <f t="shared" si="1"/>
        <v>#NUM!</v>
      </c>
      <c r="O15" s="233">
        <f>0.147+0.18+0.089+0.696</f>
        <v>1.1119999999999999</v>
      </c>
    </row>
    <row r="16" spans="1:15" ht="18.75" x14ac:dyDescent="0.25">
      <c r="M16" s="230">
        <f>[1]Лист1!B11</f>
        <v>47</v>
      </c>
      <c r="N16" s="230">
        <f>[1]Лист1!C11</f>
        <v>30</v>
      </c>
      <c r="O16">
        <f>SQRT(M16^2+N16^2)</f>
        <v>55.758407437802596</v>
      </c>
    </row>
    <row r="17" spans="12:15" ht="18.75" x14ac:dyDescent="0.25">
      <c r="N17">
        <f>[1]Трансформатори!K21</f>
        <v>17.850000000000001</v>
      </c>
      <c r="O17" s="230">
        <f>N16-N17</f>
        <v>12.149999999999999</v>
      </c>
    </row>
    <row r="18" spans="12:15" x14ac:dyDescent="0.25">
      <c r="L18" t="s">
        <v>299</v>
      </c>
      <c r="M18" t="e">
        <f>IMSUM(M5,M6,M7,M8,M9,M10,M14,M15)</f>
        <v>#NUM!</v>
      </c>
      <c r="N18">
        <v>1.1120000000000001</v>
      </c>
      <c r="O18" t="s">
        <v>2</v>
      </c>
    </row>
    <row r="19" spans="12:15" x14ac:dyDescent="0.25">
      <c r="L19" t="s">
        <v>292</v>
      </c>
      <c r="M19" t="e">
        <f>IMSUM(M11,M12,M13)</f>
        <v>#NUM!</v>
      </c>
      <c r="O19" s="229">
        <f>N18/O16*100</f>
        <v>1.9943180788303796</v>
      </c>
    </row>
    <row r="20" spans="12:15" x14ac:dyDescent="0.25">
      <c r="N20">
        <v>5.74</v>
      </c>
      <c r="O20" t="s">
        <v>300</v>
      </c>
    </row>
    <row r="21" spans="12:15" x14ac:dyDescent="0.25">
      <c r="O21" s="15">
        <f>N20/O16*100</f>
        <v>10.294411665905015</v>
      </c>
    </row>
    <row r="22" spans="12:15" ht="75.75" thickBot="1" x14ac:dyDescent="0.3">
      <c r="M22" s="33" t="e">
        <f>IMPRODUCT(IMDIV(IMPRODUCT(K5,K5),G5^2),L5)</f>
        <v>#NUM!</v>
      </c>
    </row>
  </sheetData>
  <mergeCells count="2">
    <mergeCell ref="H3:H4"/>
    <mergeCell ref="I3:I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5841" r:id="rId3">
          <objectPr defaultSize="0" autoPict="0" r:id="rId4">
            <anchor moveWithCells="1" sizeWithCells="1">
              <from>
                <xdr:col>9</xdr:col>
                <xdr:colOff>0</xdr:colOff>
                <xdr:row>2</xdr:row>
                <xdr:rowOff>0</xdr:rowOff>
              </from>
              <to>
                <xdr:col>10</xdr:col>
                <xdr:colOff>19050</xdr:colOff>
                <xdr:row>2</xdr:row>
                <xdr:rowOff>228600</xdr:rowOff>
              </to>
            </anchor>
          </objectPr>
        </oleObject>
      </mc:Choice>
      <mc:Fallback>
        <oleObject progId="Equation.3" shapeId="35841" r:id="rId3"/>
      </mc:Fallback>
    </mc:AlternateContent>
    <mc:AlternateContent xmlns:mc="http://schemas.openxmlformats.org/markup-compatibility/2006">
      <mc:Choice Requires="x14">
        <oleObject progId="Equation.3" shapeId="35842" r:id="rId5">
          <objectPr defaultSize="0" autoPict="0" r:id="rId6">
            <anchor moveWithCells="1" sizeWithCells="1">
              <from>
                <xdr:col>10</xdr:col>
                <xdr:colOff>0</xdr:colOff>
                <xdr:row>2</xdr:row>
                <xdr:rowOff>0</xdr:rowOff>
              </from>
              <to>
                <xdr:col>11</xdr:col>
                <xdr:colOff>19050</xdr:colOff>
                <xdr:row>2</xdr:row>
                <xdr:rowOff>247650</xdr:rowOff>
              </to>
            </anchor>
          </objectPr>
        </oleObject>
      </mc:Choice>
      <mc:Fallback>
        <oleObject progId="Equation.3" shapeId="35842" r:id="rId5"/>
      </mc:Fallback>
    </mc:AlternateContent>
    <mc:AlternateContent xmlns:mc="http://schemas.openxmlformats.org/markup-compatibility/2006">
      <mc:Choice Requires="x14">
        <oleObject progId="Equation.3" shapeId="35843" r:id="rId7">
          <objectPr defaultSize="0" autoPict="0" r:id="rId8">
            <anchor moveWithCells="1" siz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295275</xdr:colOff>
                <xdr:row>2</xdr:row>
                <xdr:rowOff>247650</xdr:rowOff>
              </to>
            </anchor>
          </objectPr>
        </oleObject>
      </mc:Choice>
      <mc:Fallback>
        <oleObject progId="Equation.3" shapeId="35843" r:id="rId7"/>
      </mc:Fallback>
    </mc:AlternateContent>
    <mc:AlternateContent xmlns:mc="http://schemas.openxmlformats.org/markup-compatibility/2006">
      <mc:Choice Requires="x14">
        <oleObject progId="Equation.3" shapeId="35844" r:id="rId9">
          <objectPr defaultSize="0" autoPict="0" r:id="rId10">
            <anchor moveWithCells="1" sizeWithCells="1">
              <from>
                <xdr:col>12</xdr:col>
                <xdr:colOff>0</xdr:colOff>
                <xdr:row>2</xdr:row>
                <xdr:rowOff>0</xdr:rowOff>
              </from>
              <to>
                <xdr:col>13</xdr:col>
                <xdr:colOff>0</xdr:colOff>
                <xdr:row>2</xdr:row>
                <xdr:rowOff>190500</xdr:rowOff>
              </to>
            </anchor>
          </objectPr>
        </oleObject>
      </mc:Choice>
      <mc:Fallback>
        <oleObject progId="Equation.3" shapeId="35844" r:id="rId9"/>
      </mc:Fallback>
    </mc:AlternateContent>
    <mc:AlternateContent xmlns:mc="http://schemas.openxmlformats.org/markup-compatibility/2006">
      <mc:Choice Requires="x14">
        <oleObject progId="Equation.3" shapeId="35845" r:id="rId11">
          <objectPr defaultSize="0" autoPict="0" r:id="rId12">
            <anchor moveWithCells="1" sizeWithCells="1">
              <from>
                <xdr:col>13</xdr:col>
                <xdr:colOff>0</xdr:colOff>
                <xdr:row>2</xdr:row>
                <xdr:rowOff>0</xdr:rowOff>
              </from>
              <to>
                <xdr:col>13</xdr:col>
                <xdr:colOff>581025</xdr:colOff>
                <xdr:row>2</xdr:row>
                <xdr:rowOff>247650</xdr:rowOff>
              </to>
            </anchor>
          </objectPr>
        </oleObject>
      </mc:Choice>
      <mc:Fallback>
        <oleObject progId="Equation.3" shapeId="35845" r:id="rId11"/>
      </mc:Fallback>
    </mc:AlternateContent>
  </oleObjec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26"/>
  <sheetViews>
    <sheetView topLeftCell="E5" workbookViewId="0">
      <selection activeCell="J22" sqref="J22"/>
    </sheetView>
  </sheetViews>
  <sheetFormatPr defaultRowHeight="15" x14ac:dyDescent="0.25"/>
  <cols>
    <col min="7" max="7" width="17.42578125" customWidth="1"/>
    <col min="9" max="9" width="15.42578125" customWidth="1"/>
    <col min="10" max="10" width="33.7109375" customWidth="1"/>
    <col min="11" max="11" width="20.7109375" customWidth="1"/>
    <col min="12" max="13" width="16" customWidth="1"/>
    <col min="15" max="15" width="14" bestFit="1" customWidth="1"/>
  </cols>
  <sheetData>
    <row r="2" spans="1:16" ht="15.75" thickBot="1" x14ac:dyDescent="0.3">
      <c r="M2" t="s">
        <v>312</v>
      </c>
    </row>
    <row r="3" spans="1:16" ht="53.45" customHeight="1" x14ac:dyDescent="0.25">
      <c r="G3" s="96" t="s">
        <v>311</v>
      </c>
      <c r="H3" s="75" t="s">
        <v>235</v>
      </c>
      <c r="I3" s="96" t="s">
        <v>226</v>
      </c>
      <c r="J3" s="75" t="s">
        <v>235</v>
      </c>
      <c r="K3" s="75" t="s">
        <v>235</v>
      </c>
      <c r="L3" s="75" t="s">
        <v>235</v>
      </c>
      <c r="M3" s="75" t="s">
        <v>310</v>
      </c>
      <c r="N3" s="96" t="s">
        <v>309</v>
      </c>
      <c r="O3" s="75" t="s">
        <v>235</v>
      </c>
    </row>
    <row r="4" spans="1:16" ht="19.5" thickBot="1" x14ac:dyDescent="0.3">
      <c r="G4" s="98"/>
      <c r="H4" s="33" t="s">
        <v>9</v>
      </c>
      <c r="I4" s="98"/>
      <c r="J4" s="33" t="s">
        <v>308</v>
      </c>
      <c r="K4" s="33" t="s">
        <v>147</v>
      </c>
      <c r="L4" s="33" t="s">
        <v>9</v>
      </c>
      <c r="M4" s="33"/>
      <c r="N4" s="98"/>
      <c r="O4" s="33" t="s">
        <v>9</v>
      </c>
    </row>
    <row r="5" spans="1:16" ht="19.5" thickBot="1" x14ac:dyDescent="0.3">
      <c r="A5" s="220" t="e">
        <f>IMREAL(J5)</f>
        <v>#NUM!</v>
      </c>
      <c r="B5" s="220" t="e">
        <f>IMAGINARY(J5)</f>
        <v>#NUM!</v>
      </c>
      <c r="C5" s="220" t="e">
        <f>IMREAL(K5)</f>
        <v>#NUM!</v>
      </c>
      <c r="D5" s="220" t="e">
        <f>IMAGINARY(K5)</f>
        <v>#NUM!</v>
      </c>
      <c r="G5" s="89" t="s">
        <v>17</v>
      </c>
      <c r="H5" s="89">
        <f>ROUND(115*1.05,0)</f>
        <v>121</v>
      </c>
      <c r="I5" s="89" t="str">
        <f>'[1]Tabl 2-5'!H15</f>
        <v>ДЖ-В</v>
      </c>
      <c r="J5" s="89" t="str">
        <f>'[1]Tabl 2-5'!N15</f>
        <v>48,112+17,899i</v>
      </c>
      <c r="K5" s="89" t="str">
        <f>'[1]Tabl 2-5'!L15</f>
        <v>1,89+4,81i</v>
      </c>
      <c r="L5" s="89" t="e">
        <f>ROUND((A5*C5+B5*D5)/H5,3)</f>
        <v>#NUM!</v>
      </c>
      <c r="M5" s="89" t="e">
        <f>ROUND((A5*D5-B5*C5)/H5,3)</f>
        <v>#NUM!</v>
      </c>
      <c r="N5" s="89" t="s">
        <v>13</v>
      </c>
      <c r="O5" s="89" t="e">
        <f>ROUND(SQRT((H5-L5)^2+M5^2),2)</f>
        <v>#NUM!</v>
      </c>
    </row>
    <row r="6" spans="1:16" ht="19.5" thickBot="1" x14ac:dyDescent="0.3">
      <c r="A6" s="220" t="e">
        <f>IMREAL(J6)</f>
        <v>#NUM!</v>
      </c>
      <c r="B6" s="220" t="e">
        <f>IMAGINARY(J6)</f>
        <v>#NUM!</v>
      </c>
      <c r="C6" s="220" t="e">
        <f>IMREAL(K6)</f>
        <v>#NUM!</v>
      </c>
      <c r="D6" s="220" t="e">
        <f>IMAGINARY(K6)</f>
        <v>#NUM!</v>
      </c>
      <c r="G6" s="89" t="s">
        <v>307</v>
      </c>
      <c r="H6" s="89" t="e">
        <f>O5</f>
        <v>#NUM!</v>
      </c>
      <c r="I6" s="89" t="str">
        <f>'[1]Tabl 2-5'!H14</f>
        <v>В-А(ШВН)</v>
      </c>
      <c r="J6" s="89" t="str">
        <f>'[1]Tabl 2-5'!N14</f>
        <v>27,605+11,149i</v>
      </c>
      <c r="K6" s="89" t="str">
        <f>'[1]Tabl 2-5'!L14</f>
        <v>0,65+1,39i</v>
      </c>
      <c r="L6" s="89" t="e">
        <f>ROUND((A6*C6+B6*D6)/H6,3)</f>
        <v>#NUM!</v>
      </c>
      <c r="M6" s="89" t="e">
        <f>ROUND((A6*D6-B6*C6)/H6,3)</f>
        <v>#NUM!</v>
      </c>
      <c r="N6" s="89" t="s">
        <v>289</v>
      </c>
      <c r="O6" s="89" t="e">
        <f>ROUND(SQRT((H6-L6)^2+M6^2),2)</f>
        <v>#NUM!</v>
      </c>
    </row>
    <row r="7" spans="1:16" ht="19.5" thickBot="1" x14ac:dyDescent="0.3">
      <c r="A7" s="220" t="e">
        <f>IMREAL(J7)</f>
        <v>#NUM!</v>
      </c>
      <c r="B7" s="220" t="e">
        <f>IMAGINARY(J7)</f>
        <v>#NUM!</v>
      </c>
      <c r="C7" s="220" t="e">
        <f>IMREAL(K7)</f>
        <v>#NUM!</v>
      </c>
      <c r="D7" s="220" t="e">
        <f>IMAGINARY(K7)</f>
        <v>#NUM!</v>
      </c>
      <c r="G7" s="89" t="s">
        <v>289</v>
      </c>
      <c r="H7" s="89" t="e">
        <f>O6</f>
        <v>#NUM!</v>
      </c>
      <c r="I7" s="89" t="str">
        <f>'[1]Tabl 2-5'!H13</f>
        <v>ШВН-0</v>
      </c>
      <c r="J7" s="89" t="str">
        <f>'[1]Tabl 2-5'!N13</f>
        <v>27,501+10,913i</v>
      </c>
      <c r="K7" s="89" t="str">
        <f>'[1]Tabl 2-5'!L13</f>
        <v>0,7406+28,43i</v>
      </c>
      <c r="L7" s="89" t="e">
        <f>ROUND((A7*C7+B7*D7)/H7,3)</f>
        <v>#NUM!</v>
      </c>
      <c r="M7" s="89" t="e">
        <f>ROUND((A7*D7-B7*C7)/H7,3)</f>
        <v>#NUM!</v>
      </c>
      <c r="N7" s="89">
        <v>0</v>
      </c>
      <c r="O7" s="89" t="e">
        <f>ROUND(SQRT((H7-L7)^2+M7^2),2)</f>
        <v>#NUM!</v>
      </c>
    </row>
    <row r="8" spans="1:16" ht="19.5" thickBot="1" x14ac:dyDescent="0.3">
      <c r="A8" s="220" t="e">
        <f>IMREAL(J8)</f>
        <v>#NUM!</v>
      </c>
      <c r="B8" s="220" t="e">
        <f>IMAGINARY(J8)</f>
        <v>#NUM!</v>
      </c>
      <c r="C8" s="220" t="e">
        <f>IMREAL(K8)</f>
        <v>#NUM!</v>
      </c>
      <c r="D8" s="220" t="e">
        <f>IMAGINARY(K8)</f>
        <v>#NUM!</v>
      </c>
      <c r="G8" s="89">
        <v>0</v>
      </c>
      <c r="H8" s="89" t="e">
        <f>O7</f>
        <v>#NUM!</v>
      </c>
      <c r="I8" s="89" t="str">
        <f>'[1]Tabl 2-5'!H12</f>
        <v>0-ШНН</v>
      </c>
      <c r="J8" s="89" t="str">
        <f>'[1]Tabl 2-5'!N12</f>
        <v>4,001+1,226i</v>
      </c>
      <c r="K8" s="89" t="str">
        <f>'[1]Tabl 2-5'!L12</f>
        <v>0,7406+17,85i</v>
      </c>
      <c r="L8" s="89" t="e">
        <f>ROUND((A8*C8+B8*D8)/H8,3)</f>
        <v>#NUM!</v>
      </c>
      <c r="M8" s="89" t="e">
        <f>ROUND((A8*D8-B8*C8)/H8,3)</f>
        <v>#NUM!</v>
      </c>
      <c r="N8" s="89" t="s">
        <v>306</v>
      </c>
      <c r="O8" s="237" t="e">
        <f>ROUND(SQRT((H8-L8)^2+M8^2),2)</f>
        <v>#NUM!</v>
      </c>
      <c r="P8" t="s">
        <v>305</v>
      </c>
    </row>
    <row r="9" spans="1:16" ht="19.5" thickBot="1" x14ac:dyDescent="0.3">
      <c r="A9" s="220" t="e">
        <f>IMREAL(J9)</f>
        <v>#NUM!</v>
      </c>
      <c r="B9" s="220" t="e">
        <f>IMAGINARY(J9)</f>
        <v>#NUM!</v>
      </c>
      <c r="C9" s="220" t="e">
        <f>IMREAL(K9)</f>
        <v>#NUM!</v>
      </c>
      <c r="D9" s="220" t="e">
        <f>IMAGINARY(K9)</f>
        <v>#NUM!</v>
      </c>
      <c r="G9" s="89">
        <v>0</v>
      </c>
      <c r="H9" s="89" t="e">
        <f>O7</f>
        <v>#NUM!</v>
      </c>
      <c r="I9" s="89" t="str">
        <f>'[1]Tabl 2-5'!H11</f>
        <v>0-ШСН</v>
      </c>
      <c r="J9" s="89" t="str">
        <f>'[1]Tabl 2-5'!N11</f>
        <v>23,449+7,728i</v>
      </c>
      <c r="K9" s="89" t="str">
        <f>'[1]Tabl 2-5'!L11</f>
        <v>0,7406</v>
      </c>
      <c r="L9" s="89" t="e">
        <f>ROUND((A9*C9+B9*D9)/H9,3)</f>
        <v>#NUM!</v>
      </c>
      <c r="M9" s="89" t="e">
        <f>ROUND((A9*D9-B9*C9)/H9,3)</f>
        <v>#NUM!</v>
      </c>
      <c r="N9" s="89" t="s">
        <v>290</v>
      </c>
      <c r="O9" s="237" t="e">
        <f>ROUND(SQRT((H9-L9)^2+M9^2),2)</f>
        <v>#NUM!</v>
      </c>
      <c r="P9" t="s">
        <v>304</v>
      </c>
    </row>
    <row r="10" spans="1:16" ht="19.5" thickBot="1" x14ac:dyDescent="0.3">
      <c r="A10" s="220" t="e">
        <f>IMREAL(J10)</f>
        <v>#NUM!</v>
      </c>
      <c r="B10" s="220" t="e">
        <f>IMAGINARY(J10)</f>
        <v>#NUM!</v>
      </c>
      <c r="C10" s="220" t="e">
        <f>IMREAL(K10)</f>
        <v>#NUM!</v>
      </c>
      <c r="D10" s="220" t="e">
        <f>IMAGINARY(K10)</f>
        <v>#NUM!</v>
      </c>
      <c r="G10" s="89" t="s">
        <v>290</v>
      </c>
      <c r="H10" s="236" t="e">
        <f>O9</f>
        <v>#NUM!</v>
      </c>
      <c r="I10" s="89" t="str">
        <f>'[1]Tabl 2-5'!H10</f>
        <v>ВП-3</v>
      </c>
      <c r="J10" s="89" t="str">
        <f>'[1]Tabl 2-5'!N10</f>
        <v>11,173+3,649i</v>
      </c>
      <c r="K10" s="89" t="str">
        <f>'[1]Tabl 2-5'!L10</f>
        <v>0,65+1,34i</v>
      </c>
      <c r="L10" s="89" t="e">
        <f>ROUND((A10*C10+B10*D10)/H10,3)</f>
        <v>#NUM!</v>
      </c>
      <c r="M10" s="89" t="e">
        <f>ROUND((A10*D10-B10*C10)/H10,3)</f>
        <v>#NUM!</v>
      </c>
      <c r="N10" s="89">
        <v>3</v>
      </c>
      <c r="O10" s="236" t="e">
        <f>ROUND(SQRT((H10-L10)^2+M10^2),2)</f>
        <v>#NUM!</v>
      </c>
    </row>
    <row r="11" spans="1:16" ht="19.5" thickBot="1" x14ac:dyDescent="0.3">
      <c r="A11" s="220" t="e">
        <f>IMREAL(J11)</f>
        <v>#NUM!</v>
      </c>
      <c r="B11" s="220" t="e">
        <f>IMAGINARY(J11)</f>
        <v>#NUM!</v>
      </c>
      <c r="C11" s="220" t="e">
        <f>IMREAL(K11)</f>
        <v>#NUM!</v>
      </c>
      <c r="D11" s="220" t="e">
        <f>IMAGINARY(K11)</f>
        <v>#NUM!</v>
      </c>
      <c r="G11" s="89">
        <v>3</v>
      </c>
      <c r="H11" s="89" t="e">
        <f>O10</f>
        <v>#NUM!</v>
      </c>
      <c r="I11" s="89" t="str">
        <f>'[1]Tabl 2-5'!H9</f>
        <v>3-Б</v>
      </c>
      <c r="J11" s="89" t="str">
        <f>'[1]Tabl 2-5'!N9</f>
        <v>6,044+1,739i</v>
      </c>
      <c r="K11" s="89" t="str">
        <f>'[1]Tabl 2-5'!L9</f>
        <v>0,18+0,37i</v>
      </c>
      <c r="L11" s="89" t="e">
        <f>ROUND((A11*C11+B11*D11)/H11,3)</f>
        <v>#NUM!</v>
      </c>
      <c r="M11" s="89" t="e">
        <f>ROUND((A11*D11-B11*C11)/H11,3)</f>
        <v>#NUM!</v>
      </c>
      <c r="N11" s="89" t="s">
        <v>12</v>
      </c>
      <c r="O11" s="235" t="e">
        <f>ROUND(SQRT((H11-L11)^2+M11^2),2)</f>
        <v>#NUM!</v>
      </c>
    </row>
    <row r="12" spans="1:16" ht="19.5" thickBot="1" x14ac:dyDescent="0.3">
      <c r="A12" s="220" t="e">
        <f>IMREAL(J12)</f>
        <v>#NUM!</v>
      </c>
      <c r="B12" s="220" t="e">
        <f>IMAGINARY(J12)</f>
        <v>#NUM!</v>
      </c>
      <c r="C12" s="220" t="e">
        <f>IMREAL(K12)</f>
        <v>#NUM!</v>
      </c>
      <c r="D12" s="220" t="e">
        <f>IMAGINARY(K12)</f>
        <v>#NUM!</v>
      </c>
      <c r="G12" s="89">
        <v>3</v>
      </c>
      <c r="H12" s="89" t="e">
        <f>O10</f>
        <v>#NUM!</v>
      </c>
      <c r="I12" s="89" t="str">
        <f>'[1]Tabl 2-5'!H8</f>
        <v>3-Д</v>
      </c>
      <c r="J12" s="89" t="str">
        <f>'[1]Tabl 2-5'!N8</f>
        <v>5,057+1,762i</v>
      </c>
      <c r="K12" s="89" t="str">
        <f>'[1]Tabl 2-5'!L8</f>
        <v>0,77+1,58i</v>
      </c>
      <c r="L12" s="89" t="e">
        <f>ROUND((A12*C12+B12*D12)/H12,3)</f>
        <v>#NUM!</v>
      </c>
      <c r="M12" s="89" t="e">
        <f>ROUND((A12*D12-B12*C12)/H12,3)</f>
        <v>#NUM!</v>
      </c>
      <c r="N12" s="89" t="s">
        <v>15</v>
      </c>
      <c r="O12" s="235" t="e">
        <f>ROUND(SQRT((H12-L12)^2+M12^2),2)</f>
        <v>#NUM!</v>
      </c>
    </row>
    <row r="13" spans="1:16" ht="19.5" thickBot="1" x14ac:dyDescent="0.3">
      <c r="A13" s="220" t="e">
        <f>IMREAL(J13)</f>
        <v>#NUM!</v>
      </c>
      <c r="B13" s="220" t="e">
        <f>IMAGINARY(J13)</f>
        <v>#NUM!</v>
      </c>
      <c r="C13" s="220" t="e">
        <f>IMREAL(K13)</f>
        <v>#NUM!</v>
      </c>
      <c r="D13" s="220" t="e">
        <f>IMAGINARY(K13)</f>
        <v>#NUM!</v>
      </c>
      <c r="G13" s="89" t="s">
        <v>290</v>
      </c>
      <c r="H13" s="236" t="e">
        <f>O9</f>
        <v>#NUM!</v>
      </c>
      <c r="I13" s="89" t="str">
        <f>'[1]Tabl 2-5'!H7</f>
        <v>ВП-2</v>
      </c>
      <c r="J13" s="89" t="str">
        <f>'[1]Tabl 2-5'!N7</f>
        <v>12,239+4,079i</v>
      </c>
      <c r="K13" s="89" t="str">
        <f>'[1]Tabl 2-5'!L7</f>
        <v>0,81+1,66i</v>
      </c>
      <c r="L13" s="89" t="e">
        <f>ROUND((A13*C13+B13*D13)/H13,3)</f>
        <v>#NUM!</v>
      </c>
      <c r="M13" s="89" t="e">
        <f>ROUND((A13*D13-B13*C13)/H13,3)</f>
        <v>#NUM!</v>
      </c>
      <c r="N13" s="89">
        <v>2</v>
      </c>
      <c r="O13" s="236" t="e">
        <f>ROUND(SQRT((H13-L13)^2+M13^2),2)</f>
        <v>#NUM!</v>
      </c>
    </row>
    <row r="14" spans="1:16" ht="19.5" thickBot="1" x14ac:dyDescent="0.3">
      <c r="A14" s="220" t="e">
        <f>IMREAL(J14)</f>
        <v>#NUM!</v>
      </c>
      <c r="B14" s="220" t="e">
        <f>IMAGINARY(J14)</f>
        <v>#NUM!</v>
      </c>
      <c r="C14" s="220" t="e">
        <f>IMREAL(K14)</f>
        <v>#NUM!</v>
      </c>
      <c r="D14" s="220" t="e">
        <f>IMAGINARY(K14)</f>
        <v>#NUM!</v>
      </c>
      <c r="G14" s="89">
        <v>2</v>
      </c>
      <c r="H14" s="89" t="e">
        <f>O13</f>
        <v>#NUM!</v>
      </c>
      <c r="I14" s="89" t="str">
        <f>'[1]Tabl 2-5'!H6</f>
        <v>2-Г</v>
      </c>
      <c r="J14" s="89" t="str">
        <f>'[1]Tabl 2-5'!N6</f>
        <v>7,069+2,3i</v>
      </c>
      <c r="K14" s="89" t="str">
        <f>'[1]Tabl 2-5'!L6</f>
        <v>0,5+0,83i</v>
      </c>
      <c r="L14" s="89" t="e">
        <f>ROUND((A14*C14+B14*D14)/H14,3)</f>
        <v>#NUM!</v>
      </c>
      <c r="M14" s="89" t="e">
        <f>ROUND((A14*D14-B14*C14)/H14,3)</f>
        <v>#NUM!</v>
      </c>
      <c r="N14" s="89" t="s">
        <v>14</v>
      </c>
      <c r="O14" s="235" t="e">
        <f>ROUND(SQRT((H14-L14)^2+M14^2),2)</f>
        <v>#NUM!</v>
      </c>
    </row>
    <row r="15" spans="1:16" ht="19.5" thickBot="1" x14ac:dyDescent="0.3">
      <c r="A15" s="220" t="e">
        <f>IMREAL(J15)</f>
        <v>#NUM!</v>
      </c>
      <c r="B15" s="220" t="e">
        <f>IMAGINARY(J15)</f>
        <v>#NUM!</v>
      </c>
      <c r="C15" s="220" t="e">
        <f>IMREAL(K15)</f>
        <v>#NUM!</v>
      </c>
      <c r="D15" s="220" t="e">
        <f>IMAGINARY(K15)</f>
        <v>#NUM!</v>
      </c>
      <c r="G15" s="89">
        <v>2</v>
      </c>
      <c r="H15" s="89" t="e">
        <f>O13</f>
        <v>#NUM!</v>
      </c>
      <c r="I15" s="89" t="str">
        <f>'[1]Tabl 2-5'!H5</f>
        <v>2-Е</v>
      </c>
      <c r="J15" s="89" t="str">
        <f>'[1]Tabl 2-5'!N5</f>
        <v>5,063+1,559i</v>
      </c>
      <c r="K15" s="89" t="str">
        <f>'[1]Tabl 2-5'!L5</f>
        <v>1,05+1,74i</v>
      </c>
      <c r="L15" s="89" t="e">
        <f>ROUND((A15*C15+B15*D15)/H15,3)</f>
        <v>#NUM!</v>
      </c>
      <c r="M15" s="89" t="e">
        <f>ROUND((A15*D15-B15*C15)/H15,3)</f>
        <v>#NUM!</v>
      </c>
      <c r="N15" s="89" t="s">
        <v>16</v>
      </c>
      <c r="O15" s="235" t="e">
        <f>ROUND(SQRT((H15-L15)^2+M15^2),2)</f>
        <v>#NUM!</v>
      </c>
    </row>
    <row r="17" spans="5:16" x14ac:dyDescent="0.25">
      <c r="G17" s="234" t="s">
        <v>303</v>
      </c>
    </row>
    <row r="19" spans="5:16" ht="15.75" thickBot="1" x14ac:dyDescent="0.3">
      <c r="I19" t="s">
        <v>302</v>
      </c>
    </row>
    <row r="20" spans="5:16" ht="18.75" x14ac:dyDescent="0.25">
      <c r="G20" s="96" t="s">
        <v>301</v>
      </c>
      <c r="H20" s="75" t="s">
        <v>235</v>
      </c>
      <c r="I20" s="75" t="s">
        <v>235</v>
      </c>
      <c r="J20" s="75" t="s">
        <v>235</v>
      </c>
      <c r="K20" s="75" t="s">
        <v>235</v>
      </c>
      <c r="L20" s="126"/>
      <c r="M20" s="126"/>
      <c r="N20" s="75" t="s">
        <v>235</v>
      </c>
      <c r="O20" s="75" t="s">
        <v>235</v>
      </c>
      <c r="P20" s="75" t="s">
        <v>235</v>
      </c>
    </row>
    <row r="21" spans="5:16" ht="19.5" thickBot="1" x14ac:dyDescent="0.3">
      <c r="G21" s="98"/>
      <c r="H21" s="33" t="s">
        <v>9</v>
      </c>
      <c r="I21" s="33" t="s">
        <v>9</v>
      </c>
      <c r="J21" s="33" t="s">
        <v>9</v>
      </c>
      <c r="K21" s="33" t="s">
        <v>9</v>
      </c>
      <c r="L21" s="127"/>
      <c r="M21" s="127"/>
      <c r="N21" s="33" t="s">
        <v>9</v>
      </c>
      <c r="O21" s="33" t="s">
        <v>9</v>
      </c>
      <c r="P21" s="33" t="s">
        <v>270</v>
      </c>
    </row>
    <row r="22" spans="5:16" ht="19.5" thickBot="1" x14ac:dyDescent="0.3">
      <c r="E22">
        <f>[1]Лист1!F4</f>
        <v>6</v>
      </c>
      <c r="G22" s="89" t="str">
        <f>'[1]Table 2-4'!G5</f>
        <v>Б</v>
      </c>
      <c r="H22" s="66" t="e">
        <f>O11</f>
        <v>#NUM!</v>
      </c>
      <c r="I22" s="66"/>
      <c r="J22" s="66">
        <f>1.05*E22</f>
        <v>6.3000000000000007</v>
      </c>
      <c r="K22" s="66"/>
      <c r="L22" s="66"/>
      <c r="M22" s="66"/>
      <c r="N22" s="66"/>
      <c r="O22" s="66"/>
      <c r="P22" s="66"/>
    </row>
    <row r="23" spans="5:16" ht="19.5" thickBot="1" x14ac:dyDescent="0.3">
      <c r="E23">
        <f>[1]Лист1!F5</f>
        <v>6</v>
      </c>
      <c r="G23" s="89" t="str">
        <f>'[1]Table 2-4'!G6</f>
        <v>В</v>
      </c>
      <c r="H23" s="66" t="e">
        <f>O5</f>
        <v>#NUM!</v>
      </c>
      <c r="I23" s="66"/>
      <c r="J23" s="66">
        <f>1.05*E23</f>
        <v>6.3000000000000007</v>
      </c>
      <c r="K23" s="66"/>
      <c r="L23" s="66"/>
      <c r="M23" s="66"/>
      <c r="N23" s="66"/>
      <c r="O23" s="66"/>
      <c r="P23" s="66"/>
    </row>
    <row r="24" spans="5:16" ht="19.5" thickBot="1" x14ac:dyDescent="0.3">
      <c r="E24">
        <f>[1]Лист1!F6</f>
        <v>10</v>
      </c>
      <c r="G24" s="89" t="str">
        <f>'[1]Table 2-4'!G7</f>
        <v>Г</v>
      </c>
      <c r="H24" s="66" t="e">
        <f>O14</f>
        <v>#NUM!</v>
      </c>
      <c r="I24" s="66"/>
      <c r="J24" s="66">
        <f>1.05*E24</f>
        <v>10.5</v>
      </c>
      <c r="K24" s="66"/>
      <c r="L24" s="66"/>
      <c r="M24" s="66"/>
      <c r="N24" s="66"/>
      <c r="O24" s="66"/>
      <c r="P24" s="66"/>
    </row>
    <row r="25" spans="5:16" ht="19.5" thickBot="1" x14ac:dyDescent="0.3">
      <c r="E25">
        <f>[1]Лист1!F7</f>
        <v>10</v>
      </c>
      <c r="G25" s="89" t="str">
        <f>'[1]Table 2-4'!G8</f>
        <v>Д</v>
      </c>
      <c r="H25" s="66" t="e">
        <f>O12</f>
        <v>#NUM!</v>
      </c>
      <c r="I25" s="66"/>
      <c r="J25" s="66">
        <f>1.05*E25</f>
        <v>10.5</v>
      </c>
      <c r="K25" s="66"/>
      <c r="L25" s="66"/>
      <c r="M25" s="66"/>
      <c r="N25" s="66"/>
      <c r="O25" s="66"/>
      <c r="P25" s="66"/>
    </row>
    <row r="26" spans="5:16" ht="19.5" thickBot="1" x14ac:dyDescent="0.3">
      <c r="E26">
        <f>[1]Лист1!F8</f>
        <v>6</v>
      </c>
      <c r="G26" s="89" t="str">
        <f>'[1]Table 2-4'!G9</f>
        <v>Е</v>
      </c>
      <c r="H26" s="66" t="e">
        <f>O15</f>
        <v>#NUM!</v>
      </c>
      <c r="I26" s="66"/>
      <c r="J26" s="66">
        <f>1.05*E26</f>
        <v>6.3000000000000007</v>
      </c>
      <c r="K26" s="66"/>
      <c r="L26" s="66"/>
      <c r="M26" s="66"/>
      <c r="N26" s="66"/>
      <c r="O26" s="66"/>
      <c r="P26" s="66"/>
    </row>
  </sheetData>
  <mergeCells count="6">
    <mergeCell ref="G3:G4"/>
    <mergeCell ref="I3:I4"/>
    <mergeCell ref="N3:N4"/>
    <mergeCell ref="G20:G21"/>
    <mergeCell ref="L20:L21"/>
    <mergeCell ref="M20:M2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6865" r:id="rId3">
          <objectPr defaultSize="0" autoPict="0" r:id="rId4">
            <anchor moveWithCells="1" sizeWithCells="1">
              <from>
                <xdr:col>7</xdr:col>
                <xdr:colOff>0</xdr:colOff>
                <xdr:row>2</xdr:row>
                <xdr:rowOff>0</xdr:rowOff>
              </from>
              <to>
                <xdr:col>7</xdr:col>
                <xdr:colOff>209550</xdr:colOff>
                <xdr:row>2</xdr:row>
                <xdr:rowOff>247650</xdr:rowOff>
              </to>
            </anchor>
          </objectPr>
        </oleObject>
      </mc:Choice>
      <mc:Fallback>
        <oleObject progId="Equation.3" shapeId="36865" r:id="rId3"/>
      </mc:Fallback>
    </mc:AlternateContent>
    <mc:AlternateContent xmlns:mc="http://schemas.openxmlformats.org/markup-compatibility/2006">
      <mc:Choice Requires="x14">
        <oleObject progId="Equation.3" shapeId="36866" r:id="rId5">
          <objectPr defaultSize="0" autoPict="0" r:id="rId6">
            <anchor moveWithCells="1" sizeWithCells="1">
              <from>
                <xdr:col>9</xdr:col>
                <xdr:colOff>0</xdr:colOff>
                <xdr:row>2</xdr:row>
                <xdr:rowOff>0</xdr:rowOff>
              </from>
              <to>
                <xdr:col>10</xdr:col>
                <xdr:colOff>19050</xdr:colOff>
                <xdr:row>2</xdr:row>
                <xdr:rowOff>285750</xdr:rowOff>
              </to>
            </anchor>
          </objectPr>
        </oleObject>
      </mc:Choice>
      <mc:Fallback>
        <oleObject progId="Equation.3" shapeId="36866" r:id="rId5"/>
      </mc:Fallback>
    </mc:AlternateContent>
    <mc:AlternateContent xmlns:mc="http://schemas.openxmlformats.org/markup-compatibility/2006">
      <mc:Choice Requires="x14">
        <oleObject progId="Equation.3" shapeId="36867" r:id="rId7">
          <objectPr defaultSize="0" autoPict="0" r:id="rId8">
            <anchor moveWithCells="1" sizeWithCells="1">
              <from>
                <xdr:col>10</xdr:col>
                <xdr:colOff>0</xdr:colOff>
                <xdr:row>2</xdr:row>
                <xdr:rowOff>0</xdr:rowOff>
              </from>
              <to>
                <xdr:col>10</xdr:col>
                <xdr:colOff>552450</xdr:colOff>
                <xdr:row>2</xdr:row>
                <xdr:rowOff>228600</xdr:rowOff>
              </to>
            </anchor>
          </objectPr>
        </oleObject>
      </mc:Choice>
      <mc:Fallback>
        <oleObject progId="Equation.3" shapeId="36867" r:id="rId7"/>
      </mc:Fallback>
    </mc:AlternateContent>
    <mc:AlternateContent xmlns:mc="http://schemas.openxmlformats.org/markup-compatibility/2006">
      <mc:Choice Requires="x14">
        <oleObject progId="Equation.3" shapeId="36868" r:id="rId9">
          <objectPr defaultSize="0" autoPict="0" r:id="rId10">
            <anchor moveWithCells="1" sizeWithCells="1">
              <from>
                <xdr:col>11</xdr:col>
                <xdr:colOff>0</xdr:colOff>
                <xdr:row>2</xdr:row>
                <xdr:rowOff>0</xdr:rowOff>
              </from>
              <to>
                <xdr:col>11</xdr:col>
                <xdr:colOff>304800</xdr:colOff>
                <xdr:row>2</xdr:row>
                <xdr:rowOff>190500</xdr:rowOff>
              </to>
            </anchor>
          </objectPr>
        </oleObject>
      </mc:Choice>
      <mc:Fallback>
        <oleObject progId="Equation.3" shapeId="36868" r:id="rId9"/>
      </mc:Fallback>
    </mc:AlternateContent>
    <mc:AlternateContent xmlns:mc="http://schemas.openxmlformats.org/markup-compatibility/2006">
      <mc:Choice Requires="x14">
        <oleObject progId="Equation.3" shapeId="36869" r:id="rId11">
          <objectPr defaultSize="0" autoPict="0" r:id="rId12">
            <anchor moveWithCells="1" sizeWithCells="1">
              <from>
                <xdr:col>14</xdr:col>
                <xdr:colOff>0</xdr:colOff>
                <xdr:row>2</xdr:row>
                <xdr:rowOff>0</xdr:rowOff>
              </from>
              <to>
                <xdr:col>14</xdr:col>
                <xdr:colOff>209550</xdr:colOff>
                <xdr:row>2</xdr:row>
                <xdr:rowOff>247650</xdr:rowOff>
              </to>
            </anchor>
          </objectPr>
        </oleObject>
      </mc:Choice>
      <mc:Fallback>
        <oleObject progId="Equation.3" shapeId="36869" r:id="rId11"/>
      </mc:Fallback>
    </mc:AlternateContent>
    <mc:AlternateContent xmlns:mc="http://schemas.openxmlformats.org/markup-compatibility/2006">
      <mc:Choice Requires="x14">
        <oleObject progId="Equation.3" shapeId="36870" r:id="rId13">
          <objectPr defaultSize="0" autoPict="0" r:id="rId14">
            <anchor moveWithCells="1" sizeWithCells="1">
              <from>
                <xdr:col>7</xdr:col>
                <xdr:colOff>0</xdr:colOff>
                <xdr:row>19</xdr:row>
                <xdr:rowOff>0</xdr:rowOff>
              </from>
              <to>
                <xdr:col>7</xdr:col>
                <xdr:colOff>247650</xdr:colOff>
                <xdr:row>20</xdr:row>
                <xdr:rowOff>57150</xdr:rowOff>
              </to>
            </anchor>
          </objectPr>
        </oleObject>
      </mc:Choice>
      <mc:Fallback>
        <oleObject progId="Equation.3" shapeId="36870" r:id="rId13"/>
      </mc:Fallback>
    </mc:AlternateContent>
    <mc:AlternateContent xmlns:mc="http://schemas.openxmlformats.org/markup-compatibility/2006">
      <mc:Choice Requires="x14">
        <oleObject progId="Equation.3" shapeId="36871" r:id="rId15">
          <objectPr defaultSize="0" autoPict="0" r:id="rId16">
            <anchor moveWithCells="1" sizeWithCells="1">
              <from>
                <xdr:col>8</xdr:col>
                <xdr:colOff>0</xdr:colOff>
                <xdr:row>19</xdr:row>
                <xdr:rowOff>0</xdr:rowOff>
              </from>
              <to>
                <xdr:col>8</xdr:col>
                <xdr:colOff>514350</xdr:colOff>
                <xdr:row>20</xdr:row>
                <xdr:rowOff>19050</xdr:rowOff>
              </to>
            </anchor>
          </objectPr>
        </oleObject>
      </mc:Choice>
      <mc:Fallback>
        <oleObject progId="Equation.3" shapeId="36871" r:id="rId15"/>
      </mc:Fallback>
    </mc:AlternateContent>
    <mc:AlternateContent xmlns:mc="http://schemas.openxmlformats.org/markup-compatibility/2006">
      <mc:Choice Requires="x14">
        <oleObject progId="Equation.3" shapeId="36872" r:id="rId17">
          <objectPr defaultSize="0" autoPict="0" r:id="rId18">
            <anchor moveWithCells="1" sizeWithCells="1">
              <from>
                <xdr:col>9</xdr:col>
                <xdr:colOff>0</xdr:colOff>
                <xdr:row>19</xdr:row>
                <xdr:rowOff>0</xdr:rowOff>
              </from>
              <to>
                <xdr:col>9</xdr:col>
                <xdr:colOff>438150</xdr:colOff>
                <xdr:row>20</xdr:row>
                <xdr:rowOff>47625</xdr:rowOff>
              </to>
            </anchor>
          </objectPr>
        </oleObject>
      </mc:Choice>
      <mc:Fallback>
        <oleObject progId="Equation.3" shapeId="36872" r:id="rId17"/>
      </mc:Fallback>
    </mc:AlternateContent>
    <mc:AlternateContent xmlns:mc="http://schemas.openxmlformats.org/markup-compatibility/2006">
      <mc:Choice Requires="x14">
        <oleObject progId="Equation.3" shapeId="36873" r:id="rId19">
          <objectPr defaultSize="0" autoPict="0" r:id="rId20">
            <anchor moveWithCells="1" sizeWithCells="1">
              <from>
                <xdr:col>10</xdr:col>
                <xdr:colOff>0</xdr:colOff>
                <xdr:row>19</xdr:row>
                <xdr:rowOff>0</xdr:rowOff>
              </from>
              <to>
                <xdr:col>10</xdr:col>
                <xdr:colOff>342900</xdr:colOff>
                <xdr:row>20</xdr:row>
                <xdr:rowOff>57150</xdr:rowOff>
              </to>
            </anchor>
          </objectPr>
        </oleObject>
      </mc:Choice>
      <mc:Fallback>
        <oleObject progId="Equation.3" shapeId="36873" r:id="rId19"/>
      </mc:Fallback>
    </mc:AlternateContent>
    <mc:AlternateContent xmlns:mc="http://schemas.openxmlformats.org/markup-compatibility/2006">
      <mc:Choice Requires="x14">
        <oleObject progId="Equation.3" shapeId="36874" r:id="rId21">
          <objectPr defaultSize="0" autoPict="0" r:id="rId22">
            <anchor moveWithCells="1" sizeWithCells="1">
              <from>
                <xdr:col>11</xdr:col>
                <xdr:colOff>0</xdr:colOff>
                <xdr:row>19</xdr:row>
                <xdr:rowOff>0</xdr:rowOff>
              </from>
              <to>
                <xdr:col>11</xdr:col>
                <xdr:colOff>285750</xdr:colOff>
                <xdr:row>20</xdr:row>
                <xdr:rowOff>47625</xdr:rowOff>
              </to>
            </anchor>
          </objectPr>
        </oleObject>
      </mc:Choice>
      <mc:Fallback>
        <oleObject progId="Equation.3" shapeId="36874" r:id="rId21"/>
      </mc:Fallback>
    </mc:AlternateContent>
    <mc:AlternateContent xmlns:mc="http://schemas.openxmlformats.org/markup-compatibility/2006">
      <mc:Choice Requires="x14">
        <oleObject progId="Equation.3" shapeId="36875" r:id="rId23">
          <objectPr defaultSize="0" autoPict="0" r:id="rId24">
            <anchor moveWithCells="1" sizeWithCells="1">
              <from>
                <xdr:col>12</xdr:col>
                <xdr:colOff>0</xdr:colOff>
                <xdr:row>19</xdr:row>
                <xdr:rowOff>0</xdr:rowOff>
              </from>
              <to>
                <xdr:col>12</xdr:col>
                <xdr:colOff>266700</xdr:colOff>
                <xdr:row>20</xdr:row>
                <xdr:rowOff>19050</xdr:rowOff>
              </to>
            </anchor>
          </objectPr>
        </oleObject>
      </mc:Choice>
      <mc:Fallback>
        <oleObject progId="Equation.3" shapeId="36875" r:id="rId23"/>
      </mc:Fallback>
    </mc:AlternateContent>
    <mc:AlternateContent xmlns:mc="http://schemas.openxmlformats.org/markup-compatibility/2006">
      <mc:Choice Requires="x14">
        <oleObject progId="Equation.3" shapeId="36876" r:id="rId25">
          <objectPr defaultSize="0" autoPict="0" r:id="rId26">
            <anchor moveWithCells="1" sizeWithCells="1">
              <from>
                <xdr:col>13</xdr:col>
                <xdr:colOff>0</xdr:colOff>
                <xdr:row>19</xdr:row>
                <xdr:rowOff>0</xdr:rowOff>
              </from>
              <to>
                <xdr:col>13</xdr:col>
                <xdr:colOff>400050</xdr:colOff>
                <xdr:row>20</xdr:row>
                <xdr:rowOff>19050</xdr:rowOff>
              </to>
            </anchor>
          </objectPr>
        </oleObject>
      </mc:Choice>
      <mc:Fallback>
        <oleObject progId="Equation.3" shapeId="36876" r:id="rId25"/>
      </mc:Fallback>
    </mc:AlternateContent>
    <mc:AlternateContent xmlns:mc="http://schemas.openxmlformats.org/markup-compatibility/2006">
      <mc:Choice Requires="x14">
        <oleObject progId="Equation.3" shapeId="36877" r:id="rId27">
          <objectPr defaultSize="0" autoPict="0" r:id="rId28">
            <anchor moveWithCells="1" sizeWithCells="1">
              <from>
                <xdr:col>14</xdr:col>
                <xdr:colOff>0</xdr:colOff>
                <xdr:row>19</xdr:row>
                <xdr:rowOff>0</xdr:rowOff>
              </from>
              <to>
                <xdr:col>14</xdr:col>
                <xdr:colOff>323850</xdr:colOff>
                <xdr:row>20</xdr:row>
                <xdr:rowOff>38100</xdr:rowOff>
              </to>
            </anchor>
          </objectPr>
        </oleObject>
      </mc:Choice>
      <mc:Fallback>
        <oleObject progId="Equation.3" shapeId="36877" r:id="rId27"/>
      </mc:Fallback>
    </mc:AlternateContent>
    <mc:AlternateContent xmlns:mc="http://schemas.openxmlformats.org/markup-compatibility/2006">
      <mc:Choice Requires="x14">
        <oleObject progId="Equation.3" shapeId="36878" r:id="rId29">
          <objectPr defaultSize="0" autoPict="0" r:id="rId30">
            <anchor moveWithCells="1" sizeWithCells="1">
              <from>
                <xdr:col>15</xdr:col>
                <xdr:colOff>0</xdr:colOff>
                <xdr:row>19</xdr:row>
                <xdr:rowOff>0</xdr:rowOff>
              </from>
              <to>
                <xdr:col>15</xdr:col>
                <xdr:colOff>314325</xdr:colOff>
                <xdr:row>19</xdr:row>
                <xdr:rowOff>209550</xdr:rowOff>
              </to>
            </anchor>
          </objectPr>
        </oleObject>
      </mc:Choice>
      <mc:Fallback>
        <oleObject progId="Equation.3" shapeId="36878" r:id="rId2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8"/>
  <sheetViews>
    <sheetView topLeftCell="F1" zoomScale="70" zoomScaleNormal="70" workbookViewId="0">
      <selection activeCell="H22" sqref="H22"/>
    </sheetView>
  </sheetViews>
  <sheetFormatPr defaultRowHeight="15" x14ac:dyDescent="0.25"/>
  <sheetData>
    <row r="1" spans="2:23" x14ac:dyDescent="0.25">
      <c r="L1" t="s">
        <v>44</v>
      </c>
      <c r="M1" t="s">
        <v>7</v>
      </c>
    </row>
    <row r="2" spans="2:23" x14ac:dyDescent="0.25">
      <c r="K2" t="str">
        <f>'Табл1-1  1-2'!A4</f>
        <v>А</v>
      </c>
      <c r="L2" s="4">
        <v>100</v>
      </c>
      <c r="M2" s="4">
        <f>'Табл1-1  1-2'!E16</f>
        <v>240</v>
      </c>
    </row>
    <row r="3" spans="2:23" x14ac:dyDescent="0.25">
      <c r="K3" t="str">
        <f>'Табл1-1  1-2'!A5</f>
        <v>Б</v>
      </c>
      <c r="L3" s="4">
        <v>95</v>
      </c>
      <c r="M3" s="4">
        <f>'Табл1-1  1-2'!E17</f>
        <v>125</v>
      </c>
    </row>
    <row r="4" spans="2:23" x14ac:dyDescent="0.25">
      <c r="G4" s="6" t="s">
        <v>43</v>
      </c>
      <c r="H4" s="7" t="s">
        <v>42</v>
      </c>
      <c r="I4" t="s">
        <v>45</v>
      </c>
      <c r="K4" t="str">
        <f>'Табл1-1  1-2'!A6</f>
        <v>В</v>
      </c>
      <c r="L4" s="4">
        <v>50</v>
      </c>
      <c r="M4" s="4">
        <f>'Табл1-1  1-2'!E18</f>
        <v>260</v>
      </c>
      <c r="U4" s="1" t="str">
        <f>G4</f>
        <v>Ділянка</v>
      </c>
      <c r="V4" s="7" t="str">
        <f t="shared" ref="V4:W4" si="0">H4</f>
        <v>l, км</v>
      </c>
      <c r="W4" t="str">
        <f t="shared" si="0"/>
        <v>mm</v>
      </c>
    </row>
    <row r="5" spans="2:23" x14ac:dyDescent="0.25">
      <c r="G5" s="1" t="s">
        <v>73</v>
      </c>
      <c r="H5" s="1">
        <f>ROUND(1.1*I5/10*2,1)</f>
        <v>11.8</v>
      </c>
      <c r="I5">
        <f>SQRT(($L$2-L4)^2+($M$2-M4)^2)</f>
        <v>53.851648071345039</v>
      </c>
      <c r="K5" t="str">
        <f>'Табл1-1  1-2'!A7</f>
        <v>Г</v>
      </c>
      <c r="L5" s="4">
        <v>140</v>
      </c>
      <c r="M5" s="4">
        <f>'Табл1-1  1-2'!E19</f>
        <v>260</v>
      </c>
      <c r="U5" s="1" t="s">
        <v>47</v>
      </c>
      <c r="V5" s="1">
        <f>ROUND(1.1*W5/10*2,1)</f>
        <v>6.4</v>
      </c>
      <c r="W5" s="15">
        <f>SQRT(($L$2-L10)^2+($M$2-M10)^2)</f>
        <v>29.154759474226502</v>
      </c>
    </row>
    <row r="6" spans="2:23" x14ac:dyDescent="0.25">
      <c r="G6" s="1" t="s">
        <v>68</v>
      </c>
      <c r="H6" s="1">
        <f>ROUND(1.1*I6/10*2,1)</f>
        <v>7.8</v>
      </c>
      <c r="I6">
        <f>SQRT(($L$2-L6)^2+($M$2-M6)^2)</f>
        <v>35.355339059327378</v>
      </c>
      <c r="K6" t="str">
        <f>'Табл1-1  1-2'!A8</f>
        <v>Д</v>
      </c>
      <c r="L6" s="4">
        <v>75</v>
      </c>
      <c r="M6" s="4">
        <f>'Табл1-1  1-2'!E20</f>
        <v>265</v>
      </c>
      <c r="U6" s="1" t="s">
        <v>75</v>
      </c>
      <c r="V6" s="1">
        <f t="shared" ref="V6:V7" si="1">ROUND(1.1*W6/10*2,1)</f>
        <v>5.6</v>
      </c>
      <c r="W6" s="15">
        <f>SQRT(($L$10-L4)^2+($M$10-M4)^2)</f>
        <v>25.495097567963924</v>
      </c>
    </row>
    <row r="7" spans="2:23" x14ac:dyDescent="0.25">
      <c r="G7" s="1" t="s">
        <v>74</v>
      </c>
      <c r="H7" s="1">
        <f>ROUND(1.1*I7/10*2,1)</f>
        <v>5.6</v>
      </c>
      <c r="I7">
        <f>SQRT(($L$4-L6)^2+($M$4-M6)^2)</f>
        <v>25.495097567963924</v>
      </c>
      <c r="K7" t="str">
        <f>'Табл1-1  1-2'!A9</f>
        <v>Е</v>
      </c>
      <c r="L7" s="4">
        <v>130</v>
      </c>
      <c r="M7" s="4">
        <f>'Табл1-1  1-2'!E21</f>
        <v>195</v>
      </c>
      <c r="U7" s="1" t="s">
        <v>76</v>
      </c>
      <c r="V7" s="1">
        <f t="shared" si="1"/>
        <v>2.2000000000000002</v>
      </c>
      <c r="W7" s="15">
        <f>SQRT(($L$10-L6)^2+($M$10-M6)^2)</f>
        <v>10</v>
      </c>
    </row>
    <row r="8" spans="2:23" x14ac:dyDescent="0.25">
      <c r="L8">
        <f>'Табл1-1  1-2'!D10</f>
        <v>20</v>
      </c>
      <c r="M8">
        <f>'Табл1-1  1-2'!E10</f>
        <v>90</v>
      </c>
      <c r="V8">
        <f>SUM(V5:V7)</f>
        <v>14.2</v>
      </c>
    </row>
    <row r="9" spans="2:23" x14ac:dyDescent="0.25">
      <c r="K9">
        <v>1</v>
      </c>
      <c r="L9">
        <v>70</v>
      </c>
      <c r="M9">
        <v>252</v>
      </c>
    </row>
    <row r="10" spans="2:23" x14ac:dyDescent="0.25">
      <c r="K10">
        <v>2</v>
      </c>
      <c r="L10">
        <v>75</v>
      </c>
      <c r="M10">
        <v>255</v>
      </c>
    </row>
    <row r="12" spans="2:23" x14ac:dyDescent="0.25">
      <c r="B12" t="s">
        <v>11</v>
      </c>
      <c r="O12" t="s">
        <v>14</v>
      </c>
    </row>
    <row r="16" spans="2:23" x14ac:dyDescent="0.25">
      <c r="G16">
        <v>2</v>
      </c>
    </row>
    <row r="17" spans="2:17" x14ac:dyDescent="0.25">
      <c r="G17" s="1" t="str">
        <f>G4</f>
        <v>Ділянка</v>
      </c>
      <c r="H17" s="7" t="str">
        <f>H4</f>
        <v>l, км</v>
      </c>
      <c r="O17" s="1" t="str">
        <f>G4</f>
        <v>Ділянка</v>
      </c>
      <c r="P17" s="7" t="str">
        <f t="shared" ref="P17:Q17" si="2">H4</f>
        <v>l, км</v>
      </c>
      <c r="Q17" t="str">
        <f t="shared" si="2"/>
        <v>mm</v>
      </c>
    </row>
    <row r="18" spans="2:17" x14ac:dyDescent="0.25">
      <c r="G18" s="1" t="str">
        <f>G5</f>
        <v>ВП-В</v>
      </c>
      <c r="H18" s="1">
        <f>H5</f>
        <v>11.8</v>
      </c>
      <c r="O18" s="1" t="s">
        <v>46</v>
      </c>
      <c r="P18" s="1">
        <f>ROUND(1.1*Q18/10*2,1)</f>
        <v>7.1</v>
      </c>
      <c r="Q18" s="15">
        <f>SQRT(($L$2-L9)^2+($M$2-M9)^2)</f>
        <v>32.310988842807021</v>
      </c>
    </row>
    <row r="19" spans="2:17" x14ac:dyDescent="0.25">
      <c r="G19" s="1" t="str">
        <f t="shared" ref="G19:H19" si="3">G6</f>
        <v>ВП-Д</v>
      </c>
      <c r="H19" s="1">
        <f t="shared" si="3"/>
        <v>7.8</v>
      </c>
      <c r="O19" s="1" t="s">
        <v>77</v>
      </c>
      <c r="P19" s="1">
        <f>ROUND(1.1*Q19/10*2,1)</f>
        <v>4.7</v>
      </c>
      <c r="Q19" s="15">
        <f>SQRT(($L$9-L4)^2+($M$9-M4)^2)</f>
        <v>21.540659228538015</v>
      </c>
    </row>
    <row r="20" spans="2:17" x14ac:dyDescent="0.25">
      <c r="O20" s="1" t="s">
        <v>78</v>
      </c>
      <c r="P20" s="1">
        <f>ROUND(1.1*Q20/10*2,1)</f>
        <v>3.1</v>
      </c>
      <c r="Q20" s="15">
        <f>SQRT(($L$9-L6)^2+($M$9-M6)^2)</f>
        <v>13.928388277184119</v>
      </c>
    </row>
    <row r="21" spans="2:17" x14ac:dyDescent="0.25">
      <c r="O21" s="1" t="s">
        <v>73</v>
      </c>
      <c r="P21" s="1">
        <f>P19+P18</f>
        <v>11.8</v>
      </c>
      <c r="Q21" s="16">
        <f>Q19+Q18</f>
        <v>53.851648071345039</v>
      </c>
    </row>
    <row r="25" spans="2:17" x14ac:dyDescent="0.25">
      <c r="J25" t="s">
        <v>13</v>
      </c>
    </row>
    <row r="26" spans="2:17" x14ac:dyDescent="0.25">
      <c r="B26" t="s">
        <v>12</v>
      </c>
    </row>
    <row r="28" spans="2:17" x14ac:dyDescent="0.25">
      <c r="G28" s="1" t="str">
        <f>G17</f>
        <v>Ділянка</v>
      </c>
      <c r="H28" s="7" t="str">
        <f>H17</f>
        <v>l, км</v>
      </c>
    </row>
    <row r="29" spans="2:17" x14ac:dyDescent="0.25">
      <c r="G29" s="1" t="str">
        <f>G7</f>
        <v>В-Д</v>
      </c>
      <c r="H29" s="1">
        <f>H7</f>
        <v>5.6</v>
      </c>
    </row>
    <row r="30" spans="2:17" x14ac:dyDescent="0.25">
      <c r="G30" s="1" t="str">
        <f>G19</f>
        <v>ВП-Д</v>
      </c>
      <c r="H30" s="1">
        <f>H19</f>
        <v>7.8</v>
      </c>
    </row>
    <row r="38" spans="2:2" x14ac:dyDescent="0.25">
      <c r="B38" t="s">
        <v>15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0</xdr:col>
                <xdr:colOff>400050</xdr:colOff>
                <xdr:row>2</xdr:row>
                <xdr:rowOff>85725</xdr:rowOff>
              </from>
              <to>
                <xdr:col>5</xdr:col>
                <xdr:colOff>342900</xdr:colOff>
                <xdr:row>10</xdr:row>
                <xdr:rowOff>9525</xdr:rowOff>
              </to>
            </anchor>
          </objectPr>
        </oleObject>
      </mc:Choice>
      <mc:Fallback>
        <oleObject progId="Visio.Drawing.15" shapeId="1025" r:id="rId4"/>
      </mc:Fallback>
    </mc:AlternateContent>
    <mc:AlternateContent xmlns:mc="http://schemas.openxmlformats.org/markup-compatibility/2006">
      <mc:Choice Requires="x14">
        <oleObject progId="Visio.Drawing.15" shapeId="1030" r:id="rId6">
          <objectPr defaultSize="0" r:id="rId7">
            <anchor moveWithCells="1">
              <from>
                <xdr:col>14</xdr:col>
                <xdr:colOff>314325</xdr:colOff>
                <xdr:row>2</xdr:row>
                <xdr:rowOff>0</xdr:rowOff>
              </from>
              <to>
                <xdr:col>19</xdr:col>
                <xdr:colOff>95250</xdr:colOff>
                <xdr:row>10</xdr:row>
                <xdr:rowOff>104775</xdr:rowOff>
              </to>
            </anchor>
          </objectPr>
        </oleObject>
      </mc:Choice>
      <mc:Fallback>
        <oleObject progId="Visio.Drawing.15" shapeId="1030" r:id="rId6"/>
      </mc:Fallback>
    </mc:AlternateContent>
    <mc:AlternateContent xmlns:mc="http://schemas.openxmlformats.org/markup-compatibility/2006">
      <mc:Choice Requires="x14">
        <oleObject progId="Visio.Drawing.15" shapeId="1032" r:id="rId8">
          <objectPr defaultSize="0" r:id="rId9">
            <anchor moveWithCells="1">
              <from>
                <xdr:col>9</xdr:col>
                <xdr:colOff>104775</xdr:colOff>
                <xdr:row>14</xdr:row>
                <xdr:rowOff>85725</xdr:rowOff>
              </from>
              <to>
                <xdr:col>13</xdr:col>
                <xdr:colOff>533400</xdr:colOff>
                <xdr:row>22</xdr:row>
                <xdr:rowOff>190500</xdr:rowOff>
              </to>
            </anchor>
          </objectPr>
        </oleObject>
      </mc:Choice>
      <mc:Fallback>
        <oleObject progId="Visio.Drawing.15" shapeId="1032" r:id="rId8"/>
      </mc:Fallback>
    </mc:AlternateContent>
    <mc:AlternateContent xmlns:mc="http://schemas.openxmlformats.org/markup-compatibility/2006">
      <mc:Choice Requires="x14">
        <oleObject progId="Visio.Drawing.15" shapeId="1033" r:id="rId10">
          <objectPr defaultSize="0" r:id="rId11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5</xdr:col>
                <xdr:colOff>561975</xdr:colOff>
                <xdr:row>24</xdr:row>
                <xdr:rowOff>123825</xdr:rowOff>
              </to>
            </anchor>
          </objectPr>
        </oleObject>
      </mc:Choice>
      <mc:Fallback>
        <oleObject progId="Visio.Drawing.15" shapeId="1033" r:id="rId10"/>
      </mc:Fallback>
    </mc:AlternateContent>
    <mc:AlternateContent xmlns:mc="http://schemas.openxmlformats.org/markup-compatibility/2006">
      <mc:Choice Requires="x14">
        <oleObject progId="Visio.Drawing.15" shapeId="1035" r:id="rId12">
          <objectPr defaultSize="0" r:id="rId13">
            <anchor moveWithCells="1">
              <from>
                <xdr:col>0</xdr:col>
                <xdr:colOff>400050</xdr:colOff>
                <xdr:row>27</xdr:row>
                <xdr:rowOff>66675</xdr:rowOff>
              </from>
              <to>
                <xdr:col>5</xdr:col>
                <xdr:colOff>523875</xdr:colOff>
                <xdr:row>35</xdr:row>
                <xdr:rowOff>123825</xdr:rowOff>
              </to>
            </anchor>
          </objectPr>
        </oleObject>
      </mc:Choice>
      <mc:Fallback>
        <oleObject progId="Visio.Drawing.15" shapeId="1035" r:id="rId12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Z32"/>
  <sheetViews>
    <sheetView zoomScale="85" zoomScaleNormal="85" workbookViewId="0">
      <selection activeCell="Z24" sqref="Z24"/>
    </sheetView>
  </sheetViews>
  <sheetFormatPr defaultRowHeight="15" x14ac:dyDescent="0.25"/>
  <cols>
    <col min="10" max="10" width="10.28515625" bestFit="1" customWidth="1"/>
  </cols>
  <sheetData>
    <row r="3" spans="2:21" x14ac:dyDescent="0.25">
      <c r="K3" s="3" t="s">
        <v>5</v>
      </c>
      <c r="L3" s="3" t="s">
        <v>7</v>
      </c>
    </row>
    <row r="4" spans="2:21" x14ac:dyDescent="0.25">
      <c r="F4" t="s">
        <v>43</v>
      </c>
      <c r="G4" t="s">
        <v>42</v>
      </c>
      <c r="H4" t="s">
        <v>45</v>
      </c>
      <c r="K4" s="3" t="s">
        <v>6</v>
      </c>
      <c r="L4" s="3" t="s">
        <v>6</v>
      </c>
      <c r="S4" t="str">
        <f>F4</f>
        <v>Ділянка</v>
      </c>
      <c r="T4" t="str">
        <f>G4</f>
        <v>l, км</v>
      </c>
      <c r="U4" t="str">
        <f>H4</f>
        <v>mm</v>
      </c>
    </row>
    <row r="5" spans="2:21" x14ac:dyDescent="0.25">
      <c r="F5" t="s">
        <v>79</v>
      </c>
      <c r="G5">
        <f>ROUND(1.1*H5/10*2,1)</f>
        <v>9.8000000000000007</v>
      </c>
      <c r="H5">
        <f>SQRT(($K$8-K5)^2+($L$8-L5)^2)</f>
        <v>44.721359549995796</v>
      </c>
      <c r="J5" s="11" t="s">
        <v>11</v>
      </c>
      <c r="K5" s="4">
        <v>100</v>
      </c>
      <c r="L5" s="4">
        <v>240</v>
      </c>
      <c r="S5" t="str">
        <f>F5</f>
        <v>ВП-Г</v>
      </c>
      <c r="T5">
        <f>G5</f>
        <v>9.8000000000000007</v>
      </c>
      <c r="U5">
        <f t="shared" ref="T5:U6" si="0">H5</f>
        <v>44.721359549995796</v>
      </c>
    </row>
    <row r="6" spans="2:21" x14ac:dyDescent="0.25">
      <c r="F6" t="s">
        <v>80</v>
      </c>
      <c r="G6">
        <f>ROUND(1.1*H6/10*2,1)</f>
        <v>11.9</v>
      </c>
      <c r="H6">
        <f>SQRT(($K$10-K5)^2+($L$10-L5)^2)</f>
        <v>54.083269131959838</v>
      </c>
      <c r="J6" s="11" t="s">
        <v>12</v>
      </c>
      <c r="K6" s="4">
        <v>95</v>
      </c>
      <c r="L6" s="4">
        <v>125</v>
      </c>
      <c r="S6" t="str">
        <f>F6</f>
        <v>ВП-Е</v>
      </c>
      <c r="T6">
        <f t="shared" si="0"/>
        <v>11.9</v>
      </c>
      <c r="U6">
        <f t="shared" si="0"/>
        <v>54.083269131959838</v>
      </c>
    </row>
    <row r="7" spans="2:21" x14ac:dyDescent="0.25">
      <c r="F7" t="s">
        <v>81</v>
      </c>
      <c r="G7">
        <f t="shared" ref="G7" si="1">ROUND(1.1*H7/10*2,1)</f>
        <v>14.5</v>
      </c>
      <c r="H7">
        <f>SQRT(($K$10-K8)^2+($L$10-L8)^2)</f>
        <v>65.76473218982953</v>
      </c>
      <c r="J7" s="11" t="s">
        <v>13</v>
      </c>
      <c r="K7" s="4">
        <v>50</v>
      </c>
      <c r="L7" s="4">
        <v>260</v>
      </c>
    </row>
    <row r="8" spans="2:21" x14ac:dyDescent="0.25">
      <c r="J8" s="11" t="s">
        <v>14</v>
      </c>
      <c r="K8" s="4">
        <v>140</v>
      </c>
      <c r="L8" s="4">
        <v>260</v>
      </c>
    </row>
    <row r="9" spans="2:21" x14ac:dyDescent="0.25">
      <c r="J9" s="11" t="s">
        <v>15</v>
      </c>
      <c r="K9" s="4">
        <v>75</v>
      </c>
      <c r="L9" s="4">
        <v>265</v>
      </c>
    </row>
    <row r="10" spans="2:21" x14ac:dyDescent="0.25">
      <c r="J10" s="11" t="s">
        <v>16</v>
      </c>
      <c r="K10" s="4">
        <v>130</v>
      </c>
      <c r="L10" s="4">
        <v>195</v>
      </c>
    </row>
    <row r="11" spans="2:21" x14ac:dyDescent="0.25">
      <c r="K11" s="4">
        <v>20</v>
      </c>
      <c r="L11" s="4">
        <v>90</v>
      </c>
    </row>
    <row r="12" spans="2:21" x14ac:dyDescent="0.25">
      <c r="J12">
        <v>1</v>
      </c>
      <c r="K12" s="4">
        <v>103</v>
      </c>
      <c r="L12" s="4">
        <v>235</v>
      </c>
    </row>
    <row r="13" spans="2:21" x14ac:dyDescent="0.25">
      <c r="J13">
        <v>2</v>
      </c>
      <c r="K13" s="4">
        <v>123</v>
      </c>
      <c r="L13" s="4">
        <v>232</v>
      </c>
    </row>
    <row r="14" spans="2:21" x14ac:dyDescent="0.25">
      <c r="J14">
        <v>3</v>
      </c>
    </row>
    <row r="16" spans="2:21" x14ac:dyDescent="0.25">
      <c r="B16" t="s">
        <v>11</v>
      </c>
    </row>
    <row r="17" spans="2:26" x14ac:dyDescent="0.25">
      <c r="N17" t="s">
        <v>12</v>
      </c>
    </row>
    <row r="22" spans="2:26" x14ac:dyDescent="0.25">
      <c r="F22" t="str">
        <f>F4</f>
        <v>Ділянка</v>
      </c>
      <c r="G22" t="str">
        <f>G4</f>
        <v>l, км</v>
      </c>
      <c r="H22" t="str">
        <f>H4</f>
        <v>mm</v>
      </c>
      <c r="O22" t="str">
        <f>F22</f>
        <v>Ділянка</v>
      </c>
      <c r="P22" t="str">
        <f t="shared" ref="P22:Q22" si="2">G22</f>
        <v>l, км</v>
      </c>
      <c r="Q22" t="str">
        <f t="shared" si="2"/>
        <v>mm</v>
      </c>
      <c r="X22" t="str">
        <f>O22</f>
        <v>Ділянка</v>
      </c>
      <c r="Y22" t="str">
        <f t="shared" ref="Y22:Z22" si="3">P22</f>
        <v>l, км</v>
      </c>
      <c r="Z22" t="str">
        <f t="shared" si="3"/>
        <v>mm</v>
      </c>
    </row>
    <row r="23" spans="2:26" x14ac:dyDescent="0.25">
      <c r="F23" t="str">
        <f>F5</f>
        <v>ВП-Г</v>
      </c>
      <c r="G23">
        <f>ROUND(1.1*H23/10*2,1)</f>
        <v>8</v>
      </c>
      <c r="H23">
        <f>36.5</f>
        <v>36.5</v>
      </c>
      <c r="O23" t="str">
        <f>F6</f>
        <v>ВП-Е</v>
      </c>
      <c r="P23">
        <f>G6</f>
        <v>11.9</v>
      </c>
      <c r="Q23">
        <f>H6</f>
        <v>54.083269131959838</v>
      </c>
      <c r="X23" t="s">
        <v>47</v>
      </c>
      <c r="Y23">
        <f>ROUND(1.1*Z23/10*2,1)</f>
        <v>5.4</v>
      </c>
      <c r="Z23">
        <f>SQRT(($K$5-K13)^2+($L$5-L13)^2)</f>
        <v>24.351591323771842</v>
      </c>
    </row>
    <row r="24" spans="2:26" x14ac:dyDescent="0.25">
      <c r="O24" t="s">
        <v>82</v>
      </c>
      <c r="P24">
        <f>ROUND(1.1*Q24/10*2,1)</f>
        <v>9.8000000000000007</v>
      </c>
      <c r="Q24">
        <f>SQRT(($K$8-K12)^2+($L$8-L12)^2)</f>
        <v>44.654227123532216</v>
      </c>
      <c r="X24" t="s">
        <v>83</v>
      </c>
      <c r="Y24">
        <f>ROUND(1.1*Z24/10*2,1)</f>
        <v>7.2</v>
      </c>
      <c r="Z24">
        <f>SQRT(($K$8-K13)^2+($L$8-L13)^2)</f>
        <v>32.756678708318397</v>
      </c>
    </row>
    <row r="25" spans="2:26" x14ac:dyDescent="0.25">
      <c r="F25" t="str">
        <f>F7</f>
        <v>Е-Г</v>
      </c>
      <c r="G25">
        <f t="shared" ref="G25" si="4">G7</f>
        <v>14.5</v>
      </c>
      <c r="H25">
        <f>H7</f>
        <v>65.76473218982953</v>
      </c>
      <c r="O25" t="s">
        <v>46</v>
      </c>
      <c r="P25">
        <f>ROUND(1.1*Q25/10*2,1)</f>
        <v>1.3</v>
      </c>
      <c r="Q25">
        <f>SQRT(($K$5-K12)^2+($L$5-L12)^2)</f>
        <v>5.8309518948453007</v>
      </c>
      <c r="X25" t="s">
        <v>84</v>
      </c>
      <c r="Y25">
        <f t="shared" ref="Y25" si="5">ROUND(1.1*Z25/10*2,1)</f>
        <v>8.3000000000000007</v>
      </c>
      <c r="Z25">
        <f>SQRT(($K$10-K13)^2+($L$10-L13)^2)</f>
        <v>37.656340767525464</v>
      </c>
    </row>
    <row r="26" spans="2:26" x14ac:dyDescent="0.25">
      <c r="O26" t="s">
        <v>120</v>
      </c>
      <c r="P26">
        <f>ROUND(1.1*Q26/10*2,1)</f>
        <v>10.6</v>
      </c>
      <c r="Q26">
        <f>SQRT(($K$10-K12)^2+($L$10-L12)^2)</f>
        <v>48.259714048054619</v>
      </c>
    </row>
    <row r="32" spans="2:26" x14ac:dyDescent="0.25">
      <c r="B32" t="s">
        <v>15</v>
      </c>
      <c r="I32" t="s">
        <v>13</v>
      </c>
      <c r="Q32" t="s">
        <v>14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121" r:id="rId4">
          <objectPr defaultSize="0" autoPict="0" r:id="rId5">
            <anchor moveWithCells="1">
              <from>
                <xdr:col>1</xdr:col>
                <xdr:colOff>9525</xdr:colOff>
                <xdr:row>3</xdr:row>
                <xdr:rowOff>9525</xdr:rowOff>
              </from>
              <to>
                <xdr:col>4</xdr:col>
                <xdr:colOff>323850</xdr:colOff>
                <xdr:row>14</xdr:row>
                <xdr:rowOff>85725</xdr:rowOff>
              </to>
            </anchor>
          </objectPr>
        </oleObject>
      </mc:Choice>
      <mc:Fallback>
        <oleObject progId="Visio.Drawing.15" shapeId="5121" r:id="rId4"/>
      </mc:Fallback>
    </mc:AlternateContent>
    <mc:AlternateContent xmlns:mc="http://schemas.openxmlformats.org/markup-compatibility/2006">
      <mc:Choice Requires="x14">
        <oleObject progId="Visio.Drawing.15" shapeId="5122" r:id="rId6">
          <objectPr defaultSize="0" autoPict="0" r:id="rId7">
            <anchor moveWithCells="1">
              <from>
                <xdr:col>12</xdr:col>
                <xdr:colOff>600075</xdr:colOff>
                <xdr:row>3</xdr:row>
                <xdr:rowOff>0</xdr:rowOff>
              </from>
              <to>
                <xdr:col>17</xdr:col>
                <xdr:colOff>0</xdr:colOff>
                <xdr:row>15</xdr:row>
                <xdr:rowOff>28575</xdr:rowOff>
              </to>
            </anchor>
          </objectPr>
        </oleObject>
      </mc:Choice>
      <mc:Fallback>
        <oleObject progId="Visio.Drawing.15" shapeId="5122" r:id="rId6"/>
      </mc:Fallback>
    </mc:AlternateContent>
    <mc:AlternateContent xmlns:mc="http://schemas.openxmlformats.org/markup-compatibility/2006">
      <mc:Choice Requires="x14">
        <oleObject progId="Visio.Drawing.15" shapeId="5125" r:id="rId8">
          <objectPr defaultSize="0" autoPict="0" r:id="rId9">
            <anchor moveWithCells="1">
              <from>
                <xdr:col>9</xdr:col>
                <xdr:colOff>142875</xdr:colOff>
                <xdr:row>16</xdr:row>
                <xdr:rowOff>161925</xdr:rowOff>
              </from>
              <to>
                <xdr:col>12</xdr:col>
                <xdr:colOff>438150</xdr:colOff>
                <xdr:row>29</xdr:row>
                <xdr:rowOff>114300</xdr:rowOff>
              </to>
            </anchor>
          </objectPr>
        </oleObject>
      </mc:Choice>
      <mc:Fallback>
        <oleObject progId="Visio.Drawing.15" shapeId="5125" r:id="rId8"/>
      </mc:Fallback>
    </mc:AlternateContent>
    <mc:AlternateContent xmlns:mc="http://schemas.openxmlformats.org/markup-compatibility/2006">
      <mc:Choice Requires="x14">
        <oleObject progId="Visio.Drawing.15" shapeId="5126" r:id="rId10">
          <objectPr defaultSize="0" autoPict="0" r:id="rId11">
            <anchor moveWithCells="1">
              <from>
                <xdr:col>17</xdr:col>
                <xdr:colOff>38100</xdr:colOff>
                <xdr:row>15</xdr:row>
                <xdr:rowOff>142875</xdr:rowOff>
              </from>
              <to>
                <xdr:col>21</xdr:col>
                <xdr:colOff>180975</xdr:colOff>
                <xdr:row>28</xdr:row>
                <xdr:rowOff>114300</xdr:rowOff>
              </to>
            </anchor>
          </objectPr>
        </oleObject>
      </mc:Choice>
      <mc:Fallback>
        <oleObject progId="Visio.Drawing.15" shapeId="5126" r:id="rId10"/>
      </mc:Fallback>
    </mc:AlternateContent>
    <mc:AlternateContent xmlns:mc="http://schemas.openxmlformats.org/markup-compatibility/2006">
      <mc:Choice Requires="x14">
        <oleObject progId="Visio.Drawing.15" shapeId="5127" r:id="rId12">
          <objectPr defaultSize="0" autoPict="0" r:id="rId13">
            <anchor moveWithCells="1">
              <from>
                <xdr:col>0</xdr:col>
                <xdr:colOff>495300</xdr:colOff>
                <xdr:row>17</xdr:row>
                <xdr:rowOff>57150</xdr:rowOff>
              </from>
              <to>
                <xdr:col>4</xdr:col>
                <xdr:colOff>352425</xdr:colOff>
                <xdr:row>30</xdr:row>
                <xdr:rowOff>19050</xdr:rowOff>
              </to>
            </anchor>
          </objectPr>
        </oleObject>
      </mc:Choice>
      <mc:Fallback>
        <oleObject progId="Visio.Drawing.15" shapeId="5127" r:id="rId12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G3:L12"/>
  <sheetViews>
    <sheetView workbookViewId="0">
      <selection activeCell="G7" sqref="G7"/>
    </sheetView>
  </sheetViews>
  <sheetFormatPr defaultRowHeight="15" x14ac:dyDescent="0.25"/>
  <sheetData>
    <row r="3" spans="7:12" x14ac:dyDescent="0.25">
      <c r="G3" t="str">
        <f>'Вар2. Длинна'!F4</f>
        <v>Ділянка</v>
      </c>
      <c r="H3" t="str">
        <f>'Вар2. Длинна'!G4</f>
        <v>l, км</v>
      </c>
      <c r="I3" t="str">
        <f>'Вар2. Длинна'!H4</f>
        <v>mm</v>
      </c>
      <c r="J3">
        <f>'Вар2. Длинна'!J3</f>
        <v>0</v>
      </c>
      <c r="K3" t="str">
        <f>'Вар2. Длинна'!K3</f>
        <v>Х</v>
      </c>
      <c r="L3" t="str">
        <f>'Вар2. Длинна'!L3</f>
        <v>Y</v>
      </c>
    </row>
    <row r="4" spans="7:12" x14ac:dyDescent="0.25">
      <c r="G4" t="s">
        <v>94</v>
      </c>
      <c r="H4">
        <f>ROUND(1.1*I4/10*2,1)</f>
        <v>14.8</v>
      </c>
      <c r="I4">
        <f>SQRT(($K$11-K12)^2+($L$11-L12)^2)</f>
        <v>67.119296778199342</v>
      </c>
      <c r="J4">
        <f>'Вар2. Длинна'!J4</f>
        <v>0</v>
      </c>
      <c r="K4" t="str">
        <f>'Вар2. Длинна'!K4</f>
        <v>мм</v>
      </c>
      <c r="L4" t="str">
        <f>'Вар2. Длинна'!L4</f>
        <v>мм</v>
      </c>
    </row>
    <row r="5" spans="7:12" x14ac:dyDescent="0.25">
      <c r="G5" t="s">
        <v>93</v>
      </c>
      <c r="H5">
        <f>ROUND(1.1*I5/10*2,1)</f>
        <v>22.6</v>
      </c>
      <c r="I5">
        <f>SQRT(($K$12-K5)^2+($L$12-L5)^2)</f>
        <v>102.88342918079665</v>
      </c>
      <c r="J5" t="str">
        <f>'Вар2. Длинна'!J5</f>
        <v>А</v>
      </c>
      <c r="K5">
        <f>'Вар2. Длинна'!K5</f>
        <v>100</v>
      </c>
      <c r="L5">
        <f>'Вар2. Длинна'!L5</f>
        <v>240</v>
      </c>
    </row>
    <row r="6" spans="7:12" x14ac:dyDescent="0.25">
      <c r="G6" t="s">
        <v>92</v>
      </c>
      <c r="H6">
        <f>ROUND(1.1*I6/10*2,1)</f>
        <v>10.8</v>
      </c>
      <c r="I6">
        <f>SQRT(($K$12-K6)^2+($L$12-L6)^2)</f>
        <v>49.244289008980523</v>
      </c>
      <c r="J6" t="str">
        <f>'Вар2. Длинна'!J6</f>
        <v>Б</v>
      </c>
      <c r="K6">
        <f>'Вар2. Длинна'!K6</f>
        <v>95</v>
      </c>
      <c r="L6">
        <f>'Вар2. Длинна'!L6</f>
        <v>125</v>
      </c>
    </row>
    <row r="7" spans="7:12" x14ac:dyDescent="0.25">
      <c r="G7" t="s">
        <v>122</v>
      </c>
      <c r="H7">
        <f>H4+H5</f>
        <v>37.400000000000006</v>
      </c>
      <c r="J7" t="str">
        <f>'Вар2. Длинна'!J7</f>
        <v>В</v>
      </c>
      <c r="K7">
        <f>'Вар2. Длинна'!K7</f>
        <v>50</v>
      </c>
      <c r="L7">
        <f>'Вар2. Длинна'!L7</f>
        <v>260</v>
      </c>
    </row>
    <row r="8" spans="7:12" x14ac:dyDescent="0.25">
      <c r="J8" t="str">
        <f>'Вар2. Длинна'!J8</f>
        <v>Г</v>
      </c>
      <c r="K8">
        <f>'Вар2. Длинна'!K8</f>
        <v>140</v>
      </c>
      <c r="L8">
        <f>'Вар2. Длинна'!L8</f>
        <v>260</v>
      </c>
    </row>
    <row r="9" spans="7:12" x14ac:dyDescent="0.25">
      <c r="J9" t="str">
        <f>'Вар2. Длинна'!J9</f>
        <v>Д</v>
      </c>
      <c r="K9">
        <f>'Вар2. Длинна'!K9</f>
        <v>75</v>
      </c>
      <c r="L9">
        <f>'Вар2. Длинна'!L9</f>
        <v>265</v>
      </c>
    </row>
    <row r="10" spans="7:12" x14ac:dyDescent="0.25">
      <c r="J10" t="str">
        <f>'Вар2. Длинна'!J10</f>
        <v>Е</v>
      </c>
      <c r="K10">
        <f>'Вар2. Длинна'!K10</f>
        <v>130</v>
      </c>
      <c r="L10">
        <f>'Вар2. Длинна'!L10</f>
        <v>195</v>
      </c>
    </row>
    <row r="11" spans="7:12" x14ac:dyDescent="0.25">
      <c r="K11">
        <f>'Вар2. Длинна'!K11</f>
        <v>20</v>
      </c>
      <c r="L11">
        <f>'Вар2. Длинна'!L11</f>
        <v>90</v>
      </c>
    </row>
    <row r="12" spans="7:12" x14ac:dyDescent="0.25">
      <c r="J12">
        <v>3</v>
      </c>
      <c r="K12">
        <v>52</v>
      </c>
      <c r="L12">
        <v>149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11266" r:id="rId3">
          <objectPr defaultSize="0" autoPict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5</xdr:col>
                <xdr:colOff>0</xdr:colOff>
                <xdr:row>23</xdr:row>
                <xdr:rowOff>161925</xdr:rowOff>
              </to>
            </anchor>
          </objectPr>
        </oleObject>
      </mc:Choice>
      <mc:Fallback>
        <oleObject progId="Visio.Drawing.15" shapeId="11266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5"/>
  <sheetViews>
    <sheetView zoomScale="86" zoomScaleNormal="86" workbookViewId="0">
      <selection activeCell="Q14" sqref="Q14"/>
    </sheetView>
  </sheetViews>
  <sheetFormatPr defaultRowHeight="15" x14ac:dyDescent="0.25"/>
  <cols>
    <col min="10" max="10" width="9.5703125" bestFit="1" customWidth="1"/>
  </cols>
  <sheetData>
    <row r="2" spans="1:18" x14ac:dyDescent="0.25">
      <c r="P2" t="s">
        <v>69</v>
      </c>
      <c r="Q2" s="15">
        <f>J5+P5</f>
        <v>62</v>
      </c>
      <c r="R2" s="15">
        <f>K5+Q5</f>
        <v>32.799999999999997</v>
      </c>
    </row>
    <row r="3" spans="1:18" x14ac:dyDescent="0.25">
      <c r="A3" t="s">
        <v>66</v>
      </c>
      <c r="B3" t="s">
        <v>67</v>
      </c>
      <c r="C3" t="s">
        <v>43</v>
      </c>
      <c r="D3" t="s">
        <v>41</v>
      </c>
      <c r="E3" t="s">
        <v>63</v>
      </c>
      <c r="F3" t="s">
        <v>64</v>
      </c>
      <c r="Q3">
        <f>K10+N10</f>
        <v>62</v>
      </c>
      <c r="R3">
        <f>L10+O10</f>
        <v>32.799999999999997</v>
      </c>
    </row>
    <row r="4" spans="1:18" x14ac:dyDescent="0.25">
      <c r="D4" t="s">
        <v>65</v>
      </c>
    </row>
    <row r="5" spans="1:18" x14ac:dyDescent="0.25">
      <c r="A5">
        <v>1</v>
      </c>
      <c r="B5" t="s">
        <v>51</v>
      </c>
      <c r="C5" t="str">
        <f>'Вар1. Длинна'!G5</f>
        <v>ВП-В</v>
      </c>
      <c r="D5">
        <f>'Вар1. Длинна'!H5</f>
        <v>11.8</v>
      </c>
      <c r="E5" s="14">
        <f>J5</f>
        <v>26.968</v>
      </c>
      <c r="F5" s="14">
        <f>K5</f>
        <v>14.375</v>
      </c>
      <c r="J5" s="14">
        <f>ROUND((K10*(M7+P7)+N10*P7)/(J7+M7+P7),3)</f>
        <v>26.968</v>
      </c>
      <c r="K5" s="14">
        <f>ROUND((L10*(M7+P7)+O10*P7)/(J7+M7+P7),3)</f>
        <v>14.375</v>
      </c>
      <c r="L5" s="4"/>
      <c r="M5" s="14">
        <f>J5-K10</f>
        <v>-8.032</v>
      </c>
      <c r="N5" s="14">
        <f>K5-L10</f>
        <v>-4.625</v>
      </c>
      <c r="O5" s="4"/>
      <c r="P5" s="14">
        <f>ROUND((K10*J7+N10*(J7+M7))/(J7+M7+P7),3)</f>
        <v>35.031999999999996</v>
      </c>
      <c r="Q5" s="14">
        <f>ROUND((L10*J7+O10*(J7+M7))/(J7+M7+P7),3)</f>
        <v>18.425000000000001</v>
      </c>
    </row>
    <row r="6" spans="1:18" x14ac:dyDescent="0.25">
      <c r="C6" t="str">
        <f>'Вар1. Длинна'!G6</f>
        <v>ВП-Д</v>
      </c>
      <c r="D6">
        <f>'Вар1. Длинна'!H6</f>
        <v>7.8</v>
      </c>
      <c r="E6" s="14">
        <f>P5</f>
        <v>35.031999999999996</v>
      </c>
      <c r="F6" s="14">
        <f>Q5</f>
        <v>18.425000000000001</v>
      </c>
      <c r="K6" s="10" t="s">
        <v>13</v>
      </c>
      <c r="N6" s="10" t="s">
        <v>15</v>
      </c>
    </row>
    <row r="7" spans="1:18" x14ac:dyDescent="0.25">
      <c r="C7" t="str">
        <f>'Вар1. Длинна'!G7</f>
        <v>В-Д</v>
      </c>
      <c r="D7">
        <f>'Вар1. Длинна'!H7</f>
        <v>5.6</v>
      </c>
      <c r="E7" s="14">
        <f>--M5</f>
        <v>-8.032</v>
      </c>
      <c r="F7" s="14">
        <f>--N5</f>
        <v>-4.625</v>
      </c>
      <c r="J7">
        <f>D5</f>
        <v>11.8</v>
      </c>
      <c r="M7">
        <f>D7</f>
        <v>5.6</v>
      </c>
      <c r="P7">
        <f>D6</f>
        <v>7.8</v>
      </c>
    </row>
    <row r="8" spans="1:18" x14ac:dyDescent="0.25">
      <c r="B8" t="s">
        <v>55</v>
      </c>
      <c r="C8" t="str">
        <f>'Вар1. Длинна'!G29</f>
        <v>В-Д</v>
      </c>
      <c r="D8">
        <f>'Вар1. Длинна'!H29</f>
        <v>5.6</v>
      </c>
      <c r="E8">
        <f>35</f>
        <v>35</v>
      </c>
      <c r="F8">
        <f>19</f>
        <v>19</v>
      </c>
    </row>
    <row r="9" spans="1:18" x14ac:dyDescent="0.25">
      <c r="C9" s="4" t="str">
        <f>'Вар1. Длинна'!G30</f>
        <v>ВП-Д</v>
      </c>
      <c r="D9" s="4">
        <f>'Вар1. Длинна'!H30</f>
        <v>7.8</v>
      </c>
      <c r="E9" s="4">
        <f>62</f>
        <v>62</v>
      </c>
      <c r="F9" s="4">
        <v>32.799999999999997</v>
      </c>
    </row>
    <row r="10" spans="1:18" x14ac:dyDescent="0.25">
      <c r="C10" s="4"/>
      <c r="D10" s="4"/>
      <c r="E10" s="4"/>
      <c r="F10" s="4"/>
      <c r="K10">
        <f>E8</f>
        <v>35</v>
      </c>
      <c r="L10">
        <f>19</f>
        <v>19</v>
      </c>
      <c r="N10">
        <f>27</f>
        <v>27</v>
      </c>
      <c r="O10">
        <f>13.8</f>
        <v>13.8</v>
      </c>
    </row>
    <row r="11" spans="1:18" x14ac:dyDescent="0.25">
      <c r="A11">
        <v>2</v>
      </c>
      <c r="B11" t="str">
        <f>'Таблиця 1-3'!I4</f>
        <v>а)</v>
      </c>
      <c r="C11" s="3" t="str">
        <f>'Вар2. Длинна'!F5</f>
        <v>ВП-Г</v>
      </c>
      <c r="D11" s="3">
        <f>'Вар2. Длинна'!G5</f>
        <v>9.8000000000000007</v>
      </c>
      <c r="E11" s="14">
        <f>J15</f>
        <v>34.843000000000004</v>
      </c>
      <c r="F11" s="14">
        <f>K15</f>
        <v>16.891999999999999</v>
      </c>
    </row>
    <row r="12" spans="1:18" x14ac:dyDescent="0.25">
      <c r="C12" s="3" t="str">
        <f>'Вар2. Длинна'!F6</f>
        <v>ВП-Е</v>
      </c>
      <c r="D12" s="3">
        <f>'Вар2. Длинна'!G6</f>
        <v>11.9</v>
      </c>
      <c r="E12" s="14">
        <f>P15</f>
        <v>32.156999999999996</v>
      </c>
      <c r="F12" s="14">
        <f>Q15</f>
        <v>15.608000000000001</v>
      </c>
      <c r="P12" t="s">
        <v>69</v>
      </c>
      <c r="Q12" s="15">
        <f>J15+P15</f>
        <v>67</v>
      </c>
      <c r="R12">
        <f>K15+Q15</f>
        <v>32.5</v>
      </c>
    </row>
    <row r="13" spans="1:18" x14ac:dyDescent="0.25">
      <c r="C13" s="3" t="str">
        <f>'Вар2. Длинна'!F7</f>
        <v>Е-Г</v>
      </c>
      <c r="D13" s="3">
        <f>'Вар2. Длинна'!G7</f>
        <v>14.5</v>
      </c>
      <c r="E13" s="14">
        <f>-M15</f>
        <v>2.8430000000000035</v>
      </c>
      <c r="F13" s="14">
        <f>-N15</f>
        <v>1.3919999999999995</v>
      </c>
      <c r="Q13">
        <f>K20+N20</f>
        <v>67</v>
      </c>
      <c r="R13">
        <f>L20+O20</f>
        <v>32.5</v>
      </c>
    </row>
    <row r="14" spans="1:18" x14ac:dyDescent="0.25">
      <c r="B14" t="str">
        <f>'Таблиця 1-3'!L4</f>
        <v>г)</v>
      </c>
      <c r="C14" s="3" t="str">
        <f>'Вар2. Длинна'!X23</f>
        <v>ВП-2</v>
      </c>
      <c r="D14" s="3">
        <f>'Вар2. Длинна'!Y23</f>
        <v>5.4</v>
      </c>
      <c r="E14" s="4">
        <f>E15+E16</f>
        <v>67</v>
      </c>
      <c r="F14" s="4">
        <f>F15+F16</f>
        <v>32.5</v>
      </c>
    </row>
    <row r="15" spans="1:18" x14ac:dyDescent="0.25">
      <c r="C15" s="3" t="str">
        <f>'Вар2. Длинна'!X24</f>
        <v>Г-2</v>
      </c>
      <c r="D15" s="3">
        <f>'Вар2. Длинна'!Y24</f>
        <v>7.2</v>
      </c>
      <c r="E15" s="4">
        <v>32</v>
      </c>
      <c r="F15" s="4">
        <v>15.5</v>
      </c>
      <c r="J15" s="14">
        <f>ROUND((K20*(M17+P17)+N20*P17)/(J17+M17+P17),3)</f>
        <v>34.843000000000004</v>
      </c>
      <c r="K15" s="14">
        <f>ROUND((L20*(M17+P17)+O20*P17)/(J17+M17+P17),3)</f>
        <v>16.891999999999999</v>
      </c>
      <c r="L15" s="4"/>
      <c r="M15" s="14">
        <f>P15-N20</f>
        <v>-2.8430000000000035</v>
      </c>
      <c r="N15" s="14">
        <f>Q15-O20</f>
        <v>-1.3919999999999995</v>
      </c>
      <c r="O15" s="4"/>
      <c r="P15" s="14">
        <f>ROUND((K20*J17+N20*(J17+M17))/(J17+M17+P17),3)</f>
        <v>32.156999999999996</v>
      </c>
      <c r="Q15" s="14">
        <f>ROUND((L20*J17+O20*(J17+M17))/(J17+M17+P17),3)</f>
        <v>15.608000000000001</v>
      </c>
    </row>
    <row r="16" spans="1:18" x14ac:dyDescent="0.25">
      <c r="C16" s="3" t="str">
        <f>'Вар2. Длинна'!X25</f>
        <v>Е-2</v>
      </c>
      <c r="D16" s="3">
        <f>'Вар2. Длинна'!Y25</f>
        <v>8.3000000000000007</v>
      </c>
      <c r="E16" s="4">
        <v>35</v>
      </c>
      <c r="F16" s="4">
        <v>17</v>
      </c>
      <c r="K16" s="10" t="s">
        <v>14</v>
      </c>
      <c r="N16" s="10" t="s">
        <v>16</v>
      </c>
    </row>
    <row r="17" spans="2:16" x14ac:dyDescent="0.25">
      <c r="J17">
        <f>D11</f>
        <v>9.8000000000000007</v>
      </c>
      <c r="M17">
        <f>D13</f>
        <v>14.5</v>
      </c>
      <c r="P17">
        <f>D12</f>
        <v>11.9</v>
      </c>
    </row>
    <row r="20" spans="2:16" x14ac:dyDescent="0.25">
      <c r="K20">
        <f>E15</f>
        <v>32</v>
      </c>
      <c r="L20">
        <f>F15</f>
        <v>15.5</v>
      </c>
      <c r="N20">
        <f>E16</f>
        <v>35</v>
      </c>
      <c r="O20">
        <f>F16</f>
        <v>17</v>
      </c>
    </row>
    <row r="24" spans="2:16" x14ac:dyDescent="0.25">
      <c r="E24" t="s">
        <v>41</v>
      </c>
      <c r="F24" t="s">
        <v>63</v>
      </c>
      <c r="G24" t="s">
        <v>64</v>
      </c>
    </row>
    <row r="25" spans="2:16" x14ac:dyDescent="0.25">
      <c r="B25" t="s">
        <v>95</v>
      </c>
      <c r="D25" t="str">
        <f>'Таблиця 1-4'!D14</f>
        <v>ДЖ-3</v>
      </c>
      <c r="E25">
        <f>'Таблиця 1-4'!E14</f>
        <v>14.8</v>
      </c>
      <c r="F25">
        <f>166.15</f>
        <v>166.15</v>
      </c>
      <c r="G25">
        <f>116.7</f>
        <v>116.7</v>
      </c>
    </row>
    <row r="26" spans="2:16" x14ac:dyDescent="0.25">
      <c r="D26" t="str">
        <f>'Таблиця 1-4'!D15</f>
        <v>3-ВП</v>
      </c>
      <c r="E26">
        <f>'Таблиця 1-4'!E15</f>
        <v>22.6</v>
      </c>
      <c r="F26">
        <f>F25-'Табл1-1  1-2'!B5</f>
        <v>146.15</v>
      </c>
      <c r="G26">
        <f>G25-'Табл1-1  1-2'!C5</f>
        <v>103.7</v>
      </c>
    </row>
    <row r="27" spans="2:16" x14ac:dyDescent="0.25">
      <c r="D27" t="str">
        <f>'Таблиця 1-4'!D16</f>
        <v>3-Б</v>
      </c>
      <c r="E27">
        <f>'Таблиця 1-4'!E16</f>
        <v>10.8</v>
      </c>
      <c r="F27">
        <f>'Табл1-1  1-2'!B5</f>
        <v>20</v>
      </c>
      <c r="G27">
        <f>'Табл1-1  1-2'!C5</f>
        <v>13</v>
      </c>
    </row>
    <row r="29" spans="2:16" x14ac:dyDescent="0.25">
      <c r="D29">
        <v>165</v>
      </c>
      <c r="E29">
        <v>90.3</v>
      </c>
    </row>
    <row r="31" spans="2:16" x14ac:dyDescent="0.25">
      <c r="D31" t="s">
        <v>118</v>
      </c>
      <c r="E31" t="s">
        <v>117</v>
      </c>
      <c r="F31">
        <f>SQRT(D29^2+E29^2)</f>
        <v>188.09330131612873</v>
      </c>
    </row>
    <row r="33" spans="4:18" x14ac:dyDescent="0.25">
      <c r="D33" t="s">
        <v>119</v>
      </c>
      <c r="E33" t="s">
        <v>63</v>
      </c>
      <c r="F33">
        <f>0.05*F31</f>
        <v>9.4046650658064372</v>
      </c>
    </row>
    <row r="34" spans="4:18" x14ac:dyDescent="0.25">
      <c r="E34" t="s">
        <v>64</v>
      </c>
      <c r="F34">
        <f>0.15*F31</f>
        <v>28.213995197419308</v>
      </c>
      <c r="O34" s="4"/>
      <c r="Q34" s="4"/>
      <c r="R34" s="4"/>
    </row>
    <row r="35" spans="4:18" x14ac:dyDescent="0.25">
      <c r="O35" s="10"/>
      <c r="P35" s="4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3315" r:id="rId4">
          <objectPr defaultSize="0" autoPict="0" r:id="rId5">
            <anchor moveWithCells="1">
              <from>
                <xdr:col>7</xdr:col>
                <xdr:colOff>590550</xdr:colOff>
                <xdr:row>25</xdr:row>
                <xdr:rowOff>180975</xdr:rowOff>
              </from>
              <to>
                <xdr:col>13</xdr:col>
                <xdr:colOff>266700</xdr:colOff>
                <xdr:row>34</xdr:row>
                <xdr:rowOff>133350</xdr:rowOff>
              </to>
            </anchor>
          </objectPr>
        </oleObject>
      </mc:Choice>
      <mc:Fallback>
        <oleObject progId="Visio.Drawing.15" shapeId="1331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9"/>
  <sheetViews>
    <sheetView zoomScale="95" zoomScaleNormal="95" workbookViewId="0">
      <selection activeCell="C13" sqref="C13"/>
    </sheetView>
  </sheetViews>
  <sheetFormatPr defaultRowHeight="15" x14ac:dyDescent="0.25"/>
  <cols>
    <col min="12" max="12" width="13.140625" bestFit="1" customWidth="1"/>
  </cols>
  <sheetData>
    <row r="2" spans="3:13" ht="15.75" thickBot="1" x14ac:dyDescent="0.3"/>
    <row r="3" spans="3:13" ht="46.15" customHeight="1" thickBot="1" x14ac:dyDescent="0.3">
      <c r="C3" s="91" t="s">
        <v>48</v>
      </c>
      <c r="D3" s="93" t="s">
        <v>49</v>
      </c>
      <c r="E3" s="94"/>
      <c r="F3" s="94"/>
      <c r="G3" s="94"/>
      <c r="H3" s="95"/>
      <c r="I3" s="93" t="s">
        <v>50</v>
      </c>
      <c r="J3" s="94"/>
      <c r="K3" s="94"/>
      <c r="L3" s="94"/>
      <c r="M3" s="95"/>
    </row>
    <row r="4" spans="3:13" ht="16.5" thickBot="1" x14ac:dyDescent="0.3">
      <c r="C4" s="92"/>
      <c r="D4" s="8" t="s">
        <v>51</v>
      </c>
      <c r="E4" s="8" t="s">
        <v>52</v>
      </c>
      <c r="F4" s="8" t="s">
        <v>53</v>
      </c>
      <c r="G4" s="8" t="s">
        <v>54</v>
      </c>
      <c r="H4" s="8" t="s">
        <v>55</v>
      </c>
      <c r="I4" s="8" t="s">
        <v>51</v>
      </c>
      <c r="J4" s="8" t="s">
        <v>52</v>
      </c>
      <c r="K4" s="8" t="s">
        <v>53</v>
      </c>
      <c r="L4" s="8" t="s">
        <v>54</v>
      </c>
      <c r="M4" s="8" t="s">
        <v>55</v>
      </c>
    </row>
    <row r="5" spans="3:13" ht="21" customHeight="1" thickBot="1" x14ac:dyDescent="0.3">
      <c r="C5" s="9" t="s">
        <v>56</v>
      </c>
      <c r="D5" s="8">
        <v>4</v>
      </c>
      <c r="E5" s="8">
        <v>4</v>
      </c>
      <c r="F5" s="8">
        <v>2</v>
      </c>
      <c r="G5" s="8">
        <v>2</v>
      </c>
      <c r="H5" s="8">
        <v>2</v>
      </c>
      <c r="I5" s="8">
        <f>4</f>
        <v>4</v>
      </c>
      <c r="J5" s="8">
        <v>4</v>
      </c>
      <c r="K5" s="8">
        <v>2</v>
      </c>
      <c r="L5" s="8">
        <v>2</v>
      </c>
      <c r="M5" s="8">
        <v>2</v>
      </c>
    </row>
    <row r="6" spans="3:13" ht="21" customHeight="1" thickBot="1" x14ac:dyDescent="0.3">
      <c r="C6" s="9" t="s">
        <v>57</v>
      </c>
      <c r="D6" s="8">
        <f>'Вар1. Длинна'!H5*1+'Вар1. Длинна'!H6*1+'Вар1. Длинна'!H7*1</f>
        <v>25.200000000000003</v>
      </c>
      <c r="E6" s="8">
        <f>'Вар1. Длинна'!H18*1.6+'Вар1. Длинна'!H19*2</f>
        <v>34.480000000000004</v>
      </c>
      <c r="F6" s="8">
        <f>'Вар1. Длинна'!P18*2+'Вар1. Длинна'!P20*2+'Вар1. Длинна'!P19*2</f>
        <v>29.799999999999997</v>
      </c>
      <c r="G6" s="8">
        <f>'Вар1. Длинна'!V5*2+'Вар1. Длинна'!V7*2+'Вар1. Длинна'!V6*2</f>
        <v>28.400000000000002</v>
      </c>
      <c r="H6" s="8">
        <f>'Вар1. Длинна'!H30*2+'Вар1. Длинна'!H29*2</f>
        <v>26.799999999999997</v>
      </c>
      <c r="I6" s="8">
        <f>'Вар2. Длинна'!G5+'Вар2. Длинна'!G6+'Вар2. Длинна'!G7</f>
        <v>36.200000000000003</v>
      </c>
      <c r="J6" s="8">
        <f>'Вар2. Длинна'!T5*1.6+'Вар2. Длинна'!T6*2</f>
        <v>39.480000000000004</v>
      </c>
      <c r="K6" s="8">
        <f>'Вар2. Длинна'!P25*2+'Вар2. Длинна'!P24*2+'Вар2. Длинна'!P26*2</f>
        <v>43.400000000000006</v>
      </c>
      <c r="L6" s="8">
        <f>'Вар2. Длинна'!Y23*2+'Вар2. Длинна'!Y25*2+'Вар2. Длинна'!Y24*2</f>
        <v>41.800000000000004</v>
      </c>
      <c r="M6" s="8">
        <f>'Вар2. Длинна'!G23*2+'Вар2. Длинна'!G25*2</f>
        <v>45</v>
      </c>
    </row>
    <row r="7" spans="3:13" ht="24.75" customHeight="1" thickBot="1" x14ac:dyDescent="0.3">
      <c r="C7" s="9" t="s">
        <v>57</v>
      </c>
      <c r="D7" s="18">
        <f>D6+D5*3</f>
        <v>37.200000000000003</v>
      </c>
      <c r="E7" s="17">
        <f>E6+E5*3</f>
        <v>46.480000000000004</v>
      </c>
      <c r="F7" s="8">
        <f>F6+F5*3</f>
        <v>35.799999999999997</v>
      </c>
      <c r="G7" s="8">
        <f>G6+G5*3</f>
        <v>34.400000000000006</v>
      </c>
      <c r="H7" s="18">
        <f>H6+H5*3</f>
        <v>32.799999999999997</v>
      </c>
      <c r="I7" s="18">
        <f t="shared" ref="I7:M7" si="0">I6+I5*3</f>
        <v>48.2</v>
      </c>
      <c r="J7" s="8">
        <f t="shared" si="0"/>
        <v>51.480000000000004</v>
      </c>
      <c r="K7" s="8">
        <f>K6+K5*3</f>
        <v>49.400000000000006</v>
      </c>
      <c r="L7" s="38">
        <f>L6+L5*3</f>
        <v>47.800000000000004</v>
      </c>
      <c r="M7" s="8">
        <f t="shared" si="0"/>
        <v>51</v>
      </c>
    </row>
    <row r="8" spans="3:13" ht="15.75" thickBot="1" x14ac:dyDescent="0.3">
      <c r="C8" s="19"/>
      <c r="D8" s="19" t="s">
        <v>85</v>
      </c>
      <c r="E8" s="19" t="s">
        <v>86</v>
      </c>
      <c r="F8" s="19" t="s">
        <v>60</v>
      </c>
      <c r="G8" s="19" t="s">
        <v>60</v>
      </c>
      <c r="H8" s="19" t="s">
        <v>60</v>
      </c>
      <c r="I8" s="19" t="s">
        <v>59</v>
      </c>
      <c r="J8" s="19" t="s">
        <v>58</v>
      </c>
      <c r="K8" s="19" t="s">
        <v>60</v>
      </c>
      <c r="L8" s="19" t="s">
        <v>60</v>
      </c>
      <c r="M8" s="19" t="s">
        <v>60</v>
      </c>
    </row>
    <row r="9" spans="3:13" ht="15.75" thickBot="1" x14ac:dyDescent="0.3">
      <c r="C9" s="19"/>
      <c r="D9" s="19" t="s">
        <v>61</v>
      </c>
      <c r="E9" s="19" t="s">
        <v>62</v>
      </c>
      <c r="F9" s="19" t="s">
        <v>62</v>
      </c>
      <c r="G9" s="19" t="s">
        <v>62</v>
      </c>
      <c r="H9" s="19" t="s">
        <v>61</v>
      </c>
      <c r="I9" s="19" t="s">
        <v>61</v>
      </c>
      <c r="J9" s="19" t="s">
        <v>62</v>
      </c>
      <c r="K9" s="19" t="s">
        <v>62</v>
      </c>
      <c r="L9" s="19" t="s">
        <v>61</v>
      </c>
      <c r="M9" s="19" t="s">
        <v>62</v>
      </c>
    </row>
  </sheetData>
  <mergeCells count="3">
    <mergeCell ref="C3:C4"/>
    <mergeCell ref="D3:H3"/>
    <mergeCell ref="I3:M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Normal="100" workbookViewId="0">
      <selection activeCell="D12" sqref="D12:D14"/>
    </sheetView>
  </sheetViews>
  <sheetFormatPr defaultRowHeight="15" x14ac:dyDescent="0.25"/>
  <cols>
    <col min="3" max="4" width="8.85546875" customWidth="1"/>
    <col min="6" max="6" width="18" customWidth="1"/>
    <col min="7" max="7" width="15.28515625" bestFit="1" customWidth="1"/>
    <col min="10" max="10" width="15.28515625" bestFit="1" customWidth="1"/>
    <col min="11" max="11" width="10.5703125" bestFit="1" customWidth="1"/>
  </cols>
  <sheetData>
    <row r="1" spans="1:15" ht="15.75" thickBot="1" x14ac:dyDescent="0.3"/>
    <row r="2" spans="1:15" ht="33" customHeight="1" x14ac:dyDescent="0.25">
      <c r="C2" s="96" t="s">
        <v>107</v>
      </c>
      <c r="D2" s="96" t="s">
        <v>106</v>
      </c>
      <c r="E2" s="96" t="s">
        <v>105</v>
      </c>
      <c r="F2" s="34" t="s">
        <v>104</v>
      </c>
      <c r="G2" s="34" t="s">
        <v>103</v>
      </c>
      <c r="H2" s="34" t="s">
        <v>102</v>
      </c>
      <c r="I2" s="99" t="s">
        <v>87</v>
      </c>
      <c r="J2" s="101" t="s">
        <v>101</v>
      </c>
      <c r="K2" s="34" t="s">
        <v>100</v>
      </c>
      <c r="L2" s="96" t="s">
        <v>99</v>
      </c>
      <c r="M2" s="96" t="s">
        <v>133</v>
      </c>
      <c r="N2" s="35">
        <v>0.8</v>
      </c>
      <c r="O2" t="s">
        <v>98</v>
      </c>
    </row>
    <row r="3" spans="1:15" ht="23.25" thickBot="1" x14ac:dyDescent="0.3">
      <c r="C3" s="98"/>
      <c r="D3" s="97"/>
      <c r="E3" s="97"/>
      <c r="F3" s="44" t="s">
        <v>97</v>
      </c>
      <c r="G3" s="44" t="s">
        <v>97</v>
      </c>
      <c r="H3" s="44" t="s">
        <v>9</v>
      </c>
      <c r="I3" s="100"/>
      <c r="J3" s="102"/>
      <c r="K3" s="44" t="s">
        <v>96</v>
      </c>
      <c r="L3" s="97"/>
      <c r="M3" s="97"/>
      <c r="N3" t="s">
        <v>88</v>
      </c>
    </row>
    <row r="4" spans="1:15" ht="19.5" thickBot="1" x14ac:dyDescent="0.3">
      <c r="A4" s="15">
        <f>Потокорозподіл!E5</f>
        <v>26.968</v>
      </c>
      <c r="B4" s="15">
        <f>Потокорозподіл!F5</f>
        <v>14.375</v>
      </c>
      <c r="C4" s="103" t="s">
        <v>19</v>
      </c>
      <c r="D4" s="107" t="s">
        <v>88</v>
      </c>
      <c r="E4" s="45" t="str">
        <f>'Таблиця 1-4'!D3</f>
        <v>ВП-В</v>
      </c>
      <c r="F4" s="45" t="str">
        <f>COMPLEX(A4,B4)</f>
        <v>26.968+14.375i</v>
      </c>
      <c r="G4" s="45">
        <f>ROUND(1*IMABS(F4),2)</f>
        <v>30.56</v>
      </c>
      <c r="H4" s="45">
        <f>110</f>
        <v>110</v>
      </c>
      <c r="I4" s="45">
        <f>'Таблиця 1-4'!G3</f>
        <v>1</v>
      </c>
      <c r="J4" s="45">
        <f>ROUND(G4/SQRT(3)/H4/I4*10^3,2)</f>
        <v>160.4</v>
      </c>
      <c r="K4" s="46">
        <f>J4/$N$2</f>
        <v>200.5</v>
      </c>
      <c r="L4" s="47">
        <v>240</v>
      </c>
      <c r="M4" s="37">
        <v>240</v>
      </c>
    </row>
    <row r="5" spans="1:15" ht="19.5" thickBot="1" x14ac:dyDescent="0.3">
      <c r="A5" s="15">
        <f>Потокорозподіл!E6</f>
        <v>35.031999999999996</v>
      </c>
      <c r="B5" s="15">
        <f>Потокорозподіл!F6</f>
        <v>18.425000000000001</v>
      </c>
      <c r="C5" s="104"/>
      <c r="D5" s="108"/>
      <c r="E5" s="33" t="str">
        <f>'Таблиця 1-4'!D4</f>
        <v>ВП-Д</v>
      </c>
      <c r="F5" s="45" t="str">
        <f t="shared" ref="F5:F17" si="0">COMPLEX(A5,B5)</f>
        <v>35.032+18.425i</v>
      </c>
      <c r="G5" s="45">
        <f>ROUND(1*IMABS(F5),2)</f>
        <v>39.58</v>
      </c>
      <c r="H5" s="45">
        <f>110</f>
        <v>110</v>
      </c>
      <c r="I5" s="33">
        <f>'Таблиця 1-4'!G4</f>
        <v>1</v>
      </c>
      <c r="J5" s="45">
        <f>ROUND(G5/SQRT(3)/H5/I5*10^3,2)</f>
        <v>207.74</v>
      </c>
      <c r="K5" s="46">
        <f>J5/$N$2</f>
        <v>259.67500000000001</v>
      </c>
      <c r="L5" s="36">
        <v>300</v>
      </c>
      <c r="M5" s="48">
        <v>300</v>
      </c>
    </row>
    <row r="6" spans="1:15" ht="19.5" thickBot="1" x14ac:dyDescent="0.3">
      <c r="A6" s="15">
        <f>Потокорозподіл!E7</f>
        <v>-8.032</v>
      </c>
      <c r="B6" s="15">
        <f>Потокорозподіл!F7</f>
        <v>-4.625</v>
      </c>
      <c r="C6" s="104"/>
      <c r="D6" s="109"/>
      <c r="E6" s="39" t="str">
        <f>'Таблиця 1-4'!D5</f>
        <v>В-Д</v>
      </c>
      <c r="F6" s="45" t="str">
        <f t="shared" si="0"/>
        <v>-8.032-4.625i</v>
      </c>
      <c r="G6" s="45">
        <f t="shared" ref="G6:G17" si="1">ROUND(1*IMABS(F6),2)</f>
        <v>9.27</v>
      </c>
      <c r="H6" s="45">
        <f>110</f>
        <v>110</v>
      </c>
      <c r="I6" s="39">
        <f>'Таблиця 1-4'!G5</f>
        <v>1</v>
      </c>
      <c r="J6" s="45">
        <f t="shared" ref="J6:J7" si="2">ROUND(G6/SQRT(3)/H6/I6*10^3,2)</f>
        <v>48.65</v>
      </c>
      <c r="K6" s="46">
        <f>J6/$N$2</f>
        <v>60.812499999999993</v>
      </c>
      <c r="L6" s="49">
        <v>70</v>
      </c>
      <c r="M6" s="50">
        <v>150</v>
      </c>
    </row>
    <row r="7" spans="1:15" ht="19.5" thickBot="1" x14ac:dyDescent="0.3">
      <c r="A7" s="15">
        <f>Потокорозподіл!E8</f>
        <v>35</v>
      </c>
      <c r="B7" s="15">
        <f>Потокорозподіл!F8</f>
        <v>19</v>
      </c>
      <c r="C7" s="105"/>
      <c r="D7" s="97" t="s">
        <v>89</v>
      </c>
      <c r="E7" s="36" t="str">
        <f>'Таблиця 1-4'!D6</f>
        <v>В-Д</v>
      </c>
      <c r="F7" s="45" t="str">
        <f t="shared" si="0"/>
        <v>35+19i</v>
      </c>
      <c r="G7" s="45">
        <f t="shared" si="1"/>
        <v>39.82</v>
      </c>
      <c r="H7" s="45">
        <f>110</f>
        <v>110</v>
      </c>
      <c r="I7" s="36">
        <f>'Таблиця 1-4'!G6</f>
        <v>2</v>
      </c>
      <c r="J7" s="45">
        <f t="shared" si="2"/>
        <v>104.5</v>
      </c>
      <c r="K7" s="46">
        <f t="shared" ref="K7:K17" si="3">J7/$N$2</f>
        <v>130.625</v>
      </c>
      <c r="L7" s="36">
        <v>150</v>
      </c>
      <c r="M7" s="36">
        <v>150</v>
      </c>
    </row>
    <row r="8" spans="1:15" ht="19.5" thickBot="1" x14ac:dyDescent="0.3">
      <c r="A8" s="15">
        <f>Потокорозподіл!E9</f>
        <v>62</v>
      </c>
      <c r="B8" s="15">
        <f>Потокорозподіл!F9</f>
        <v>32.799999999999997</v>
      </c>
      <c r="C8" s="106"/>
      <c r="D8" s="106"/>
      <c r="E8" s="36" t="str">
        <f>'Таблиця 1-4'!D7</f>
        <v>ВП-Д</v>
      </c>
      <c r="F8" s="45" t="str">
        <f t="shared" si="0"/>
        <v>62+32.8i</v>
      </c>
      <c r="G8" s="45">
        <f t="shared" si="1"/>
        <v>70.14</v>
      </c>
      <c r="H8" s="45">
        <f>110</f>
        <v>110</v>
      </c>
      <c r="I8" s="36">
        <f>'Таблиця 1-4'!G7</f>
        <v>2</v>
      </c>
      <c r="J8" s="45">
        <f t="shared" ref="J8:J17" si="4">ROUND(G8/SQRT(3)/H8/I8*10^3,2)</f>
        <v>184.07</v>
      </c>
      <c r="K8" s="46">
        <f t="shared" si="3"/>
        <v>230.08749999999998</v>
      </c>
      <c r="L8" s="36">
        <v>240</v>
      </c>
      <c r="M8" s="36">
        <v>240</v>
      </c>
    </row>
    <row r="9" spans="1:15" ht="19.5" thickBot="1" x14ac:dyDescent="0.3">
      <c r="A9" s="15">
        <f>Потокорозподіл!E11</f>
        <v>34.843000000000004</v>
      </c>
      <c r="B9" s="15">
        <f>Потокорозподіл!F11</f>
        <v>16.891999999999999</v>
      </c>
      <c r="C9" s="96" t="s">
        <v>20</v>
      </c>
      <c r="D9" s="96" t="s">
        <v>88</v>
      </c>
      <c r="E9" s="33" t="str">
        <f>'Таблиця 1-4'!D8</f>
        <v>ВП-Г</v>
      </c>
      <c r="F9" s="45" t="str">
        <f t="shared" si="0"/>
        <v>34.843+16.892i</v>
      </c>
      <c r="G9" s="45">
        <f t="shared" si="1"/>
        <v>38.72</v>
      </c>
      <c r="H9" s="45">
        <f>110</f>
        <v>110</v>
      </c>
      <c r="I9" s="33">
        <f>'Таблиця 1-4'!G8</f>
        <v>1</v>
      </c>
      <c r="J9" s="45">
        <f t="shared" si="4"/>
        <v>203.23</v>
      </c>
      <c r="K9" s="46">
        <f t="shared" si="3"/>
        <v>254.03749999999997</v>
      </c>
      <c r="L9" s="36">
        <v>300</v>
      </c>
      <c r="M9" s="33">
        <v>300</v>
      </c>
    </row>
    <row r="10" spans="1:15" ht="19.5" thickBot="1" x14ac:dyDescent="0.3">
      <c r="A10" s="15">
        <f>Потокорозподіл!E12</f>
        <v>32.156999999999996</v>
      </c>
      <c r="B10" s="15">
        <f>Потокорозподіл!F12</f>
        <v>15.608000000000001</v>
      </c>
      <c r="C10" s="105"/>
      <c r="D10" s="105"/>
      <c r="E10" s="36" t="str">
        <f>'Таблиця 1-4'!D9</f>
        <v>ВП-Е</v>
      </c>
      <c r="F10" s="45" t="str">
        <f t="shared" si="0"/>
        <v>32.157+15.608i</v>
      </c>
      <c r="G10" s="45">
        <f t="shared" si="1"/>
        <v>35.74</v>
      </c>
      <c r="H10" s="45">
        <f>110</f>
        <v>110</v>
      </c>
      <c r="I10" s="33">
        <f>'Таблиця 1-4'!G9</f>
        <v>1</v>
      </c>
      <c r="J10" s="45">
        <f t="shared" si="4"/>
        <v>187.59</v>
      </c>
      <c r="K10" s="46">
        <f t="shared" si="3"/>
        <v>234.48749999999998</v>
      </c>
      <c r="L10" s="36">
        <v>240</v>
      </c>
      <c r="M10" s="33">
        <v>240</v>
      </c>
    </row>
    <row r="11" spans="1:15" ht="19.5" thickBot="1" x14ac:dyDescent="0.3">
      <c r="A11" s="15">
        <f>Потокорозподіл!E13</f>
        <v>2.8430000000000035</v>
      </c>
      <c r="B11" s="15">
        <f>Потокорозподіл!F13</f>
        <v>1.3919999999999995</v>
      </c>
      <c r="C11" s="105"/>
      <c r="D11" s="106"/>
      <c r="E11" s="33" t="str">
        <f>'Таблиця 1-4'!D10</f>
        <v>Е-Г</v>
      </c>
      <c r="F11" s="45" t="str">
        <f t="shared" si="0"/>
        <v>2.843+1.392i</v>
      </c>
      <c r="G11" s="45">
        <f t="shared" si="1"/>
        <v>3.17</v>
      </c>
      <c r="H11" s="45">
        <f>110</f>
        <v>110</v>
      </c>
      <c r="I11" s="33">
        <f>'Таблиця 1-4'!G10</f>
        <v>1</v>
      </c>
      <c r="J11" s="45">
        <f t="shared" si="4"/>
        <v>16.64</v>
      </c>
      <c r="K11" s="46">
        <f t="shared" si="3"/>
        <v>20.8</v>
      </c>
      <c r="L11" s="36">
        <v>70</v>
      </c>
      <c r="M11" s="33">
        <v>150</v>
      </c>
    </row>
    <row r="12" spans="1:15" ht="19.5" thickBot="1" x14ac:dyDescent="0.3">
      <c r="A12" s="15">
        <f>Потокорозподіл!E14</f>
        <v>67</v>
      </c>
      <c r="B12" s="15">
        <f>Потокорозподіл!F14</f>
        <v>32.5</v>
      </c>
      <c r="C12" s="105"/>
      <c r="D12" s="96" t="s">
        <v>90</v>
      </c>
      <c r="E12" s="33" t="str">
        <f>'Таблиця 1-4'!D11</f>
        <v>ВП-2</v>
      </c>
      <c r="F12" s="45" t="str">
        <f t="shared" si="0"/>
        <v>67+32.5i</v>
      </c>
      <c r="G12" s="45">
        <f t="shared" si="1"/>
        <v>74.47</v>
      </c>
      <c r="H12" s="45">
        <f>110</f>
        <v>110</v>
      </c>
      <c r="I12" s="33">
        <f>'Таблиця 1-4'!G11</f>
        <v>2</v>
      </c>
      <c r="J12" s="45">
        <f t="shared" si="4"/>
        <v>195.43</v>
      </c>
      <c r="K12" s="46">
        <f t="shared" si="3"/>
        <v>244.28749999999999</v>
      </c>
      <c r="L12" s="36">
        <v>300</v>
      </c>
      <c r="M12" s="33">
        <v>300</v>
      </c>
    </row>
    <row r="13" spans="1:15" ht="19.5" thickBot="1" x14ac:dyDescent="0.3">
      <c r="A13" s="15">
        <f>'Таблиця 1-4'!F12</f>
        <v>32</v>
      </c>
      <c r="B13" s="15">
        <f>Потокорозподіл!F15</f>
        <v>15.5</v>
      </c>
      <c r="C13" s="105"/>
      <c r="D13" s="105"/>
      <c r="E13" s="33" t="str">
        <f>'Таблиця 1-4'!D12</f>
        <v>Г-2</v>
      </c>
      <c r="F13" s="45" t="str">
        <f t="shared" si="0"/>
        <v>32+15.5i</v>
      </c>
      <c r="G13" s="45">
        <f t="shared" si="1"/>
        <v>35.56</v>
      </c>
      <c r="H13" s="45">
        <f>110</f>
        <v>110</v>
      </c>
      <c r="I13" s="33">
        <f>'Таблиця 1-4'!G12</f>
        <v>2</v>
      </c>
      <c r="J13" s="45">
        <f t="shared" si="4"/>
        <v>93.32</v>
      </c>
      <c r="K13" s="46">
        <f t="shared" si="3"/>
        <v>116.64999999999999</v>
      </c>
      <c r="L13" s="36">
        <v>120</v>
      </c>
      <c r="M13" s="33">
        <v>120</v>
      </c>
    </row>
    <row r="14" spans="1:15" ht="19.5" thickBot="1" x14ac:dyDescent="0.3">
      <c r="A14" s="15">
        <f>'Таблиця 1-4'!F13</f>
        <v>35</v>
      </c>
      <c r="B14" s="15">
        <f>Потокорозподіл!F16</f>
        <v>17</v>
      </c>
      <c r="C14" s="106"/>
      <c r="D14" s="106"/>
      <c r="E14" s="33" t="str">
        <f>'Таблиця 1-4'!D13</f>
        <v>Е-2</v>
      </c>
      <c r="F14" s="45" t="str">
        <f t="shared" si="0"/>
        <v>35+17i</v>
      </c>
      <c r="G14" s="45">
        <f t="shared" si="1"/>
        <v>38.909999999999997</v>
      </c>
      <c r="H14" s="45">
        <f>110</f>
        <v>110</v>
      </c>
      <c r="I14" s="33">
        <f>'Таблиця 1-4'!G13</f>
        <v>2</v>
      </c>
      <c r="J14" s="45">
        <f t="shared" si="4"/>
        <v>102.11</v>
      </c>
      <c r="K14" s="46">
        <f t="shared" si="3"/>
        <v>127.63749999999999</v>
      </c>
      <c r="L14" s="36">
        <v>150</v>
      </c>
      <c r="M14" s="33">
        <v>150</v>
      </c>
    </row>
    <row r="15" spans="1:15" ht="19.5" thickBot="1" x14ac:dyDescent="0.3">
      <c r="A15" s="15">
        <f>Потокорозподіл!F25</f>
        <v>166.15</v>
      </c>
      <c r="B15" s="15">
        <f>Потокорозподіл!G25</f>
        <v>116.7</v>
      </c>
      <c r="C15" s="96"/>
      <c r="D15" s="96"/>
      <c r="E15" s="33" t="str">
        <f>'Таблиця 1-4'!D14</f>
        <v>ДЖ-3</v>
      </c>
      <c r="F15" s="45" t="str">
        <f t="shared" si="0"/>
        <v>166.15+116.7i</v>
      </c>
      <c r="G15" s="45">
        <f t="shared" si="1"/>
        <v>203.04</v>
      </c>
      <c r="H15" s="33">
        <f>220</f>
        <v>220</v>
      </c>
      <c r="I15" s="33">
        <f>'Таблиця 1-4'!G14</f>
        <v>2</v>
      </c>
      <c r="J15" s="45">
        <f t="shared" si="4"/>
        <v>266.42</v>
      </c>
      <c r="K15" s="46">
        <f t="shared" si="3"/>
        <v>333.02499999999998</v>
      </c>
      <c r="L15" s="36">
        <v>400</v>
      </c>
      <c r="M15" s="33">
        <v>400</v>
      </c>
    </row>
    <row r="16" spans="1:15" ht="19.5" thickBot="1" x14ac:dyDescent="0.3">
      <c r="A16" s="15">
        <f>Потокорозподіл!F26</f>
        <v>146.15</v>
      </c>
      <c r="B16" s="15">
        <f>Потокорозподіл!G26</f>
        <v>103.7</v>
      </c>
      <c r="C16" s="105"/>
      <c r="D16" s="105"/>
      <c r="E16" s="33" t="str">
        <f>'Таблиця 1-4'!D15</f>
        <v>3-ВП</v>
      </c>
      <c r="F16" s="45" t="str">
        <f t="shared" si="0"/>
        <v>146.15+103.7i</v>
      </c>
      <c r="G16" s="45">
        <f t="shared" si="1"/>
        <v>179.2</v>
      </c>
      <c r="H16" s="33">
        <f>220</f>
        <v>220</v>
      </c>
      <c r="I16" s="33">
        <f>'Таблиця 1-4'!G15</f>
        <v>2</v>
      </c>
      <c r="J16" s="45">
        <f t="shared" si="4"/>
        <v>235.14</v>
      </c>
      <c r="K16" s="46">
        <f t="shared" si="3"/>
        <v>293.92499999999995</v>
      </c>
      <c r="L16" s="33">
        <v>300</v>
      </c>
      <c r="M16" s="33">
        <v>300</v>
      </c>
    </row>
    <row r="17" spans="1:13" ht="19.5" thickBot="1" x14ac:dyDescent="0.3">
      <c r="A17" s="15">
        <f>Потокорозподіл!F27</f>
        <v>20</v>
      </c>
      <c r="B17" s="15">
        <f>Потокорозподіл!G27</f>
        <v>13</v>
      </c>
      <c r="C17" s="106"/>
      <c r="D17" s="106"/>
      <c r="E17" s="33" t="str">
        <f>'Таблиця 1-4'!D16</f>
        <v>3-Б</v>
      </c>
      <c r="F17" s="45" t="str">
        <f t="shared" si="0"/>
        <v>20+13i</v>
      </c>
      <c r="G17" s="45">
        <f t="shared" si="1"/>
        <v>23.85</v>
      </c>
      <c r="H17" s="33">
        <f>220</f>
        <v>220</v>
      </c>
      <c r="I17" s="33">
        <f>'Таблиця 1-4'!G16</f>
        <v>2</v>
      </c>
      <c r="J17" s="45">
        <f t="shared" si="4"/>
        <v>31.3</v>
      </c>
      <c r="K17" s="46">
        <f t="shared" si="3"/>
        <v>39.125</v>
      </c>
      <c r="L17" s="33">
        <v>70</v>
      </c>
      <c r="M17" s="33">
        <v>240</v>
      </c>
    </row>
  </sheetData>
  <mergeCells count="15">
    <mergeCell ref="C4:C8"/>
    <mergeCell ref="C9:C14"/>
    <mergeCell ref="C15:C17"/>
    <mergeCell ref="D4:D6"/>
    <mergeCell ref="D7:D8"/>
    <mergeCell ref="D9:D11"/>
    <mergeCell ref="D12:D14"/>
    <mergeCell ref="D15:D17"/>
    <mergeCell ref="M2:M3"/>
    <mergeCell ref="L2:L3"/>
    <mergeCell ref="C2:C3"/>
    <mergeCell ref="D2:D3"/>
    <mergeCell ref="E2:E3"/>
    <mergeCell ref="I2:I3"/>
    <mergeCell ref="J2:J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0"/>
  <sheetViews>
    <sheetView zoomScale="115" zoomScaleNormal="115" workbookViewId="0">
      <selection activeCell="C11" sqref="C11"/>
    </sheetView>
  </sheetViews>
  <sheetFormatPr defaultRowHeight="15" x14ac:dyDescent="0.25"/>
  <cols>
    <col min="3" max="3" width="26.28515625" customWidth="1"/>
    <col min="6" max="6" width="12.7109375" bestFit="1" customWidth="1"/>
  </cols>
  <sheetData>
    <row r="2" spans="3:7" ht="15.75" thickBot="1" x14ac:dyDescent="0.3"/>
    <row r="3" spans="3:7" ht="34.15" customHeight="1" thickBot="1" x14ac:dyDescent="0.3">
      <c r="C3" s="110" t="s">
        <v>116</v>
      </c>
      <c r="D3" s="110" t="s">
        <v>115</v>
      </c>
      <c r="E3" s="110"/>
      <c r="F3" s="110" t="s">
        <v>114</v>
      </c>
      <c r="G3" s="110"/>
    </row>
    <row r="4" spans="3:7" ht="32.25" thickBot="1" x14ac:dyDescent="0.3">
      <c r="C4" s="110"/>
      <c r="D4" s="40" t="s">
        <v>113</v>
      </c>
      <c r="E4" s="40" t="s">
        <v>112</v>
      </c>
      <c r="F4" s="40" t="s">
        <v>111</v>
      </c>
      <c r="G4" s="40" t="s">
        <v>110</v>
      </c>
    </row>
    <row r="5" spans="3:7" ht="16.5" thickBot="1" x14ac:dyDescent="0.3">
      <c r="C5" s="40" t="s">
        <v>136</v>
      </c>
      <c r="D5" s="40">
        <v>114</v>
      </c>
      <c r="E5" s="40">
        <v>26.6</v>
      </c>
      <c r="F5" s="42">
        <f>D5/E5</f>
        <v>4.2857142857142856</v>
      </c>
      <c r="G5" s="40" t="s">
        <v>108</v>
      </c>
    </row>
    <row r="6" spans="3:7" ht="16.5" thickBot="1" x14ac:dyDescent="0.3">
      <c r="C6" s="40" t="s">
        <v>109</v>
      </c>
      <c r="D6" s="40">
        <v>147</v>
      </c>
      <c r="E6" s="40">
        <v>34.299999999999997</v>
      </c>
      <c r="F6" s="42">
        <f t="shared" ref="F6:F9" si="0">D6/E6</f>
        <v>4.2857142857142865</v>
      </c>
      <c r="G6" s="40" t="s">
        <v>108</v>
      </c>
    </row>
    <row r="7" spans="3:7" ht="16.5" thickBot="1" x14ac:dyDescent="0.3">
      <c r="C7" s="40" t="s">
        <v>124</v>
      </c>
      <c r="D7" s="40">
        <v>185</v>
      </c>
      <c r="E7" s="40">
        <v>43.1</v>
      </c>
      <c r="F7" s="42">
        <f t="shared" si="0"/>
        <v>4.2923433874709973</v>
      </c>
      <c r="G7" s="40" t="s">
        <v>108</v>
      </c>
    </row>
    <row r="8" spans="3:7" ht="16.5" thickBot="1" x14ac:dyDescent="0.3">
      <c r="C8" s="43" t="s">
        <v>125</v>
      </c>
      <c r="D8" s="40">
        <v>241</v>
      </c>
      <c r="E8" s="40">
        <v>56.3</v>
      </c>
      <c r="F8" s="42">
        <f t="shared" si="0"/>
        <v>4.2806394316163416</v>
      </c>
      <c r="G8" s="40" t="s">
        <v>108</v>
      </c>
    </row>
    <row r="9" spans="3:7" ht="16.5" thickBot="1" x14ac:dyDescent="0.3">
      <c r="C9" s="40" t="s">
        <v>126</v>
      </c>
      <c r="D9" s="40">
        <v>288.5</v>
      </c>
      <c r="E9" s="40">
        <v>67.3</v>
      </c>
      <c r="F9" s="42">
        <f t="shared" si="0"/>
        <v>4.2867756315007428</v>
      </c>
      <c r="G9" s="40" t="s">
        <v>108</v>
      </c>
    </row>
    <row r="10" spans="3:7" ht="16.5" thickBot="1" x14ac:dyDescent="0.3">
      <c r="C10" s="40" t="s">
        <v>135</v>
      </c>
      <c r="D10" s="40">
        <v>394</v>
      </c>
      <c r="E10" s="40">
        <v>51.1</v>
      </c>
      <c r="F10" s="42">
        <f t="shared" ref="F10" si="1">D10/E10</f>
        <v>7.7103718199608604</v>
      </c>
      <c r="G10" s="40" t="s">
        <v>134</v>
      </c>
    </row>
  </sheetData>
  <mergeCells count="3">
    <mergeCell ref="C3:C4"/>
    <mergeCell ref="D3:E3"/>
    <mergeCell ref="F3:G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39"/>
  <sheetViews>
    <sheetView topLeftCell="A4" zoomScaleNormal="100" workbookViewId="0">
      <selection activeCell="N35" sqref="N35"/>
    </sheetView>
  </sheetViews>
  <sheetFormatPr defaultRowHeight="15" x14ac:dyDescent="0.25"/>
  <cols>
    <col min="1" max="1" width="11" customWidth="1"/>
    <col min="4" max="4" width="13.28515625" customWidth="1"/>
    <col min="5" max="5" width="10.28515625" customWidth="1"/>
    <col min="6" max="6" width="15.140625" customWidth="1"/>
    <col min="10" max="11" width="10.42578125" bestFit="1" customWidth="1"/>
    <col min="12" max="12" width="16.85546875" customWidth="1"/>
    <col min="13" max="13" width="15.42578125" customWidth="1"/>
  </cols>
  <sheetData>
    <row r="3" spans="3:14" ht="18.75" x14ac:dyDescent="0.25">
      <c r="C3" s="114" t="s">
        <v>107</v>
      </c>
      <c r="D3" s="55" t="s">
        <v>145</v>
      </c>
      <c r="E3" s="114" t="s">
        <v>105</v>
      </c>
      <c r="F3" s="114" t="s">
        <v>116</v>
      </c>
      <c r="G3" s="112" t="s">
        <v>162</v>
      </c>
      <c r="H3" s="114" t="s">
        <v>167</v>
      </c>
      <c r="I3" s="114" t="s">
        <v>168</v>
      </c>
      <c r="J3" s="56" t="s">
        <v>148</v>
      </c>
      <c r="K3" s="56" t="s">
        <v>149</v>
      </c>
      <c r="L3" s="56" t="s">
        <v>104</v>
      </c>
      <c r="M3" s="56" t="s">
        <v>164</v>
      </c>
    </row>
    <row r="4" spans="3:14" ht="18.75" x14ac:dyDescent="0.25">
      <c r="C4" s="114"/>
      <c r="D4" s="55" t="s">
        <v>146</v>
      </c>
      <c r="E4" s="114"/>
      <c r="F4" s="114"/>
      <c r="G4" s="113"/>
      <c r="H4" s="114"/>
      <c r="I4" s="114"/>
      <c r="J4" s="55" t="s">
        <v>147</v>
      </c>
      <c r="K4" s="55" t="s">
        <v>147</v>
      </c>
      <c r="L4" s="55" t="s">
        <v>163</v>
      </c>
      <c r="M4" s="55" t="s">
        <v>9</v>
      </c>
    </row>
    <row r="5" spans="3:14" ht="19.5" customHeight="1" x14ac:dyDescent="0.25">
      <c r="C5" s="112" t="s">
        <v>19</v>
      </c>
      <c r="D5" s="114" t="s">
        <v>154</v>
      </c>
      <c r="E5" s="114" t="s">
        <v>137</v>
      </c>
      <c r="F5" s="114"/>
      <c r="G5" s="114"/>
      <c r="H5" s="114"/>
      <c r="I5" s="114"/>
      <c r="J5" s="114"/>
      <c r="K5" s="114"/>
      <c r="L5" s="114"/>
      <c r="M5" s="114"/>
    </row>
    <row r="6" spans="3:14" ht="18.75" x14ac:dyDescent="0.3">
      <c r="C6" s="119"/>
      <c r="D6" s="115"/>
      <c r="E6" s="55" t="str">
        <f>нагрів!D5</f>
        <v>ВП-Д</v>
      </c>
      <c r="F6" s="55" t="str">
        <f>нагрів!I5</f>
        <v>АС-300/67</v>
      </c>
      <c r="G6" s="57">
        <f>'Таблиця 1-4'!E4</f>
        <v>7.8</v>
      </c>
      <c r="H6" s="60">
        <v>3.4000000000000002E-2</v>
      </c>
      <c r="I6" s="60">
        <v>0.40500000000000003</v>
      </c>
      <c r="J6" s="59">
        <f>H6*G6</f>
        <v>0.26519999999999999</v>
      </c>
      <c r="K6" s="59">
        <f>I6*G6</f>
        <v>3.1590000000000003</v>
      </c>
      <c r="L6" s="55" t="str">
        <f>нагрів!E5</f>
        <v>62+32.8i</v>
      </c>
      <c r="M6" s="59">
        <f>(IMREAL(L6)*J6+IMAGINARY(L6)*K6)/$N$6</f>
        <v>1.0914327272727273</v>
      </c>
      <c r="N6" s="54">
        <v>110</v>
      </c>
    </row>
    <row r="7" spans="3:14" ht="18.75" x14ac:dyDescent="0.3">
      <c r="C7" s="119"/>
      <c r="D7" s="115"/>
      <c r="E7" s="55" t="str">
        <f>нагрів!D6</f>
        <v>Д-В</v>
      </c>
      <c r="F7" s="55" t="str">
        <f>нагрів!I6</f>
        <v>АС-150/34</v>
      </c>
      <c r="G7" s="58">
        <f>'Таблиця 1-4'!E5</f>
        <v>5.6</v>
      </c>
      <c r="H7" s="60">
        <v>0.19800000000000001</v>
      </c>
      <c r="I7" s="59">
        <v>0.42</v>
      </c>
      <c r="J7" s="59">
        <f>H7*G7</f>
        <v>1.1088</v>
      </c>
      <c r="K7" s="59">
        <f>I7*G7</f>
        <v>2.3519999999999999</v>
      </c>
      <c r="L7" s="61" t="str">
        <f>нагрів!E6</f>
        <v>35+19i</v>
      </c>
      <c r="M7" s="59">
        <f>(IMREAL(L7)*J7+IMAGINARY(L7)*K7)/$N$6</f>
        <v>0.75905454545454543</v>
      </c>
      <c r="N7" s="54"/>
    </row>
    <row r="8" spans="3:14" ht="18.75" x14ac:dyDescent="0.25">
      <c r="C8" s="119"/>
      <c r="D8" s="115"/>
      <c r="E8" s="116" t="s">
        <v>157</v>
      </c>
      <c r="F8" s="117"/>
      <c r="G8" s="117"/>
      <c r="H8" s="117"/>
      <c r="I8" s="117"/>
      <c r="J8" s="117"/>
      <c r="K8" s="117"/>
      <c r="L8" s="118"/>
      <c r="M8" s="59">
        <f>M6+M7</f>
        <v>1.8504872727272728</v>
      </c>
    </row>
    <row r="9" spans="3:14" ht="18.75" x14ac:dyDescent="0.25">
      <c r="C9" s="119"/>
      <c r="D9" s="115"/>
      <c r="E9" s="116" t="str">
        <f>нагрів!D7</f>
        <v>відключення ВП-Д</v>
      </c>
      <c r="F9" s="117"/>
      <c r="G9" s="117"/>
      <c r="H9" s="117"/>
      <c r="I9" s="117"/>
      <c r="J9" s="117"/>
      <c r="K9" s="117"/>
      <c r="L9" s="117"/>
      <c r="M9" s="118"/>
    </row>
    <row r="10" spans="3:14" ht="19.5" customHeight="1" x14ac:dyDescent="0.25">
      <c r="C10" s="119"/>
      <c r="D10" s="115"/>
      <c r="E10" s="55" t="str">
        <f>нагрів!D8</f>
        <v>ВП-В</v>
      </c>
      <c r="F10" s="55" t="str">
        <f>нагрів!I8</f>
        <v>АС-240/56</v>
      </c>
      <c r="G10" s="55">
        <f>'Таблиця 1-4'!E3</f>
        <v>11.8</v>
      </c>
      <c r="H10" s="60">
        <v>0.12</v>
      </c>
      <c r="I10" s="60">
        <v>0.40500000000000003</v>
      </c>
      <c r="J10" s="59">
        <f>H10*G10</f>
        <v>1.4159999999999999</v>
      </c>
      <c r="K10" s="59">
        <f>I10*G10</f>
        <v>4.7790000000000008</v>
      </c>
      <c r="L10" s="55" t="str">
        <f>нагрів!E10</f>
        <v>35+19i</v>
      </c>
      <c r="M10" s="59">
        <f>(IMREAL(L10)*J10+IMAGINARY(L10)*K10)/$N$6</f>
        <v>1.2760090909090911</v>
      </c>
    </row>
    <row r="11" spans="3:14" ht="18.75" x14ac:dyDescent="0.25">
      <c r="C11" s="119"/>
      <c r="D11" s="115"/>
      <c r="E11" s="55" t="str">
        <f>нагрів!D9</f>
        <v>В-Д</v>
      </c>
      <c r="F11" s="55" t="str">
        <f>нагрів!I9</f>
        <v>АС-150/34</v>
      </c>
      <c r="G11" s="55">
        <f>G7</f>
        <v>5.6</v>
      </c>
      <c r="H11" s="60">
        <v>0.19800000000000001</v>
      </c>
      <c r="I11" s="59">
        <v>0.42</v>
      </c>
      <c r="J11" s="59">
        <f>H11*G11</f>
        <v>1.1088</v>
      </c>
      <c r="K11" s="59">
        <f>I11*G11</f>
        <v>2.3519999999999999</v>
      </c>
      <c r="L11" s="61" t="str">
        <f>нагрів!E11</f>
        <v>62+32.8i</v>
      </c>
      <c r="M11" s="59">
        <f>(IMREAL(L11)*J11+IMAGINARY(L11)*K11)/$N$6</f>
        <v>1.3262836363636361</v>
      </c>
    </row>
    <row r="12" spans="3:14" ht="18.75" x14ac:dyDescent="0.25">
      <c r="C12" s="119"/>
      <c r="D12" s="115"/>
      <c r="E12" s="116" t="s">
        <v>158</v>
      </c>
      <c r="F12" s="117"/>
      <c r="G12" s="117"/>
      <c r="H12" s="117"/>
      <c r="I12" s="117"/>
      <c r="J12" s="117"/>
      <c r="K12" s="117"/>
      <c r="L12" s="118"/>
      <c r="M12" s="59">
        <f>M10+M11</f>
        <v>2.6022927272727272</v>
      </c>
    </row>
    <row r="13" spans="3:14" ht="18.75" x14ac:dyDescent="0.25">
      <c r="C13" s="119"/>
      <c r="D13" s="112" t="s">
        <v>155</v>
      </c>
      <c r="E13" s="55" t="str">
        <f>Fрозр!E7</f>
        <v>В-Д</v>
      </c>
      <c r="F13" s="55" t="str">
        <f>нагрів!I10</f>
        <v>АС-150/34</v>
      </c>
      <c r="G13" s="55">
        <f>Потокорозподіл!D8</f>
        <v>5.6</v>
      </c>
      <c r="H13" s="60">
        <f>H11</f>
        <v>0.19800000000000001</v>
      </c>
      <c r="I13" s="59">
        <f>I11</f>
        <v>0.42</v>
      </c>
      <c r="J13" s="55">
        <f>H13*G13</f>
        <v>1.1088</v>
      </c>
      <c r="K13" s="55">
        <f>I13*G13</f>
        <v>2.3519999999999999</v>
      </c>
      <c r="L13" s="55" t="str">
        <f>нагрів!E10</f>
        <v>35+19i</v>
      </c>
      <c r="M13" s="59">
        <f>(IMREAL(L13)*J13+IMAGINARY(L13)*K13)/$N$6</f>
        <v>0.75905454545454543</v>
      </c>
    </row>
    <row r="14" spans="3:14" ht="18.75" x14ac:dyDescent="0.25">
      <c r="C14" s="119"/>
      <c r="D14" s="119"/>
      <c r="E14" s="55" t="str">
        <f>Fрозр!E8</f>
        <v>ВП-Д</v>
      </c>
      <c r="F14" s="55" t="str">
        <f>нагрів!I11</f>
        <v>АС-240/56</v>
      </c>
      <c r="G14" s="55">
        <f>Потокорозподіл!D9</f>
        <v>7.8</v>
      </c>
      <c r="H14" s="60">
        <f>H10</f>
        <v>0.12</v>
      </c>
      <c r="I14" s="60">
        <f>I10</f>
        <v>0.40500000000000003</v>
      </c>
      <c r="J14" s="55">
        <f>H14*G14</f>
        <v>0.93599999999999994</v>
      </c>
      <c r="K14" s="55">
        <f>I14*G14</f>
        <v>3.1590000000000003</v>
      </c>
      <c r="L14" s="55" t="str">
        <f>нагрів!E11</f>
        <v>62+32.8i</v>
      </c>
      <c r="M14" s="59">
        <f>(IMREAL(L14)*J14+IMAGINARY(L14)*K14)/$N$6</f>
        <v>1.4695199999999999</v>
      </c>
    </row>
    <row r="15" spans="3:14" ht="18.75" x14ac:dyDescent="0.25">
      <c r="C15" s="120"/>
      <c r="D15" s="120"/>
      <c r="E15" s="116" t="s">
        <v>159</v>
      </c>
      <c r="F15" s="117"/>
      <c r="G15" s="117"/>
      <c r="H15" s="117"/>
      <c r="I15" s="117"/>
      <c r="J15" s="117"/>
      <c r="K15" s="117"/>
      <c r="L15" s="118"/>
      <c r="M15" s="59">
        <f>M13+M14</f>
        <v>2.2285745454545456</v>
      </c>
    </row>
    <row r="16" spans="3:14" ht="19.5" customHeight="1" x14ac:dyDescent="0.25">
      <c r="C16" s="114" t="s">
        <v>20</v>
      </c>
      <c r="D16" s="114" t="s">
        <v>154</v>
      </c>
      <c r="E16" s="116" t="s">
        <v>141</v>
      </c>
      <c r="F16" s="117"/>
      <c r="G16" s="117"/>
      <c r="H16" s="117"/>
      <c r="I16" s="117"/>
      <c r="J16" s="117"/>
      <c r="K16" s="117"/>
      <c r="L16" s="117"/>
      <c r="M16" s="118"/>
    </row>
    <row r="17" spans="3:14" ht="18.75" x14ac:dyDescent="0.25">
      <c r="C17" s="114"/>
      <c r="D17" s="115"/>
      <c r="E17" s="55" t="str">
        <f>нагрів!D13</f>
        <v>ВП-Е</v>
      </c>
      <c r="F17" s="55" t="str">
        <f>нагрів!I13</f>
        <v>АС-240/56</v>
      </c>
      <c r="G17" s="55">
        <v>7.8</v>
      </c>
      <c r="H17" s="60">
        <f>H10</f>
        <v>0.12</v>
      </c>
      <c r="I17" s="60">
        <f>I10</f>
        <v>0.40500000000000003</v>
      </c>
      <c r="J17" s="55">
        <f>H17*G17</f>
        <v>0.93599999999999994</v>
      </c>
      <c r="K17" s="55">
        <f>I17*G17</f>
        <v>3.1590000000000003</v>
      </c>
      <c r="L17" s="55" t="str">
        <f>нагрів!E13</f>
        <v>67+32.5i</v>
      </c>
      <c r="M17" s="59">
        <f>(IMREAL(L17)*J17+IMAGINARY(L14)*K17)/$N$6</f>
        <v>1.5120654545454546</v>
      </c>
    </row>
    <row r="18" spans="3:14" ht="18.75" x14ac:dyDescent="0.25">
      <c r="C18" s="114"/>
      <c r="D18" s="115"/>
      <c r="E18" s="55" t="str">
        <f>нагрів!D14</f>
        <v>Е-Г</v>
      </c>
      <c r="F18" s="55" t="str">
        <f>нагрів!I14</f>
        <v>АС-150/34</v>
      </c>
      <c r="G18" s="55">
        <v>5.6</v>
      </c>
      <c r="H18" s="60">
        <f>H11</f>
        <v>0.19800000000000001</v>
      </c>
      <c r="I18" s="59">
        <f>I11</f>
        <v>0.42</v>
      </c>
      <c r="J18" s="55">
        <f>H18*G18</f>
        <v>1.1088</v>
      </c>
      <c r="K18" s="55">
        <f>I18*G18</f>
        <v>2.3519999999999999</v>
      </c>
      <c r="L18" s="55" t="str">
        <f>нагрів!E14</f>
        <v>32+15.5i</v>
      </c>
      <c r="M18" s="59">
        <f>(IMREAL(L18)*J18+IMAGINARY(L15)*K18)/$N$6</f>
        <v>0.32256000000000001</v>
      </c>
    </row>
    <row r="19" spans="3:14" ht="18.75" x14ac:dyDescent="0.25">
      <c r="C19" s="114"/>
      <c r="D19" s="115"/>
      <c r="E19" s="116" t="s">
        <v>160</v>
      </c>
      <c r="F19" s="117"/>
      <c r="G19" s="117"/>
      <c r="H19" s="117"/>
      <c r="I19" s="117"/>
      <c r="J19" s="117"/>
      <c r="K19" s="117"/>
      <c r="L19" s="118"/>
      <c r="M19" s="59">
        <f>M17+M18</f>
        <v>1.8346254545454546</v>
      </c>
    </row>
    <row r="20" spans="3:14" ht="19.350000000000001" customHeight="1" x14ac:dyDescent="0.25">
      <c r="C20" s="114"/>
      <c r="D20" s="115"/>
      <c r="E20" s="116" t="s">
        <v>140</v>
      </c>
      <c r="F20" s="117"/>
      <c r="G20" s="117"/>
      <c r="H20" s="117"/>
      <c r="I20" s="117"/>
      <c r="J20" s="117"/>
      <c r="K20" s="117"/>
      <c r="L20" s="117"/>
      <c r="M20" s="118"/>
    </row>
    <row r="21" spans="3:14" ht="18.75" x14ac:dyDescent="0.25">
      <c r="C21" s="114"/>
      <c r="D21" s="115"/>
      <c r="E21" s="55" t="str">
        <f>нагрів!D16</f>
        <v>ВП-Г</v>
      </c>
      <c r="F21" s="55" t="str">
        <f>нагрів!I16</f>
        <v>АС-300/67</v>
      </c>
      <c r="G21" s="55">
        <f>11.8</f>
        <v>11.8</v>
      </c>
      <c r="H21" s="55">
        <v>3.4000000000000002E-2</v>
      </c>
      <c r="I21" s="55">
        <v>0.40500000000000003</v>
      </c>
      <c r="J21" s="58">
        <f>H21*G21</f>
        <v>0.40120000000000006</v>
      </c>
      <c r="K21" s="58">
        <f>G21*I21</f>
        <v>4.7790000000000008</v>
      </c>
      <c r="L21" s="55" t="str">
        <f>нагрів!E16</f>
        <v>67+32.5i</v>
      </c>
      <c r="M21" s="59">
        <f>(IMREAL(L21)*J21+IMAGINARY(L21)*K21)/$N$6</f>
        <v>1.6563445454545458</v>
      </c>
    </row>
    <row r="22" spans="3:14" ht="18.75" x14ac:dyDescent="0.25">
      <c r="C22" s="114"/>
      <c r="D22" s="115"/>
      <c r="E22" s="55" t="str">
        <f>нагрів!D17</f>
        <v>Г-Е</v>
      </c>
      <c r="F22" s="55" t="str">
        <f>нагрів!I17</f>
        <v>АС-150/34</v>
      </c>
      <c r="G22" s="55">
        <v>5.6</v>
      </c>
      <c r="H22" s="55">
        <v>0.19800000000000001</v>
      </c>
      <c r="I22" s="55">
        <v>0.42</v>
      </c>
      <c r="J22" s="58">
        <f>H22*G22</f>
        <v>1.1088</v>
      </c>
      <c r="K22" s="58">
        <f>G22*I22</f>
        <v>2.3519999999999999</v>
      </c>
      <c r="L22" s="55" t="str">
        <f>нагрів!E17</f>
        <v>35+17i</v>
      </c>
      <c r="M22" s="59">
        <f>(IMREAL(L22)*J22+IMAGINARY(L22)*K22)/$N$6</f>
        <v>0.71629090909090909</v>
      </c>
    </row>
    <row r="23" spans="3:14" ht="18.75" x14ac:dyDescent="0.25">
      <c r="C23" s="114"/>
      <c r="D23" s="115"/>
      <c r="E23" s="116" t="s">
        <v>161</v>
      </c>
      <c r="F23" s="117"/>
      <c r="G23" s="117"/>
      <c r="H23" s="117"/>
      <c r="I23" s="117"/>
      <c r="J23" s="117"/>
      <c r="K23" s="117"/>
      <c r="L23" s="118"/>
      <c r="M23" s="59">
        <f>M21+M22</f>
        <v>2.3726354545454549</v>
      </c>
    </row>
    <row r="24" spans="3:14" ht="18.75" x14ac:dyDescent="0.25">
      <c r="C24" s="114"/>
      <c r="D24" s="114" t="s">
        <v>155</v>
      </c>
      <c r="E24" s="55" t="str">
        <f>нагрів!D18</f>
        <v>ВП-2</v>
      </c>
      <c r="F24" s="55" t="str">
        <f>нагрів!I18</f>
        <v>АС-300/67</v>
      </c>
      <c r="G24" s="55">
        <f>'Таблиця 1-4'!E11</f>
        <v>5.4</v>
      </c>
      <c r="H24" s="55">
        <f>H21</f>
        <v>3.4000000000000002E-2</v>
      </c>
      <c r="I24" s="55">
        <f>I21</f>
        <v>0.40500000000000003</v>
      </c>
      <c r="J24" s="55">
        <f>H24*G24</f>
        <v>0.18360000000000001</v>
      </c>
      <c r="K24" s="55">
        <f>I24*G24</f>
        <v>2.1870000000000003</v>
      </c>
      <c r="L24" s="55" t="str">
        <f>нагрів!E18</f>
        <v>67+32.5i</v>
      </c>
      <c r="M24" s="59">
        <f>(IMREAL(L24)*J24+IMAGINARY(L24)*K24)/$N$6</f>
        <v>0.75798818181818195</v>
      </c>
    </row>
    <row r="25" spans="3:14" ht="18.75" x14ac:dyDescent="0.25">
      <c r="C25" s="114"/>
      <c r="D25" s="114"/>
      <c r="E25" s="55" t="str">
        <f>нагрів!D19</f>
        <v>Г-2</v>
      </c>
      <c r="F25" s="55" t="str">
        <f>нагрів!I19</f>
        <v>АС-120/27</v>
      </c>
      <c r="G25" s="55">
        <f>'Таблиця 1-4'!E12</f>
        <v>7.2</v>
      </c>
      <c r="H25" s="55">
        <f>0.249</f>
        <v>0.249</v>
      </c>
      <c r="I25" s="55">
        <v>0.42699999999999999</v>
      </c>
      <c r="J25" s="55">
        <f>H25*G25</f>
        <v>1.7927999999999999</v>
      </c>
      <c r="K25" s="55">
        <f>I25*G25</f>
        <v>3.0743999999999998</v>
      </c>
      <c r="L25" s="55" t="str">
        <f>нагрів!E19</f>
        <v>32+15.5i</v>
      </c>
      <c r="M25" s="59">
        <f t="shared" ref="M25:M26" si="0">(IMREAL(L25)*J25+IMAGINARY(L25)*K25)/$N$6</f>
        <v>0.9547527272727272</v>
      </c>
    </row>
    <row r="26" spans="3:14" ht="18.75" x14ac:dyDescent="0.25">
      <c r="C26" s="114"/>
      <c r="D26" s="114"/>
      <c r="E26" s="55" t="str">
        <f>нагрів!D20</f>
        <v>Е-2</v>
      </c>
      <c r="F26" s="55" t="str">
        <f>нагрів!I20</f>
        <v>АС-150/34</v>
      </c>
      <c r="G26" s="55">
        <f>'Таблиця 1-4'!E13</f>
        <v>8.3000000000000007</v>
      </c>
      <c r="H26" s="60">
        <f>H18</f>
        <v>0.19800000000000001</v>
      </c>
      <c r="I26" s="59">
        <f>I18</f>
        <v>0.42</v>
      </c>
      <c r="J26" s="55">
        <f>H26*G26</f>
        <v>1.6434000000000002</v>
      </c>
      <c r="K26" s="55">
        <f>I26*G26</f>
        <v>3.4860000000000002</v>
      </c>
      <c r="L26" s="55" t="str">
        <f>нагрів!E20</f>
        <v>35+17i</v>
      </c>
      <c r="M26" s="59">
        <f t="shared" si="0"/>
        <v>1.0616454545454546</v>
      </c>
    </row>
    <row r="27" spans="3:14" ht="18.75" x14ac:dyDescent="0.25">
      <c r="C27" s="114"/>
      <c r="D27" s="114"/>
      <c r="E27" s="116" t="s">
        <v>161</v>
      </c>
      <c r="F27" s="117"/>
      <c r="G27" s="117"/>
      <c r="H27" s="117"/>
      <c r="I27" s="117"/>
      <c r="J27" s="117"/>
      <c r="K27" s="117"/>
      <c r="L27" s="118"/>
      <c r="M27" s="59">
        <f>M26</f>
        <v>1.0616454545454546</v>
      </c>
    </row>
    <row r="28" spans="3:14" ht="18.75" x14ac:dyDescent="0.25">
      <c r="C28" s="114"/>
      <c r="D28" s="114"/>
      <c r="E28" s="116" t="s">
        <v>160</v>
      </c>
      <c r="F28" s="117"/>
      <c r="G28" s="117"/>
      <c r="H28" s="117"/>
      <c r="I28" s="117"/>
      <c r="J28" s="117"/>
      <c r="K28" s="117"/>
      <c r="L28" s="118"/>
      <c r="M28" s="59">
        <f>M24+M25</f>
        <v>1.7127409090909091</v>
      </c>
    </row>
    <row r="29" spans="3:14" ht="18.75" x14ac:dyDescent="0.25">
      <c r="C29" s="114" t="s">
        <v>150</v>
      </c>
      <c r="D29" s="112"/>
      <c r="E29" s="55" t="s">
        <v>151</v>
      </c>
      <c r="F29" s="55" t="str">
        <f>нагрів!I21</f>
        <v>АС-400/51</v>
      </c>
      <c r="G29" s="55">
        <v>14.8</v>
      </c>
      <c r="H29" s="55">
        <v>7.4999999999999997E-2</v>
      </c>
      <c r="I29" s="55">
        <v>0.42</v>
      </c>
      <c r="J29" s="59">
        <f>H29*G29</f>
        <v>1.1100000000000001</v>
      </c>
      <c r="K29" s="59">
        <f>I29*G29</f>
        <v>6.2160000000000002</v>
      </c>
      <c r="L29" s="55" t="str">
        <f>нагрів!E21</f>
        <v>166.15+116.7i</v>
      </c>
      <c r="M29" s="59">
        <f>(IMREAL(L29)*J29+IMAGINARY(L29)*K29)/$N$29</f>
        <v>4.1356077272727276</v>
      </c>
      <c r="N29">
        <v>220</v>
      </c>
    </row>
    <row r="30" spans="3:14" ht="18.75" x14ac:dyDescent="0.25">
      <c r="C30" s="114"/>
      <c r="D30" s="121"/>
      <c r="E30" s="55" t="s">
        <v>152</v>
      </c>
      <c r="F30" s="55" t="str">
        <f>нагрів!I22</f>
        <v>АС-300/67</v>
      </c>
      <c r="G30" s="55">
        <v>22.6</v>
      </c>
      <c r="H30" s="55">
        <f>0.034</f>
        <v>3.4000000000000002E-2</v>
      </c>
      <c r="I30" s="55">
        <f>0.429</f>
        <v>0.42899999999999999</v>
      </c>
      <c r="J30" s="59">
        <f t="shared" ref="J30:J31" si="1">H30*G30</f>
        <v>0.76840000000000008</v>
      </c>
      <c r="K30" s="59">
        <f t="shared" ref="K30:K31" si="2">I30*G30</f>
        <v>9.6954000000000011</v>
      </c>
      <c r="L30" s="55" t="str">
        <f>нагрів!E22</f>
        <v>146.15+103.7i</v>
      </c>
      <c r="M30" s="59">
        <f>(IMREAL(L30)*J30+IMAGINARY(L30)*K30)/$N$29</f>
        <v>5.0805210909090919</v>
      </c>
    </row>
    <row r="31" spans="3:14" ht="18.75" x14ac:dyDescent="0.25">
      <c r="C31" s="114"/>
      <c r="D31" s="122"/>
      <c r="E31" s="55" t="s">
        <v>153</v>
      </c>
      <c r="F31" s="55" t="str">
        <f>нагрів!I23</f>
        <v>АС-240/56</v>
      </c>
      <c r="G31" s="55">
        <v>10.8</v>
      </c>
      <c r="H31" s="60">
        <v>2.4E-2</v>
      </c>
      <c r="I31" s="60">
        <f>0.429</f>
        <v>0.42899999999999999</v>
      </c>
      <c r="J31" s="59">
        <f t="shared" si="1"/>
        <v>0.25920000000000004</v>
      </c>
      <c r="K31" s="59">
        <f t="shared" si="2"/>
        <v>4.6332000000000004</v>
      </c>
      <c r="L31" s="55" t="str">
        <f>нагрів!E23</f>
        <v>20+13i</v>
      </c>
      <c r="M31" s="59">
        <f t="shared" ref="M31" si="3">(IMREAL(L31)*J31+IMAGINARY(L31)*K31)/$N$29</f>
        <v>0.29734363636363642</v>
      </c>
    </row>
    <row r="32" spans="3:14" ht="18.75" x14ac:dyDescent="0.25">
      <c r="C32" s="111" t="s">
        <v>165</v>
      </c>
      <c r="D32" s="111"/>
      <c r="E32" s="111"/>
      <c r="F32" s="111"/>
      <c r="G32" s="111"/>
      <c r="H32" s="111"/>
      <c r="I32" s="111"/>
      <c r="J32" s="111"/>
      <c r="K32" s="111"/>
      <c r="L32" s="111"/>
      <c r="M32" s="59">
        <f>M29+M30</f>
        <v>9.2161288181818186</v>
      </c>
    </row>
    <row r="33" spans="3:14" ht="18.75" x14ac:dyDescent="0.25">
      <c r="C33" s="111" t="s">
        <v>166</v>
      </c>
      <c r="D33" s="111"/>
      <c r="E33" s="111"/>
      <c r="F33" s="111"/>
      <c r="G33" s="111"/>
      <c r="H33" s="111"/>
      <c r="I33" s="111"/>
      <c r="J33" s="111"/>
      <c r="K33" s="111"/>
      <c r="L33" s="111"/>
      <c r="M33" s="59">
        <f>M29+M31</f>
        <v>4.4329513636363638</v>
      </c>
    </row>
    <row r="35" spans="3:14" ht="19.5" customHeight="1" x14ac:dyDescent="0.25"/>
    <row r="39" spans="3:14" x14ac:dyDescent="0.25">
      <c r="N39" t="s">
        <v>156</v>
      </c>
    </row>
  </sheetData>
  <mergeCells count="27">
    <mergeCell ref="E27:L27"/>
    <mergeCell ref="E28:L28"/>
    <mergeCell ref="D29:D31"/>
    <mergeCell ref="C16:C28"/>
    <mergeCell ref="D16:D23"/>
    <mergeCell ref="D24:D28"/>
    <mergeCell ref="E9:M9"/>
    <mergeCell ref="E8:L8"/>
    <mergeCell ref="E12:L12"/>
    <mergeCell ref="D13:D15"/>
    <mergeCell ref="E23:L23"/>
    <mergeCell ref="C33:L33"/>
    <mergeCell ref="G3:G4"/>
    <mergeCell ref="C3:C4"/>
    <mergeCell ref="E3:E4"/>
    <mergeCell ref="F3:F4"/>
    <mergeCell ref="H3:H4"/>
    <mergeCell ref="I3:I4"/>
    <mergeCell ref="C32:L32"/>
    <mergeCell ref="D5:D12"/>
    <mergeCell ref="E16:M16"/>
    <mergeCell ref="E20:M20"/>
    <mergeCell ref="E19:L19"/>
    <mergeCell ref="C5:C15"/>
    <mergeCell ref="E15:L15"/>
    <mergeCell ref="C29:C31"/>
    <mergeCell ref="E5:M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Табл1-1  1-2</vt:lpstr>
      <vt:lpstr>Вар1. Длинна</vt:lpstr>
      <vt:lpstr>Вар2. Длинна</vt:lpstr>
      <vt:lpstr>мережа зовнішньго електр.</vt:lpstr>
      <vt:lpstr>Потокорозподіл</vt:lpstr>
      <vt:lpstr>Таблиця 1-3</vt:lpstr>
      <vt:lpstr>Fрозр</vt:lpstr>
      <vt:lpstr>мех міцн</vt:lpstr>
      <vt:lpstr>падіння напруги</vt:lpstr>
      <vt:lpstr>трансформ + компенс</vt:lpstr>
      <vt:lpstr>нагрів</vt:lpstr>
      <vt:lpstr>Втрати потужності</vt:lpstr>
      <vt:lpstr>Таблиця 1-4</vt:lpstr>
      <vt:lpstr>економ. частина</vt:lpstr>
      <vt:lpstr>РОЗДІЛ 2</vt:lpstr>
      <vt:lpstr>Table 2-4</vt:lpstr>
      <vt:lpstr>Tabl 2-5</vt:lpstr>
      <vt:lpstr>Table 2-6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2021-05-07T22:21:19Z</dcterms:modified>
</cp:coreProperties>
</file>