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5" activeTab="9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Таблиця 1-4" sheetId="6" r:id="rId7"/>
    <sheet name="мех міцн" sheetId="9" r:id="rId8"/>
    <sheet name="Fрозр" sheetId="8" r:id="rId9"/>
    <sheet name="нагрів" sheetId="10" r:id="rId10"/>
  </sheets>
  <calcPr calcId="162913"/>
</workbook>
</file>

<file path=xl/calcChain.xml><?xml version="1.0" encoding="utf-8"?>
<calcChain xmlns="http://schemas.openxmlformats.org/spreadsheetml/2006/main">
  <c r="H18" i="10" l="1"/>
  <c r="E14" i="4"/>
  <c r="A12" i="8"/>
  <c r="F12" i="8" s="1"/>
  <c r="H19" i="10"/>
  <c r="H20" i="10"/>
  <c r="F19" i="10"/>
  <c r="F20" i="10"/>
  <c r="E19" i="10"/>
  <c r="E20" i="10"/>
  <c r="H5" i="10"/>
  <c r="E10" i="10"/>
  <c r="H10" i="10"/>
  <c r="H16" i="10"/>
  <c r="F10" i="10"/>
  <c r="I9" i="10"/>
  <c r="H17" i="10"/>
  <c r="H14" i="10"/>
  <c r="H13" i="10"/>
  <c r="H11" i="10"/>
  <c r="H9" i="10"/>
  <c r="H6" i="10"/>
  <c r="H8" i="10"/>
  <c r="F17" i="10"/>
  <c r="F16" i="10"/>
  <c r="F14" i="10"/>
  <c r="F13" i="10"/>
  <c r="F6" i="10"/>
  <c r="F11" i="10"/>
  <c r="E17" i="10"/>
  <c r="E14" i="10"/>
  <c r="E13" i="10"/>
  <c r="E16" i="10" s="1"/>
  <c r="E6" i="10"/>
  <c r="E9" i="10"/>
  <c r="F9" i="10" s="1"/>
  <c r="E5" i="10"/>
  <c r="E8" i="10" s="1"/>
  <c r="F8" i="10" s="1"/>
  <c r="D19" i="10"/>
  <c r="D20" i="10"/>
  <c r="D18" i="10"/>
  <c r="G19" i="10"/>
  <c r="G20" i="10"/>
  <c r="F21" i="10"/>
  <c r="G21" i="10"/>
  <c r="F22" i="10"/>
  <c r="G22" i="10"/>
  <c r="F23" i="10"/>
  <c r="G23" i="10"/>
  <c r="G18" i="10"/>
  <c r="E21" i="10"/>
  <c r="E22" i="10"/>
  <c r="E23" i="10"/>
  <c r="F10" i="9"/>
  <c r="B16" i="8"/>
  <c r="B17" i="8"/>
  <c r="B15" i="8"/>
  <c r="A16" i="8"/>
  <c r="A17" i="8"/>
  <c r="A15" i="8"/>
  <c r="B13" i="8"/>
  <c r="B14" i="8"/>
  <c r="B12" i="8"/>
  <c r="A14" i="8"/>
  <c r="B10" i="8"/>
  <c r="B11" i="8"/>
  <c r="B9" i="8"/>
  <c r="A10" i="8"/>
  <c r="A11" i="8"/>
  <c r="A9" i="8"/>
  <c r="F4" i="6"/>
  <c r="B8" i="8"/>
  <c r="A8" i="8"/>
  <c r="B7" i="8"/>
  <c r="A7" i="8"/>
  <c r="B5" i="8"/>
  <c r="B6" i="8"/>
  <c r="A5" i="8"/>
  <c r="A6" i="8"/>
  <c r="B4" i="8"/>
  <c r="A4" i="8"/>
  <c r="G12" i="8" l="1"/>
  <c r="F18" i="10" s="1"/>
  <c r="E18" i="10"/>
  <c r="F5" i="10"/>
  <c r="H23" i="10"/>
  <c r="H22" i="10"/>
  <c r="H21" i="10"/>
  <c r="A13" i="8"/>
  <c r="F6" i="9"/>
  <c r="F7" i="9"/>
  <c r="F8" i="9"/>
  <c r="F9" i="9"/>
  <c r="F5" i="9"/>
  <c r="G11" i="10"/>
  <c r="G10" i="10"/>
  <c r="D22" i="10"/>
  <c r="D23" i="10"/>
  <c r="D21" i="10"/>
  <c r="H7" i="7"/>
  <c r="I6" i="7"/>
  <c r="D11" i="10"/>
  <c r="D10" i="10"/>
  <c r="L7" i="3" l="1"/>
  <c r="K6" i="3"/>
  <c r="Q26" i="5"/>
  <c r="Q25" i="5"/>
  <c r="P26" i="5"/>
  <c r="P25" i="5"/>
  <c r="H6" i="5"/>
  <c r="G6" i="5"/>
  <c r="P23" i="5"/>
  <c r="Q24" i="5"/>
  <c r="P24" i="5"/>
  <c r="H17" i="8"/>
  <c r="H16" i="8"/>
  <c r="H15" i="8"/>
  <c r="F5" i="6"/>
  <c r="F6" i="6"/>
  <c r="F7" i="6"/>
  <c r="F8" i="6"/>
  <c r="F9" i="6"/>
  <c r="F10" i="6"/>
  <c r="F11" i="6"/>
  <c r="F12" i="6"/>
  <c r="F13" i="6"/>
  <c r="F14" i="6"/>
  <c r="F15" i="6"/>
  <c r="F16" i="6"/>
  <c r="F7" i="4"/>
  <c r="E7" i="4"/>
  <c r="F13" i="4"/>
  <c r="E13" i="4"/>
  <c r="E8" i="6"/>
  <c r="H11" i="6" l="1"/>
  <c r="H16" i="6"/>
  <c r="F29" i="4"/>
  <c r="F31" i="4" s="1"/>
  <c r="G27" i="4"/>
  <c r="F27" i="4"/>
  <c r="G26" i="4"/>
  <c r="F26" i="4"/>
  <c r="G25" i="4"/>
  <c r="F25" i="4"/>
  <c r="H6" i="7"/>
  <c r="H5" i="7"/>
  <c r="Q12" i="4"/>
  <c r="P15" i="4"/>
  <c r="F32" i="4" l="1"/>
  <c r="H5" i="8" l="1"/>
  <c r="H6" i="8"/>
  <c r="H7" i="8"/>
  <c r="H8" i="8"/>
  <c r="H9" i="8"/>
  <c r="H10" i="8"/>
  <c r="H11" i="8"/>
  <c r="H12" i="8"/>
  <c r="H13" i="8"/>
  <c r="H14" i="8"/>
  <c r="F8" i="4"/>
  <c r="E8" i="4"/>
  <c r="E9" i="4"/>
  <c r="K7" i="3"/>
  <c r="D6" i="3"/>
  <c r="F22" i="1" l="1"/>
  <c r="J16" i="1"/>
  <c r="K16" i="1"/>
  <c r="K19" i="1" s="1"/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F9" i="8" l="1"/>
  <c r="G9" i="8" s="1"/>
  <c r="J9" i="8" s="1"/>
  <c r="K9" i="8" s="1"/>
  <c r="F17" i="8" l="1"/>
  <c r="F15" i="8"/>
  <c r="K20" i="4"/>
  <c r="G17" i="8" l="1"/>
  <c r="J17" i="8" s="1"/>
  <c r="K17" i="8" s="1"/>
  <c r="G15" i="8"/>
  <c r="J15" i="8" s="1"/>
  <c r="K15" i="8" s="1"/>
  <c r="F16" i="8"/>
  <c r="G16" i="8" l="1"/>
  <c r="J16" i="8" s="1"/>
  <c r="K16" i="8" s="1"/>
  <c r="E15" i="6"/>
  <c r="E16" i="6"/>
  <c r="E14" i="6"/>
  <c r="D16" i="6"/>
  <c r="D15" i="6"/>
  <c r="D14" i="6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4" i="8"/>
  <c r="F13" i="8"/>
  <c r="F7" i="8"/>
  <c r="E13" i="6"/>
  <c r="E12" i="6"/>
  <c r="E11" i="6"/>
  <c r="E9" i="6"/>
  <c r="E10" i="6"/>
  <c r="D12" i="6"/>
  <c r="E13" i="8" s="1"/>
  <c r="D13" i="6"/>
  <c r="E14" i="8" s="1"/>
  <c r="D11" i="6"/>
  <c r="E12" i="8" s="1"/>
  <c r="D9" i="6"/>
  <c r="E10" i="8" s="1"/>
  <c r="D10" i="6"/>
  <c r="E11" i="8" s="1"/>
  <c r="D8" i="6"/>
  <c r="E9" i="8" s="1"/>
  <c r="G7" i="8" l="1"/>
  <c r="J7" i="8" s="1"/>
  <c r="K7" i="8" s="1"/>
  <c r="G14" i="8"/>
  <c r="J14" i="8" s="1"/>
  <c r="K14" i="8" s="1"/>
  <c r="G13" i="8"/>
  <c r="J13" i="8" s="1"/>
  <c r="K13" i="8" s="1"/>
  <c r="E16" i="8"/>
  <c r="D26" i="4"/>
  <c r="H14" i="6"/>
  <c r="E25" i="4"/>
  <c r="H15" i="6"/>
  <c r="E26" i="4"/>
  <c r="E15" i="8"/>
  <c r="D25" i="4"/>
  <c r="E17" i="8"/>
  <c r="D27" i="4"/>
  <c r="E27" i="4"/>
  <c r="H12" i="6"/>
  <c r="H13" i="6"/>
  <c r="F8" i="8"/>
  <c r="G8" i="8" l="1"/>
  <c r="J8" i="8" s="1"/>
  <c r="K8" i="8" s="1"/>
  <c r="E11" i="10"/>
  <c r="P18" i="2"/>
  <c r="L10" i="4" l="1"/>
  <c r="F14" i="4"/>
  <c r="K10" i="4" l="1"/>
  <c r="O10" i="4"/>
  <c r="N10" i="4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D9" i="4"/>
  <c r="E7" i="6" s="1"/>
  <c r="H7" i="6" s="1"/>
  <c r="D8" i="4"/>
  <c r="E6" i="6" s="1"/>
  <c r="H6" i="6" s="1"/>
  <c r="C9" i="4"/>
  <c r="D7" i="6" s="1"/>
  <c r="E8" i="8" s="1"/>
  <c r="C8" i="4"/>
  <c r="D6" i="6" s="1"/>
  <c r="E7" i="8" s="1"/>
  <c r="C6" i="4"/>
  <c r="D4" i="6" s="1"/>
  <c r="E5" i="8" s="1"/>
  <c r="C7" i="4"/>
  <c r="D5" i="6" s="1"/>
  <c r="E6" i="8" s="1"/>
  <c r="C5" i="4"/>
  <c r="D3" i="6" s="1"/>
  <c r="E4" i="8" s="1"/>
  <c r="D6" i="4"/>
  <c r="E4" i="6" s="1"/>
  <c r="D7" i="4"/>
  <c r="E5" i="6" s="1"/>
  <c r="D5" i="4"/>
  <c r="E3" i="6" s="1"/>
  <c r="M7" i="4" l="1"/>
  <c r="J7" i="4"/>
  <c r="P7" i="4"/>
  <c r="Q5" i="4"/>
  <c r="F6" i="4" s="1"/>
  <c r="R3" i="4"/>
  <c r="K5" i="4"/>
  <c r="P5" i="4"/>
  <c r="E6" i="4" s="1"/>
  <c r="Q3" i="4"/>
  <c r="B14" i="4"/>
  <c r="B11" i="4"/>
  <c r="J5" i="4" l="1"/>
  <c r="E5" i="4" s="1"/>
  <c r="F3" i="6" s="1"/>
  <c r="F5" i="4"/>
  <c r="R2" i="4"/>
  <c r="F5" i="8"/>
  <c r="G5" i="8" s="1"/>
  <c r="J5" i="8" s="1"/>
  <c r="K5" i="8" s="1"/>
  <c r="H4" i="6"/>
  <c r="Q2" i="4"/>
  <c r="M5" i="4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F4" i="8" l="1"/>
  <c r="H3" i="6"/>
  <c r="H7" i="3"/>
  <c r="G7" i="3"/>
  <c r="E7" i="3"/>
  <c r="D7" i="3"/>
  <c r="G4" i="8" l="1"/>
  <c r="J4" i="8" s="1"/>
  <c r="K4" i="8" s="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J12" i="8" l="1"/>
  <c r="K12" i="8" s="1"/>
  <c r="N5" i="4"/>
  <c r="H19" i="2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J15" i="4" l="1"/>
  <c r="E11" i="4" s="1"/>
  <c r="K15" i="4"/>
  <c r="F11" i="4" s="1"/>
  <c r="E12" i="4"/>
  <c r="F6" i="8"/>
  <c r="G6" i="8" s="1"/>
  <c r="J6" i="8" s="1"/>
  <c r="K6" i="8" s="1"/>
  <c r="H5" i="6"/>
  <c r="Q15" i="4"/>
  <c r="F12" i="4" s="1"/>
  <c r="B32" i="1"/>
  <c r="C32" i="1" s="1"/>
  <c r="F10" i="8" l="1"/>
  <c r="G10" i="8" s="1"/>
  <c r="J10" i="8" s="1"/>
  <c r="K10" i="8" s="1"/>
  <c r="H9" i="6"/>
  <c r="H8" i="6"/>
  <c r="R12" i="4"/>
  <c r="M15" i="4"/>
  <c r="N15" i="4"/>
  <c r="F11" i="8" l="1"/>
  <c r="G11" i="8" s="1"/>
  <c r="J11" i="8" s="1"/>
  <c r="K11" i="8" s="1"/>
  <c r="H10" i="6"/>
</calcChain>
</file>

<file path=xl/sharedStrings.xml><?xml version="1.0" encoding="utf-8"?>
<sst xmlns="http://schemas.openxmlformats.org/spreadsheetml/2006/main" count="297" uniqueCount="149">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</sst>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" fontId="12" fillId="0" borderId="32" xfId="0" applyNumberFormat="1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64" fontId="12" fillId="2" borderId="7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23</xdr:row>
          <xdr:rowOff>114300</xdr:rowOff>
        </xdr:from>
        <xdr:to>
          <xdr:col>13</xdr:col>
          <xdr:colOff>295275</xdr:colOff>
          <xdr:row>32</xdr:row>
          <xdr:rowOff>66675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20</xdr:col>
          <xdr:colOff>76199</xdr:colOff>
          <xdr:row>11</xdr:row>
          <xdr:rowOff>104775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20</xdr:col>
          <xdr:colOff>76199</xdr:colOff>
          <xdr:row>26</xdr:row>
          <xdr:rowOff>164306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21.emf"/><Relationship Id="rId4" Type="http://schemas.openxmlformats.org/officeDocument/2006/relationships/package" Target="../embeddings/Microsoft_Visio_Drawing12.vsd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5.emf"/><Relationship Id="rId4" Type="http://schemas.openxmlformats.org/officeDocument/2006/relationships/package" Target="../embeddings/Microsoft_Visio_Drawing11.vsd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8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6" sqref="B6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1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1" t="s">
        <v>10</v>
      </c>
      <c r="H2" s="2"/>
      <c r="M2" s="1"/>
    </row>
    <row r="3" spans="1:13" x14ac:dyDescent="0.25">
      <c r="A3" s="41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1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1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1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abSelected="1" zoomScale="80" zoomScaleNormal="80" workbookViewId="0">
      <selection activeCell="H11" sqref="H11"/>
    </sheetView>
  </sheetViews>
  <sheetFormatPr defaultRowHeight="15" x14ac:dyDescent="0.25"/>
  <cols>
    <col min="5" max="5" width="22.710937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72" t="s">
        <v>111</v>
      </c>
      <c r="C2" s="101" t="s">
        <v>67</v>
      </c>
      <c r="D2" s="101" t="s">
        <v>109</v>
      </c>
      <c r="E2" s="73" t="s">
        <v>132</v>
      </c>
      <c r="F2" s="73" t="s">
        <v>133</v>
      </c>
      <c r="G2" s="73" t="s">
        <v>125</v>
      </c>
      <c r="H2" s="73" t="s">
        <v>134</v>
      </c>
      <c r="I2" s="101" t="s">
        <v>120</v>
      </c>
      <c r="J2" s="73" t="s">
        <v>135</v>
      </c>
      <c r="K2" s="102" t="s">
        <v>136</v>
      </c>
    </row>
    <row r="3" spans="2:11" ht="50.25" customHeight="1" thickBot="1" x14ac:dyDescent="0.3">
      <c r="B3" s="74"/>
      <c r="C3" s="103"/>
      <c r="D3" s="103"/>
      <c r="E3" s="75"/>
      <c r="F3" s="75"/>
      <c r="G3" s="75"/>
      <c r="H3" s="75"/>
      <c r="I3" s="103"/>
      <c r="J3" s="75"/>
      <c r="K3" s="104"/>
    </row>
    <row r="4" spans="2:11" ht="24.75" customHeight="1" thickBot="1" x14ac:dyDescent="0.3">
      <c r="B4" s="76" t="s">
        <v>19</v>
      </c>
      <c r="C4" s="76" t="s">
        <v>147</v>
      </c>
      <c r="D4" s="110" t="s">
        <v>141</v>
      </c>
      <c r="E4" s="111"/>
      <c r="F4" s="111"/>
      <c r="G4" s="111"/>
      <c r="H4" s="111"/>
      <c r="I4" s="111"/>
      <c r="J4" s="111"/>
      <c r="K4" s="112"/>
    </row>
    <row r="5" spans="2:11" ht="19.5" thickBot="1" x14ac:dyDescent="0.3">
      <c r="B5" s="76"/>
      <c r="C5" s="105"/>
      <c r="D5" s="82" t="s">
        <v>68</v>
      </c>
      <c r="E5" s="82" t="str">
        <f>COMPLEX(62,38)</f>
        <v>62+38i</v>
      </c>
      <c r="F5" s="82">
        <f>IMABS(E5)</f>
        <v>72.718635850791372</v>
      </c>
      <c r="G5" s="82">
        <v>110</v>
      </c>
      <c r="H5" s="109">
        <f>(F5/SQRT(3)/G5)*1000</f>
        <v>381.67385439597064</v>
      </c>
      <c r="I5" s="82" t="s">
        <v>130</v>
      </c>
      <c r="J5" s="82">
        <v>680</v>
      </c>
      <c r="K5" s="82" t="s">
        <v>131</v>
      </c>
    </row>
    <row r="6" spans="2:11" ht="19.5" thickBot="1" x14ac:dyDescent="0.3">
      <c r="B6" s="76"/>
      <c r="C6" s="105"/>
      <c r="D6" s="82" t="s">
        <v>143</v>
      </c>
      <c r="E6" s="82" t="str">
        <f>COMPLEX(27,19)</f>
        <v>27+19i</v>
      </c>
      <c r="F6" s="82">
        <f>IMABS(E6)</f>
        <v>33.015148038438355</v>
      </c>
      <c r="G6" s="82">
        <v>110</v>
      </c>
      <c r="H6" s="82">
        <f>(F6/SQRT(3)/G6)*1000</f>
        <v>173.28458733934301</v>
      </c>
      <c r="I6" s="82" t="s">
        <v>113</v>
      </c>
      <c r="J6" s="82">
        <v>450</v>
      </c>
      <c r="K6" s="82" t="s">
        <v>131</v>
      </c>
    </row>
    <row r="7" spans="2:11" ht="21" customHeight="1" thickBot="1" x14ac:dyDescent="0.3">
      <c r="B7" s="79"/>
      <c r="C7" s="105"/>
      <c r="D7" s="115" t="s">
        <v>142</v>
      </c>
      <c r="E7" s="116"/>
      <c r="F7" s="116"/>
      <c r="G7" s="116"/>
      <c r="H7" s="116"/>
      <c r="I7" s="116"/>
      <c r="J7" s="116"/>
      <c r="K7" s="117"/>
    </row>
    <row r="8" spans="2:11" ht="19.5" thickBot="1" x14ac:dyDescent="0.3">
      <c r="B8" s="79"/>
      <c r="C8" s="105"/>
      <c r="D8" s="82" t="s">
        <v>73</v>
      </c>
      <c r="E8" s="82" t="str">
        <f>E5</f>
        <v>62+38i</v>
      </c>
      <c r="F8" s="82">
        <f>IMABS(E8)</f>
        <v>72.718635850791372</v>
      </c>
      <c r="G8" s="82">
        <v>110</v>
      </c>
      <c r="H8" s="109">
        <f>(F8/SQRT(3)/G8)*1000</f>
        <v>381.67385439597064</v>
      </c>
      <c r="I8" s="82" t="s">
        <v>129</v>
      </c>
      <c r="J8" s="82">
        <v>610</v>
      </c>
      <c r="K8" s="82" t="s">
        <v>131</v>
      </c>
    </row>
    <row r="9" spans="2:11" ht="19.5" thickBot="1" x14ac:dyDescent="0.3">
      <c r="B9" s="79"/>
      <c r="C9" s="105"/>
      <c r="D9" s="82" t="s">
        <v>74</v>
      </c>
      <c r="E9" s="82" t="str">
        <f>COMPLEX(35,19)</f>
        <v>35+19i</v>
      </c>
      <c r="F9" s="82">
        <f>IMABS(E9)</f>
        <v>39.824615503479755</v>
      </c>
      <c r="G9" s="82">
        <v>110</v>
      </c>
      <c r="H9" s="113">
        <f>(F9/SQRT(3)/G9)*1000</f>
        <v>209.02502255733981</v>
      </c>
      <c r="I9" s="82" t="str">
        <f>I6</f>
        <v>АС-150/34</v>
      </c>
      <c r="J9" s="82">
        <v>450</v>
      </c>
      <c r="K9" s="82" t="s">
        <v>131</v>
      </c>
    </row>
    <row r="10" spans="2:11" ht="19.5" thickBot="1" x14ac:dyDescent="0.3">
      <c r="B10" s="79"/>
      <c r="C10" s="76" t="s">
        <v>148</v>
      </c>
      <c r="D10" s="113" t="str">
        <f>'Таблиця 1-4'!D6</f>
        <v>В-Д</v>
      </c>
      <c r="E10" s="113" t="str">
        <f>Fрозр!F7</f>
        <v>27+13.8i</v>
      </c>
      <c r="F10" s="113">
        <f>Fрозр!G7</f>
        <v>30.32</v>
      </c>
      <c r="G10" s="113">
        <f>110</f>
        <v>110</v>
      </c>
      <c r="H10" s="113">
        <f>(F10/SQRT(3)/G10)*1000</f>
        <v>159.13872874390415</v>
      </c>
      <c r="I10" s="113" t="s">
        <v>140</v>
      </c>
      <c r="J10" s="113">
        <v>375</v>
      </c>
      <c r="K10" s="113" t="s">
        <v>131</v>
      </c>
    </row>
    <row r="11" spans="2:11" ht="19.5" thickBot="1" x14ac:dyDescent="0.3">
      <c r="B11" s="79"/>
      <c r="C11" s="106"/>
      <c r="D11" s="113" t="str">
        <f>'Таблиця 1-4'!D7</f>
        <v>ВП-Д</v>
      </c>
      <c r="E11" s="113" t="str">
        <f>Fрозр!F8</f>
        <v>35+19i</v>
      </c>
      <c r="F11" s="113">
        <f>Fрозр!G8</f>
        <v>39.82</v>
      </c>
      <c r="G11" s="113">
        <f>110</f>
        <v>110</v>
      </c>
      <c r="H11" s="113">
        <f>(F11/SQRT(3)/G11)*1000</f>
        <v>209.00079744664453</v>
      </c>
      <c r="I11" s="113" t="s">
        <v>113</v>
      </c>
      <c r="J11" s="113">
        <v>450</v>
      </c>
      <c r="K11" s="113" t="s">
        <v>131</v>
      </c>
    </row>
    <row r="12" spans="2:11" ht="21" customHeight="1" thickBot="1" x14ac:dyDescent="0.3">
      <c r="B12" s="76" t="s">
        <v>20</v>
      </c>
      <c r="C12" s="76" t="s">
        <v>147</v>
      </c>
      <c r="D12" s="115" t="s">
        <v>145</v>
      </c>
      <c r="E12" s="116"/>
      <c r="F12" s="116"/>
      <c r="G12" s="116"/>
      <c r="H12" s="116"/>
      <c r="I12" s="116"/>
      <c r="J12" s="116"/>
      <c r="K12" s="117"/>
    </row>
    <row r="13" spans="2:11" ht="19.5" thickBot="1" x14ac:dyDescent="0.3">
      <c r="B13" s="76"/>
      <c r="C13" s="105"/>
      <c r="D13" s="82" t="s">
        <v>80</v>
      </c>
      <c r="E13" s="82" t="str">
        <f>COMPLEX(62,32.5)</f>
        <v>62+32.5i</v>
      </c>
      <c r="F13" s="82">
        <f>IMABS(E13)</f>
        <v>70.001785691509326</v>
      </c>
      <c r="G13" s="82">
        <v>110</v>
      </c>
      <c r="H13" s="109">
        <f>(F13/SQRT(3)/G13)*1000</f>
        <v>367.41408920679464</v>
      </c>
      <c r="I13" s="82" t="s">
        <v>129</v>
      </c>
      <c r="J13" s="82">
        <v>610</v>
      </c>
      <c r="K13" s="82" t="s">
        <v>131</v>
      </c>
    </row>
    <row r="14" spans="2:11" ht="19.5" thickBot="1" x14ac:dyDescent="0.3">
      <c r="B14" s="76"/>
      <c r="C14" s="105"/>
      <c r="D14" s="82" t="s">
        <v>81</v>
      </c>
      <c r="E14" s="82" t="str">
        <f>COMPLEX(27,15.5)</f>
        <v>27+15.5i</v>
      </c>
      <c r="F14" s="82">
        <f>IMABS(E14)</f>
        <v>31.132780152116194</v>
      </c>
      <c r="G14" s="82">
        <v>110</v>
      </c>
      <c r="H14" s="82">
        <f>(F14/SQRT(3)/G14)*1000</f>
        <v>163.40471819496113</v>
      </c>
      <c r="I14" s="82" t="s">
        <v>113</v>
      </c>
      <c r="J14" s="82">
        <v>450</v>
      </c>
      <c r="K14" s="82" t="s">
        <v>131</v>
      </c>
    </row>
    <row r="15" spans="2:11" ht="18.75" customHeight="1" thickBot="1" x14ac:dyDescent="0.3">
      <c r="B15" s="79"/>
      <c r="C15" s="105"/>
      <c r="D15" s="115" t="s">
        <v>144</v>
      </c>
      <c r="E15" s="116"/>
      <c r="F15" s="116"/>
      <c r="G15" s="116"/>
      <c r="H15" s="116"/>
      <c r="I15" s="116"/>
      <c r="J15" s="116"/>
      <c r="K15" s="117"/>
    </row>
    <row r="16" spans="2:11" ht="27" customHeight="1" thickBot="1" x14ac:dyDescent="0.3">
      <c r="B16" s="79"/>
      <c r="C16" s="105"/>
      <c r="D16" s="82" t="s">
        <v>79</v>
      </c>
      <c r="E16" s="82" t="str">
        <f>E13</f>
        <v>62+32.5i</v>
      </c>
      <c r="F16" s="82">
        <f>IMABS(E16)</f>
        <v>70.001785691509326</v>
      </c>
      <c r="G16" s="82">
        <v>110</v>
      </c>
      <c r="H16" s="109">
        <f>(F16/SQRT(3)/G16)*1000</f>
        <v>367.41408920679464</v>
      </c>
      <c r="I16" s="82" t="s">
        <v>130</v>
      </c>
      <c r="J16" s="82">
        <v>680</v>
      </c>
      <c r="K16" s="82" t="s">
        <v>131</v>
      </c>
    </row>
    <row r="17" spans="2:11" ht="22.5" customHeight="1" thickBot="1" x14ac:dyDescent="0.3">
      <c r="B17" s="79"/>
      <c r="C17" s="105"/>
      <c r="D17" s="82" t="s">
        <v>146</v>
      </c>
      <c r="E17" s="82" t="str">
        <f>COMPLEX(35,17)</f>
        <v>35+17i</v>
      </c>
      <c r="F17" s="82">
        <f>IMABS(E17)</f>
        <v>38.910152916687437</v>
      </c>
      <c r="G17" s="82">
        <v>110</v>
      </c>
      <c r="H17" s="82">
        <f>(F17/SQRT(3)/G17)*1000</f>
        <v>204.22533873326358</v>
      </c>
      <c r="I17" s="82" t="s">
        <v>113</v>
      </c>
      <c r="J17" s="82">
        <v>450</v>
      </c>
      <c r="K17" s="82" t="s">
        <v>131</v>
      </c>
    </row>
    <row r="18" spans="2:11" ht="19.5" thickBot="1" x14ac:dyDescent="0.3">
      <c r="B18" s="79"/>
      <c r="C18" s="76" t="s">
        <v>148</v>
      </c>
      <c r="D18" s="114" t="str">
        <f>Fрозр!E12</f>
        <v>ВП-2</v>
      </c>
      <c r="E18" s="114" t="str">
        <f>Fрозр!F12</f>
        <v>67+32.5i</v>
      </c>
      <c r="F18" s="114">
        <f>Fрозр!G12</f>
        <v>74.47</v>
      </c>
      <c r="G18" s="114">
        <f>Fрозр!H12</f>
        <v>110</v>
      </c>
      <c r="H18" s="113">
        <f>(F18/SQRT(3)/G18)*1000</f>
        <v>390.86613224137665</v>
      </c>
      <c r="I18" s="114" t="s">
        <v>130</v>
      </c>
      <c r="J18" s="114">
        <v>680</v>
      </c>
      <c r="K18" s="114" t="s">
        <v>131</v>
      </c>
    </row>
    <row r="19" spans="2:11" ht="19.5" thickBot="1" x14ac:dyDescent="0.3">
      <c r="B19" s="79"/>
      <c r="C19" s="106"/>
      <c r="D19" s="114" t="str">
        <f>Fрозр!E13</f>
        <v>Г-2</v>
      </c>
      <c r="E19" s="114" t="str">
        <f>Fрозр!F13</f>
        <v>32+15.5i</v>
      </c>
      <c r="F19" s="114">
        <f>Fрозр!G13</f>
        <v>35.56</v>
      </c>
      <c r="G19" s="114">
        <f>Fрозр!H13</f>
        <v>110</v>
      </c>
      <c r="H19" s="113">
        <f t="shared" ref="H18:H23" si="0">(F19/SQRT(3)/G19)*1000</f>
        <v>186.64159611257361</v>
      </c>
      <c r="I19" s="114" t="s">
        <v>140</v>
      </c>
      <c r="J19" s="114">
        <v>375</v>
      </c>
      <c r="K19" s="114" t="s">
        <v>131</v>
      </c>
    </row>
    <row r="20" spans="2:11" ht="19.5" thickBot="1" x14ac:dyDescent="0.3">
      <c r="B20" s="79"/>
      <c r="C20" s="106"/>
      <c r="D20" s="114" t="str">
        <f>Fрозр!E14</f>
        <v>Е-2</v>
      </c>
      <c r="E20" s="114" t="str">
        <f>Fрозр!F14</f>
        <v>35+17i</v>
      </c>
      <c r="F20" s="114">
        <f>Fрозр!G14</f>
        <v>38.909999999999997</v>
      </c>
      <c r="G20" s="114">
        <f>Fрозр!H14</f>
        <v>110</v>
      </c>
      <c r="H20" s="113">
        <f t="shared" si="0"/>
        <v>204.22453612880309</v>
      </c>
      <c r="I20" s="114" t="s">
        <v>113</v>
      </c>
      <c r="J20" s="114">
        <v>450</v>
      </c>
      <c r="K20" s="114" t="s">
        <v>131</v>
      </c>
    </row>
    <row r="21" spans="2:11" ht="19.5" thickBot="1" x14ac:dyDescent="0.3">
      <c r="B21" s="80" t="s">
        <v>127</v>
      </c>
      <c r="C21" s="80"/>
      <c r="D21" s="114" t="str">
        <f>'Таблиця 1-4'!D14</f>
        <v>ДЖ-3</v>
      </c>
      <c r="E21" s="114" t="str">
        <f>Fрозр!F15</f>
        <v>165+90.3i</v>
      </c>
      <c r="F21" s="114">
        <f>Fрозр!G15</f>
        <v>188.09</v>
      </c>
      <c r="G21" s="114">
        <f>Fрозр!H15</f>
        <v>220</v>
      </c>
      <c r="H21" s="113">
        <f t="shared" si="0"/>
        <v>493.60823696307597</v>
      </c>
      <c r="I21" s="114" t="s">
        <v>139</v>
      </c>
      <c r="J21" s="114">
        <v>825</v>
      </c>
      <c r="K21" s="114" t="s">
        <v>131</v>
      </c>
    </row>
    <row r="22" spans="2:11" ht="19.5" thickBot="1" x14ac:dyDescent="0.3">
      <c r="B22" s="51"/>
      <c r="C22" s="107"/>
      <c r="D22" s="114" t="str">
        <f>'Таблиця 1-4'!D15</f>
        <v>3-ВП</v>
      </c>
      <c r="E22" s="114" t="str">
        <f>Fрозр!F16</f>
        <v>145+77.3i</v>
      </c>
      <c r="F22" s="114">
        <f>Fрозр!G16</f>
        <v>164.32</v>
      </c>
      <c r="G22" s="114">
        <f>Fрозр!H16</f>
        <v>220</v>
      </c>
      <c r="H22" s="113">
        <f t="shared" si="0"/>
        <v>431.22816469654236</v>
      </c>
      <c r="I22" s="114" t="s">
        <v>130</v>
      </c>
      <c r="J22" s="114">
        <v>680</v>
      </c>
      <c r="K22" s="114" t="s">
        <v>131</v>
      </c>
    </row>
    <row r="23" spans="2:11" ht="19.5" thickBot="1" x14ac:dyDescent="0.3">
      <c r="B23" s="81"/>
      <c r="C23" s="108"/>
      <c r="D23" s="114" t="str">
        <f>'Таблиця 1-4'!D16</f>
        <v>3-Б</v>
      </c>
      <c r="E23" s="114" t="str">
        <f>Fрозр!F17</f>
        <v>20+13i</v>
      </c>
      <c r="F23" s="114">
        <f>Fрозр!G17</f>
        <v>23.85</v>
      </c>
      <c r="G23" s="114">
        <f>Fрозр!H17</f>
        <v>220</v>
      </c>
      <c r="H23" s="113">
        <f t="shared" si="0"/>
        <v>62.590017818966253</v>
      </c>
      <c r="I23" s="114" t="s">
        <v>129</v>
      </c>
      <c r="J23" s="114">
        <v>610</v>
      </c>
      <c r="K23" s="114" t="s">
        <v>131</v>
      </c>
    </row>
  </sheetData>
  <mergeCells count="22">
    <mergeCell ref="D15:K15"/>
    <mergeCell ref="B12:B20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J2:J3"/>
    <mergeCell ref="C4:C9"/>
    <mergeCell ref="B2:B3"/>
    <mergeCell ref="D2:D3"/>
    <mergeCell ref="I2:I3"/>
    <mergeCell ref="K2:K3"/>
    <mergeCell ref="C2:C3"/>
    <mergeCell ref="E2:E3"/>
    <mergeCell ref="F2:F3"/>
    <mergeCell ref="G2:G3"/>
    <mergeCell ref="H2:H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0</xdr:colOff>
                <xdr:row>2</xdr:row>
                <xdr:rowOff>0</xdr:rowOff>
              </from>
              <to>
                <xdr:col>20</xdr:col>
                <xdr:colOff>76200</xdr:colOff>
                <xdr:row>11</xdr:row>
                <xdr:rowOff>123825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0</xdr:colOff>
                <xdr:row>14</xdr:row>
                <xdr:rowOff>0</xdr:rowOff>
              </from>
              <to>
                <xdr:col>20</xdr:col>
                <xdr:colOff>76200</xdr:colOff>
                <xdr:row>26</xdr:row>
                <xdr:rowOff>171450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H41" sqref="H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124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J25" sqref="J25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126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2" t="s">
        <v>48</v>
      </c>
      <c r="D3" s="44" t="s">
        <v>49</v>
      </c>
      <c r="E3" s="45"/>
      <c r="F3" s="45"/>
      <c r="G3" s="45"/>
      <c r="H3" s="46"/>
      <c r="I3" s="44" t="s">
        <v>50</v>
      </c>
      <c r="J3" s="45"/>
      <c r="K3" s="45"/>
      <c r="L3" s="45"/>
      <c r="M3" s="46"/>
    </row>
    <row r="4" spans="3:13" ht="16.5" thickBot="1" x14ac:dyDescent="0.3">
      <c r="C4" s="43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40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B3" zoomScale="86" zoomScaleNormal="86" workbookViewId="0">
      <selection activeCell="E16" sqref="E16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38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38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25.19</v>
      </c>
      <c r="F5" s="14">
        <f>K5</f>
        <v>15.984</v>
      </c>
      <c r="J5" s="14">
        <f>ROUND((K10*(M7+P7)+N10*P7)/(J7+M7+P7),3)</f>
        <v>25.19</v>
      </c>
      <c r="K5" s="14">
        <f>ROUND((L10*(M7+P7)+O10*P7)/(J7+M7+P7),3)</f>
        <v>15.984</v>
      </c>
      <c r="L5" s="4"/>
      <c r="M5" s="14">
        <f>J5-K10</f>
        <v>-1.8099999999999987</v>
      </c>
      <c r="N5" s="14">
        <f>K5-L10</f>
        <v>-3.016</v>
      </c>
      <c r="O5" s="4"/>
      <c r="P5" s="14">
        <f>ROUND((K10*J7+N10*(J7+M7))/(J7+M7+P7),3)</f>
        <v>36.81</v>
      </c>
      <c r="Q5" s="14">
        <f>ROUND((L10*J7+O10*(J7+M7))/(J7+M7+P7),3)</f>
        <v>22.015999999999998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36.81</v>
      </c>
      <c r="F6" s="14">
        <f>Q5</f>
        <v>22.015999999999998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-M5</f>
        <v>1.8099999999999987</v>
      </c>
      <c r="F7" s="14">
        <f>-N5</f>
        <v>3.016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27</f>
        <v>27</v>
      </c>
      <c r="F8">
        <f>13.8</f>
        <v>13.8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35</f>
        <v>35</v>
      </c>
      <c r="F9" s="4">
        <v>19</v>
      </c>
    </row>
    <row r="10" spans="1:18" x14ac:dyDescent="0.25">
      <c r="C10" s="4"/>
      <c r="D10" s="4"/>
      <c r="E10" s="4"/>
      <c r="F10" s="4"/>
      <c r="K10">
        <f>E8</f>
        <v>27</v>
      </c>
      <c r="L10">
        <f>19</f>
        <v>19</v>
      </c>
      <c r="N10">
        <f>E9</f>
        <v>35</v>
      </c>
      <c r="O10">
        <f>F9</f>
        <v>19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'Табл1-1  1-2'!B11</f>
        <v>165</v>
      </c>
      <c r="G25">
        <f>'Табл1-1  1-2'!C11</f>
        <v>90.3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145</v>
      </c>
      <c r="G26">
        <f>G25-'Табл1-1  1-2'!C5</f>
        <v>77.3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 t="s">
        <v>122</v>
      </c>
      <c r="E29" t="s">
        <v>121</v>
      </c>
      <c r="F29">
        <f>SQRT(F26^2+G26^2)</f>
        <v>164.31764969107854</v>
      </c>
    </row>
    <row r="31" spans="2:16" x14ac:dyDescent="0.25">
      <c r="D31" t="s">
        <v>123</v>
      </c>
      <c r="E31" t="s">
        <v>63</v>
      </c>
      <c r="F31">
        <f>0.05*F29</f>
        <v>8.2158824845539282</v>
      </c>
    </row>
    <row r="32" spans="2:16" x14ac:dyDescent="0.25">
      <c r="E32" t="s">
        <v>64</v>
      </c>
      <c r="F32">
        <f>0.15*F29</f>
        <v>24.647647453661779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8</xdr:col>
                <xdr:colOff>19050</xdr:colOff>
                <xdr:row>23</xdr:row>
                <xdr:rowOff>114300</xdr:rowOff>
              </from>
              <to>
                <xdr:col>13</xdr:col>
                <xdr:colOff>295275</xdr:colOff>
                <xdr:row>32</xdr:row>
                <xdr:rowOff>66675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H11" sqref="H11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55" t="s">
        <v>19</v>
      </c>
      <c r="C3" s="57" t="s">
        <v>89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25.19</v>
      </c>
      <c r="G3" s="26">
        <v>1</v>
      </c>
      <c r="H3" s="26">
        <f>ROUND(4.34*SQRT(E3+16*F3/G3),1)</f>
        <v>88.4</v>
      </c>
      <c r="I3" s="53">
        <v>110</v>
      </c>
    </row>
    <row r="4" spans="2:9" ht="20.25" thickTop="1" thickBot="1" x14ac:dyDescent="0.3">
      <c r="B4" s="48"/>
      <c r="C4" s="58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36.81</v>
      </c>
      <c r="G4" s="27">
        <v>1</v>
      </c>
      <c r="H4" s="26">
        <f t="shared" ref="H4:H15" si="0">ROUND(4.34*SQRT(E4+16*F4/G4),1)</f>
        <v>106</v>
      </c>
      <c r="I4" s="51"/>
    </row>
    <row r="5" spans="2:9" ht="20.25" thickTop="1" thickBot="1" x14ac:dyDescent="0.3">
      <c r="B5" s="48"/>
      <c r="C5" s="59"/>
      <c r="D5" s="26" t="str">
        <f>Потокорозподіл!C7</f>
        <v>В-Д</v>
      </c>
      <c r="E5" s="26">
        <f>Потокорозподіл!D7</f>
        <v>5.6</v>
      </c>
      <c r="F5" s="28">
        <f>Потокорозподіл!E7</f>
        <v>1.8099999999999987</v>
      </c>
      <c r="G5" s="27">
        <v>1</v>
      </c>
      <c r="H5" s="26">
        <f t="shared" si="0"/>
        <v>25.5</v>
      </c>
      <c r="I5" s="54"/>
    </row>
    <row r="6" spans="2:9" ht="20.25" thickTop="1" thickBot="1" x14ac:dyDescent="0.3">
      <c r="B6" s="48"/>
      <c r="C6" s="60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27</v>
      </c>
      <c r="G6" s="27">
        <v>2</v>
      </c>
      <c r="H6" s="26">
        <f t="shared" si="0"/>
        <v>64.599999999999994</v>
      </c>
      <c r="I6" s="50">
        <v>110</v>
      </c>
    </row>
    <row r="7" spans="2:9" ht="20.25" thickTop="1" thickBot="1" x14ac:dyDescent="0.3">
      <c r="B7" s="56"/>
      <c r="C7" s="59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35</v>
      </c>
      <c r="G7" s="27">
        <v>2</v>
      </c>
      <c r="H7" s="26">
        <f t="shared" si="0"/>
        <v>73.599999999999994</v>
      </c>
      <c r="I7" s="54"/>
    </row>
    <row r="8" spans="2:9" ht="20.25" thickTop="1" thickBot="1" x14ac:dyDescent="0.3">
      <c r="B8" s="61" t="s">
        <v>20</v>
      </c>
      <c r="C8" s="60" t="s">
        <v>89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30">
        <f t="shared" si="0"/>
        <v>103.4</v>
      </c>
      <c r="I8" s="62">
        <v>110</v>
      </c>
    </row>
    <row r="9" spans="2:9" ht="20.25" thickTop="1" thickBot="1" x14ac:dyDescent="0.3">
      <c r="B9" s="48"/>
      <c r="C9" s="58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9">
        <f t="shared" si="0"/>
        <v>99.6</v>
      </c>
      <c r="I9" s="63"/>
    </row>
    <row r="10" spans="2:9" ht="20.25" thickTop="1" thickBot="1" x14ac:dyDescent="0.3">
      <c r="B10" s="48"/>
      <c r="C10" s="59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9">
        <f>ROUND(4.34*SQRT(E10+16*F10/G10),1)</f>
        <v>33.6</v>
      </c>
      <c r="I10" s="64"/>
    </row>
    <row r="11" spans="2:9" ht="20.25" thickTop="1" thickBot="1" x14ac:dyDescent="0.3">
      <c r="B11" s="48"/>
      <c r="C11" s="60" t="s">
        <v>91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9">
        <f>ROUND(4.34*SQRT(E11+16*F11/G11),1)</f>
        <v>101</v>
      </c>
      <c r="I11" s="62">
        <v>110</v>
      </c>
    </row>
    <row r="12" spans="2:9" ht="20.25" thickTop="1" thickBot="1" x14ac:dyDescent="0.3">
      <c r="B12" s="48"/>
      <c r="C12" s="58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9">
        <f t="shared" si="0"/>
        <v>70.400000000000006</v>
      </c>
      <c r="I12" s="63"/>
    </row>
    <row r="13" spans="2:9" ht="20.25" thickTop="1" thickBot="1" x14ac:dyDescent="0.3">
      <c r="B13" s="56"/>
      <c r="C13" s="59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si="0"/>
        <v>73.7</v>
      </c>
      <c r="I13" s="64"/>
    </row>
    <row r="14" spans="2:9" ht="20.25" thickTop="1" thickBot="1" x14ac:dyDescent="0.3">
      <c r="B14" s="47" t="s">
        <v>92</v>
      </c>
      <c r="C14" s="50"/>
      <c r="D14" s="31" t="str">
        <f>'мережа зовнішньго електр.'!G4</f>
        <v>ДЖ-3</v>
      </c>
      <c r="E14" s="31">
        <f>'мережа зовнішньго електр.'!H4</f>
        <v>14.8</v>
      </c>
      <c r="F14" s="28">
        <f>Потокорозподіл!F25</f>
        <v>165</v>
      </c>
      <c r="G14" s="31">
        <v>2</v>
      </c>
      <c r="H14" s="31">
        <f t="shared" si="0"/>
        <v>158.6</v>
      </c>
      <c r="I14" s="62">
        <v>220</v>
      </c>
    </row>
    <row r="15" spans="2:9" ht="22.5" customHeight="1" thickTop="1" thickBot="1" x14ac:dyDescent="0.3">
      <c r="B15" s="48"/>
      <c r="C15" s="51"/>
      <c r="D15" s="31" t="str">
        <f>'мережа зовнішньго електр.'!G5</f>
        <v>3-ВП</v>
      </c>
      <c r="E15" s="31">
        <f>'мережа зовнішньго електр.'!H5</f>
        <v>22.6</v>
      </c>
      <c r="F15" s="28">
        <f>Потокорозподіл!F26</f>
        <v>145</v>
      </c>
      <c r="G15" s="32">
        <v>2</v>
      </c>
      <c r="H15" s="32">
        <f t="shared" si="0"/>
        <v>149.19999999999999</v>
      </c>
      <c r="I15" s="63"/>
    </row>
    <row r="16" spans="2:9" ht="20.25" thickTop="1" thickBot="1" x14ac:dyDescent="0.3">
      <c r="B16" s="49"/>
      <c r="C16" s="52"/>
      <c r="D16" s="31" t="str">
        <f>'мережа зовнішньго електр.'!G6</f>
        <v>3-Б</v>
      </c>
      <c r="E16" s="31">
        <f>'мережа зовнішньго електр.'!H6</f>
        <v>10.8</v>
      </c>
      <c r="F16" s="28">
        <f>Потокорозподіл!F27</f>
        <v>20</v>
      </c>
      <c r="G16" s="33">
        <v>2</v>
      </c>
      <c r="H16" s="33">
        <f>ROUND(4.34*SQRT(E16+16*F16/G16),1)</f>
        <v>56.7</v>
      </c>
      <c r="I16" s="64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topLeftCell="C1" zoomScale="140" zoomScaleNormal="140" workbookViewId="0">
      <selection activeCell="C7" sqref="C7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77" t="s">
        <v>120</v>
      </c>
      <c r="D3" s="77" t="s">
        <v>119</v>
      </c>
      <c r="E3" s="77"/>
      <c r="F3" s="77" t="s">
        <v>118</v>
      </c>
      <c r="G3" s="77"/>
    </row>
    <row r="4" spans="3:7" ht="32.25" thickBot="1" x14ac:dyDescent="0.3">
      <c r="C4" s="77"/>
      <c r="D4" s="78" t="s">
        <v>117</v>
      </c>
      <c r="E4" s="78" t="s">
        <v>116</v>
      </c>
      <c r="F4" s="78" t="s">
        <v>115</v>
      </c>
      <c r="G4" s="78" t="s">
        <v>114</v>
      </c>
    </row>
    <row r="5" spans="3:7" ht="16.5" thickBot="1" x14ac:dyDescent="0.3">
      <c r="C5" s="78" t="s">
        <v>140</v>
      </c>
      <c r="D5" s="78">
        <v>114</v>
      </c>
      <c r="E5" s="78">
        <v>26.6</v>
      </c>
      <c r="F5" s="83">
        <f>D5/E5</f>
        <v>4.2857142857142856</v>
      </c>
      <c r="G5" s="78" t="s">
        <v>112</v>
      </c>
    </row>
    <row r="6" spans="3:7" ht="16.5" thickBot="1" x14ac:dyDescent="0.3">
      <c r="C6" s="78" t="s">
        <v>113</v>
      </c>
      <c r="D6" s="78">
        <v>147</v>
      </c>
      <c r="E6" s="78">
        <v>34.299999999999997</v>
      </c>
      <c r="F6" s="83">
        <f t="shared" ref="F6:F9" si="0">D6/E6</f>
        <v>4.2857142857142865</v>
      </c>
      <c r="G6" s="78" t="s">
        <v>112</v>
      </c>
    </row>
    <row r="7" spans="3:7" ht="16.5" thickBot="1" x14ac:dyDescent="0.3">
      <c r="C7" s="78" t="s">
        <v>128</v>
      </c>
      <c r="D7" s="78">
        <v>185</v>
      </c>
      <c r="E7" s="78">
        <v>43.1</v>
      </c>
      <c r="F7" s="83">
        <f t="shared" si="0"/>
        <v>4.2923433874709973</v>
      </c>
      <c r="G7" s="78" t="s">
        <v>112</v>
      </c>
    </row>
    <row r="8" spans="3:7" ht="16.5" thickBot="1" x14ac:dyDescent="0.3">
      <c r="C8" s="84" t="s">
        <v>129</v>
      </c>
      <c r="D8" s="78">
        <v>241</v>
      </c>
      <c r="E8" s="78">
        <v>56.3</v>
      </c>
      <c r="F8" s="83">
        <f t="shared" si="0"/>
        <v>4.2806394316163416</v>
      </c>
      <c r="G8" s="78" t="s">
        <v>112</v>
      </c>
    </row>
    <row r="9" spans="3:7" ht="16.5" thickBot="1" x14ac:dyDescent="0.3">
      <c r="C9" s="78" t="s">
        <v>130</v>
      </c>
      <c r="D9" s="78">
        <v>288.5</v>
      </c>
      <c r="E9" s="78">
        <v>67.3</v>
      </c>
      <c r="F9" s="83">
        <f t="shared" si="0"/>
        <v>4.2867756315007428</v>
      </c>
      <c r="G9" s="78" t="s">
        <v>112</v>
      </c>
    </row>
    <row r="10" spans="3:7" ht="16.5" thickBot="1" x14ac:dyDescent="0.3">
      <c r="C10" s="78" t="s">
        <v>139</v>
      </c>
      <c r="D10" s="78">
        <v>394</v>
      </c>
      <c r="E10" s="78">
        <v>51.1</v>
      </c>
      <c r="F10" s="83">
        <f t="shared" ref="F10" si="1">D10/E10</f>
        <v>7.7103718199608604</v>
      </c>
      <c r="G10" s="78" t="s">
        <v>138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A13" sqref="A13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65" t="s">
        <v>111</v>
      </c>
      <c r="D2" s="65" t="s">
        <v>110</v>
      </c>
      <c r="E2" s="65" t="s">
        <v>109</v>
      </c>
      <c r="F2" s="36" t="s">
        <v>108</v>
      </c>
      <c r="G2" s="36" t="s">
        <v>107</v>
      </c>
      <c r="H2" s="36" t="s">
        <v>106</v>
      </c>
      <c r="I2" s="69" t="s">
        <v>87</v>
      </c>
      <c r="J2" s="70" t="s">
        <v>105</v>
      </c>
      <c r="K2" s="36" t="s">
        <v>104</v>
      </c>
      <c r="L2" s="65" t="s">
        <v>103</v>
      </c>
      <c r="M2" s="65" t="s">
        <v>137</v>
      </c>
      <c r="N2" s="37">
        <v>0.8</v>
      </c>
      <c r="O2" t="s">
        <v>102</v>
      </c>
    </row>
    <row r="3" spans="1:15" ht="23.25" thickBot="1" x14ac:dyDescent="0.3">
      <c r="C3" s="68"/>
      <c r="D3" s="87"/>
      <c r="E3" s="87"/>
      <c r="F3" s="88" t="s">
        <v>101</v>
      </c>
      <c r="G3" s="88" t="s">
        <v>101</v>
      </c>
      <c r="H3" s="88" t="s">
        <v>9</v>
      </c>
      <c r="I3" s="89"/>
      <c r="J3" s="90"/>
      <c r="K3" s="88" t="s">
        <v>100</v>
      </c>
      <c r="L3" s="87"/>
      <c r="M3" s="87"/>
      <c r="N3" t="s">
        <v>89</v>
      </c>
    </row>
    <row r="4" spans="1:15" ht="19.5" thickBot="1" x14ac:dyDescent="0.3">
      <c r="A4">
        <f>Потокорозподіл!E5</f>
        <v>25.19</v>
      </c>
      <c r="B4">
        <f>Потокорозподіл!F5</f>
        <v>15.984</v>
      </c>
      <c r="C4" s="85" t="s">
        <v>19</v>
      </c>
      <c r="D4" s="91" t="s">
        <v>89</v>
      </c>
      <c r="E4" s="92" t="str">
        <f>'Таблиця 1-4'!D3</f>
        <v>ВП-В</v>
      </c>
      <c r="F4" s="92" t="str">
        <f>COMPLEX(A4,B4)</f>
        <v>25.19+15.984i</v>
      </c>
      <c r="G4" s="92">
        <f>ROUND(1*IMABS(F4),2)</f>
        <v>29.83</v>
      </c>
      <c r="H4" s="92">
        <f>110</f>
        <v>110</v>
      </c>
      <c r="I4" s="92">
        <f>'Таблиця 1-4'!G3</f>
        <v>1</v>
      </c>
      <c r="J4" s="92">
        <f>ROUND(G4/SQRT(3)/H4/I4*10^3,2)</f>
        <v>156.57</v>
      </c>
      <c r="K4" s="93">
        <f t="shared" ref="K4:K17" si="0">J4/$N$2</f>
        <v>195.71249999999998</v>
      </c>
      <c r="L4" s="94">
        <v>240</v>
      </c>
      <c r="M4" s="39">
        <v>240</v>
      </c>
    </row>
    <row r="5" spans="1:15" ht="19.5" thickBot="1" x14ac:dyDescent="0.3">
      <c r="A5">
        <f>Потокорозподіл!E6</f>
        <v>36.81</v>
      </c>
      <c r="B5">
        <f>Потокорозподіл!F6</f>
        <v>22.015999999999998</v>
      </c>
      <c r="C5" s="86"/>
      <c r="D5" s="95"/>
      <c r="E5" s="34" t="str">
        <f>'Таблиця 1-4'!D4</f>
        <v>ВП-Д</v>
      </c>
      <c r="F5" s="34" t="str">
        <f t="shared" ref="F5:F17" si="1">COMPLEX(A5,B5)</f>
        <v>36.81+22.016i</v>
      </c>
      <c r="G5" s="34">
        <f t="shared" ref="G5:G17" si="2">ROUND(1*IMABS(F5),2)</f>
        <v>42.89</v>
      </c>
      <c r="H5" s="34">
        <f>110</f>
        <v>110</v>
      </c>
      <c r="I5" s="34">
        <f>'Таблиця 1-4'!G4</f>
        <v>1</v>
      </c>
      <c r="J5" s="34">
        <f t="shared" ref="J5:J17" si="3">ROUND(G5/SQRT(3)/H5/I5*10^3,2)</f>
        <v>225.11</v>
      </c>
      <c r="K5" s="35">
        <f t="shared" si="0"/>
        <v>281.38749999999999</v>
      </c>
      <c r="L5" s="38">
        <v>300</v>
      </c>
      <c r="M5" s="96">
        <v>300</v>
      </c>
    </row>
    <row r="6" spans="1:15" ht="19.5" thickBot="1" x14ac:dyDescent="0.3">
      <c r="A6">
        <f>Потокорозподіл!E7</f>
        <v>1.8099999999999987</v>
      </c>
      <c r="B6">
        <f>Потокорозподіл!F7</f>
        <v>3.016</v>
      </c>
      <c r="C6" s="86"/>
      <c r="D6" s="97"/>
      <c r="E6" s="71" t="str">
        <f>'Таблиця 1-4'!D5</f>
        <v>В-Д</v>
      </c>
      <c r="F6" s="71" t="str">
        <f t="shared" si="1"/>
        <v>1.81+3.016i</v>
      </c>
      <c r="G6" s="71">
        <f>ROUND(1*IMABS(F6),2)</f>
        <v>3.52</v>
      </c>
      <c r="H6" s="71">
        <f>110</f>
        <v>110</v>
      </c>
      <c r="I6" s="71">
        <f>'Таблиця 1-4'!G5</f>
        <v>1</v>
      </c>
      <c r="J6" s="71">
        <f t="shared" si="3"/>
        <v>18.48</v>
      </c>
      <c r="K6" s="98">
        <f t="shared" si="0"/>
        <v>23.099999999999998</v>
      </c>
      <c r="L6" s="99">
        <v>70</v>
      </c>
      <c r="M6" s="100">
        <v>150</v>
      </c>
    </row>
    <row r="7" spans="1:15" ht="19.5" thickBot="1" x14ac:dyDescent="0.3">
      <c r="A7">
        <f>Потокорозподіл!E8</f>
        <v>27</v>
      </c>
      <c r="B7">
        <f>Потокорозподіл!F8</f>
        <v>13.8</v>
      </c>
      <c r="C7" s="66"/>
      <c r="D7" s="87" t="s">
        <v>90</v>
      </c>
      <c r="E7" s="34" t="str">
        <f>'Таблиця 1-4'!D6</f>
        <v>В-Д</v>
      </c>
      <c r="F7" s="34" t="str">
        <f t="shared" si="1"/>
        <v>27+13.8i</v>
      </c>
      <c r="G7" s="34">
        <f t="shared" si="2"/>
        <v>30.32</v>
      </c>
      <c r="H7" s="34">
        <f>110</f>
        <v>110</v>
      </c>
      <c r="I7" s="34">
        <f>'Таблиця 1-4'!G6</f>
        <v>2</v>
      </c>
      <c r="J7" s="34">
        <f t="shared" si="3"/>
        <v>79.569999999999993</v>
      </c>
      <c r="K7" s="35">
        <f t="shared" si="0"/>
        <v>99.462499999999991</v>
      </c>
      <c r="L7" s="38">
        <v>120</v>
      </c>
      <c r="M7" s="34">
        <v>120</v>
      </c>
    </row>
    <row r="8" spans="1:15" ht="19.5" thickBot="1" x14ac:dyDescent="0.3">
      <c r="A8">
        <f>Потокорозподіл!E9</f>
        <v>35</v>
      </c>
      <c r="B8">
        <f>Потокорозподіл!F9</f>
        <v>19</v>
      </c>
      <c r="C8" s="67"/>
      <c r="D8" s="67"/>
      <c r="E8" s="34" t="str">
        <f>'Таблиця 1-4'!D7</f>
        <v>ВП-Д</v>
      </c>
      <c r="F8" s="34" t="str">
        <f>COMPLEX(A8,B8)</f>
        <v>35+19i</v>
      </c>
      <c r="G8" s="34">
        <f t="shared" si="2"/>
        <v>39.82</v>
      </c>
      <c r="H8" s="34">
        <f>110</f>
        <v>110</v>
      </c>
      <c r="I8" s="34">
        <f>'Таблиця 1-4'!G7</f>
        <v>2</v>
      </c>
      <c r="J8" s="34">
        <f t="shared" si="3"/>
        <v>104.5</v>
      </c>
      <c r="K8" s="35">
        <f t="shared" si="0"/>
        <v>130.625</v>
      </c>
      <c r="L8" s="38">
        <v>150</v>
      </c>
      <c r="M8" s="34">
        <v>150</v>
      </c>
    </row>
    <row r="9" spans="1:15" ht="19.5" thickBot="1" x14ac:dyDescent="0.3">
      <c r="A9">
        <f>Потокорозподіл!E11</f>
        <v>34.843000000000004</v>
      </c>
      <c r="B9">
        <f>Потокорозподіл!F11</f>
        <v>16.891999999999999</v>
      </c>
      <c r="C9" s="65" t="s">
        <v>20</v>
      </c>
      <c r="D9" s="65" t="s">
        <v>89</v>
      </c>
      <c r="E9" s="34" t="str">
        <f>'Таблиця 1-4'!D8</f>
        <v>ВП-Г</v>
      </c>
      <c r="F9" s="34" t="str">
        <f>COMPLEX(A9,B9)</f>
        <v>34.843+16.892i</v>
      </c>
      <c r="G9" s="34">
        <f t="shared" si="2"/>
        <v>38.72</v>
      </c>
      <c r="H9" s="34">
        <f>110</f>
        <v>110</v>
      </c>
      <c r="I9" s="34">
        <f>'Таблиця 1-4'!G8</f>
        <v>1</v>
      </c>
      <c r="J9" s="34">
        <f t="shared" si="3"/>
        <v>203.23</v>
      </c>
      <c r="K9" s="35">
        <f t="shared" si="0"/>
        <v>254.03749999999997</v>
      </c>
      <c r="L9" s="38">
        <v>300</v>
      </c>
      <c r="M9" s="34">
        <v>300</v>
      </c>
    </row>
    <row r="10" spans="1:15" ht="19.5" thickBot="1" x14ac:dyDescent="0.3">
      <c r="A10">
        <f>Потокорозподіл!E12</f>
        <v>32.156999999999996</v>
      </c>
      <c r="B10">
        <f>Потокорозподіл!F12</f>
        <v>15.608000000000001</v>
      </c>
      <c r="C10" s="66"/>
      <c r="D10" s="66"/>
      <c r="E10" s="34" t="str">
        <f>'Таблиця 1-4'!D9</f>
        <v>ВП-Е</v>
      </c>
      <c r="F10" s="34" t="str">
        <f t="shared" si="1"/>
        <v>32.157+15.608i</v>
      </c>
      <c r="G10" s="34">
        <f t="shared" si="2"/>
        <v>35.74</v>
      </c>
      <c r="H10" s="34">
        <f>110</f>
        <v>110</v>
      </c>
      <c r="I10" s="34">
        <f>'Таблиця 1-4'!G9</f>
        <v>1</v>
      </c>
      <c r="J10" s="34">
        <f t="shared" si="3"/>
        <v>187.59</v>
      </c>
      <c r="K10" s="35">
        <f t="shared" si="0"/>
        <v>234.48749999999998</v>
      </c>
      <c r="L10" s="38">
        <v>240</v>
      </c>
      <c r="M10" s="34">
        <v>240</v>
      </c>
    </row>
    <row r="11" spans="1:15" ht="19.5" thickBot="1" x14ac:dyDescent="0.3">
      <c r="A11">
        <f>Потокорозподіл!E13</f>
        <v>2.8430000000000035</v>
      </c>
      <c r="B11">
        <f>Потокорозподіл!F13</f>
        <v>1.3919999999999995</v>
      </c>
      <c r="C11" s="66"/>
      <c r="D11" s="67"/>
      <c r="E11" s="34" t="str">
        <f>'Таблиця 1-4'!D10</f>
        <v>Е-Г</v>
      </c>
      <c r="F11" s="34" t="str">
        <f t="shared" si="1"/>
        <v>2.843+1.392i</v>
      </c>
      <c r="G11" s="34">
        <f t="shared" si="2"/>
        <v>3.17</v>
      </c>
      <c r="H11" s="34">
        <f>110</f>
        <v>110</v>
      </c>
      <c r="I11" s="34">
        <f>'Таблиця 1-4'!G10</f>
        <v>1</v>
      </c>
      <c r="J11" s="34">
        <f t="shared" si="3"/>
        <v>16.64</v>
      </c>
      <c r="K11" s="35">
        <f t="shared" si="0"/>
        <v>20.8</v>
      </c>
      <c r="L11" s="38">
        <v>70</v>
      </c>
      <c r="M11" s="34">
        <v>150</v>
      </c>
    </row>
    <row r="12" spans="1:15" ht="19.5" thickBot="1" x14ac:dyDescent="0.3">
      <c r="A12">
        <f>Потокорозподіл!E14</f>
        <v>67</v>
      </c>
      <c r="B12">
        <f>Потокорозподіл!F14</f>
        <v>32.5</v>
      </c>
      <c r="C12" s="66"/>
      <c r="D12" s="65" t="s">
        <v>91</v>
      </c>
      <c r="E12" s="34" t="str">
        <f>'Таблиця 1-4'!D11</f>
        <v>ВП-2</v>
      </c>
      <c r="F12" s="34" t="str">
        <f>COMPLEX(A12,B12)</f>
        <v>67+32.5i</v>
      </c>
      <c r="G12" s="34">
        <f>ROUND(1*IMABS(F12),2)</f>
        <v>74.47</v>
      </c>
      <c r="H12" s="34">
        <f>110</f>
        <v>110</v>
      </c>
      <c r="I12" s="34">
        <f>'Таблиця 1-4'!G11</f>
        <v>2</v>
      </c>
      <c r="J12" s="34">
        <f t="shared" si="3"/>
        <v>195.43</v>
      </c>
      <c r="K12" s="35">
        <f t="shared" si="0"/>
        <v>244.28749999999999</v>
      </c>
      <c r="L12" s="38">
        <v>300</v>
      </c>
      <c r="M12" s="34">
        <v>300</v>
      </c>
    </row>
    <row r="13" spans="1:15" ht="19.5" thickBot="1" x14ac:dyDescent="0.3">
      <c r="A13">
        <f>'Таблиця 1-4'!F12</f>
        <v>32</v>
      </c>
      <c r="B13">
        <f>Потокорозподіл!F15</f>
        <v>15.5</v>
      </c>
      <c r="C13" s="66"/>
      <c r="D13" s="66"/>
      <c r="E13" s="34" t="str">
        <f>'Таблиця 1-4'!D12</f>
        <v>Г-2</v>
      </c>
      <c r="F13" s="34" t="str">
        <f t="shared" si="1"/>
        <v>32+15.5i</v>
      </c>
      <c r="G13" s="34">
        <f t="shared" si="2"/>
        <v>35.56</v>
      </c>
      <c r="H13" s="34">
        <f>110</f>
        <v>110</v>
      </c>
      <c r="I13" s="34">
        <f>'Таблиця 1-4'!G12</f>
        <v>2</v>
      </c>
      <c r="J13" s="34">
        <f t="shared" si="3"/>
        <v>93.32</v>
      </c>
      <c r="K13" s="35">
        <f t="shared" si="0"/>
        <v>116.64999999999999</v>
      </c>
      <c r="L13" s="38">
        <v>120</v>
      </c>
      <c r="M13" s="34">
        <v>120</v>
      </c>
    </row>
    <row r="14" spans="1:15" ht="19.5" thickBot="1" x14ac:dyDescent="0.3">
      <c r="A14">
        <f>'Таблиця 1-4'!F13</f>
        <v>35</v>
      </c>
      <c r="B14">
        <f>Потокорозподіл!F16</f>
        <v>17</v>
      </c>
      <c r="C14" s="67"/>
      <c r="D14" s="67"/>
      <c r="E14" s="34" t="str">
        <f>'Таблиця 1-4'!D13</f>
        <v>Е-2</v>
      </c>
      <c r="F14" s="34" t="str">
        <f t="shared" si="1"/>
        <v>35+17i</v>
      </c>
      <c r="G14" s="34">
        <f t="shared" si="2"/>
        <v>38.909999999999997</v>
      </c>
      <c r="H14" s="34">
        <f>110</f>
        <v>110</v>
      </c>
      <c r="I14" s="34">
        <f>'Таблиця 1-4'!G13</f>
        <v>2</v>
      </c>
      <c r="J14" s="34">
        <f t="shared" si="3"/>
        <v>102.11</v>
      </c>
      <c r="K14" s="35">
        <f t="shared" si="0"/>
        <v>127.63749999999999</v>
      </c>
      <c r="L14" s="38">
        <v>150</v>
      </c>
      <c r="M14" s="34">
        <v>150</v>
      </c>
    </row>
    <row r="15" spans="1:15" ht="19.5" thickBot="1" x14ac:dyDescent="0.3">
      <c r="A15">
        <f>Потокорозподіл!F25</f>
        <v>165</v>
      </c>
      <c r="B15">
        <f>Потокорозподіл!G25</f>
        <v>90.3</v>
      </c>
      <c r="C15" s="65"/>
      <c r="D15" s="65"/>
      <c r="E15" s="34" t="str">
        <f>'Таблиця 1-4'!D14</f>
        <v>ДЖ-3</v>
      </c>
      <c r="F15" s="34" t="str">
        <f t="shared" si="1"/>
        <v>165+90.3i</v>
      </c>
      <c r="G15" s="34">
        <f t="shared" si="2"/>
        <v>188.09</v>
      </c>
      <c r="H15" s="34">
        <f>220</f>
        <v>220</v>
      </c>
      <c r="I15" s="34">
        <f>'Таблиця 1-4'!G14</f>
        <v>2</v>
      </c>
      <c r="J15" s="34">
        <f t="shared" si="3"/>
        <v>246.8</v>
      </c>
      <c r="K15" s="35">
        <f t="shared" si="0"/>
        <v>308.5</v>
      </c>
      <c r="L15" s="38">
        <v>400</v>
      </c>
      <c r="M15" s="34">
        <v>400</v>
      </c>
    </row>
    <row r="16" spans="1:15" ht="19.5" thickBot="1" x14ac:dyDescent="0.3">
      <c r="A16">
        <f>Потокорозподіл!F26</f>
        <v>145</v>
      </c>
      <c r="B16">
        <f>Потокорозподіл!G26</f>
        <v>77.3</v>
      </c>
      <c r="C16" s="66"/>
      <c r="D16" s="66"/>
      <c r="E16" s="34" t="str">
        <f>'Таблиця 1-4'!D15</f>
        <v>3-ВП</v>
      </c>
      <c r="F16" s="34" t="str">
        <f t="shared" si="1"/>
        <v>145+77.3i</v>
      </c>
      <c r="G16" s="34">
        <f t="shared" si="2"/>
        <v>164.32</v>
      </c>
      <c r="H16" s="34">
        <f>220</f>
        <v>220</v>
      </c>
      <c r="I16" s="34">
        <f>'Таблиця 1-4'!G15</f>
        <v>2</v>
      </c>
      <c r="J16" s="34">
        <f t="shared" si="3"/>
        <v>215.61</v>
      </c>
      <c r="K16" s="35">
        <f t="shared" si="0"/>
        <v>269.51249999999999</v>
      </c>
      <c r="L16" s="34">
        <v>300</v>
      </c>
      <c r="M16" s="34">
        <v>300</v>
      </c>
    </row>
    <row r="17" spans="1:13" ht="19.5" thickBot="1" x14ac:dyDescent="0.3">
      <c r="A17">
        <f>Потокорозподіл!F27</f>
        <v>20</v>
      </c>
      <c r="B17">
        <f>Потокорозподіл!G27</f>
        <v>13</v>
      </c>
      <c r="C17" s="67"/>
      <c r="D17" s="67"/>
      <c r="E17" s="34" t="str">
        <f>'Таблиця 1-4'!D16</f>
        <v>3-Б</v>
      </c>
      <c r="F17" s="34" t="str">
        <f t="shared" si="1"/>
        <v>20+13i</v>
      </c>
      <c r="G17" s="34">
        <f t="shared" si="2"/>
        <v>23.85</v>
      </c>
      <c r="H17" s="34">
        <f>220</f>
        <v>220</v>
      </c>
      <c r="I17" s="34">
        <f>'Таблиця 1-4'!G16</f>
        <v>2</v>
      </c>
      <c r="J17" s="34">
        <f t="shared" si="3"/>
        <v>31.3</v>
      </c>
      <c r="K17" s="35">
        <f t="shared" si="0"/>
        <v>39.125</v>
      </c>
      <c r="L17" s="34">
        <v>70</v>
      </c>
      <c r="M17" s="34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Таблиця 1-4</vt:lpstr>
      <vt:lpstr>мех міцн</vt:lpstr>
      <vt:lpstr>Fрозр</vt:lpstr>
      <vt:lpstr>нагрів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2021-03-30T20:35:08Z</dcterms:modified>
</cp:coreProperties>
</file>