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drawings/drawing9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12" activeTab="12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Fрозр" sheetId="8" r:id="rId7"/>
    <sheet name="мех міцн" sheetId="9" r:id="rId8"/>
    <sheet name="падіння напруги" sheetId="11" r:id="rId9"/>
    <sheet name="трансформ + компенс" sheetId="12" r:id="rId10"/>
    <sheet name="нагрів" sheetId="10" r:id="rId11"/>
    <sheet name="Таблиця 1-4" sheetId="6" r:id="rId12"/>
    <sheet name="економ. частина" sheetId="13" r:id="rId13"/>
    <sheet name="Втрати потужності" sheetId="14" r:id="rId14"/>
  </sheets>
  <calcPr calcId="162913"/>
</workbook>
</file>

<file path=xl/calcChain.xml><?xml version="1.0" encoding="utf-8"?>
<calcChain xmlns="http://schemas.openxmlformats.org/spreadsheetml/2006/main">
  <c r="AX9" i="13" l="1"/>
  <c r="BA10" i="13" l="1"/>
  <c r="AZ10" i="13"/>
  <c r="AZ8" i="13"/>
  <c r="BA8" i="13"/>
  <c r="AT8" i="13"/>
  <c r="AT7" i="13"/>
  <c r="AT10" i="13"/>
  <c r="AT9" i="13"/>
  <c r="AY7" i="13"/>
  <c r="AX7" i="13"/>
  <c r="AW7" i="13"/>
  <c r="AV7" i="13"/>
  <c r="AU9" i="13"/>
  <c r="AU7" i="13"/>
  <c r="AQ10" i="13"/>
  <c r="AQ7" i="13"/>
  <c r="AM10" i="13"/>
  <c r="AW10" i="13" s="1"/>
  <c r="AM9" i="13"/>
  <c r="AQ9" i="13" s="1"/>
  <c r="AW9" i="13" s="1"/>
  <c r="AM8" i="13"/>
  <c r="AM7" i="13"/>
  <c r="AV10" i="13"/>
  <c r="AU10" i="13"/>
  <c r="AV9" i="13"/>
  <c r="AV8" i="13"/>
  <c r="AU8" i="13"/>
  <c r="AQ8" i="13"/>
  <c r="AW8" i="13" s="1"/>
  <c r="AX8" i="13" l="1"/>
  <c r="AY9" i="13"/>
  <c r="AY8" i="13"/>
  <c r="AX10" i="13"/>
  <c r="AY10" i="13" s="1"/>
  <c r="M8" i="14" l="1"/>
  <c r="L8" i="14"/>
  <c r="N22" i="14"/>
  <c r="N18" i="14"/>
  <c r="N14" i="14"/>
  <c r="N11" i="14"/>
  <c r="P8" i="14"/>
  <c r="B36" i="1"/>
  <c r="M20" i="14"/>
  <c r="M21" i="14"/>
  <c r="M19" i="14"/>
  <c r="M17" i="14"/>
  <c r="M16" i="14"/>
  <c r="M15" i="14"/>
  <c r="M14" i="14"/>
  <c r="M13" i="14"/>
  <c r="M12" i="14"/>
  <c r="M11" i="14"/>
  <c r="M9" i="14"/>
  <c r="M10" i="14"/>
  <c r="J8" i="14"/>
  <c r="I10" i="14"/>
  <c r="L10" i="14"/>
  <c r="L9" i="14"/>
  <c r="K12" i="14"/>
  <c r="K9" i="14"/>
  <c r="K10" i="14"/>
  <c r="K8" i="14"/>
  <c r="J20" i="14"/>
  <c r="J21" i="14"/>
  <c r="J19" i="14"/>
  <c r="J16" i="14"/>
  <c r="J17" i="14"/>
  <c r="J15" i="14"/>
  <c r="J13" i="14"/>
  <c r="J12" i="14"/>
  <c r="J9" i="14"/>
  <c r="J10" i="14"/>
  <c r="I17" i="14"/>
  <c r="I16" i="14"/>
  <c r="I13" i="14"/>
  <c r="I9" i="14"/>
  <c r="H21" i="14"/>
  <c r="H20" i="14"/>
  <c r="H19" i="14"/>
  <c r="H17" i="14"/>
  <c r="H16" i="14"/>
  <c r="H15" i="14"/>
  <c r="H13" i="14"/>
  <c r="H12" i="14"/>
  <c r="H10" i="14"/>
  <c r="H9" i="14"/>
  <c r="H8" i="14"/>
  <c r="G20" i="14"/>
  <c r="G21" i="14"/>
  <c r="G19" i="14"/>
  <c r="G17" i="14"/>
  <c r="G16" i="14"/>
  <c r="G15" i="14"/>
  <c r="G13" i="14"/>
  <c r="G12" i="14"/>
  <c r="G10" i="14"/>
  <c r="G9" i="14"/>
  <c r="G8" i="14"/>
  <c r="A20" i="14"/>
  <c r="A21" i="14"/>
  <c r="B20" i="14"/>
  <c r="B21" i="14"/>
  <c r="B19" i="14"/>
  <c r="A19" i="14"/>
  <c r="B16" i="14"/>
  <c r="B17" i="14"/>
  <c r="A16" i="14"/>
  <c r="A17" i="14"/>
  <c r="B15" i="14"/>
  <c r="A15" i="14"/>
  <c r="A13" i="14"/>
  <c r="B13" i="14"/>
  <c r="B12" i="14"/>
  <c r="A12" i="14"/>
  <c r="B10" i="14"/>
  <c r="A10" i="14"/>
  <c r="B9" i="14"/>
  <c r="A9" i="14"/>
  <c r="B8" i="14"/>
  <c r="A8" i="14"/>
  <c r="E8" i="14"/>
  <c r="E20" i="14" l="1"/>
  <c r="E21" i="14"/>
  <c r="E19" i="14"/>
  <c r="E16" i="14"/>
  <c r="E17" i="14"/>
  <c r="E15" i="14"/>
  <c r="E13" i="14"/>
  <c r="E12" i="14"/>
  <c r="E9" i="14"/>
  <c r="E10" i="14"/>
  <c r="L21" i="14"/>
  <c r="L20" i="14"/>
  <c r="L19" i="14"/>
  <c r="L17" i="14"/>
  <c r="L15" i="14"/>
  <c r="L12" i="14"/>
  <c r="F12" i="14"/>
  <c r="F13" i="14" s="1"/>
  <c r="F15" i="14" l="1"/>
  <c r="F19" i="14" s="1"/>
  <c r="F20" i="14" s="1"/>
  <c r="L16" i="14"/>
  <c r="F16" i="14"/>
  <c r="F9" i="14"/>
  <c r="F10" i="14" s="1"/>
  <c r="L13" i="14"/>
  <c r="F17" i="14" l="1"/>
  <c r="F21" i="14"/>
  <c r="M22" i="14" l="1"/>
  <c r="M18" i="14"/>
  <c r="AI7" i="13" l="1"/>
  <c r="AF7" i="13"/>
  <c r="AE10" i="13"/>
  <c r="AE9" i="13"/>
  <c r="AE8" i="13"/>
  <c r="AE7" i="13"/>
  <c r="AH7" i="13"/>
  <c r="AF8" i="13"/>
  <c r="AF9" i="13"/>
  <c r="AF10" i="13"/>
  <c r="AC10" i="13"/>
  <c r="AC9" i="13"/>
  <c r="AC8" i="13"/>
  <c r="X10" i="13"/>
  <c r="X9" i="13"/>
  <c r="T7" i="13"/>
  <c r="T10" i="13"/>
  <c r="T9" i="13"/>
  <c r="X8" i="13"/>
  <c r="T8" i="13"/>
  <c r="X7" i="13"/>
  <c r="AH10" i="13" l="1"/>
  <c r="AI10" i="13" s="1"/>
  <c r="AH8" i="13"/>
  <c r="AH9" i="13"/>
  <c r="AI9" i="13" s="1"/>
  <c r="AI8" i="13"/>
  <c r="J9" i="13" l="1"/>
  <c r="J10" i="13"/>
  <c r="J12" i="13"/>
  <c r="J13" i="13"/>
  <c r="J16" i="13"/>
  <c r="J17" i="13"/>
  <c r="J18" i="13"/>
  <c r="J5" i="13"/>
  <c r="F17" i="13"/>
  <c r="F18" i="13"/>
  <c r="F16" i="13"/>
  <c r="F13" i="13"/>
  <c r="F14" i="13"/>
  <c r="F12" i="13"/>
  <c r="F10" i="13"/>
  <c r="F9" i="13"/>
  <c r="F6" i="13"/>
  <c r="F7" i="13"/>
  <c r="F5" i="13"/>
  <c r="L5" i="13" l="1"/>
  <c r="L9" i="13"/>
  <c r="E16" i="13"/>
  <c r="E13" i="13"/>
  <c r="E14" i="13"/>
  <c r="E12" i="13"/>
  <c r="E10" i="13"/>
  <c r="E9" i="13"/>
  <c r="E17" i="13"/>
  <c r="E18" i="13"/>
  <c r="E6" i="13"/>
  <c r="E7" i="13"/>
  <c r="E5" i="13"/>
  <c r="L17" i="13"/>
  <c r="H18" i="13"/>
  <c r="H17" i="13"/>
  <c r="H16" i="13"/>
  <c r="J14" i="13"/>
  <c r="H14" i="13"/>
  <c r="G14" i="13"/>
  <c r="H13" i="13"/>
  <c r="G13" i="13"/>
  <c r="L12" i="13"/>
  <c r="H12" i="13"/>
  <c r="G12" i="13"/>
  <c r="H10" i="13"/>
  <c r="G10" i="13"/>
  <c r="H9" i="13"/>
  <c r="G9" i="13"/>
  <c r="L15" i="13" l="1"/>
  <c r="L14" i="13"/>
  <c r="L10" i="13"/>
  <c r="L11" i="13" s="1"/>
  <c r="L13" i="13"/>
  <c r="L16" i="13"/>
  <c r="L19" i="13" s="1"/>
  <c r="L18" i="13"/>
  <c r="J6" i="13"/>
  <c r="L6" i="13" s="1"/>
  <c r="J7" i="13"/>
  <c r="H6" i="13"/>
  <c r="H5" i="13"/>
  <c r="L8" i="13" l="1"/>
  <c r="AC7" i="13" s="1"/>
  <c r="H7" i="13"/>
  <c r="G6" i="13"/>
  <c r="G7" i="13"/>
  <c r="G5" i="13"/>
  <c r="L7" i="13"/>
  <c r="D5" i="13"/>
  <c r="J44" i="12" l="1"/>
  <c r="J45" i="12"/>
  <c r="J46" i="12"/>
  <c r="I45" i="12"/>
  <c r="I46" i="12"/>
  <c r="I44" i="12"/>
  <c r="G44" i="12"/>
  <c r="F44" i="12"/>
  <c r="H31" i="12"/>
  <c r="H32" i="12"/>
  <c r="F45" i="12" s="1"/>
  <c r="H33" i="12"/>
  <c r="F46" i="12" s="1"/>
  <c r="H34" i="12"/>
  <c r="H35" i="12"/>
  <c r="H30" i="12"/>
  <c r="G31" i="12"/>
  <c r="G32" i="12"/>
  <c r="G33" i="12"/>
  <c r="G34" i="12"/>
  <c r="G35" i="12"/>
  <c r="G30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17" i="12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F21" i="12" l="1"/>
  <c r="F19" i="12"/>
  <c r="E30" i="12"/>
  <c r="F17" i="12"/>
  <c r="G17" i="12" s="1"/>
  <c r="G21" i="12"/>
  <c r="G19" i="12"/>
  <c r="F22" i="12"/>
  <c r="G22" i="12" s="1"/>
  <c r="F20" i="12"/>
  <c r="G20" i="12" s="1"/>
  <c r="F18" i="12"/>
  <c r="G18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17" i="12" s="1"/>
  <c r="C30" i="12" s="1"/>
  <c r="B6" i="12"/>
  <c r="B31" i="12" s="1"/>
  <c r="B7" i="12"/>
  <c r="B32" i="12" s="1"/>
  <c r="F32" i="12" s="1"/>
  <c r="B8" i="12"/>
  <c r="B33" i="12" s="1"/>
  <c r="B9" i="12"/>
  <c r="B34" i="12" s="1"/>
  <c r="F34" i="12" s="1"/>
  <c r="J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G23" i="12" l="1"/>
  <c r="D45" i="12"/>
  <c r="E45" i="12" s="1"/>
  <c r="J32" i="12"/>
  <c r="E10" i="12"/>
  <c r="E8" i="12"/>
  <c r="E6" i="12"/>
  <c r="E5" i="12"/>
  <c r="B30" i="12"/>
  <c r="F30" i="12" s="1"/>
  <c r="J30" i="12" s="1"/>
  <c r="F35" i="12"/>
  <c r="J35" i="12" s="1"/>
  <c r="F33" i="12"/>
  <c r="F31" i="12"/>
  <c r="E9" i="12"/>
  <c r="E7" i="12"/>
  <c r="L23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33" i="12" l="1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44" i="12"/>
  <c r="E44" i="12" s="1"/>
  <c r="J31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K8" i="12" l="1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1" i="11" l="1"/>
  <c r="L14" i="11"/>
  <c r="I9" i="10"/>
  <c r="H9" i="10"/>
  <c r="F17" i="10"/>
  <c r="F14" i="10"/>
  <c r="H14" i="10" s="1"/>
  <c r="F13" i="10"/>
  <c r="H13" i="10" s="1"/>
  <c r="F6" i="10"/>
  <c r="H6" i="10" s="1"/>
  <c r="E9" i="10"/>
  <c r="F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7" i="8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comments1.xml><?xml version="1.0" encoding="utf-8"?>
<comments xmlns="http://schemas.openxmlformats.org/spreadsheetml/2006/main">
  <authors>
    <author>Автор</author>
  </authors>
  <commentLis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</commentList>
</comments>
</file>

<file path=xl/sharedStrings.xml><?xml version="1.0" encoding="utf-8"?>
<sst xmlns="http://schemas.openxmlformats.org/spreadsheetml/2006/main" count="560" uniqueCount="272">
  <si>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</si>
  <si>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</si>
  <si>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</si>
  <si>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</si>
  <si>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</si>
  <si>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</si>
  <si>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</si>
  <si>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</si>
  <si>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</si>
  <si>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</si>
  <si>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</si>
  <si>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</si>
  <si>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</si>
  <si>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</si>
  <si>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</si>
  <si>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</si>
  <si>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</si>
  <si>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</si>
  <si>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</si>
  <si>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</si>
  <si>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</si>
  <si>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</si>
  <si>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</si>
  <si>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</si>
  <si>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</si>
  <si>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</si>
  <si>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</si>
  <si>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</si>
  <si>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</si>
  <si>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</si>
  <si>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</si>
  <si>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</si>
  <si>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</si>
  <si>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</si>
  <si>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</si>
  <si>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</si>
  <si>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</si>
  <si>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</si>
  <si>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</si>
  <si>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</si>
  <si>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</si>
  <si>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</si>
  <si>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</si>
  <si>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</si>
  <si>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</si>
  <si>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</si>
  <si>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</si>
  <si>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</si>
  <si>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</si>
  <si>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</si>
  <si>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</si>
  <si>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</si>
  <si>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</si>
  <si>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</si>
  <si>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</si>
  <si>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</si>
  <si>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</si>
  <si>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</si>
  <si>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</si>
  <si>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</si>
  <si>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</si>
  <si>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</si>
  <si>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</si>
  <si>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</si>
  <si>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</si>
  <si>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</si>
  <si>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</si>
  <si>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</si>
  <si>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</si>
  <si>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</si>
  <si>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</si>
  <si>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</si>
  <si>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</si>
  <si>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</si>
  <si>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</si>
  <si>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</si>
  <si>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</si>
  <si>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</si>
  <si>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</si>
  <si>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</si>
  <si>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</si>
  <si>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</si>
  <si>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</si>
  <si>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</si>
  <si>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</si>
  <si>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</si>
  <si>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</si>
  <si>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</si>
  <si>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</si>
  <si>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</si>
  <si>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</si>
  <si>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</si>
  <si>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</si>
  <si>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</si>
  <si>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</si>
  <si>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</si>
  <si>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</si>
  <si>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</si>
  <si>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</si>
  <si>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</si>
  <si>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</si>
  <si>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</si>
  <si>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</si>
  <si>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</si>
  <si>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</si>
  <si>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</si>
  <si>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</si>
  <si>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</si>
  <si>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</si>
  <si>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</si>
  <si>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</si>
  <si>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</si>
  <si>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</si>
  <si>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</si>
  <si>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</si>
  <si>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</si>
  <si>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</si>
  <si>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</si>
  <si>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</si>
  <si>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</si>
  <si>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</si>
  <si>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</si>
  <si>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</si>
  <si>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</si>
  <si>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</si>
  <si>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</si>
  <si>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</si>
  <si>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</si>
  <si>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</si>
  <si>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</si>
  <si>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</si>
  <si>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</si>
  <si>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</si>
  <si>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</si>
  <si>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</si>
  <si>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</si>
  <si>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</si>
  <si>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</si>
  <si>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</si>
  <si>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</si>
  <si>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</si>
  <si>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</si>
  <si>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</si>
  <si>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</si>
  <si>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</si>
  <si>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</si>
  <si>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</si>
  <si>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</si>
  <si>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</si>
  <si>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</si>
  <si>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</si>
  <si>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</si>
  <si>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</si>
  <si>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</si>
  <si>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</si>
  <si>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</si>
  <si>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</si>
  <si>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</si>
  <si>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</si>
  <si>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</si>
  <si>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</si>
  <si>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</si>
  <si>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</si>
  <si>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</si>
  <si>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</si>
  <si>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</si>
  <si>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</si>
  <si>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</si>
  <si>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</si>
  <si>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</si>
  <si>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</si>
  <si>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</si>
  <si>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</si>
  <si>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</si>
  <si>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</si>
  <si>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</si>
  <si>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</si>
  <si>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</si>
  <si>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</si>
  <si>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</si>
  <si>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</si>
  <si>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</si>
  <si>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ТРДН</t>
  </si>
  <si>
    <t>атдцтн</t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</si>
  <si>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</si>
  <si>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</si>
  <si>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</si>
  <si>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</si>
  <si>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</si>
  <si>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</si>
  <si>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</si>
  <si>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</si>
  <si>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</si>
  <si>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</si>
  <si>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</si>
  <si>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</si>
  <si>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</si>
  <si>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</si>
  <si>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</si>
  <si>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</si>
  <si>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</si>
  <si>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</si>
  <si>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</si>
  <si>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</si>
  <si>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</si>
  <si>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ТДТН</t>
  </si>
  <si>
    <t>ТДТН-25000/220/35/10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</si>
  <si>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</si>
  <si>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</si>
  <si>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</si>
  <si>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</si>
  <si>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</si>
  <si>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</si>
  <si>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</si>
  <si>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</si>
  <si>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</si>
  <si>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</si>
  <si>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</si>
  <si>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</si>
  <si>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</si>
  <si>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</si>
  <si>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</si>
  <si>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</si>
  <si>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заміна на ТДН - 16000/110/35 допустима </t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</si>
  <si>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</si>
  <si>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</si>
  <si>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</si>
  <si>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</si>
  <si>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</si>
  <si>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</si>
  <si>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</si>
  <si>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</si>
  <si>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</si>
  <si>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 тис. у.о.</t>
    </r>
  </si>
  <si>
    <t>Тип ВРП ЦП</t>
  </si>
  <si>
    <t>,</t>
  </si>
  <si>
    <t>тис.</t>
  </si>
  <si>
    <t>Тип ВРП СПС</t>
  </si>
  <si>
    <t>тис.у.о</t>
  </si>
  <si>
    <t>шт.</t>
  </si>
  <si>
    <t>тис.у.о.</t>
  </si>
  <si>
    <t>у.о.</t>
  </si>
  <si>
    <t>шт</t>
  </si>
  <si>
    <t>2СШ з ОСШ 110кВ</t>
  </si>
  <si>
    <t>Місток 110 кВ</t>
  </si>
  <si>
    <t>Блок W-T 110 кВ</t>
  </si>
  <si>
    <t>ІІ</t>
  </si>
  <si>
    <r>
      <t>К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>, тис.у.о</t>
    </r>
  </si>
  <si>
    <t>, %</t>
  </si>
  <si>
    <t>, тис.у.о.рік</t>
  </si>
  <si>
    <r>
      <t>К</t>
    </r>
    <r>
      <rPr>
        <vertAlign val="subscript"/>
        <sz val="14"/>
        <color theme="1"/>
        <rFont val="Times New Roman"/>
        <family val="1"/>
        <charset val="204"/>
      </rPr>
      <t>обл</t>
    </r>
    <r>
      <rPr>
        <sz val="14"/>
        <color theme="1"/>
        <rFont val="Times New Roman"/>
        <family val="1"/>
        <charset val="204"/>
      </rPr>
      <t>, тис. у.о.</t>
    </r>
  </si>
  <si>
    <t>,%</t>
  </si>
  <si>
    <t>,тис.у.о.рік</t>
  </si>
  <si>
    <t>Найм. ділянки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</si>
  <si>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г</t>
    </r>
  </si>
  <si>
    <t>Тm</t>
  </si>
  <si>
    <t>tayM=</t>
  </si>
  <si>
    <t>,Ом км</t>
  </si>
  <si>
    <t>,км</t>
  </si>
  <si>
    <t>Гру-</t>
  </si>
  <si>
    <t>Варі-</t>
  </si>
  <si>
    <t>К,</t>
  </si>
  <si>
    <r>
      <t>В</t>
    </r>
    <r>
      <rPr>
        <vertAlign val="subscript"/>
        <sz val="14"/>
        <color theme="1"/>
        <rFont val="Times New Roman"/>
        <family val="1"/>
        <charset val="204"/>
      </rPr>
      <t>пост</t>
    </r>
    <r>
      <rPr>
        <sz val="14"/>
        <color theme="1"/>
        <rFont val="Times New Roman"/>
        <family val="1"/>
        <charset val="204"/>
      </rPr>
      <t>,</t>
    </r>
  </si>
  <si>
    <t>В,</t>
  </si>
  <si>
    <t>З,</t>
  </si>
  <si>
    <t>Е,</t>
  </si>
  <si>
    <r>
      <t>Е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>,</t>
    </r>
  </si>
  <si>
    <t>тис. грн.</t>
  </si>
  <si>
    <t>Па</t>
  </si>
  <si>
    <t>тис.грн.</t>
  </si>
  <si>
    <t>%</t>
  </si>
  <si>
    <t>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</si>
</sst>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12" fillId="0" borderId="25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top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1" fillId="0" borderId="2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1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9" fillId="0" borderId="42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0" fillId="0" borderId="48" xfId="0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28.wmf"/><Relationship Id="rId13" Type="http://schemas.openxmlformats.org/officeDocument/2006/relationships/image" Target="../media/image33.wmf"/><Relationship Id="rId3" Type="http://schemas.openxmlformats.org/officeDocument/2006/relationships/image" Target="../media/image23.wmf"/><Relationship Id="rId7" Type="http://schemas.openxmlformats.org/officeDocument/2006/relationships/image" Target="../media/image27.wmf"/><Relationship Id="rId12" Type="http://schemas.openxmlformats.org/officeDocument/2006/relationships/image" Target="../media/image32.wmf"/><Relationship Id="rId17" Type="http://schemas.openxmlformats.org/officeDocument/2006/relationships/image" Target="../media/image37.emf"/><Relationship Id="rId2" Type="http://schemas.openxmlformats.org/officeDocument/2006/relationships/image" Target="../media/image22.wmf"/><Relationship Id="rId16" Type="http://schemas.openxmlformats.org/officeDocument/2006/relationships/image" Target="../media/image36.wmf"/><Relationship Id="rId1" Type="http://schemas.openxmlformats.org/officeDocument/2006/relationships/image" Target="../media/image21.wmf"/><Relationship Id="rId6" Type="http://schemas.openxmlformats.org/officeDocument/2006/relationships/image" Target="../media/image26.wmf"/><Relationship Id="rId11" Type="http://schemas.openxmlformats.org/officeDocument/2006/relationships/image" Target="../media/image31.wmf"/><Relationship Id="rId5" Type="http://schemas.openxmlformats.org/officeDocument/2006/relationships/image" Target="../media/image25.wmf"/><Relationship Id="rId15" Type="http://schemas.openxmlformats.org/officeDocument/2006/relationships/image" Target="../media/image35.wmf"/><Relationship Id="rId10" Type="http://schemas.openxmlformats.org/officeDocument/2006/relationships/image" Target="../media/image30.wmf"/><Relationship Id="rId4" Type="http://schemas.openxmlformats.org/officeDocument/2006/relationships/image" Target="../media/image24.wmf"/><Relationship Id="rId9" Type="http://schemas.openxmlformats.org/officeDocument/2006/relationships/image" Target="../media/image29.wmf"/><Relationship Id="rId14" Type="http://schemas.openxmlformats.org/officeDocument/2006/relationships/image" Target="../media/image34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45.wmf"/><Relationship Id="rId3" Type="http://schemas.openxmlformats.org/officeDocument/2006/relationships/image" Target="../media/image40.wmf"/><Relationship Id="rId7" Type="http://schemas.openxmlformats.org/officeDocument/2006/relationships/image" Target="../media/image44.wmf"/><Relationship Id="rId2" Type="http://schemas.openxmlformats.org/officeDocument/2006/relationships/image" Target="../media/image39.wmf"/><Relationship Id="rId1" Type="http://schemas.openxmlformats.org/officeDocument/2006/relationships/image" Target="../media/image38.wmf"/><Relationship Id="rId6" Type="http://schemas.openxmlformats.org/officeDocument/2006/relationships/image" Target="../media/image43.wmf"/><Relationship Id="rId5" Type="http://schemas.openxmlformats.org/officeDocument/2006/relationships/image" Target="../media/image42.wmf"/><Relationship Id="rId4" Type="http://schemas.openxmlformats.org/officeDocument/2006/relationships/image" Target="../media/image4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</xdr:colOff>
          <xdr:row>3</xdr:row>
          <xdr:rowOff>133350</xdr:rowOff>
        </xdr:from>
        <xdr:to>
          <xdr:col>17</xdr:col>
          <xdr:colOff>428625</xdr:colOff>
          <xdr:row>3</xdr:row>
          <xdr:rowOff>447675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104775</xdr:colOff>
          <xdr:row>3</xdr:row>
          <xdr:rowOff>152400</xdr:rowOff>
        </xdr:from>
        <xdr:to>
          <xdr:col>18</xdr:col>
          <xdr:colOff>561975</xdr:colOff>
          <xdr:row>3</xdr:row>
          <xdr:rowOff>466725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</xdr:colOff>
          <xdr:row>3</xdr:row>
          <xdr:rowOff>104775</xdr:rowOff>
        </xdr:from>
        <xdr:to>
          <xdr:col>19</xdr:col>
          <xdr:colOff>419100</xdr:colOff>
          <xdr:row>3</xdr:row>
          <xdr:rowOff>419100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</xdr:row>
          <xdr:rowOff>142875</xdr:rowOff>
        </xdr:from>
        <xdr:to>
          <xdr:col>21</xdr:col>
          <xdr:colOff>485775</xdr:colOff>
          <xdr:row>3</xdr:row>
          <xdr:rowOff>400050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</xdr:row>
          <xdr:rowOff>104775</xdr:rowOff>
        </xdr:from>
        <xdr:to>
          <xdr:col>22</xdr:col>
          <xdr:colOff>552450</xdr:colOff>
          <xdr:row>3</xdr:row>
          <xdr:rowOff>381000</xdr:rowOff>
        </xdr:to>
        <xdr:sp macro="" textlink="">
          <xdr:nvSpPr>
            <xdr:cNvPr id="24581" name="Object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85725</xdr:colOff>
          <xdr:row>3</xdr:row>
          <xdr:rowOff>114300</xdr:rowOff>
        </xdr:from>
        <xdr:to>
          <xdr:col>23</xdr:col>
          <xdr:colOff>485775</xdr:colOff>
          <xdr:row>3</xdr:row>
          <xdr:rowOff>381000</xdr:rowOff>
        </xdr:to>
        <xdr:sp macro="" textlink="">
          <xdr:nvSpPr>
            <xdr:cNvPr id="24582" name="Object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171450</xdr:colOff>
          <xdr:row>3</xdr:row>
          <xdr:rowOff>133350</xdr:rowOff>
        </xdr:from>
        <xdr:to>
          <xdr:col>29</xdr:col>
          <xdr:colOff>400050</xdr:colOff>
          <xdr:row>3</xdr:row>
          <xdr:rowOff>381000</xdr:rowOff>
        </xdr:to>
        <xdr:sp macro="" textlink="">
          <xdr:nvSpPr>
            <xdr:cNvPr id="24595" name="Object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161925</xdr:colOff>
          <xdr:row>3</xdr:row>
          <xdr:rowOff>66675</xdr:rowOff>
        </xdr:from>
        <xdr:to>
          <xdr:col>30</xdr:col>
          <xdr:colOff>523875</xdr:colOff>
          <xdr:row>3</xdr:row>
          <xdr:rowOff>342900</xdr:rowOff>
        </xdr:to>
        <xdr:sp macro="" textlink="">
          <xdr:nvSpPr>
            <xdr:cNvPr id="24596" name="Object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142875</xdr:colOff>
          <xdr:row>3</xdr:row>
          <xdr:rowOff>123825</xdr:rowOff>
        </xdr:from>
        <xdr:to>
          <xdr:col>32</xdr:col>
          <xdr:colOff>428625</xdr:colOff>
          <xdr:row>3</xdr:row>
          <xdr:rowOff>390525</xdr:rowOff>
        </xdr:to>
        <xdr:sp macro="" textlink="">
          <xdr:nvSpPr>
            <xdr:cNvPr id="24597" name="Object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161925</xdr:colOff>
          <xdr:row>3</xdr:row>
          <xdr:rowOff>76200</xdr:rowOff>
        </xdr:from>
        <xdr:to>
          <xdr:col>33</xdr:col>
          <xdr:colOff>476250</xdr:colOff>
          <xdr:row>3</xdr:row>
          <xdr:rowOff>333375</xdr:rowOff>
        </xdr:to>
        <xdr:sp macro="" textlink="">
          <xdr:nvSpPr>
            <xdr:cNvPr id="24598" name="Object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104775</xdr:colOff>
          <xdr:row>3</xdr:row>
          <xdr:rowOff>76200</xdr:rowOff>
        </xdr:from>
        <xdr:to>
          <xdr:col>34</xdr:col>
          <xdr:colOff>514350</xdr:colOff>
          <xdr:row>3</xdr:row>
          <xdr:rowOff>333375</xdr:rowOff>
        </xdr:to>
        <xdr:sp macro="" textlink="">
          <xdr:nvSpPr>
            <xdr:cNvPr id="24599" name="Object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0</xdr:row>
          <xdr:rowOff>180975</xdr:rowOff>
        </xdr:from>
        <xdr:to>
          <xdr:col>38</xdr:col>
          <xdr:colOff>381000</xdr:colOff>
          <xdr:row>2</xdr:row>
          <xdr:rowOff>38100</xdr:rowOff>
        </xdr:to>
        <xdr:sp macro="" textlink="">
          <xdr:nvSpPr>
            <xdr:cNvPr id="24600" name="Object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9525</xdr:colOff>
          <xdr:row>0</xdr:row>
          <xdr:rowOff>171450</xdr:rowOff>
        </xdr:from>
        <xdr:to>
          <xdr:col>39</xdr:col>
          <xdr:colOff>428625</xdr:colOff>
          <xdr:row>2</xdr:row>
          <xdr:rowOff>28575</xdr:rowOff>
        </xdr:to>
        <xdr:sp macro="" textlink="">
          <xdr:nvSpPr>
            <xdr:cNvPr id="24601" name="Object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38100</xdr:colOff>
          <xdr:row>0</xdr:row>
          <xdr:rowOff>104775</xdr:rowOff>
        </xdr:from>
        <xdr:to>
          <xdr:col>40</xdr:col>
          <xdr:colOff>419100</xdr:colOff>
          <xdr:row>1</xdr:row>
          <xdr:rowOff>152400</xdr:rowOff>
        </xdr:to>
        <xdr:sp macro="" textlink="">
          <xdr:nvSpPr>
            <xdr:cNvPr id="24602" name="Object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0</xdr:colOff>
          <xdr:row>0</xdr:row>
          <xdr:rowOff>47625</xdr:rowOff>
        </xdr:from>
        <xdr:to>
          <xdr:col>41</xdr:col>
          <xdr:colOff>400050</xdr:colOff>
          <xdr:row>1</xdr:row>
          <xdr:rowOff>104775</xdr:rowOff>
        </xdr:to>
        <xdr:sp macro="" textlink="">
          <xdr:nvSpPr>
            <xdr:cNvPr id="24603" name="Object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19050</xdr:colOff>
          <xdr:row>0</xdr:row>
          <xdr:rowOff>104775</xdr:rowOff>
        </xdr:from>
        <xdr:to>
          <xdr:col>42</xdr:col>
          <xdr:colOff>381000</xdr:colOff>
          <xdr:row>1</xdr:row>
          <xdr:rowOff>152400</xdr:rowOff>
        </xdr:to>
        <xdr:sp macro="" textlink="">
          <xdr:nvSpPr>
            <xdr:cNvPr id="24604" name="Object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19050</xdr:colOff>
          <xdr:row>1</xdr:row>
          <xdr:rowOff>9525</xdr:rowOff>
        </xdr:from>
        <xdr:to>
          <xdr:col>48</xdr:col>
          <xdr:colOff>381000</xdr:colOff>
          <xdr:row>2</xdr:row>
          <xdr:rowOff>66675</xdr:rowOff>
        </xdr:to>
        <xdr:sp macro="" textlink="">
          <xdr:nvSpPr>
            <xdr:cNvPr id="24605" name="Object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142875</xdr:colOff>
          <xdr:row>3</xdr:row>
          <xdr:rowOff>9525</xdr:rowOff>
        </xdr:from>
        <xdr:to>
          <xdr:col>5</xdr:col>
          <xdr:colOff>542925</xdr:colOff>
          <xdr:row>3</xdr:row>
          <xdr:rowOff>219075</xdr:rowOff>
        </xdr:to>
        <xdr:sp macro="" textlink="">
          <xdr:nvSpPr>
            <xdr:cNvPr id="25613" name="Object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2</xdr:row>
          <xdr:rowOff>47625</xdr:rowOff>
        </xdr:from>
        <xdr:to>
          <xdr:col>7</xdr:col>
          <xdr:colOff>9525</xdr:colOff>
          <xdr:row>3</xdr:row>
          <xdr:rowOff>247650</xdr:rowOff>
        </xdr:to>
        <xdr:sp macro="" textlink="">
          <xdr:nvSpPr>
            <xdr:cNvPr id="25614" name="Object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</xdr:row>
          <xdr:rowOff>152400</xdr:rowOff>
        </xdr:from>
        <xdr:to>
          <xdr:col>9</xdr:col>
          <xdr:colOff>228600</xdr:colOff>
          <xdr:row>3</xdr:row>
          <xdr:rowOff>171450</xdr:rowOff>
        </xdr:to>
        <xdr:sp macro="" textlink="">
          <xdr:nvSpPr>
            <xdr:cNvPr id="25615" name="Object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3</xdr:row>
          <xdr:rowOff>28575</xdr:rowOff>
        </xdr:from>
        <xdr:to>
          <xdr:col>9</xdr:col>
          <xdr:colOff>561975</xdr:colOff>
          <xdr:row>3</xdr:row>
          <xdr:rowOff>219075</xdr:rowOff>
        </xdr:to>
        <xdr:sp macro="" textlink="">
          <xdr:nvSpPr>
            <xdr:cNvPr id="25616" name="Object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238125</xdr:colOff>
          <xdr:row>2</xdr:row>
          <xdr:rowOff>161925</xdr:rowOff>
        </xdr:from>
        <xdr:to>
          <xdr:col>10</xdr:col>
          <xdr:colOff>381000</xdr:colOff>
          <xdr:row>3</xdr:row>
          <xdr:rowOff>123825</xdr:rowOff>
        </xdr:to>
        <xdr:sp macro="" textlink="">
          <xdr:nvSpPr>
            <xdr:cNvPr id="25617" name="Object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209550</xdr:colOff>
          <xdr:row>2</xdr:row>
          <xdr:rowOff>85725</xdr:rowOff>
        </xdr:from>
        <xdr:to>
          <xdr:col>11</xdr:col>
          <xdr:colOff>533400</xdr:colOff>
          <xdr:row>3</xdr:row>
          <xdr:rowOff>123825</xdr:rowOff>
        </xdr:to>
        <xdr:sp macro="" textlink="">
          <xdr:nvSpPr>
            <xdr:cNvPr id="25618" name="Object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219075</xdr:colOff>
          <xdr:row>2</xdr:row>
          <xdr:rowOff>142875</xdr:rowOff>
        </xdr:from>
        <xdr:to>
          <xdr:col>12</xdr:col>
          <xdr:colOff>628650</xdr:colOff>
          <xdr:row>3</xdr:row>
          <xdr:rowOff>171450</xdr:rowOff>
        </xdr:to>
        <xdr:sp macro="" textlink="">
          <xdr:nvSpPr>
            <xdr:cNvPr id="25619" name="Object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219075</xdr:colOff>
          <xdr:row>2</xdr:row>
          <xdr:rowOff>171450</xdr:rowOff>
        </xdr:from>
        <xdr:to>
          <xdr:col>13</xdr:col>
          <xdr:colOff>581025</xdr:colOff>
          <xdr:row>3</xdr:row>
          <xdr:rowOff>190500</xdr:rowOff>
        </xdr:to>
        <xdr:sp macro="" textlink="">
          <xdr:nvSpPr>
            <xdr:cNvPr id="25620" name="Object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8.emf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.wmf"/><Relationship Id="rId18" Type="http://schemas.openxmlformats.org/officeDocument/2006/relationships/oleObject" Target="../embeddings/oleObject14.bin"/><Relationship Id="rId26" Type="http://schemas.openxmlformats.org/officeDocument/2006/relationships/oleObject" Target="../embeddings/oleObject18.bin"/><Relationship Id="rId21" Type="http://schemas.openxmlformats.org/officeDocument/2006/relationships/image" Target="../media/image29.wmf"/><Relationship Id="rId34" Type="http://schemas.openxmlformats.org/officeDocument/2006/relationships/oleObject" Target="../embeddings/oleObject22.bin"/><Relationship Id="rId7" Type="http://schemas.openxmlformats.org/officeDocument/2006/relationships/image" Target="../media/image22.wmf"/><Relationship Id="rId12" Type="http://schemas.openxmlformats.org/officeDocument/2006/relationships/oleObject" Target="../embeddings/oleObject11.bin"/><Relationship Id="rId17" Type="http://schemas.openxmlformats.org/officeDocument/2006/relationships/image" Target="../media/image27.wmf"/><Relationship Id="rId25" Type="http://schemas.openxmlformats.org/officeDocument/2006/relationships/image" Target="../media/image31.wmf"/><Relationship Id="rId33" Type="http://schemas.openxmlformats.org/officeDocument/2006/relationships/image" Target="../media/image35.w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5.bin"/><Relationship Id="rId29" Type="http://schemas.openxmlformats.org/officeDocument/2006/relationships/image" Target="../media/image33.wmf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24.wmf"/><Relationship Id="rId24" Type="http://schemas.openxmlformats.org/officeDocument/2006/relationships/oleObject" Target="../embeddings/oleObject17.bin"/><Relationship Id="rId32" Type="http://schemas.openxmlformats.org/officeDocument/2006/relationships/oleObject" Target="../embeddings/oleObject21.bin"/><Relationship Id="rId37" Type="http://schemas.openxmlformats.org/officeDocument/2006/relationships/image" Target="../media/image37.emf"/><Relationship Id="rId5" Type="http://schemas.openxmlformats.org/officeDocument/2006/relationships/image" Target="../media/image21.wmf"/><Relationship Id="rId15" Type="http://schemas.openxmlformats.org/officeDocument/2006/relationships/image" Target="../media/image26.wmf"/><Relationship Id="rId23" Type="http://schemas.openxmlformats.org/officeDocument/2006/relationships/image" Target="../media/image30.wmf"/><Relationship Id="rId28" Type="http://schemas.openxmlformats.org/officeDocument/2006/relationships/oleObject" Target="../embeddings/oleObject19.bin"/><Relationship Id="rId36" Type="http://schemas.openxmlformats.org/officeDocument/2006/relationships/oleObject" Target="../embeddings/oleObject23.bin"/><Relationship Id="rId10" Type="http://schemas.openxmlformats.org/officeDocument/2006/relationships/oleObject" Target="../embeddings/oleObject10.bin"/><Relationship Id="rId19" Type="http://schemas.openxmlformats.org/officeDocument/2006/relationships/image" Target="../media/image28.wmf"/><Relationship Id="rId31" Type="http://schemas.openxmlformats.org/officeDocument/2006/relationships/image" Target="../media/image34.e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23.wmf"/><Relationship Id="rId14" Type="http://schemas.openxmlformats.org/officeDocument/2006/relationships/oleObject" Target="../embeddings/oleObject12.bin"/><Relationship Id="rId22" Type="http://schemas.openxmlformats.org/officeDocument/2006/relationships/oleObject" Target="../embeddings/oleObject16.bin"/><Relationship Id="rId27" Type="http://schemas.openxmlformats.org/officeDocument/2006/relationships/image" Target="../media/image32.wmf"/><Relationship Id="rId30" Type="http://schemas.openxmlformats.org/officeDocument/2006/relationships/oleObject" Target="../embeddings/oleObject20.bin"/><Relationship Id="rId35" Type="http://schemas.openxmlformats.org/officeDocument/2006/relationships/image" Target="../media/image36.wmf"/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6.bin"/><Relationship Id="rId13" Type="http://schemas.openxmlformats.org/officeDocument/2006/relationships/image" Target="../media/image42.wmf"/><Relationship Id="rId18" Type="http://schemas.openxmlformats.org/officeDocument/2006/relationships/oleObject" Target="../embeddings/oleObject31.bin"/><Relationship Id="rId3" Type="http://schemas.openxmlformats.org/officeDocument/2006/relationships/vmlDrawing" Target="../drawings/vmlDrawing9.vml"/><Relationship Id="rId7" Type="http://schemas.openxmlformats.org/officeDocument/2006/relationships/image" Target="../media/image39.wmf"/><Relationship Id="rId12" Type="http://schemas.openxmlformats.org/officeDocument/2006/relationships/oleObject" Target="../embeddings/oleObject28.bin"/><Relationship Id="rId17" Type="http://schemas.openxmlformats.org/officeDocument/2006/relationships/image" Target="../media/image44.w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30.bin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25.bin"/><Relationship Id="rId11" Type="http://schemas.openxmlformats.org/officeDocument/2006/relationships/image" Target="../media/image41.wmf"/><Relationship Id="rId5" Type="http://schemas.openxmlformats.org/officeDocument/2006/relationships/image" Target="../media/image38.wmf"/><Relationship Id="rId15" Type="http://schemas.openxmlformats.org/officeDocument/2006/relationships/image" Target="../media/image43.wmf"/><Relationship Id="rId10" Type="http://schemas.openxmlformats.org/officeDocument/2006/relationships/oleObject" Target="../embeddings/oleObject27.bin"/><Relationship Id="rId19" Type="http://schemas.openxmlformats.org/officeDocument/2006/relationships/image" Target="../media/image45.wmf"/><Relationship Id="rId4" Type="http://schemas.openxmlformats.org/officeDocument/2006/relationships/oleObject" Target="../embeddings/oleObject24.bin"/><Relationship Id="rId9" Type="http://schemas.openxmlformats.org/officeDocument/2006/relationships/image" Target="../media/image40.wmf"/><Relationship Id="rId14" Type="http://schemas.openxmlformats.org/officeDocument/2006/relationships/oleObject" Target="../embeddings/oleObject2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2" workbookViewId="0">
      <selection activeCell="B37" sqref="B37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89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89" t="s">
        <v>10</v>
      </c>
      <c r="H2" s="2"/>
      <c r="M2" s="1"/>
    </row>
    <row r="3" spans="1:13" x14ac:dyDescent="0.25">
      <c r="A3" s="89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89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89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89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4" spans="1:2" x14ac:dyDescent="0.25">
      <c r="A34" t="s">
        <v>255</v>
      </c>
      <c r="B34">
        <v>7100</v>
      </c>
    </row>
    <row r="36" spans="1:2" x14ac:dyDescent="0.25">
      <c r="A36" t="s">
        <v>256</v>
      </c>
      <c r="B36">
        <f>ROUND((0.124+B34/10000)^2*8760,0)</f>
        <v>6093</v>
      </c>
    </row>
    <row r="38" spans="1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workbookViewId="0">
      <selection activeCell="L10" sqref="L10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22.28515625" customWidth="1"/>
    <col min="9" max="9" width="13.42578125" customWidth="1"/>
    <col min="10" max="10" width="19.42578125" customWidth="1"/>
    <col min="11" max="11" width="23" customWidth="1"/>
  </cols>
  <sheetData>
    <row r="2" spans="1:12" ht="15.75" thickBot="1" x14ac:dyDescent="0.3">
      <c r="C2" t="s">
        <v>184</v>
      </c>
    </row>
    <row r="3" spans="1:12" ht="30.75" customHeight="1" x14ac:dyDescent="0.25">
      <c r="C3" s="99" t="s">
        <v>173</v>
      </c>
      <c r="D3" s="65" t="s">
        <v>174</v>
      </c>
      <c r="E3" s="99" t="s">
        <v>175</v>
      </c>
      <c r="F3" s="99" t="s">
        <v>176</v>
      </c>
      <c r="G3" s="99" t="s">
        <v>177</v>
      </c>
      <c r="H3" s="99" t="s">
        <v>178</v>
      </c>
      <c r="I3" s="127" t="s">
        <v>179</v>
      </c>
      <c r="J3" s="127" t="s">
        <v>180</v>
      </c>
      <c r="K3" s="127" t="s">
        <v>181</v>
      </c>
    </row>
    <row r="4" spans="1:12" ht="19.5" thickBot="1" x14ac:dyDescent="0.3">
      <c r="C4" s="104"/>
      <c r="D4" s="33" t="s">
        <v>9</v>
      </c>
      <c r="E4" s="98"/>
      <c r="F4" s="98"/>
      <c r="G4" s="98"/>
      <c r="H4" s="98"/>
      <c r="I4" s="131"/>
      <c r="J4" s="131"/>
      <c r="K4" s="131"/>
    </row>
    <row r="5" spans="1:12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6" t="str">
        <f>COMPLEX(A5,B5)</f>
        <v>146.15+103.7i</v>
      </c>
      <c r="F5" s="68">
        <f>IMABS(E5)</f>
        <v>179.20243441426791</v>
      </c>
      <c r="G5" s="68">
        <f>0.7*F5</f>
        <v>125.44170408998752</v>
      </c>
      <c r="H5" s="66">
        <v>125</v>
      </c>
      <c r="I5" s="66">
        <v>2</v>
      </c>
      <c r="J5" s="67">
        <f>F5/I5/H5</f>
        <v>0.71680973765707168</v>
      </c>
      <c r="K5" s="67">
        <f>F5/H5</f>
        <v>1.4336194753141434</v>
      </c>
      <c r="L5" t="s">
        <v>183</v>
      </c>
    </row>
    <row r="6" spans="1:12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6" t="str">
        <f t="shared" ref="E6:E10" si="0">COMPLEX(A6,B6)</f>
        <v>20+13i</v>
      </c>
      <c r="F6" s="68">
        <f t="shared" ref="F6:F10" si="1">IMABS(E6)</f>
        <v>23.853720883753127</v>
      </c>
      <c r="G6" s="68">
        <f t="shared" ref="G6:G9" si="2">0.7*F6</f>
        <v>16.697604618627189</v>
      </c>
      <c r="H6" s="71">
        <v>25</v>
      </c>
      <c r="I6" s="66">
        <v>2</v>
      </c>
      <c r="J6" s="67">
        <f>F6/I6/H6</f>
        <v>0.47707441767506253</v>
      </c>
      <c r="K6" s="67">
        <f>F6/H6</f>
        <v>0.95414883535012507</v>
      </c>
      <c r="L6" t="s">
        <v>205</v>
      </c>
    </row>
    <row r="7" spans="1:12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6" t="str">
        <f t="shared" si="0"/>
        <v>35+19i</v>
      </c>
      <c r="F7" s="68">
        <f t="shared" si="1"/>
        <v>39.824615503479755</v>
      </c>
      <c r="G7" s="68">
        <f>0.7*F7</f>
        <v>27.877230852435826</v>
      </c>
      <c r="H7" s="66">
        <v>40</v>
      </c>
      <c r="I7" s="66">
        <v>2</v>
      </c>
      <c r="J7" s="67">
        <f>F7/I7/H7</f>
        <v>0.49780769379349693</v>
      </c>
      <c r="K7" s="67">
        <f>F7/H7</f>
        <v>0.99561538758699386</v>
      </c>
      <c r="L7" t="s">
        <v>182</v>
      </c>
    </row>
    <row r="8" spans="1:12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6" t="str">
        <f t="shared" si="0"/>
        <v>32+15.5i</v>
      </c>
      <c r="F8" s="68">
        <f t="shared" si="1"/>
        <v>35.556293395122054</v>
      </c>
      <c r="G8" s="68">
        <f t="shared" si="2"/>
        <v>24.889405376585437</v>
      </c>
      <c r="H8" s="66">
        <v>25</v>
      </c>
      <c r="I8" s="66">
        <v>2</v>
      </c>
      <c r="J8" s="67">
        <f t="shared" ref="J8:J10" si="3">F8/I8/H8</f>
        <v>0.71112586790244103</v>
      </c>
      <c r="K8" s="67">
        <f t="shared" ref="K8:K10" si="4">F8/H8</f>
        <v>1.4222517358048821</v>
      </c>
      <c r="L8" t="s">
        <v>182</v>
      </c>
    </row>
    <row r="9" spans="1:12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6" t="str">
        <f t="shared" si="0"/>
        <v>27+13.8i</v>
      </c>
      <c r="F9" s="68">
        <f t="shared" si="1"/>
        <v>30.322269044383869</v>
      </c>
      <c r="G9" s="68">
        <f t="shared" si="2"/>
        <v>21.225588331068707</v>
      </c>
      <c r="H9" s="66">
        <v>25</v>
      </c>
      <c r="I9" s="66">
        <v>2</v>
      </c>
      <c r="J9" s="67">
        <f t="shared" si="3"/>
        <v>0.60644538088767741</v>
      </c>
      <c r="K9" s="67">
        <f t="shared" si="4"/>
        <v>1.2128907617753548</v>
      </c>
      <c r="L9" t="s">
        <v>182</v>
      </c>
    </row>
    <row r="10" spans="1:12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6" t="str">
        <f t="shared" si="0"/>
        <v>35+17i</v>
      </c>
      <c r="F10" s="68">
        <f t="shared" si="1"/>
        <v>38.910152916687437</v>
      </c>
      <c r="G10" s="68">
        <f>0.7*F10</f>
        <v>27.237107041681206</v>
      </c>
      <c r="H10" s="66">
        <v>40</v>
      </c>
      <c r="I10" s="66">
        <v>2</v>
      </c>
      <c r="J10" s="67">
        <f t="shared" si="3"/>
        <v>0.48637691145859296</v>
      </c>
      <c r="K10" s="67">
        <f t="shared" si="4"/>
        <v>0.97275382291718593</v>
      </c>
      <c r="L10" t="s">
        <v>182</v>
      </c>
    </row>
    <row r="14" spans="1:12" ht="15.75" thickBot="1" x14ac:dyDescent="0.3">
      <c r="C14" t="s">
        <v>185</v>
      </c>
    </row>
    <row r="15" spans="1:12" ht="28.5" customHeight="1" x14ac:dyDescent="0.25">
      <c r="C15" s="99" t="s">
        <v>186</v>
      </c>
      <c r="D15" s="99" t="s">
        <v>196</v>
      </c>
      <c r="E15" s="99" t="s">
        <v>195</v>
      </c>
      <c r="F15" s="99" t="s">
        <v>191</v>
      </c>
      <c r="G15" s="99" t="s">
        <v>194</v>
      </c>
      <c r="H15" s="99" t="s">
        <v>187</v>
      </c>
      <c r="I15" s="99" t="s">
        <v>192</v>
      </c>
      <c r="J15" s="99" t="s">
        <v>188</v>
      </c>
      <c r="K15" s="99" t="s">
        <v>193</v>
      </c>
    </row>
    <row r="16" spans="1:12" ht="6.75" customHeight="1" thickBot="1" x14ac:dyDescent="0.3">
      <c r="C16" s="104"/>
      <c r="D16" s="98"/>
      <c r="E16" s="98"/>
      <c r="F16" s="104"/>
      <c r="G16" s="98"/>
      <c r="H16" s="104"/>
      <c r="I16" s="98"/>
      <c r="J16" s="104"/>
      <c r="K16" s="98"/>
    </row>
    <row r="17" spans="1:12" ht="42.75" customHeight="1" thickBot="1" x14ac:dyDescent="0.3">
      <c r="A17">
        <f>'Табл1-1  1-2'!B4</f>
        <v>16</v>
      </c>
      <c r="B17">
        <f>'Табл1-1  1-2'!C4</f>
        <v>12</v>
      </c>
      <c r="C17" s="64" t="str">
        <f>C5</f>
        <v>А</v>
      </c>
      <c r="D17" s="33">
        <f>A17</f>
        <v>16</v>
      </c>
      <c r="E17" s="33">
        <f>B17</f>
        <v>12</v>
      </c>
      <c r="F17" s="33">
        <f>E17/D17</f>
        <v>0.75</v>
      </c>
      <c r="G17" s="33">
        <f>D17*(F17-0.25)</f>
        <v>8</v>
      </c>
      <c r="H17" s="33" t="s">
        <v>197</v>
      </c>
      <c r="I17" s="33">
        <f>'Табл1-1  1-2'!F4</f>
        <v>6</v>
      </c>
      <c r="J17" s="33" t="s">
        <v>202</v>
      </c>
      <c r="K17" s="33">
        <f>4*0.9+4*1.125</f>
        <v>8.1</v>
      </c>
    </row>
    <row r="18" spans="1:12" ht="38.25" thickBot="1" x14ac:dyDescent="0.3">
      <c r="A18">
        <f>'Табл1-1  1-2'!B5</f>
        <v>20</v>
      </c>
      <c r="B18">
        <f>'Табл1-1  1-2'!C5</f>
        <v>13</v>
      </c>
      <c r="C18" s="64" t="str">
        <f t="shared" ref="C18:C22" si="5">C6</f>
        <v>Б</v>
      </c>
      <c r="D18" s="33">
        <f t="shared" ref="D18:D22" si="6">A18</f>
        <v>20</v>
      </c>
      <c r="E18" s="33">
        <f t="shared" ref="E18:E22" si="7">B18</f>
        <v>13</v>
      </c>
      <c r="F18" s="33">
        <f t="shared" ref="F18:F22" si="8">E18/D18</f>
        <v>0.65</v>
      </c>
      <c r="G18" s="33">
        <f t="shared" ref="G18:G22" si="9">D18*(F18-0.25)</f>
        <v>8</v>
      </c>
      <c r="H18" s="33" t="s">
        <v>206</v>
      </c>
      <c r="I18" s="33">
        <f>'Табл1-1  1-2'!F5</f>
        <v>10</v>
      </c>
      <c r="J18" s="33" t="s">
        <v>203</v>
      </c>
      <c r="K18" s="33">
        <f>4*0.9+4*1.125</f>
        <v>8.1</v>
      </c>
    </row>
    <row r="19" spans="1:12" ht="38.25" thickBot="1" x14ac:dyDescent="0.3">
      <c r="A19">
        <f>'Табл1-1  1-2'!B6</f>
        <v>35</v>
      </c>
      <c r="B19">
        <f>'Табл1-1  1-2'!C6</f>
        <v>19</v>
      </c>
      <c r="C19" s="64" t="str">
        <f t="shared" si="5"/>
        <v>В</v>
      </c>
      <c r="D19" s="33">
        <f t="shared" si="6"/>
        <v>35</v>
      </c>
      <c r="E19" s="33">
        <f t="shared" si="7"/>
        <v>19</v>
      </c>
      <c r="F19" s="33">
        <f t="shared" si="8"/>
        <v>0.54285714285714282</v>
      </c>
      <c r="G19" s="33">
        <f t="shared" si="9"/>
        <v>10.249999999999998</v>
      </c>
      <c r="H19" s="33" t="s">
        <v>198</v>
      </c>
      <c r="I19" s="33">
        <f>'Табл1-1  1-2'!F6</f>
        <v>10</v>
      </c>
      <c r="J19" s="33" t="s">
        <v>200</v>
      </c>
      <c r="K19" s="33">
        <f>4*2.7</f>
        <v>10.8</v>
      </c>
    </row>
    <row r="20" spans="1:12" ht="38.25" thickBot="1" x14ac:dyDescent="0.3">
      <c r="A20">
        <f>'Табл1-1  1-2'!B7</f>
        <v>32</v>
      </c>
      <c r="B20">
        <f>'Табл1-1  1-2'!C7</f>
        <v>15.5</v>
      </c>
      <c r="C20" s="64" t="str">
        <f t="shared" si="5"/>
        <v>Г</v>
      </c>
      <c r="D20" s="33">
        <f t="shared" si="6"/>
        <v>32</v>
      </c>
      <c r="E20" s="33">
        <f t="shared" si="7"/>
        <v>15.5</v>
      </c>
      <c r="F20" s="33">
        <f t="shared" si="8"/>
        <v>0.484375</v>
      </c>
      <c r="G20" s="33">
        <f t="shared" si="9"/>
        <v>7.5</v>
      </c>
      <c r="H20" s="33" t="s">
        <v>199</v>
      </c>
      <c r="I20" s="33">
        <f>'Табл1-1  1-2'!F7</f>
        <v>10</v>
      </c>
      <c r="J20" s="33" t="s">
        <v>204</v>
      </c>
      <c r="K20" s="33">
        <f>4*1.8</f>
        <v>7.2</v>
      </c>
    </row>
    <row r="21" spans="1:12" ht="38.25" thickBot="1" x14ac:dyDescent="0.3">
      <c r="A21">
        <f>'Табл1-1  1-2'!B8</f>
        <v>27</v>
      </c>
      <c r="B21">
        <f>'Табл1-1  1-2'!C8</f>
        <v>13.8</v>
      </c>
      <c r="C21" s="64" t="str">
        <f t="shared" si="5"/>
        <v>Д</v>
      </c>
      <c r="D21" s="33">
        <f t="shared" si="6"/>
        <v>27</v>
      </c>
      <c r="E21" s="33">
        <f t="shared" si="7"/>
        <v>13.8</v>
      </c>
      <c r="F21" s="33">
        <f t="shared" si="8"/>
        <v>0.51111111111111118</v>
      </c>
      <c r="G21" s="33">
        <f t="shared" si="9"/>
        <v>7.0500000000000016</v>
      </c>
      <c r="H21" s="33" t="s">
        <v>199</v>
      </c>
      <c r="I21" s="33">
        <f>'Табл1-1  1-2'!F8</f>
        <v>6</v>
      </c>
      <c r="J21" s="33" t="s">
        <v>201</v>
      </c>
      <c r="K21" s="33">
        <f>4*1.8</f>
        <v>7.2</v>
      </c>
    </row>
    <row r="22" spans="1:12" ht="38.25" thickBot="1" x14ac:dyDescent="0.3">
      <c r="A22">
        <f>'Табл1-1  1-2'!B9</f>
        <v>35</v>
      </c>
      <c r="B22">
        <f>'Табл1-1  1-2'!C9</f>
        <v>17</v>
      </c>
      <c r="C22" s="64" t="str">
        <f t="shared" si="5"/>
        <v>Е</v>
      </c>
      <c r="D22" s="33">
        <f t="shared" si="6"/>
        <v>35</v>
      </c>
      <c r="E22" s="33">
        <f t="shared" si="7"/>
        <v>17</v>
      </c>
      <c r="F22" s="33">
        <f t="shared" si="8"/>
        <v>0.48571428571428571</v>
      </c>
      <c r="G22" s="33">
        <f t="shared" si="9"/>
        <v>8.25</v>
      </c>
      <c r="H22" s="33" t="s">
        <v>198</v>
      </c>
      <c r="I22" s="33">
        <f>'Табл1-1  1-2'!F9</f>
        <v>6</v>
      </c>
      <c r="J22" s="33" t="str">
        <f>J17</f>
        <v>4xУК-6-900 4xУК-6-1125</v>
      </c>
      <c r="K22" s="33">
        <f>3*2.7</f>
        <v>8.1000000000000014</v>
      </c>
    </row>
    <row r="23" spans="1:12" ht="19.5" thickBot="1" x14ac:dyDescent="0.3">
      <c r="C23" s="124" t="s">
        <v>189</v>
      </c>
      <c r="D23" s="125"/>
      <c r="E23" s="125"/>
      <c r="F23" s="126"/>
      <c r="G23" s="70">
        <f>SUM(G17:G22)</f>
        <v>49.050000000000004</v>
      </c>
      <c r="H23" s="33" t="s">
        <v>190</v>
      </c>
      <c r="I23" s="33" t="s">
        <v>190</v>
      </c>
      <c r="J23" s="33" t="s">
        <v>190</v>
      </c>
      <c r="K23" s="70">
        <f>SUM(K17:K22)</f>
        <v>49.500000000000007</v>
      </c>
      <c r="L23">
        <f>(G23-K23)/G23*100</f>
        <v>-0.91743119266055628</v>
      </c>
    </row>
    <row r="27" spans="1:12" ht="15.75" thickBot="1" x14ac:dyDescent="0.3">
      <c r="C27" t="s">
        <v>207</v>
      </c>
    </row>
    <row r="28" spans="1:12" ht="27" customHeight="1" x14ac:dyDescent="0.25">
      <c r="C28" s="63" t="s">
        <v>208</v>
      </c>
      <c r="D28" s="99" t="s">
        <v>175</v>
      </c>
      <c r="E28" s="99" t="s">
        <v>210</v>
      </c>
      <c r="F28" s="99" t="s">
        <v>211</v>
      </c>
      <c r="G28" s="99" t="s">
        <v>212</v>
      </c>
      <c r="H28" s="99" t="s">
        <v>213</v>
      </c>
      <c r="I28" s="127" t="str">
        <f>I3</f>
        <v>nт</v>
      </c>
      <c r="J28" s="127" t="str">
        <f>J3</f>
        <v>Kз</v>
      </c>
      <c r="K28" s="127" t="str">
        <f>K3</f>
        <v>Kзав</v>
      </c>
    </row>
    <row r="29" spans="1:12" ht="23.25" customHeight="1" thickBot="1" x14ac:dyDescent="0.3">
      <c r="C29" s="64" t="s">
        <v>209</v>
      </c>
      <c r="D29" s="98"/>
      <c r="E29" s="98"/>
      <c r="F29" s="98"/>
      <c r="G29" s="98"/>
      <c r="H29" s="98"/>
      <c r="I29" s="131"/>
      <c r="J29" s="131"/>
      <c r="K29" s="131"/>
    </row>
    <row r="30" spans="1:12" ht="37.5" customHeight="1" thickBot="1" x14ac:dyDescent="0.3">
      <c r="A30">
        <f>A5</f>
        <v>146.15</v>
      </c>
      <c r="B30">
        <f>B5</f>
        <v>103.7</v>
      </c>
      <c r="C30" s="64" t="str">
        <f>C17</f>
        <v>А</v>
      </c>
      <c r="D30" s="66" t="str">
        <f>E5</f>
        <v>146.15+103.7i</v>
      </c>
      <c r="E30" s="66">
        <f>K17+K19+K20+K21+K22</f>
        <v>41.4</v>
      </c>
      <c r="F30" s="66" t="str">
        <f>COMPLEX(A30,B30-E30)</f>
        <v>146.15+62.3i</v>
      </c>
      <c r="G30" s="66" t="str">
        <f>H17</f>
        <v>АТДЦТН-125000/220/110/35</v>
      </c>
      <c r="H30" s="66">
        <f>H5</f>
        <v>125</v>
      </c>
      <c r="I30" s="66">
        <v>2</v>
      </c>
      <c r="J30" s="67">
        <f>IMABS(F30)/I30/H30</f>
        <v>0.63549807238102607</v>
      </c>
      <c r="K30" s="67">
        <f>IMABS(D30)/I30/H30</f>
        <v>0.71680973765707168</v>
      </c>
    </row>
    <row r="31" spans="1:12" ht="39.75" customHeight="1" thickBot="1" x14ac:dyDescent="0.3">
      <c r="A31">
        <f t="shared" ref="A31:B35" si="10">A6</f>
        <v>20</v>
      </c>
      <c r="B31">
        <f t="shared" si="10"/>
        <v>13</v>
      </c>
      <c r="C31" s="64" t="str">
        <f t="shared" ref="C31:C35" si="11">C18</f>
        <v>Б</v>
      </c>
      <c r="D31" s="66" t="str">
        <f t="shared" ref="D31:D35" si="12">E6</f>
        <v>20+13i</v>
      </c>
      <c r="E31" s="66">
        <f>K18</f>
        <v>8.1</v>
      </c>
      <c r="F31" s="66" t="str">
        <f t="shared" ref="F31:F35" si="13">COMPLEX(A31,B31-E31)</f>
        <v>20+4.9i</v>
      </c>
      <c r="G31" s="66" t="str">
        <f t="shared" ref="G31:G35" si="14">H18</f>
        <v>ТДТН-25000/220/35/10</v>
      </c>
      <c r="H31" s="66">
        <f t="shared" ref="H31:H35" si="15">H6</f>
        <v>25</v>
      </c>
      <c r="I31" s="66">
        <v>2</v>
      </c>
      <c r="J31" s="67">
        <f t="shared" ref="J31:J35" si="16">IMABS(F31)/I31/H31</f>
        <v>0.41183006204015754</v>
      </c>
      <c r="K31" s="67">
        <f t="shared" ref="K31:K35" si="17">IMABS(D31)/I31/H31</f>
        <v>0.47707441767506253</v>
      </c>
    </row>
    <row r="32" spans="1:12" ht="39.75" customHeight="1" thickBot="1" x14ac:dyDescent="0.3">
      <c r="A32">
        <f t="shared" si="10"/>
        <v>35</v>
      </c>
      <c r="B32">
        <f t="shared" si="10"/>
        <v>19</v>
      </c>
      <c r="C32" s="64" t="str">
        <f t="shared" si="11"/>
        <v>В</v>
      </c>
      <c r="D32" s="66" t="str">
        <f t="shared" si="12"/>
        <v>35+19i</v>
      </c>
      <c r="E32" s="66">
        <f t="shared" ref="E32:E35" si="18">K19</f>
        <v>10.8</v>
      </c>
      <c r="F32" s="66" t="str">
        <f t="shared" si="13"/>
        <v>35+8.2i</v>
      </c>
      <c r="G32" s="66" t="str">
        <f t="shared" si="14"/>
        <v>ТРДН-40000/110/35</v>
      </c>
      <c r="H32" s="66">
        <f t="shared" si="15"/>
        <v>40</v>
      </c>
      <c r="I32" s="66">
        <v>2</v>
      </c>
      <c r="J32" s="67">
        <f t="shared" si="16"/>
        <v>0.44934674806879371</v>
      </c>
      <c r="K32" s="67">
        <f t="shared" si="17"/>
        <v>0.49780769379349693</v>
      </c>
    </row>
    <row r="33" spans="1:12" ht="38.25" customHeight="1" thickBot="1" x14ac:dyDescent="0.3">
      <c r="A33">
        <f t="shared" si="10"/>
        <v>32</v>
      </c>
      <c r="B33">
        <f t="shared" si="10"/>
        <v>15.5</v>
      </c>
      <c r="C33" s="64" t="str">
        <f t="shared" si="11"/>
        <v>Г</v>
      </c>
      <c r="D33" s="66" t="str">
        <f t="shared" si="12"/>
        <v>32+15.5i</v>
      </c>
      <c r="E33" s="66">
        <f t="shared" si="18"/>
        <v>7.2</v>
      </c>
      <c r="F33" s="66" t="str">
        <f t="shared" si="13"/>
        <v>32+8.3i</v>
      </c>
      <c r="G33" s="66" t="str">
        <f t="shared" si="14"/>
        <v>ТРДН-25000/110/35</v>
      </c>
      <c r="H33" s="66">
        <f t="shared" si="15"/>
        <v>25</v>
      </c>
      <c r="I33" s="66">
        <v>2</v>
      </c>
      <c r="J33" s="67">
        <f t="shared" si="16"/>
        <v>0.66117773707226424</v>
      </c>
      <c r="K33" s="67">
        <f t="shared" si="17"/>
        <v>0.71112586790244103</v>
      </c>
    </row>
    <row r="34" spans="1:12" ht="39" customHeight="1" thickBot="1" x14ac:dyDescent="0.3">
      <c r="A34">
        <f t="shared" si="10"/>
        <v>27</v>
      </c>
      <c r="B34">
        <f t="shared" si="10"/>
        <v>13.8</v>
      </c>
      <c r="C34" s="64" t="str">
        <f t="shared" si="11"/>
        <v>Д</v>
      </c>
      <c r="D34" s="66" t="str">
        <f t="shared" si="12"/>
        <v>27+13.8i</v>
      </c>
      <c r="E34" s="66">
        <f t="shared" si="18"/>
        <v>7.2</v>
      </c>
      <c r="F34" s="66" t="str">
        <f t="shared" si="13"/>
        <v>27+6.6i</v>
      </c>
      <c r="G34" s="66" t="str">
        <f t="shared" si="14"/>
        <v>ТРДН-25000/110/35</v>
      </c>
      <c r="H34" s="66">
        <f t="shared" si="15"/>
        <v>25</v>
      </c>
      <c r="I34" s="66">
        <v>2</v>
      </c>
      <c r="J34" s="67">
        <f t="shared" si="16"/>
        <v>0.55589927145122253</v>
      </c>
      <c r="K34" s="67">
        <f t="shared" si="17"/>
        <v>0.60644538088767741</v>
      </c>
    </row>
    <row r="35" spans="1:12" ht="40.5" customHeight="1" thickBot="1" x14ac:dyDescent="0.3">
      <c r="A35">
        <f t="shared" si="10"/>
        <v>35</v>
      </c>
      <c r="B35">
        <f t="shared" si="10"/>
        <v>17</v>
      </c>
      <c r="C35" s="64" t="str">
        <f t="shared" si="11"/>
        <v>Е</v>
      </c>
      <c r="D35" s="66" t="str">
        <f t="shared" si="12"/>
        <v>35+17i</v>
      </c>
      <c r="E35" s="66">
        <f t="shared" si="18"/>
        <v>8.1000000000000014</v>
      </c>
      <c r="F35" s="66" t="str">
        <f t="shared" si="13"/>
        <v>35+8.9i</v>
      </c>
      <c r="G35" s="66" t="str">
        <f t="shared" si="14"/>
        <v>ТРДН-40000/110/35</v>
      </c>
      <c r="H35" s="66">
        <f t="shared" si="15"/>
        <v>40</v>
      </c>
      <c r="I35" s="66">
        <v>2</v>
      </c>
      <c r="J35" s="67">
        <f t="shared" si="16"/>
        <v>0.45142309699438288</v>
      </c>
      <c r="K35" s="67">
        <f t="shared" si="17"/>
        <v>0.48637691145859296</v>
      </c>
    </row>
    <row r="38" spans="1:12" x14ac:dyDescent="0.25">
      <c r="C38" t="s">
        <v>214</v>
      </c>
    </row>
    <row r="39" spans="1:12" ht="15.75" thickBot="1" x14ac:dyDescent="0.3"/>
    <row r="40" spans="1:12" ht="37.5" customHeight="1" thickBot="1" x14ac:dyDescent="0.3">
      <c r="C40" s="99" t="s">
        <v>173</v>
      </c>
      <c r="D40" s="105" t="s">
        <v>221</v>
      </c>
      <c r="E40" s="105" t="s">
        <v>222</v>
      </c>
      <c r="F40" s="122" t="s">
        <v>215</v>
      </c>
      <c r="G40" s="123"/>
      <c r="H40" s="105" t="s">
        <v>216</v>
      </c>
      <c r="I40" s="124" t="s">
        <v>217</v>
      </c>
      <c r="J40" s="125"/>
      <c r="K40" s="126"/>
      <c r="L40" s="73"/>
    </row>
    <row r="41" spans="1:12" ht="54" customHeight="1" x14ac:dyDescent="0.25">
      <c r="C41" s="97"/>
      <c r="D41" s="97"/>
      <c r="E41" s="97"/>
      <c r="F41" s="99" t="s">
        <v>218</v>
      </c>
      <c r="G41" s="99" t="s">
        <v>219</v>
      </c>
      <c r="H41" s="106"/>
      <c r="I41" s="127" t="str">
        <f>J28</f>
        <v>Kз</v>
      </c>
      <c r="J41" s="127" t="str">
        <f>K28</f>
        <v>Kзав</v>
      </c>
      <c r="K41" s="99" t="s">
        <v>220</v>
      </c>
      <c r="L41" s="72"/>
    </row>
    <row r="42" spans="1:12" ht="19.5" hidden="1" customHeight="1" thickBot="1" x14ac:dyDescent="0.3">
      <c r="C42" s="97"/>
      <c r="D42" s="130"/>
      <c r="E42" s="130"/>
      <c r="F42" s="130"/>
      <c r="G42" s="103"/>
      <c r="H42" s="106"/>
      <c r="I42" s="128"/>
      <c r="J42" s="128"/>
      <c r="K42" s="103"/>
      <c r="L42" s="72"/>
    </row>
    <row r="43" spans="1:12" ht="19.5" thickBot="1" x14ac:dyDescent="0.3">
      <c r="C43" s="98"/>
      <c r="D43" s="129"/>
      <c r="E43" s="129"/>
      <c r="F43" s="129"/>
      <c r="G43" s="129"/>
      <c r="H43" s="129"/>
      <c r="I43" s="129"/>
      <c r="J43" s="129"/>
      <c r="K43" s="129"/>
      <c r="L43" s="73"/>
    </row>
    <row r="44" spans="1:12" ht="57.75" customHeight="1" thickBot="1" x14ac:dyDescent="0.3">
      <c r="C44" s="64" t="s">
        <v>12</v>
      </c>
      <c r="D44" s="66" t="str">
        <f>F31</f>
        <v>20+4.9i</v>
      </c>
      <c r="E44" s="66">
        <f>IMABS(D44)</f>
        <v>20.591503102007877</v>
      </c>
      <c r="F44" s="66">
        <f>H31</f>
        <v>25</v>
      </c>
      <c r="G44" s="66">
        <f>16</f>
        <v>16</v>
      </c>
      <c r="H44" s="66">
        <v>2</v>
      </c>
      <c r="I44" s="66">
        <f>E44/H44/F44</f>
        <v>0.41183006204015754</v>
      </c>
      <c r="J44" s="66">
        <f>E44/G44</f>
        <v>1.2869689438754923</v>
      </c>
      <c r="K44" s="66" t="s">
        <v>223</v>
      </c>
      <c r="L44" s="73"/>
    </row>
    <row r="45" spans="1:12" ht="57.75" customHeight="1" thickBot="1" x14ac:dyDescent="0.3">
      <c r="C45" s="64" t="s">
        <v>13</v>
      </c>
      <c r="D45" s="66" t="str">
        <f>F32</f>
        <v>35+8.2i</v>
      </c>
      <c r="E45" s="66">
        <f>IMABS(D45)</f>
        <v>35.947739845503499</v>
      </c>
      <c r="F45" s="66">
        <f>H32</f>
        <v>40</v>
      </c>
      <c r="G45" s="66">
        <v>25</v>
      </c>
      <c r="H45" s="66">
        <v>2</v>
      </c>
      <c r="I45" s="66">
        <f t="shared" ref="I45:I46" si="19">E45/H45/F45</f>
        <v>0.44934674806879371</v>
      </c>
      <c r="J45" s="66">
        <f t="shared" ref="J45:J46" si="20">E45/G45</f>
        <v>1.4379095938201401</v>
      </c>
      <c r="K45" s="74" t="s">
        <v>225</v>
      </c>
    </row>
    <row r="46" spans="1:12" ht="38.25" thickBot="1" x14ac:dyDescent="0.3">
      <c r="C46" s="64" t="s">
        <v>14</v>
      </c>
      <c r="D46" s="66" t="str">
        <f>F33</f>
        <v>32+8.3i</v>
      </c>
      <c r="E46" s="66">
        <f>IMABS(D46)</f>
        <v>33.05888685361321</v>
      </c>
      <c r="F46" s="66">
        <f>H33</f>
        <v>25</v>
      </c>
      <c r="G46" s="66">
        <v>16</v>
      </c>
      <c r="H46" s="66">
        <v>2</v>
      </c>
      <c r="I46" s="66">
        <f t="shared" si="19"/>
        <v>0.66117773707226424</v>
      </c>
      <c r="J46" s="66">
        <f t="shared" si="20"/>
        <v>2.0661804283508256</v>
      </c>
      <c r="K46" s="69" t="s">
        <v>224</v>
      </c>
    </row>
  </sheetData>
  <mergeCells count="37">
    <mergeCell ref="C15:C16"/>
    <mergeCell ref="F15:F16"/>
    <mergeCell ref="H15:H16"/>
    <mergeCell ref="J15:J16"/>
    <mergeCell ref="C23:F23"/>
    <mergeCell ref="D15:D16"/>
    <mergeCell ref="E15:E16"/>
    <mergeCell ref="G15:G16"/>
    <mergeCell ref="C3:C4"/>
    <mergeCell ref="I3:I4"/>
    <mergeCell ref="J3:J4"/>
    <mergeCell ref="K3:K4"/>
    <mergeCell ref="E3:E4"/>
    <mergeCell ref="F3:F4"/>
    <mergeCell ref="G3:G4"/>
    <mergeCell ref="H3:H4"/>
    <mergeCell ref="K15:K16"/>
    <mergeCell ref="I15:I16"/>
    <mergeCell ref="I28:I29"/>
    <mergeCell ref="J28:J29"/>
    <mergeCell ref="K28:K29"/>
    <mergeCell ref="D28:D29"/>
    <mergeCell ref="E28:E29"/>
    <mergeCell ref="F28:F29"/>
    <mergeCell ref="G28:G29"/>
    <mergeCell ref="H28:H29"/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I21" sqref="I21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39" t="s">
        <v>107</v>
      </c>
      <c r="C2" s="141" t="s">
        <v>67</v>
      </c>
      <c r="D2" s="141" t="s">
        <v>105</v>
      </c>
      <c r="E2" s="150" t="s">
        <v>128</v>
      </c>
      <c r="F2" s="150" t="s">
        <v>129</v>
      </c>
      <c r="G2" s="150" t="s">
        <v>121</v>
      </c>
      <c r="H2" s="150" t="s">
        <v>130</v>
      </c>
      <c r="I2" s="141" t="s">
        <v>116</v>
      </c>
      <c r="J2" s="150" t="s">
        <v>131</v>
      </c>
      <c r="K2" s="148" t="s">
        <v>132</v>
      </c>
    </row>
    <row r="3" spans="2:11" ht="50.25" customHeight="1" thickBot="1" x14ac:dyDescent="0.3">
      <c r="B3" s="140"/>
      <c r="C3" s="142"/>
      <c r="D3" s="142"/>
      <c r="E3" s="151"/>
      <c r="F3" s="151"/>
      <c r="G3" s="151"/>
      <c r="H3" s="151"/>
      <c r="I3" s="142"/>
      <c r="J3" s="151"/>
      <c r="K3" s="149"/>
    </row>
    <row r="4" spans="2:11" ht="24.75" customHeight="1" thickBot="1" x14ac:dyDescent="0.3">
      <c r="B4" s="146" t="s">
        <v>19</v>
      </c>
      <c r="C4" s="146" t="s">
        <v>143</v>
      </c>
      <c r="D4" s="157" t="s">
        <v>137</v>
      </c>
      <c r="E4" s="158"/>
      <c r="F4" s="158"/>
      <c r="G4" s="158"/>
      <c r="H4" s="158"/>
      <c r="I4" s="158"/>
      <c r="J4" s="158"/>
      <c r="K4" s="159"/>
    </row>
    <row r="5" spans="2:11" ht="19.5" thickBot="1" x14ac:dyDescent="0.3">
      <c r="B5" s="146"/>
      <c r="C5" s="161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46"/>
      <c r="C6" s="161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47"/>
      <c r="C7" s="161"/>
      <c r="D7" s="143" t="s">
        <v>138</v>
      </c>
      <c r="E7" s="144"/>
      <c r="F7" s="144"/>
      <c r="G7" s="144"/>
      <c r="H7" s="144"/>
      <c r="I7" s="144"/>
      <c r="J7" s="144"/>
      <c r="K7" s="145"/>
    </row>
    <row r="8" spans="2:11" ht="19.5" thickBot="1" x14ac:dyDescent="0.3">
      <c r="B8" s="147"/>
      <c r="C8" s="161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47"/>
      <c r="C9" s="161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47"/>
      <c r="C10" s="146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47"/>
      <c r="C11" s="160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46" t="s">
        <v>20</v>
      </c>
      <c r="C12" s="146" t="s">
        <v>143</v>
      </c>
      <c r="D12" s="143" t="s">
        <v>141</v>
      </c>
      <c r="E12" s="144"/>
      <c r="F12" s="144"/>
      <c r="G12" s="144"/>
      <c r="H12" s="144"/>
      <c r="I12" s="144"/>
      <c r="J12" s="144"/>
      <c r="K12" s="145"/>
    </row>
    <row r="13" spans="2:11" ht="19.5" thickBot="1" x14ac:dyDescent="0.3">
      <c r="B13" s="146"/>
      <c r="C13" s="161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46"/>
      <c r="C14" s="161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47"/>
      <c r="C15" s="161"/>
      <c r="D15" s="143" t="s">
        <v>140</v>
      </c>
      <c r="E15" s="144"/>
      <c r="F15" s="144"/>
      <c r="G15" s="144"/>
      <c r="H15" s="144"/>
      <c r="I15" s="144"/>
      <c r="J15" s="144"/>
      <c r="K15" s="145"/>
    </row>
    <row r="16" spans="2:11" ht="27" customHeight="1" thickBot="1" x14ac:dyDescent="0.3">
      <c r="B16" s="147"/>
      <c r="C16" s="161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47"/>
      <c r="C17" s="161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47"/>
      <c r="C18" s="146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47"/>
      <c r="C19" s="160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47"/>
      <c r="C20" s="160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52" t="s">
        <v>123</v>
      </c>
      <c r="C21" s="152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53"/>
      <c r="C22" s="155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54"/>
      <c r="C23" s="156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D8" sqref="D8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169" t="s">
        <v>19</v>
      </c>
      <c r="C3" s="171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167">
        <v>110</v>
      </c>
    </row>
    <row r="4" spans="2:9" ht="20.25" thickTop="1" thickBot="1" x14ac:dyDescent="0.3">
      <c r="B4" s="163"/>
      <c r="C4" s="172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53"/>
    </row>
    <row r="5" spans="2:9" ht="20.25" thickTop="1" thickBot="1" x14ac:dyDescent="0.3">
      <c r="B5" s="163"/>
      <c r="C5" s="173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168"/>
    </row>
    <row r="6" spans="2:9" ht="20.25" thickTop="1" thickBot="1" x14ac:dyDescent="0.3">
      <c r="B6" s="163"/>
      <c r="C6" s="174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165">
        <v>110</v>
      </c>
    </row>
    <row r="7" spans="2:9" ht="20.25" thickTop="1" thickBot="1" x14ac:dyDescent="0.3">
      <c r="B7" s="170"/>
      <c r="C7" s="173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168"/>
    </row>
    <row r="8" spans="2:9" ht="20.25" thickTop="1" thickBot="1" x14ac:dyDescent="0.3">
      <c r="B8" s="175" t="s">
        <v>20</v>
      </c>
      <c r="C8" s="174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176">
        <v>110</v>
      </c>
    </row>
    <row r="9" spans="2:9" ht="20.25" thickTop="1" thickBot="1" x14ac:dyDescent="0.3">
      <c r="B9" s="163"/>
      <c r="C9" s="172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177"/>
    </row>
    <row r="10" spans="2:9" ht="20.25" thickTop="1" thickBot="1" x14ac:dyDescent="0.3">
      <c r="B10" s="163"/>
      <c r="C10" s="173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178"/>
    </row>
    <row r="11" spans="2:9" ht="20.25" thickTop="1" thickBot="1" x14ac:dyDescent="0.3">
      <c r="B11" s="163"/>
      <c r="C11" s="174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176">
        <v>110</v>
      </c>
    </row>
    <row r="12" spans="2:9" ht="20.25" thickTop="1" thickBot="1" x14ac:dyDescent="0.3">
      <c r="B12" s="163"/>
      <c r="C12" s="172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177"/>
    </row>
    <row r="13" spans="2:9" ht="20.25" thickTop="1" thickBot="1" x14ac:dyDescent="0.3">
      <c r="B13" s="170"/>
      <c r="C13" s="173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178"/>
    </row>
    <row r="14" spans="2:9" ht="20.25" thickTop="1" thickBot="1" x14ac:dyDescent="0.3">
      <c r="B14" s="162" t="s">
        <v>91</v>
      </c>
      <c r="C14" s="165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176">
        <v>220</v>
      </c>
    </row>
    <row r="15" spans="2:9" ht="22.5" customHeight="1" thickTop="1" thickBot="1" x14ac:dyDescent="0.3">
      <c r="B15" s="163"/>
      <c r="C15" s="153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177"/>
    </row>
    <row r="16" spans="2:9" ht="20.25" thickTop="1" thickBot="1" x14ac:dyDescent="0.3">
      <c r="B16" s="164"/>
      <c r="C16" s="166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178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BA41"/>
  <sheetViews>
    <sheetView tabSelected="1" zoomScale="78" zoomScaleNormal="78" workbookViewId="0">
      <selection activeCell="AX10" sqref="AX10"/>
    </sheetView>
  </sheetViews>
  <sheetFormatPr defaultRowHeight="15" x14ac:dyDescent="0.25"/>
  <cols>
    <col min="5" max="5" width="9.85546875" bestFit="1" customWidth="1"/>
    <col min="8" max="8" width="19" customWidth="1"/>
    <col min="9" max="9" width="31.85546875" customWidth="1"/>
    <col min="31" max="32" width="10.42578125" bestFit="1" customWidth="1"/>
    <col min="39" max="39" width="11.7109375" bestFit="1" customWidth="1"/>
    <col min="50" max="50" width="10.28515625" bestFit="1" customWidth="1"/>
    <col min="52" max="52" width="11.140625" bestFit="1" customWidth="1"/>
    <col min="53" max="53" width="19.42578125" customWidth="1"/>
  </cols>
  <sheetData>
    <row r="2" spans="3:53" x14ac:dyDescent="0.25">
      <c r="C2" s="116" t="s">
        <v>66</v>
      </c>
      <c r="D2" s="116" t="s">
        <v>106</v>
      </c>
      <c r="E2" s="116" t="s">
        <v>226</v>
      </c>
      <c r="F2" s="116" t="s">
        <v>42</v>
      </c>
      <c r="G2" s="116" t="s">
        <v>228</v>
      </c>
      <c r="H2" s="116" t="s">
        <v>116</v>
      </c>
      <c r="I2" s="116" t="s">
        <v>227</v>
      </c>
      <c r="J2" s="116" t="s">
        <v>230</v>
      </c>
      <c r="K2" s="116" t="s">
        <v>229</v>
      </c>
      <c r="L2" s="113" t="s">
        <v>233</v>
      </c>
    </row>
    <row r="3" spans="3:53" ht="15.75" thickBot="1" x14ac:dyDescent="0.3">
      <c r="C3" s="132"/>
      <c r="D3" s="116"/>
      <c r="E3" s="116"/>
      <c r="F3" s="132"/>
      <c r="G3" s="116"/>
      <c r="H3" s="116"/>
      <c r="I3" s="116"/>
      <c r="J3" s="132"/>
      <c r="K3" s="116"/>
      <c r="L3" s="135"/>
    </row>
    <row r="4" spans="3:53" ht="86.25" customHeight="1" thickBot="1" x14ac:dyDescent="0.3">
      <c r="C4" s="132"/>
      <c r="D4" s="116"/>
      <c r="E4" s="116"/>
      <c r="F4" s="132"/>
      <c r="G4" s="116"/>
      <c r="H4" s="116"/>
      <c r="I4" s="116"/>
      <c r="J4" s="132"/>
      <c r="K4" s="116"/>
      <c r="L4" s="121"/>
      <c r="O4" s="99" t="s">
        <v>107</v>
      </c>
      <c r="P4" s="99" t="s">
        <v>67</v>
      </c>
      <c r="Q4" s="99" t="s">
        <v>234</v>
      </c>
      <c r="R4" s="77" t="s">
        <v>235</v>
      </c>
      <c r="S4" s="77" t="s">
        <v>235</v>
      </c>
      <c r="T4" s="77" t="s">
        <v>236</v>
      </c>
      <c r="U4" s="99" t="s">
        <v>237</v>
      </c>
      <c r="V4" s="77" t="s">
        <v>235</v>
      </c>
      <c r="W4" s="78" t="s">
        <v>238</v>
      </c>
      <c r="X4" s="77" t="s">
        <v>236</v>
      </c>
      <c r="AA4" s="116" t="s">
        <v>66</v>
      </c>
      <c r="AB4" s="116" t="s">
        <v>106</v>
      </c>
      <c r="AC4" s="116" t="s">
        <v>247</v>
      </c>
      <c r="AD4" s="116" t="s">
        <v>248</v>
      </c>
      <c r="AE4" s="116" t="s">
        <v>249</v>
      </c>
      <c r="AF4" s="116" t="s">
        <v>250</v>
      </c>
      <c r="AG4" s="116" t="s">
        <v>251</v>
      </c>
      <c r="AH4" s="116" t="s">
        <v>252</v>
      </c>
      <c r="AI4" s="116" t="s">
        <v>252</v>
      </c>
      <c r="AK4" s="116" t="s">
        <v>66</v>
      </c>
      <c r="AL4" s="116" t="s">
        <v>106</v>
      </c>
      <c r="AM4" s="85" t="s">
        <v>235</v>
      </c>
      <c r="AN4" s="85" t="s">
        <v>235</v>
      </c>
      <c r="AO4" s="85" t="s">
        <v>235</v>
      </c>
      <c r="AP4" s="85" t="s">
        <v>235</v>
      </c>
      <c r="AQ4" s="85" t="s">
        <v>235</v>
      </c>
      <c r="AS4" s="85" t="s">
        <v>259</v>
      </c>
      <c r="AT4" s="85" t="s">
        <v>260</v>
      </c>
      <c r="AU4" s="85" t="s">
        <v>261</v>
      </c>
      <c r="AV4" s="85" t="s">
        <v>262</v>
      </c>
      <c r="AW4" s="85" t="s">
        <v>235</v>
      </c>
      <c r="AX4" s="85" t="s">
        <v>263</v>
      </c>
      <c r="AY4" s="85" t="s">
        <v>264</v>
      </c>
      <c r="AZ4" s="85" t="s">
        <v>265</v>
      </c>
      <c r="BA4" s="85" t="s">
        <v>266</v>
      </c>
    </row>
    <row r="5" spans="3:53" ht="9" hidden="1" customHeight="1" thickBot="1" x14ac:dyDescent="0.3">
      <c r="C5" s="113" t="s">
        <v>19</v>
      </c>
      <c r="D5" s="116" t="str">
        <f>'Таблиця 1-4'!C3</f>
        <v>а</v>
      </c>
      <c r="E5" s="75" t="str">
        <f>'Таблиця 1-4'!D3</f>
        <v>ВП-В</v>
      </c>
      <c r="F5" s="75">
        <f>'Таблиця 1-4'!E3</f>
        <v>11.8</v>
      </c>
      <c r="G5" s="75">
        <f>Fрозр!H4</f>
        <v>110</v>
      </c>
      <c r="H5" s="75" t="str">
        <f>нагрів!I8</f>
        <v>АС-240/56</v>
      </c>
      <c r="I5" s="75" t="s">
        <v>231</v>
      </c>
      <c r="J5" s="75">
        <f>16.6</f>
        <v>16.600000000000001</v>
      </c>
      <c r="K5" s="75">
        <v>1</v>
      </c>
      <c r="L5" s="75">
        <f>J5*F5*K5</f>
        <v>195.88000000000002</v>
      </c>
      <c r="O5" s="103"/>
      <c r="P5" s="103"/>
      <c r="Q5" s="103"/>
      <c r="R5" s="44" t="s">
        <v>239</v>
      </c>
      <c r="S5" s="79" t="s">
        <v>240</v>
      </c>
      <c r="T5" s="44" t="s">
        <v>241</v>
      </c>
      <c r="U5" s="103"/>
      <c r="V5" s="44" t="s">
        <v>239</v>
      </c>
      <c r="W5" s="44" t="s">
        <v>242</v>
      </c>
      <c r="X5" s="44" t="s">
        <v>241</v>
      </c>
      <c r="AA5" s="116"/>
      <c r="AB5" s="116"/>
      <c r="AC5" s="138"/>
      <c r="AD5" s="138"/>
      <c r="AE5" s="132"/>
      <c r="AF5" s="138"/>
      <c r="AG5" s="138"/>
      <c r="AH5" s="132"/>
      <c r="AI5" s="132"/>
      <c r="AK5" s="116"/>
      <c r="AL5" s="116"/>
      <c r="AM5" s="85" t="s">
        <v>254</v>
      </c>
      <c r="AN5" s="85" t="s">
        <v>254</v>
      </c>
      <c r="AO5" s="85" t="s">
        <v>254</v>
      </c>
      <c r="AP5" s="85" t="s">
        <v>254</v>
      </c>
      <c r="AQ5" s="88" t="s">
        <v>267</v>
      </c>
      <c r="AS5" s="85" t="s">
        <v>268</v>
      </c>
      <c r="AT5" s="85" t="s">
        <v>146</v>
      </c>
      <c r="AU5" s="85" t="s">
        <v>267</v>
      </c>
      <c r="AV5" s="88" t="s">
        <v>267</v>
      </c>
      <c r="AW5" s="88" t="s">
        <v>267</v>
      </c>
      <c r="AX5" s="88" t="s">
        <v>269</v>
      </c>
      <c r="AY5" s="88" t="s">
        <v>267</v>
      </c>
      <c r="AZ5" s="88" t="s">
        <v>269</v>
      </c>
      <c r="BA5" s="85" t="s">
        <v>270</v>
      </c>
    </row>
    <row r="6" spans="3:53" ht="1.5" hidden="1" customHeight="1" thickBot="1" x14ac:dyDescent="0.3">
      <c r="C6" s="135"/>
      <c r="D6" s="132"/>
      <c r="E6" s="75" t="str">
        <f>'Таблиця 1-4'!D4</f>
        <v>ВП-Д</v>
      </c>
      <c r="F6" s="76">
        <f>'Таблиця 1-4'!E4</f>
        <v>7.8</v>
      </c>
      <c r="G6" s="75">
        <f>Fрозр!H5</f>
        <v>110</v>
      </c>
      <c r="H6" s="75" t="str">
        <f>нагрів!I5</f>
        <v>АС-300/67</v>
      </c>
      <c r="I6" s="75" t="s">
        <v>231</v>
      </c>
      <c r="J6" s="75">
        <f>19.2</f>
        <v>19.2</v>
      </c>
      <c r="K6" s="75">
        <v>1</v>
      </c>
      <c r="L6" s="75">
        <f>J6*F6*K6</f>
        <v>149.76</v>
      </c>
      <c r="O6" s="104"/>
      <c r="P6" s="104"/>
      <c r="Q6" s="104"/>
      <c r="R6" s="80"/>
      <c r="S6" s="33" t="s">
        <v>242</v>
      </c>
      <c r="T6" s="80"/>
      <c r="U6" s="104"/>
      <c r="V6" s="80"/>
      <c r="W6" s="80"/>
      <c r="X6" s="80"/>
      <c r="AA6" s="116"/>
      <c r="AB6" s="116"/>
      <c r="AC6" s="138"/>
      <c r="AD6" s="138"/>
      <c r="AE6" s="132"/>
      <c r="AF6" s="138"/>
      <c r="AG6" s="138"/>
      <c r="AH6" s="132"/>
      <c r="AI6" s="132"/>
      <c r="AK6" s="116"/>
      <c r="AL6" s="116"/>
      <c r="AM6" s="86"/>
      <c r="AN6" s="86"/>
      <c r="AO6" s="86"/>
      <c r="AP6" s="86"/>
      <c r="AQ6" s="85" t="s">
        <v>271</v>
      </c>
      <c r="AS6" s="86"/>
      <c r="AT6" s="86"/>
      <c r="AU6" s="86"/>
      <c r="AV6" s="85" t="s">
        <v>271</v>
      </c>
      <c r="AW6" s="85" t="s">
        <v>271</v>
      </c>
      <c r="AX6" s="85" t="s">
        <v>271</v>
      </c>
      <c r="AY6" s="85" t="s">
        <v>271</v>
      </c>
      <c r="AZ6" s="85" t="s">
        <v>271</v>
      </c>
      <c r="BA6" s="86"/>
    </row>
    <row r="7" spans="3:53" ht="39" thickBot="1" x14ac:dyDescent="0.3">
      <c r="C7" s="135"/>
      <c r="D7" s="132"/>
      <c r="E7" s="75" t="str">
        <f>'Таблиця 1-4'!D5</f>
        <v>В-Д</v>
      </c>
      <c r="F7" s="76">
        <f>'Таблиця 1-4'!E5</f>
        <v>5.6</v>
      </c>
      <c r="G7" s="75">
        <f>Fрозр!H6</f>
        <v>110</v>
      </c>
      <c r="H7" s="75" t="str">
        <f>нагрів!I6</f>
        <v>АС-150/34</v>
      </c>
      <c r="I7" s="75" t="s">
        <v>231</v>
      </c>
      <c r="J7" s="75">
        <f>14.1</f>
        <v>14.1</v>
      </c>
      <c r="K7" s="75">
        <v>1</v>
      </c>
      <c r="L7" s="75">
        <f t="shared" ref="L7" si="0">J7*F7*K7</f>
        <v>78.959999999999994</v>
      </c>
      <c r="O7" s="136" t="s">
        <v>19</v>
      </c>
      <c r="P7" s="33" t="s">
        <v>51</v>
      </c>
      <c r="Q7" s="81" t="s">
        <v>243</v>
      </c>
      <c r="R7" s="33">
        <v>2</v>
      </c>
      <c r="S7" s="33">
        <v>9.1</v>
      </c>
      <c r="T7" s="33">
        <f>R7*S7</f>
        <v>18.2</v>
      </c>
      <c r="U7" s="81" t="s">
        <v>244</v>
      </c>
      <c r="V7" s="33">
        <v>2</v>
      </c>
      <c r="W7" s="33">
        <v>21</v>
      </c>
      <c r="X7" s="33">
        <f>V7*W7</f>
        <v>42</v>
      </c>
      <c r="AA7" s="116" t="s">
        <v>19</v>
      </c>
      <c r="AB7" s="76" t="s">
        <v>51</v>
      </c>
      <c r="AC7" s="76">
        <f>L8</f>
        <v>424.59999999999997</v>
      </c>
      <c r="AD7" s="116">
        <v>7.2</v>
      </c>
      <c r="AE7" s="76">
        <f>ROUND($AD$7/100*AC7,2)</f>
        <v>30.57</v>
      </c>
      <c r="AF7" s="76">
        <f>T7+X7</f>
        <v>60.2</v>
      </c>
      <c r="AG7" s="116">
        <v>14.4</v>
      </c>
      <c r="AH7" s="76">
        <f>ROUND($AG$7/100*AF7,2)</f>
        <v>8.67</v>
      </c>
      <c r="AI7" s="76">
        <f>AE7+AH7</f>
        <v>39.24</v>
      </c>
      <c r="AK7" s="116" t="s">
        <v>19</v>
      </c>
      <c r="AL7" s="85" t="s">
        <v>51</v>
      </c>
      <c r="AM7" s="85">
        <f>'Втрати потужності'!N11</f>
        <v>1462.32</v>
      </c>
      <c r="AN7" s="85" t="s">
        <v>62</v>
      </c>
      <c r="AO7" s="85" t="s">
        <v>62</v>
      </c>
      <c r="AP7" s="85" t="s">
        <v>62</v>
      </c>
      <c r="AQ7" s="85">
        <f>ROUND(1.68*AM7,1)</f>
        <v>2456.6999999999998</v>
      </c>
      <c r="AS7" s="116" t="s">
        <v>19</v>
      </c>
      <c r="AT7" s="85" t="str">
        <f>AL7</f>
        <v>а)</v>
      </c>
      <c r="AU7" s="85">
        <f>AC7+AF7</f>
        <v>484.79999999999995</v>
      </c>
      <c r="AV7" s="85">
        <f>AI7</f>
        <v>39.24</v>
      </c>
      <c r="AW7" s="85">
        <f>AQ7</f>
        <v>2456.6999999999998</v>
      </c>
      <c r="AX7" s="85">
        <f>AV7+AW7</f>
        <v>2495.9399999999996</v>
      </c>
      <c r="AY7" s="83">
        <f>0.2*AU7+AX7</f>
        <v>2592.8999999999996</v>
      </c>
      <c r="AZ7" s="85"/>
      <c r="BA7" s="58"/>
    </row>
    <row r="8" spans="3:53" ht="39" thickBot="1" x14ac:dyDescent="0.3">
      <c r="C8" s="135"/>
      <c r="D8" s="110"/>
      <c r="E8" s="133"/>
      <c r="F8" s="133"/>
      <c r="G8" s="133"/>
      <c r="H8" s="133"/>
      <c r="I8" s="133"/>
      <c r="J8" s="133"/>
      <c r="K8" s="134"/>
      <c r="L8" s="75">
        <f>SUM(L5:L7)</f>
        <v>424.59999999999997</v>
      </c>
      <c r="O8" s="137"/>
      <c r="P8" s="33" t="s">
        <v>55</v>
      </c>
      <c r="Q8" s="81" t="s">
        <v>243</v>
      </c>
      <c r="R8" s="33">
        <v>2</v>
      </c>
      <c r="S8" s="33">
        <v>9.1</v>
      </c>
      <c r="T8" s="33">
        <f>R8*S8</f>
        <v>18.2</v>
      </c>
      <c r="U8" s="81" t="s">
        <v>245</v>
      </c>
      <c r="V8" s="33">
        <v>2</v>
      </c>
      <c r="W8" s="33">
        <v>10.8</v>
      </c>
      <c r="X8" s="33">
        <f>V8*W8</f>
        <v>21.6</v>
      </c>
      <c r="AA8" s="116"/>
      <c r="AB8" s="76" t="s">
        <v>55</v>
      </c>
      <c r="AC8" s="76">
        <f>L11</f>
        <v>416.88</v>
      </c>
      <c r="AD8" s="116"/>
      <c r="AE8" s="76">
        <f>ROUND($AD$7/100*AC8,2)</f>
        <v>30.02</v>
      </c>
      <c r="AF8" s="76">
        <f t="shared" ref="AF8:AF10" si="1">T8+X8</f>
        <v>39.799999999999997</v>
      </c>
      <c r="AG8" s="116"/>
      <c r="AH8" s="76">
        <f t="shared" ref="AH8:AH10" si="2">ROUND($AE$8/100*AF8,2)</f>
        <v>11.95</v>
      </c>
      <c r="AI8" s="76">
        <f t="shared" ref="AI8:AI10" si="3">AE8+AH8</f>
        <v>41.97</v>
      </c>
      <c r="AK8" s="116"/>
      <c r="AL8" s="85" t="s">
        <v>55</v>
      </c>
      <c r="AM8" s="85">
        <f>'Втрати потужності'!N14</f>
        <v>1602.4590000000001</v>
      </c>
      <c r="AN8" s="85" t="s">
        <v>62</v>
      </c>
      <c r="AO8" s="85" t="s">
        <v>62</v>
      </c>
      <c r="AP8" s="85" t="s">
        <v>62</v>
      </c>
      <c r="AQ8" s="85">
        <f>ROUND(1.68*AM8,1)</f>
        <v>2692.1</v>
      </c>
      <c r="AS8" s="116"/>
      <c r="AT8" s="85" t="str">
        <f>AL8</f>
        <v>д)</v>
      </c>
      <c r="AU8" s="85">
        <f t="shared" ref="AU8:AU10" si="4">AC8+AF8</f>
        <v>456.68</v>
      </c>
      <c r="AV8" s="85">
        <f t="shared" ref="AV8:AV10" si="5">AI8</f>
        <v>41.97</v>
      </c>
      <c r="AW8" s="85">
        <f t="shared" ref="AW8:AW10" si="6">AQ8</f>
        <v>2692.1</v>
      </c>
      <c r="AX8" s="85">
        <f t="shared" ref="AX8:AX10" si="7">AV8+AW8</f>
        <v>2734.0699999999997</v>
      </c>
      <c r="AY8" s="85">
        <f t="shared" ref="AY8:AY10" si="8">0.2*AU8+AX8</f>
        <v>2825.4059999999999</v>
      </c>
      <c r="AZ8" s="85">
        <f>AY8-AY7</f>
        <v>232.50600000000031</v>
      </c>
      <c r="BA8" s="58">
        <f>AZ8/AY8*100</f>
        <v>8.2291182223015138</v>
      </c>
    </row>
    <row r="9" spans="3:53" ht="39" thickBot="1" x14ac:dyDescent="0.3">
      <c r="C9" s="135"/>
      <c r="D9" s="113" t="s">
        <v>89</v>
      </c>
      <c r="E9" s="75" t="str">
        <f>'Таблиця 1-4'!D6</f>
        <v>В-Д</v>
      </c>
      <c r="F9" s="75">
        <f>'Таблиця 1-4'!E6</f>
        <v>5.6</v>
      </c>
      <c r="G9" s="75">
        <f>Fрозр!H8</f>
        <v>110</v>
      </c>
      <c r="H9" s="75">
        <f>нагрів!I12</f>
        <v>0</v>
      </c>
      <c r="I9" s="75" t="s">
        <v>232</v>
      </c>
      <c r="J9" s="75">
        <f>14.1</f>
        <v>14.1</v>
      </c>
      <c r="K9" s="75">
        <v>2</v>
      </c>
      <c r="L9" s="75">
        <f>J9*F9*K9</f>
        <v>157.91999999999999</v>
      </c>
      <c r="O9" s="136" t="s">
        <v>20</v>
      </c>
      <c r="P9" s="33" t="s">
        <v>51</v>
      </c>
      <c r="Q9" s="81" t="s">
        <v>243</v>
      </c>
      <c r="R9" s="33">
        <v>2</v>
      </c>
      <c r="S9" s="33">
        <v>9.1</v>
      </c>
      <c r="T9" s="33">
        <f>R9*S9</f>
        <v>18.2</v>
      </c>
      <c r="U9" s="81" t="s">
        <v>244</v>
      </c>
      <c r="V9" s="33">
        <v>2</v>
      </c>
      <c r="W9" s="33">
        <v>21</v>
      </c>
      <c r="X9" s="33">
        <f>V9*W9</f>
        <v>42</v>
      </c>
      <c r="AA9" s="116" t="s">
        <v>246</v>
      </c>
      <c r="AB9" s="76" t="s">
        <v>51</v>
      </c>
      <c r="AC9" s="76">
        <f>L15</f>
        <v>590.15000000000009</v>
      </c>
      <c r="AD9" s="116">
        <v>7.2</v>
      </c>
      <c r="AE9" s="76">
        <f>ROUND($AD$9/100*AC10,2)</f>
        <v>46.71</v>
      </c>
      <c r="AF9" s="76">
        <f t="shared" si="1"/>
        <v>60.2</v>
      </c>
      <c r="AG9" s="116">
        <v>14.4</v>
      </c>
      <c r="AH9" s="76">
        <f t="shared" si="2"/>
        <v>18.07</v>
      </c>
      <c r="AI9" s="76">
        <f t="shared" si="3"/>
        <v>64.78</v>
      </c>
      <c r="AK9" s="116" t="s">
        <v>20</v>
      </c>
      <c r="AL9" s="85" t="s">
        <v>51</v>
      </c>
      <c r="AM9" s="84">
        <f>'Втрати потужності'!N18</f>
        <v>1821.807</v>
      </c>
      <c r="AN9" s="85" t="s">
        <v>62</v>
      </c>
      <c r="AO9" s="85" t="s">
        <v>62</v>
      </c>
      <c r="AP9" s="85" t="s">
        <v>62</v>
      </c>
      <c r="AQ9" s="85">
        <f>ROUND(1.68*AM9,1)</f>
        <v>3060.6</v>
      </c>
      <c r="AS9" s="113" t="s">
        <v>20</v>
      </c>
      <c r="AT9" s="85" t="str">
        <f>AL9</f>
        <v>а)</v>
      </c>
      <c r="AU9" s="85">
        <f>AC9+AF9</f>
        <v>650.35000000000014</v>
      </c>
      <c r="AV9" s="85">
        <f t="shared" si="5"/>
        <v>64.78</v>
      </c>
      <c r="AW9" s="85">
        <f t="shared" si="6"/>
        <v>3060.6</v>
      </c>
      <c r="AX9" s="85">
        <f>AV9+AW9</f>
        <v>3125.38</v>
      </c>
      <c r="AY9" s="83">
        <f t="shared" si="8"/>
        <v>3255.4500000000003</v>
      </c>
      <c r="AZ9" s="85"/>
      <c r="BA9" s="58"/>
    </row>
    <row r="10" spans="3:53" ht="35.25" customHeight="1" thickBot="1" x14ac:dyDescent="0.3">
      <c r="C10" s="135"/>
      <c r="D10" s="121"/>
      <c r="E10" s="75" t="str">
        <f>'Таблиця 1-4'!D7</f>
        <v>ВП-Д</v>
      </c>
      <c r="F10" s="76">
        <f>'Таблиця 1-4'!E7</f>
        <v>7.8</v>
      </c>
      <c r="G10" s="75">
        <f>Fрозр!H9</f>
        <v>110</v>
      </c>
      <c r="H10" s="75" t="str">
        <f>нагрів!I9</f>
        <v>АС-150/34</v>
      </c>
      <c r="I10" s="75" t="s">
        <v>232</v>
      </c>
      <c r="J10" s="75">
        <f>16.6</f>
        <v>16.600000000000001</v>
      </c>
      <c r="K10" s="75">
        <v>2</v>
      </c>
      <c r="L10" s="75">
        <f t="shared" ref="L10" si="9">J10*F10*K10</f>
        <v>258.96000000000004</v>
      </c>
      <c r="O10" s="137"/>
      <c r="P10" s="33" t="s">
        <v>54</v>
      </c>
      <c r="Q10" s="81" t="s">
        <v>243</v>
      </c>
      <c r="R10" s="33">
        <v>2</v>
      </c>
      <c r="S10" s="33">
        <v>9.1</v>
      </c>
      <c r="T10" s="33">
        <f>R10*S10</f>
        <v>18.2</v>
      </c>
      <c r="U10" s="81" t="s">
        <v>245</v>
      </c>
      <c r="V10" s="33">
        <v>2</v>
      </c>
      <c r="W10" s="33">
        <v>10.8</v>
      </c>
      <c r="X10" s="33">
        <f>V10*W10</f>
        <v>21.6</v>
      </c>
      <c r="AA10" s="116"/>
      <c r="AB10" s="76" t="s">
        <v>54</v>
      </c>
      <c r="AC10" s="76">
        <f>L19</f>
        <v>648.78</v>
      </c>
      <c r="AD10" s="116"/>
      <c r="AE10" s="76">
        <f>ROUND($AD$9/100*AC10,2)</f>
        <v>46.71</v>
      </c>
      <c r="AF10" s="76">
        <f t="shared" si="1"/>
        <v>39.799999999999997</v>
      </c>
      <c r="AG10" s="116"/>
      <c r="AH10" s="76">
        <f t="shared" si="2"/>
        <v>11.95</v>
      </c>
      <c r="AI10" s="76">
        <f t="shared" si="3"/>
        <v>58.66</v>
      </c>
      <c r="AK10" s="132"/>
      <c r="AL10" s="85" t="s">
        <v>54</v>
      </c>
      <c r="AM10" s="84">
        <f>'Втрати потужності'!N22</f>
        <v>2095.9919999999997</v>
      </c>
      <c r="AN10" s="85" t="s">
        <v>62</v>
      </c>
      <c r="AO10" s="85" t="s">
        <v>62</v>
      </c>
      <c r="AP10" s="85" t="s">
        <v>62</v>
      </c>
      <c r="AQ10" s="85">
        <f>ROUND(1.68*AM10,1)</f>
        <v>3521.3</v>
      </c>
      <c r="AS10" s="121"/>
      <c r="AT10" s="85" t="str">
        <f>AL10</f>
        <v>г)</v>
      </c>
      <c r="AU10" s="85">
        <f t="shared" si="4"/>
        <v>688.57999999999993</v>
      </c>
      <c r="AV10" s="85">
        <f t="shared" si="5"/>
        <v>58.66</v>
      </c>
      <c r="AW10" s="85">
        <f t="shared" si="6"/>
        <v>3521.3</v>
      </c>
      <c r="AX10" s="85">
        <f t="shared" si="7"/>
        <v>3579.96</v>
      </c>
      <c r="AY10" s="85">
        <f t="shared" si="8"/>
        <v>3717.6759999999999</v>
      </c>
      <c r="AZ10" s="85">
        <f>AY10-AY9</f>
        <v>462.22599999999966</v>
      </c>
      <c r="BA10" s="58">
        <f>AZ10/AY10*100</f>
        <v>12.43319751371555</v>
      </c>
    </row>
    <row r="11" spans="3:53" ht="15" customHeight="1" x14ac:dyDescent="0.25">
      <c r="C11" s="121"/>
      <c r="D11" s="110"/>
      <c r="E11" s="133"/>
      <c r="F11" s="133"/>
      <c r="G11" s="133"/>
      <c r="H11" s="133"/>
      <c r="I11" s="133"/>
      <c r="J11" s="133"/>
      <c r="K11" s="134"/>
      <c r="L11" s="75">
        <f>SUM(L9:L10)</f>
        <v>416.88</v>
      </c>
    </row>
    <row r="12" spans="3:53" ht="24" customHeight="1" x14ac:dyDescent="0.25">
      <c r="C12" s="116" t="s">
        <v>20</v>
      </c>
      <c r="D12" s="116" t="s">
        <v>88</v>
      </c>
      <c r="E12" s="75" t="str">
        <f>'Таблиця 1-4'!D8</f>
        <v>ВП-Г</v>
      </c>
      <c r="F12" s="75">
        <f>'Таблиця 1-4'!E8</f>
        <v>9.8000000000000007</v>
      </c>
      <c r="G12" s="75">
        <f>Fрозр!H12</f>
        <v>110</v>
      </c>
      <c r="H12" s="75" t="str">
        <f>нагрів!I16</f>
        <v>АС-300/67</v>
      </c>
      <c r="I12" s="75" t="s">
        <v>231</v>
      </c>
      <c r="J12" s="75">
        <f>19.2</f>
        <v>19.2</v>
      </c>
      <c r="K12" s="75">
        <v>1</v>
      </c>
      <c r="L12" s="75">
        <f>J12*F12*K12</f>
        <v>188.16</v>
      </c>
    </row>
    <row r="13" spans="3:53" ht="18.75" x14ac:dyDescent="0.25">
      <c r="C13" s="132"/>
      <c r="D13" s="132"/>
      <c r="E13" s="75" t="str">
        <f>'Таблиця 1-4'!D9</f>
        <v>ВП-Е</v>
      </c>
      <c r="F13" s="76">
        <f>'Таблиця 1-4'!E9</f>
        <v>11.9</v>
      </c>
      <c r="G13" s="75">
        <f>Fрозр!H13</f>
        <v>110</v>
      </c>
      <c r="H13" s="75" t="str">
        <f>нагрів!I13</f>
        <v>АС-240/56</v>
      </c>
      <c r="I13" s="75" t="s">
        <v>231</v>
      </c>
      <c r="J13" s="75">
        <f>16.6</f>
        <v>16.600000000000001</v>
      </c>
      <c r="K13" s="75">
        <v>1</v>
      </c>
      <c r="L13" s="75">
        <f t="shared" ref="L13:L14" si="10">J13*F13*K13</f>
        <v>197.54000000000002</v>
      </c>
    </row>
    <row r="14" spans="3:53" ht="18.75" x14ac:dyDescent="0.25">
      <c r="C14" s="132"/>
      <c r="D14" s="132"/>
      <c r="E14" s="75" t="str">
        <f>'Таблиця 1-4'!D10</f>
        <v>Е-Г</v>
      </c>
      <c r="F14" s="76">
        <f>'Таблиця 1-4'!E10</f>
        <v>14.5</v>
      </c>
      <c r="G14" s="75">
        <f>Fрозр!H14</f>
        <v>110</v>
      </c>
      <c r="H14" s="75" t="str">
        <f>нагрів!I14</f>
        <v>АС-150/34</v>
      </c>
      <c r="I14" s="75" t="s">
        <v>231</v>
      </c>
      <c r="J14" s="75">
        <f>14.1</f>
        <v>14.1</v>
      </c>
      <c r="K14" s="75">
        <v>1</v>
      </c>
      <c r="L14" s="75">
        <f t="shared" si="10"/>
        <v>204.45</v>
      </c>
    </row>
    <row r="15" spans="3:53" ht="26.25" customHeight="1" x14ac:dyDescent="0.25">
      <c r="C15" s="132"/>
      <c r="D15" s="110"/>
      <c r="E15" s="133"/>
      <c r="F15" s="133"/>
      <c r="G15" s="133"/>
      <c r="H15" s="133"/>
      <c r="I15" s="133"/>
      <c r="J15" s="133"/>
      <c r="K15" s="134"/>
      <c r="L15" s="75">
        <f>SUM(L12:L14)</f>
        <v>590.15000000000009</v>
      </c>
    </row>
    <row r="16" spans="3:53" ht="18.75" customHeight="1" x14ac:dyDescent="0.25">
      <c r="C16" s="132"/>
      <c r="D16" s="116" t="s">
        <v>90</v>
      </c>
      <c r="E16" s="75" t="str">
        <f>'Таблиця 1-4'!D11</f>
        <v>ВП-2</v>
      </c>
      <c r="F16" s="75">
        <f>'Таблиця 1-4'!E11</f>
        <v>5.4</v>
      </c>
      <c r="G16" s="75">
        <v>110</v>
      </c>
      <c r="H16" s="75" t="str">
        <f>нагрів!I20</f>
        <v>АС-150/34</v>
      </c>
      <c r="I16" s="75" t="s">
        <v>232</v>
      </c>
      <c r="J16" s="75">
        <f>19.2</f>
        <v>19.2</v>
      </c>
      <c r="K16" s="75">
        <v>2</v>
      </c>
      <c r="L16" s="75">
        <f>J16*F16*K16</f>
        <v>207.36</v>
      </c>
    </row>
    <row r="17" spans="3:12" ht="18.75" x14ac:dyDescent="0.25">
      <c r="C17" s="132"/>
      <c r="D17" s="132"/>
      <c r="E17" s="75" t="str">
        <f>'Таблиця 1-4'!D12</f>
        <v>Г-2</v>
      </c>
      <c r="F17" s="76">
        <f>'Таблиця 1-4'!E12</f>
        <v>7.2</v>
      </c>
      <c r="G17" s="75">
        <v>110</v>
      </c>
      <c r="H17" s="75" t="str">
        <f>нагрів!I17</f>
        <v>АС-150/34</v>
      </c>
      <c r="I17" s="76" t="s">
        <v>232</v>
      </c>
      <c r="J17" s="75">
        <f>14.4</f>
        <v>14.4</v>
      </c>
      <c r="K17" s="75">
        <v>2</v>
      </c>
      <c r="L17" s="75">
        <f>J17*F17*K17</f>
        <v>207.36</v>
      </c>
    </row>
    <row r="18" spans="3:12" ht="37.5" customHeight="1" x14ac:dyDescent="0.25">
      <c r="C18" s="132"/>
      <c r="D18" s="132"/>
      <c r="E18" s="75" t="str">
        <f>'Таблиця 1-4'!D13</f>
        <v>Е-2</v>
      </c>
      <c r="F18" s="76">
        <f>'Таблиця 1-4'!E13</f>
        <v>8.3000000000000007</v>
      </c>
      <c r="G18" s="75">
        <v>110</v>
      </c>
      <c r="H18" s="75" t="str">
        <f>нагрів!I18</f>
        <v>АС-300/67</v>
      </c>
      <c r="I18" s="76" t="s">
        <v>232</v>
      </c>
      <c r="J18" s="75">
        <f>14.1</f>
        <v>14.1</v>
      </c>
      <c r="K18" s="75">
        <v>2</v>
      </c>
      <c r="L18" s="75">
        <f t="shared" ref="L18" si="11">J18*F18*K18</f>
        <v>234.06</v>
      </c>
    </row>
    <row r="19" spans="3:12" ht="18.75" x14ac:dyDescent="0.25">
      <c r="C19" s="132"/>
      <c r="D19" s="110"/>
      <c r="E19" s="133"/>
      <c r="F19" s="133"/>
      <c r="G19" s="133"/>
      <c r="H19" s="133"/>
      <c r="I19" s="133"/>
      <c r="J19" s="133"/>
      <c r="K19" s="134"/>
      <c r="L19" s="75">
        <f>SUM(L16:L18)</f>
        <v>648.78</v>
      </c>
    </row>
    <row r="23" spans="3:12" ht="26.25" customHeight="1" x14ac:dyDescent="0.25"/>
    <row r="41" ht="18.75" customHeight="1" x14ac:dyDescent="0.25"/>
  </sheetData>
  <mergeCells count="47">
    <mergeCell ref="AH4:AH6"/>
    <mergeCell ref="AI4:AI6"/>
    <mergeCell ref="AC4:AC6"/>
    <mergeCell ref="AD4:AD6"/>
    <mergeCell ref="AE4:AE6"/>
    <mergeCell ref="AF4:AF6"/>
    <mergeCell ref="AG4:AG6"/>
    <mergeCell ref="AD7:AD8"/>
    <mergeCell ref="AG7:AG8"/>
    <mergeCell ref="AA9:AA10"/>
    <mergeCell ref="AD9:AD10"/>
    <mergeCell ref="AG9:AG10"/>
    <mergeCell ref="O9:O10"/>
    <mergeCell ref="O4:O6"/>
    <mergeCell ref="P4:P6"/>
    <mergeCell ref="Q4:Q6"/>
    <mergeCell ref="U4:U6"/>
    <mergeCell ref="O7:O8"/>
    <mergeCell ref="AA4:AA6"/>
    <mergeCell ref="K2:K4"/>
    <mergeCell ref="L2:L4"/>
    <mergeCell ref="AB4:AB6"/>
    <mergeCell ref="AA7:AA8"/>
    <mergeCell ref="C12:C19"/>
    <mergeCell ref="D8:K8"/>
    <mergeCell ref="D15:K15"/>
    <mergeCell ref="D11:K11"/>
    <mergeCell ref="D19:K19"/>
    <mergeCell ref="C5:C11"/>
    <mergeCell ref="D9:D10"/>
    <mergeCell ref="D12:D14"/>
    <mergeCell ref="D16:D18"/>
    <mergeCell ref="C2:C4"/>
    <mergeCell ref="F2:F4"/>
    <mergeCell ref="J2:J4"/>
    <mergeCell ref="D5:D7"/>
    <mergeCell ref="D2:D4"/>
    <mergeCell ref="E2:E4"/>
    <mergeCell ref="G2:G4"/>
    <mergeCell ref="H2:H4"/>
    <mergeCell ref="I2:I4"/>
    <mergeCell ref="AK4:AK6"/>
    <mergeCell ref="AL4:AL6"/>
    <mergeCell ref="AK7:AK8"/>
    <mergeCell ref="AS7:AS8"/>
    <mergeCell ref="AK9:AK10"/>
    <mergeCell ref="AS9:AS1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4577" r:id="rId4">
          <objectPr defaultSize="0" autoPict="0" r:id="rId5">
            <anchor moveWithCells="1" sizeWithCells="1">
              <from>
                <xdr:col>17</xdr:col>
                <xdr:colOff>104775</xdr:colOff>
                <xdr:row>3</xdr:row>
                <xdr:rowOff>133350</xdr:rowOff>
              </from>
              <to>
                <xdr:col>17</xdr:col>
                <xdr:colOff>428625</xdr:colOff>
                <xdr:row>3</xdr:row>
                <xdr:rowOff>447675</xdr:rowOff>
              </to>
            </anchor>
          </objectPr>
        </oleObject>
      </mc:Choice>
      <mc:Fallback>
        <oleObject progId="Equation.3" shapeId="24577" r:id="rId4"/>
      </mc:Fallback>
    </mc:AlternateContent>
    <mc:AlternateContent xmlns:mc="http://schemas.openxmlformats.org/markup-compatibility/2006">
      <mc:Choice Requires="x14">
        <oleObject progId="Equation.3" shapeId="24578" r:id="rId6">
          <objectPr defaultSize="0" autoPict="0" r:id="rId7">
            <anchor moveWithCells="1" sizeWithCells="1">
              <from>
                <xdr:col>18</xdr:col>
                <xdr:colOff>104775</xdr:colOff>
                <xdr:row>3</xdr:row>
                <xdr:rowOff>152400</xdr:rowOff>
              </from>
              <to>
                <xdr:col>18</xdr:col>
                <xdr:colOff>561975</xdr:colOff>
                <xdr:row>3</xdr:row>
                <xdr:rowOff>466725</xdr:rowOff>
              </to>
            </anchor>
          </objectPr>
        </oleObject>
      </mc:Choice>
      <mc:Fallback>
        <oleObject progId="Equation.3" shapeId="24578" r:id="rId6"/>
      </mc:Fallback>
    </mc:AlternateContent>
    <mc:AlternateContent xmlns:mc="http://schemas.openxmlformats.org/markup-compatibility/2006">
      <mc:Choice Requires="x14">
        <oleObject progId="Equation.3" shapeId="24579" r:id="rId8">
          <objectPr defaultSize="0" autoPict="0" r:id="rId9">
            <anchor moveWithCells="1" sizeWithCells="1">
              <from>
                <xdr:col>19</xdr:col>
                <xdr:colOff>57150</xdr:colOff>
                <xdr:row>3</xdr:row>
                <xdr:rowOff>104775</xdr:rowOff>
              </from>
              <to>
                <xdr:col>19</xdr:col>
                <xdr:colOff>419100</xdr:colOff>
                <xdr:row>3</xdr:row>
                <xdr:rowOff>419100</xdr:rowOff>
              </to>
            </anchor>
          </objectPr>
        </oleObject>
      </mc:Choice>
      <mc:Fallback>
        <oleObject progId="Equation.3" shapeId="24579" r:id="rId8"/>
      </mc:Fallback>
    </mc:AlternateContent>
    <mc:AlternateContent xmlns:mc="http://schemas.openxmlformats.org/markup-compatibility/2006">
      <mc:Choice Requires="x14">
        <oleObject progId="Equation.3" shapeId="24580" r:id="rId10">
          <objectPr defaultSize="0" autoPict="0" r:id="rId11">
            <anchor moveWithCells="1" sizeWithCells="1">
              <from>
                <xdr:col>21</xdr:col>
                <xdr:colOff>133350</xdr:colOff>
                <xdr:row>3</xdr:row>
                <xdr:rowOff>142875</xdr:rowOff>
              </from>
              <to>
                <xdr:col>21</xdr:col>
                <xdr:colOff>485775</xdr:colOff>
                <xdr:row>3</xdr:row>
                <xdr:rowOff>400050</xdr:rowOff>
              </to>
            </anchor>
          </objectPr>
        </oleObject>
      </mc:Choice>
      <mc:Fallback>
        <oleObject progId="Equation.3" shapeId="24580" r:id="rId10"/>
      </mc:Fallback>
    </mc:AlternateContent>
    <mc:AlternateContent xmlns:mc="http://schemas.openxmlformats.org/markup-compatibility/2006">
      <mc:Choice Requires="x14">
        <oleObject progId="Equation.3" shapeId="24581" r:id="rId12">
          <objectPr defaultSize="0" autoPict="0" r:id="rId13">
            <anchor moveWithCells="1" sizeWithCells="1">
              <from>
                <xdr:col>22</xdr:col>
                <xdr:colOff>85725</xdr:colOff>
                <xdr:row>3</xdr:row>
                <xdr:rowOff>104775</xdr:rowOff>
              </from>
              <to>
                <xdr:col>22</xdr:col>
                <xdr:colOff>552450</xdr:colOff>
                <xdr:row>3</xdr:row>
                <xdr:rowOff>381000</xdr:rowOff>
              </to>
            </anchor>
          </objectPr>
        </oleObject>
      </mc:Choice>
      <mc:Fallback>
        <oleObject progId="Equation.3" shapeId="24581" r:id="rId12"/>
      </mc:Fallback>
    </mc:AlternateContent>
    <mc:AlternateContent xmlns:mc="http://schemas.openxmlformats.org/markup-compatibility/2006">
      <mc:Choice Requires="x14">
        <oleObject progId="Equation.3" shapeId="24582" r:id="rId14">
          <objectPr defaultSize="0" autoPict="0" r:id="rId15">
            <anchor moveWithCells="1" sizeWithCells="1">
              <from>
                <xdr:col>23</xdr:col>
                <xdr:colOff>85725</xdr:colOff>
                <xdr:row>3</xdr:row>
                <xdr:rowOff>114300</xdr:rowOff>
              </from>
              <to>
                <xdr:col>23</xdr:col>
                <xdr:colOff>485775</xdr:colOff>
                <xdr:row>3</xdr:row>
                <xdr:rowOff>381000</xdr:rowOff>
              </to>
            </anchor>
          </objectPr>
        </oleObject>
      </mc:Choice>
      <mc:Fallback>
        <oleObject progId="Equation.3" shapeId="24582" r:id="rId14"/>
      </mc:Fallback>
    </mc:AlternateContent>
    <mc:AlternateContent xmlns:mc="http://schemas.openxmlformats.org/markup-compatibility/2006">
      <mc:Choice Requires="x14">
        <oleObject progId="Equation.3" shapeId="24595" r:id="rId16">
          <objectPr defaultSize="0" autoPict="0" r:id="rId17">
            <anchor moveWithCells="1" sizeWithCells="1">
              <from>
                <xdr:col>29</xdr:col>
                <xdr:colOff>171450</xdr:colOff>
                <xdr:row>3</xdr:row>
                <xdr:rowOff>133350</xdr:rowOff>
              </from>
              <to>
                <xdr:col>29</xdr:col>
                <xdr:colOff>400050</xdr:colOff>
                <xdr:row>3</xdr:row>
                <xdr:rowOff>381000</xdr:rowOff>
              </to>
            </anchor>
          </objectPr>
        </oleObject>
      </mc:Choice>
      <mc:Fallback>
        <oleObject progId="Equation.3" shapeId="24595" r:id="rId16"/>
      </mc:Fallback>
    </mc:AlternateContent>
    <mc:AlternateContent xmlns:mc="http://schemas.openxmlformats.org/markup-compatibility/2006">
      <mc:Choice Requires="x14">
        <oleObject progId="Equation.3" shapeId="24596" r:id="rId18">
          <objectPr defaultSize="0" autoPict="0" r:id="rId19">
            <anchor moveWithCells="1" sizeWithCells="1">
              <from>
                <xdr:col>30</xdr:col>
                <xdr:colOff>161925</xdr:colOff>
                <xdr:row>3</xdr:row>
                <xdr:rowOff>66675</xdr:rowOff>
              </from>
              <to>
                <xdr:col>30</xdr:col>
                <xdr:colOff>523875</xdr:colOff>
                <xdr:row>3</xdr:row>
                <xdr:rowOff>342900</xdr:rowOff>
              </to>
            </anchor>
          </objectPr>
        </oleObject>
      </mc:Choice>
      <mc:Fallback>
        <oleObject progId="Equation.3" shapeId="24596" r:id="rId18"/>
      </mc:Fallback>
    </mc:AlternateContent>
    <mc:AlternateContent xmlns:mc="http://schemas.openxmlformats.org/markup-compatibility/2006">
      <mc:Choice Requires="x14">
        <oleObject progId="Equation.3" shapeId="24597" r:id="rId20">
          <objectPr defaultSize="0" autoPict="0" r:id="rId21">
            <anchor moveWithCells="1" sizeWithCells="1">
              <from>
                <xdr:col>32</xdr:col>
                <xdr:colOff>142875</xdr:colOff>
                <xdr:row>3</xdr:row>
                <xdr:rowOff>123825</xdr:rowOff>
              </from>
              <to>
                <xdr:col>32</xdr:col>
                <xdr:colOff>428625</xdr:colOff>
                <xdr:row>3</xdr:row>
                <xdr:rowOff>390525</xdr:rowOff>
              </to>
            </anchor>
          </objectPr>
        </oleObject>
      </mc:Choice>
      <mc:Fallback>
        <oleObject progId="Equation.3" shapeId="24597" r:id="rId20"/>
      </mc:Fallback>
    </mc:AlternateContent>
    <mc:AlternateContent xmlns:mc="http://schemas.openxmlformats.org/markup-compatibility/2006">
      <mc:Choice Requires="x14">
        <oleObject progId="Equation.3" shapeId="24598" r:id="rId22">
          <objectPr defaultSize="0" autoPict="0" r:id="rId23">
            <anchor moveWithCells="1" sizeWithCells="1">
              <from>
                <xdr:col>33</xdr:col>
                <xdr:colOff>161925</xdr:colOff>
                <xdr:row>3</xdr:row>
                <xdr:rowOff>76200</xdr:rowOff>
              </from>
              <to>
                <xdr:col>33</xdr:col>
                <xdr:colOff>476250</xdr:colOff>
                <xdr:row>3</xdr:row>
                <xdr:rowOff>333375</xdr:rowOff>
              </to>
            </anchor>
          </objectPr>
        </oleObject>
      </mc:Choice>
      <mc:Fallback>
        <oleObject progId="Equation.3" shapeId="24598" r:id="rId22"/>
      </mc:Fallback>
    </mc:AlternateContent>
    <mc:AlternateContent xmlns:mc="http://schemas.openxmlformats.org/markup-compatibility/2006">
      <mc:Choice Requires="x14">
        <oleObject progId="Equation.3" shapeId="24599" r:id="rId24">
          <objectPr defaultSize="0" autoPict="0" r:id="rId25">
            <anchor moveWithCells="1" sizeWithCells="1">
              <from>
                <xdr:col>34</xdr:col>
                <xdr:colOff>104775</xdr:colOff>
                <xdr:row>3</xdr:row>
                <xdr:rowOff>76200</xdr:rowOff>
              </from>
              <to>
                <xdr:col>34</xdr:col>
                <xdr:colOff>514350</xdr:colOff>
                <xdr:row>3</xdr:row>
                <xdr:rowOff>333375</xdr:rowOff>
              </to>
            </anchor>
          </objectPr>
        </oleObject>
      </mc:Choice>
      <mc:Fallback>
        <oleObject progId="Equation.3" shapeId="24599" r:id="rId24"/>
      </mc:Fallback>
    </mc:AlternateContent>
    <mc:AlternateContent xmlns:mc="http://schemas.openxmlformats.org/markup-compatibility/2006">
      <mc:Choice Requires="x14">
        <oleObject progId="Equation.3" shapeId="24600" r:id="rId26">
          <objectPr defaultSize="0" autoPict="0" r:id="rId27">
            <anchor moveWithCells="1" sizeWithCells="1">
              <from>
                <xdr:col>38</xdr:col>
                <xdr:colOff>19050</xdr:colOff>
                <xdr:row>0</xdr:row>
                <xdr:rowOff>180975</xdr:rowOff>
              </from>
              <to>
                <xdr:col>38</xdr:col>
                <xdr:colOff>381000</xdr:colOff>
                <xdr:row>2</xdr:row>
                <xdr:rowOff>38100</xdr:rowOff>
              </to>
            </anchor>
          </objectPr>
        </oleObject>
      </mc:Choice>
      <mc:Fallback>
        <oleObject progId="Equation.3" shapeId="24600" r:id="rId26"/>
      </mc:Fallback>
    </mc:AlternateContent>
    <mc:AlternateContent xmlns:mc="http://schemas.openxmlformats.org/markup-compatibility/2006">
      <mc:Choice Requires="x14">
        <oleObject progId="Equation.3" shapeId="24601" r:id="rId28">
          <objectPr defaultSize="0" autoPict="0" r:id="rId29">
            <anchor moveWithCells="1" sizeWithCells="1">
              <from>
                <xdr:col>39</xdr:col>
                <xdr:colOff>9525</xdr:colOff>
                <xdr:row>0</xdr:row>
                <xdr:rowOff>171450</xdr:rowOff>
              </from>
              <to>
                <xdr:col>39</xdr:col>
                <xdr:colOff>428625</xdr:colOff>
                <xdr:row>2</xdr:row>
                <xdr:rowOff>28575</xdr:rowOff>
              </to>
            </anchor>
          </objectPr>
        </oleObject>
      </mc:Choice>
      <mc:Fallback>
        <oleObject progId="Equation.3" shapeId="24601" r:id="rId28"/>
      </mc:Fallback>
    </mc:AlternateContent>
    <mc:AlternateContent xmlns:mc="http://schemas.openxmlformats.org/markup-compatibility/2006">
      <mc:Choice Requires="x14">
        <oleObject progId="Equation.3" shapeId="24602" r:id="rId30">
          <objectPr defaultSize="0" autoPict="0" r:id="rId31">
            <anchor moveWithCells="1" sizeWithCells="1">
              <from>
                <xdr:col>40</xdr:col>
                <xdr:colOff>38100</xdr:colOff>
                <xdr:row>0</xdr:row>
                <xdr:rowOff>104775</xdr:rowOff>
              </from>
              <to>
                <xdr:col>40</xdr:col>
                <xdr:colOff>419100</xdr:colOff>
                <xdr:row>1</xdr:row>
                <xdr:rowOff>152400</xdr:rowOff>
              </to>
            </anchor>
          </objectPr>
        </oleObject>
      </mc:Choice>
      <mc:Fallback>
        <oleObject progId="Equation.3" shapeId="24602" r:id="rId30"/>
      </mc:Fallback>
    </mc:AlternateContent>
    <mc:AlternateContent xmlns:mc="http://schemas.openxmlformats.org/markup-compatibility/2006">
      <mc:Choice Requires="x14">
        <oleObject progId="Equation.3" shapeId="24603" r:id="rId32">
          <objectPr defaultSize="0" autoPict="0" r:id="rId33">
            <anchor moveWithCells="1" sizeWithCells="1">
              <from>
                <xdr:col>41</xdr:col>
                <xdr:colOff>0</xdr:colOff>
                <xdr:row>0</xdr:row>
                <xdr:rowOff>47625</xdr:rowOff>
              </from>
              <to>
                <xdr:col>41</xdr:col>
                <xdr:colOff>400050</xdr:colOff>
                <xdr:row>1</xdr:row>
                <xdr:rowOff>104775</xdr:rowOff>
              </to>
            </anchor>
          </objectPr>
        </oleObject>
      </mc:Choice>
      <mc:Fallback>
        <oleObject progId="Equation.3" shapeId="24603" r:id="rId32"/>
      </mc:Fallback>
    </mc:AlternateContent>
    <mc:AlternateContent xmlns:mc="http://schemas.openxmlformats.org/markup-compatibility/2006">
      <mc:Choice Requires="x14">
        <oleObject progId="Equation.3" shapeId="24604" r:id="rId34">
          <objectPr defaultSize="0" autoPict="0" r:id="rId35">
            <anchor moveWithCells="1" sizeWithCells="1">
              <from>
                <xdr:col>42</xdr:col>
                <xdr:colOff>19050</xdr:colOff>
                <xdr:row>0</xdr:row>
                <xdr:rowOff>104775</xdr:rowOff>
              </from>
              <to>
                <xdr:col>42</xdr:col>
                <xdr:colOff>381000</xdr:colOff>
                <xdr:row>1</xdr:row>
                <xdr:rowOff>152400</xdr:rowOff>
              </to>
            </anchor>
          </objectPr>
        </oleObject>
      </mc:Choice>
      <mc:Fallback>
        <oleObject progId="Equation.3" shapeId="24604" r:id="rId34"/>
      </mc:Fallback>
    </mc:AlternateContent>
    <mc:AlternateContent xmlns:mc="http://schemas.openxmlformats.org/markup-compatibility/2006">
      <mc:Choice Requires="x14">
        <oleObject progId="Equation.3" shapeId="24605" r:id="rId36">
          <objectPr defaultSize="0" autoPict="0" r:id="rId37">
            <anchor moveWithCells="1" sizeWithCells="1">
              <from>
                <xdr:col>48</xdr:col>
                <xdr:colOff>19050</xdr:colOff>
                <xdr:row>1</xdr:row>
                <xdr:rowOff>9525</xdr:rowOff>
              </from>
              <to>
                <xdr:col>48</xdr:col>
                <xdr:colOff>381000</xdr:colOff>
                <xdr:row>2</xdr:row>
                <xdr:rowOff>66675</xdr:rowOff>
              </to>
            </anchor>
          </objectPr>
        </oleObject>
      </mc:Choice>
      <mc:Fallback>
        <oleObject progId="Equation.3" shapeId="24605" r:id="rId36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A3" workbookViewId="0">
      <selection activeCell="M9" sqref="M9"/>
    </sheetView>
  </sheetViews>
  <sheetFormatPr defaultRowHeight="15" x14ac:dyDescent="0.25"/>
  <cols>
    <col min="3" max="3" width="9.28515625" bestFit="1" customWidth="1"/>
    <col min="4" max="4" width="15.42578125" bestFit="1" customWidth="1"/>
    <col min="5" max="5" width="18.7109375" customWidth="1"/>
    <col min="6" max="6" width="9.42578125" bestFit="1" customWidth="1"/>
    <col min="7" max="7" width="19" customWidth="1"/>
    <col min="8" max="8" width="15.28515625" customWidth="1"/>
    <col min="9" max="9" width="9.140625" customWidth="1"/>
    <col min="10" max="10" width="15.5703125" bestFit="1" customWidth="1"/>
    <col min="11" max="12" width="9.42578125" bestFit="1" customWidth="1"/>
    <col min="13" max="13" width="10.85546875" bestFit="1" customWidth="1"/>
    <col min="14" max="14" width="11" bestFit="1" customWidth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30" customHeight="1" x14ac:dyDescent="0.25"/>
    <row r="5" spans="1:16" ht="15" customHeight="1" x14ac:dyDescent="0.25">
      <c r="C5" s="116"/>
      <c r="D5" s="116" t="s">
        <v>67</v>
      </c>
      <c r="E5" s="116" t="s">
        <v>253</v>
      </c>
      <c r="F5" s="116" t="s">
        <v>9</v>
      </c>
      <c r="G5" s="116" t="s">
        <v>97</v>
      </c>
      <c r="H5" s="116" t="s">
        <v>116</v>
      </c>
      <c r="I5" s="113" t="s">
        <v>257</v>
      </c>
      <c r="J5" s="113" t="s">
        <v>258</v>
      </c>
      <c r="K5" s="116" t="s">
        <v>87</v>
      </c>
      <c r="L5" s="116" t="s">
        <v>147</v>
      </c>
      <c r="M5" s="116" t="s">
        <v>2</v>
      </c>
      <c r="N5" s="116" t="s">
        <v>254</v>
      </c>
    </row>
    <row r="6" spans="1:16" ht="15" customHeight="1" x14ac:dyDescent="0.25">
      <c r="C6" s="116"/>
      <c r="D6" s="116"/>
      <c r="E6" s="116"/>
      <c r="F6" s="116"/>
      <c r="G6" s="116"/>
      <c r="H6" s="116"/>
      <c r="I6" s="135"/>
      <c r="J6" s="135"/>
      <c r="K6" s="116"/>
      <c r="L6" s="116"/>
      <c r="M6" s="116"/>
      <c r="N6" s="116"/>
    </row>
    <row r="7" spans="1:16" ht="15" customHeight="1" x14ac:dyDescent="0.25">
      <c r="C7" s="116"/>
      <c r="D7" s="116"/>
      <c r="E7" s="116"/>
      <c r="F7" s="116"/>
      <c r="G7" s="116"/>
      <c r="H7" s="116"/>
      <c r="I7" s="121"/>
      <c r="J7" s="121"/>
      <c r="K7" s="116"/>
      <c r="L7" s="116"/>
      <c r="M7" s="116"/>
      <c r="N7" s="116"/>
    </row>
    <row r="8" spans="1:16" ht="15" customHeight="1" x14ac:dyDescent="0.25">
      <c r="A8">
        <f>Потокорозподіл!E5</f>
        <v>26.968</v>
      </c>
      <c r="B8">
        <f>Потокорозподіл!F5</f>
        <v>14.375</v>
      </c>
      <c r="C8" s="113" t="s">
        <v>19</v>
      </c>
      <c r="D8" s="116" t="s">
        <v>51</v>
      </c>
      <c r="E8" s="82" t="str">
        <f>Потокорозподіл!C5</f>
        <v>ВП-В</v>
      </c>
      <c r="F8" s="82">
        <v>110</v>
      </c>
      <c r="G8" s="82" t="str">
        <f>COMPLEX(A8,B8)</f>
        <v>26.968+14.375i</v>
      </c>
      <c r="H8" s="82" t="str">
        <f>нагрів!I8</f>
        <v>АС-240/56</v>
      </c>
      <c r="I8" s="82">
        <v>0.12</v>
      </c>
      <c r="J8" s="82">
        <f>Потокорозподіл!D5</f>
        <v>11.8</v>
      </c>
      <c r="K8" s="82">
        <f>'Таблиця 1-4'!G3</f>
        <v>1</v>
      </c>
      <c r="L8" s="82">
        <f>ROUND(I8*J8/K8,2)</f>
        <v>1.42</v>
      </c>
      <c r="M8" s="82">
        <f>ROUND((A8^2+B8^2)/F8^2*L8,3)</f>
        <v>0.11</v>
      </c>
      <c r="N8" s="82" t="s">
        <v>62</v>
      </c>
      <c r="P8">
        <f>'Табл1-1  1-2'!B36</f>
        <v>6093</v>
      </c>
    </row>
    <row r="9" spans="1:16" ht="15" customHeight="1" x14ac:dyDescent="0.25">
      <c r="A9">
        <f>Потокорозподіл!E6</f>
        <v>35.031999999999996</v>
      </c>
      <c r="B9">
        <f>Потокорозподіл!F6</f>
        <v>18.425000000000001</v>
      </c>
      <c r="C9" s="135"/>
      <c r="D9" s="179"/>
      <c r="E9" s="82" t="str">
        <f>Потокорозподіл!C6</f>
        <v>ВП-Д</v>
      </c>
      <c r="F9" s="82">
        <f>F8</f>
        <v>110</v>
      </c>
      <c r="G9" s="82" t="str">
        <f>COMPLEX(A9,B9)</f>
        <v>35.032+18.425i</v>
      </c>
      <c r="H9" s="82" t="str">
        <f>нагрів!I5</f>
        <v>АС-300/67</v>
      </c>
      <c r="I9" s="82">
        <f>I8</f>
        <v>0.12</v>
      </c>
      <c r="J9" s="82">
        <f>Потокорозподіл!D6</f>
        <v>7.8</v>
      </c>
      <c r="K9" s="82">
        <f>'Таблиця 1-4'!G4</f>
        <v>1</v>
      </c>
      <c r="L9" s="82">
        <f>ROUND(I9*J9/K9,2)</f>
        <v>0.94</v>
      </c>
      <c r="M9" s="82">
        <f t="shared" ref="M9:M10" si="0">ROUND((A9^2+B9^2)/F9^2*L9,3)</f>
        <v>0.122</v>
      </c>
      <c r="N9" s="82" t="s">
        <v>62</v>
      </c>
    </row>
    <row r="10" spans="1:16" ht="15" customHeight="1" x14ac:dyDescent="0.25">
      <c r="A10">
        <f>-Потокорозподіл!E7</f>
        <v>8.032</v>
      </c>
      <c r="B10">
        <f>-Потокорозподіл!F7</f>
        <v>4.625</v>
      </c>
      <c r="C10" s="135"/>
      <c r="D10" s="179"/>
      <c r="E10" s="82" t="str">
        <f>Потокорозподіл!C7</f>
        <v>В-Д</v>
      </c>
      <c r="F10" s="82">
        <f>F9</f>
        <v>110</v>
      </c>
      <c r="G10" s="82" t="str">
        <f>COMPLEX(A10,B10)</f>
        <v>8.032+4.625i</v>
      </c>
      <c r="H10" s="82" t="str">
        <f>нагрів!I9</f>
        <v>АС-150/34</v>
      </c>
      <c r="I10" s="82">
        <f>0.198</f>
        <v>0.19800000000000001</v>
      </c>
      <c r="J10" s="82">
        <f>Потокорозподіл!D7</f>
        <v>5.6</v>
      </c>
      <c r="K10" s="82">
        <f>'Таблиця 1-4'!G5</f>
        <v>1</v>
      </c>
      <c r="L10" s="82">
        <f>ROUND(I10*J10/K10,2)</f>
        <v>1.1100000000000001</v>
      </c>
      <c r="M10" s="82">
        <f t="shared" si="0"/>
        <v>8.0000000000000002E-3</v>
      </c>
      <c r="N10" s="82" t="s">
        <v>62</v>
      </c>
    </row>
    <row r="11" spans="1:16" ht="15" customHeight="1" x14ac:dyDescent="0.25">
      <c r="C11" s="135"/>
      <c r="D11" s="179"/>
      <c r="E11" s="180"/>
      <c r="F11" s="180"/>
      <c r="G11" s="180"/>
      <c r="H11" s="180"/>
      <c r="I11" s="180"/>
      <c r="J11" s="180"/>
      <c r="K11" s="180"/>
      <c r="L11" s="180"/>
      <c r="M11" s="83">
        <f>SUM(M8:M10)</f>
        <v>0.24</v>
      </c>
      <c r="N11" s="82">
        <f>M11*P8</f>
        <v>1462.32</v>
      </c>
    </row>
    <row r="12" spans="1:16" ht="15" customHeight="1" x14ac:dyDescent="0.25">
      <c r="A12">
        <f>Потокорозподіл!E8</f>
        <v>35</v>
      </c>
      <c r="B12">
        <f>Потокорозподіл!F8</f>
        <v>19</v>
      </c>
      <c r="C12" s="135"/>
      <c r="D12" s="113" t="s">
        <v>55</v>
      </c>
      <c r="E12" s="82" t="str">
        <f>Потокорозподіл!C8</f>
        <v>В-Д</v>
      </c>
      <c r="F12" s="82">
        <f>F8</f>
        <v>110</v>
      </c>
      <c r="G12" s="82" t="str">
        <f>COMPLEX(A12,B12)</f>
        <v>35+19i</v>
      </c>
      <c r="H12" s="82" t="str">
        <f>нагрів!I10</f>
        <v>АС-150/34</v>
      </c>
      <c r="I12" s="82">
        <v>0.19800000000000001</v>
      </c>
      <c r="J12" s="82">
        <f>Потокорозподіл!D8</f>
        <v>5.6</v>
      </c>
      <c r="K12" s="82">
        <f>'Таблиця 1-4'!G6</f>
        <v>2</v>
      </c>
      <c r="L12" s="82">
        <f>ROUND(I12*J12/K12,2)</f>
        <v>0.55000000000000004</v>
      </c>
      <c r="M12" s="82">
        <f>ROUND((A12^2+B12^2)/F12^2*L12,3)</f>
        <v>7.1999999999999995E-2</v>
      </c>
      <c r="N12" s="82" t="s">
        <v>62</v>
      </c>
    </row>
    <row r="13" spans="1:16" ht="15" customHeight="1" x14ac:dyDescent="0.25">
      <c r="A13">
        <f>Потокорозподіл!E9</f>
        <v>62</v>
      </c>
      <c r="B13">
        <f>Потокорозподіл!F9</f>
        <v>32.799999999999997</v>
      </c>
      <c r="C13" s="135"/>
      <c r="D13" s="135"/>
      <c r="E13" s="82" t="str">
        <f>Потокорозподіл!C9</f>
        <v>ВП-Д</v>
      </c>
      <c r="F13" s="82">
        <f>F12</f>
        <v>110</v>
      </c>
      <c r="G13" s="82" t="str">
        <f>COMPLEX(A13,B13)</f>
        <v>62+32.8i</v>
      </c>
      <c r="H13" s="82" t="str">
        <f>нагрів!I11</f>
        <v>АС-240/56</v>
      </c>
      <c r="I13" s="82">
        <f>0.12</f>
        <v>0.12</v>
      </c>
      <c r="J13" s="82">
        <f>Потокорозподіл!D9</f>
        <v>7.8</v>
      </c>
      <c r="K13" s="82">
        <v>2</v>
      </c>
      <c r="L13" s="82">
        <f>ROUND(I13*J13/K13,2)</f>
        <v>0.47</v>
      </c>
      <c r="M13" s="82">
        <f>ROUND((A13^2+B13^2)/F13^2*L13,3)</f>
        <v>0.191</v>
      </c>
      <c r="N13" s="82" t="s">
        <v>62</v>
      </c>
    </row>
    <row r="14" spans="1:16" ht="15" customHeight="1" x14ac:dyDescent="0.25">
      <c r="C14" s="121"/>
      <c r="D14" s="121"/>
      <c r="E14" s="116"/>
      <c r="F14" s="179"/>
      <c r="G14" s="179"/>
      <c r="H14" s="179"/>
      <c r="I14" s="179"/>
      <c r="J14" s="179"/>
      <c r="K14" s="179"/>
      <c r="L14" s="179"/>
      <c r="M14" s="83">
        <f>SUM(M12:M13)</f>
        <v>0.26300000000000001</v>
      </c>
      <c r="N14" s="82">
        <f>M14*P8</f>
        <v>1602.4590000000001</v>
      </c>
    </row>
    <row r="15" spans="1:16" ht="15" customHeight="1" x14ac:dyDescent="0.25">
      <c r="A15">
        <f>Потокорозподіл!E11</f>
        <v>34.843000000000004</v>
      </c>
      <c r="B15">
        <f>Потокорозподіл!F11</f>
        <v>16.891999999999999</v>
      </c>
      <c r="C15" s="116" t="s">
        <v>246</v>
      </c>
      <c r="D15" s="116" t="s">
        <v>51</v>
      </c>
      <c r="E15" s="82" t="str">
        <f>Потокорозподіл!C11</f>
        <v>ВП-Г</v>
      </c>
      <c r="F15" s="82">
        <f>F12</f>
        <v>110</v>
      </c>
      <c r="G15" s="82" t="str">
        <f>COMPLEX(A15,B15)</f>
        <v>34.843+16.892i</v>
      </c>
      <c r="H15" s="82" t="str">
        <f>нагрів!I16</f>
        <v>АС-300/67</v>
      </c>
      <c r="I15" s="82">
        <v>0.12</v>
      </c>
      <c r="J15" s="82">
        <f>Потокорозподіл!D11</f>
        <v>9.8000000000000007</v>
      </c>
      <c r="K15" s="82">
        <v>1</v>
      </c>
      <c r="L15" s="82">
        <f>ROUND(I15*J15/K15,2)</f>
        <v>1.18</v>
      </c>
      <c r="M15" s="82">
        <f>ROUND((A15^2+B15^2)/F15^2*L15,3)</f>
        <v>0.14599999999999999</v>
      </c>
      <c r="N15" s="82" t="s">
        <v>62</v>
      </c>
    </row>
    <row r="16" spans="1:16" ht="15" customHeight="1" x14ac:dyDescent="0.25">
      <c r="A16">
        <f>Потокорозподіл!E12</f>
        <v>32.156999999999996</v>
      </c>
      <c r="B16">
        <f>Потокорозподіл!F12</f>
        <v>15.608000000000001</v>
      </c>
      <c r="C16" s="116"/>
      <c r="D16" s="116"/>
      <c r="E16" s="82" t="str">
        <f>Потокорозподіл!C12</f>
        <v>ВП-Е</v>
      </c>
      <c r="F16" s="82">
        <f>F15</f>
        <v>110</v>
      </c>
      <c r="G16" s="82" t="str">
        <f>COMPLEX(A16,B16)</f>
        <v>32.157+15.608i</v>
      </c>
      <c r="H16" s="82" t="str">
        <f>нагрів!I13</f>
        <v>АС-240/56</v>
      </c>
      <c r="I16" s="82">
        <f>0.12</f>
        <v>0.12</v>
      </c>
      <c r="J16" s="82">
        <f>Потокорозподіл!D12</f>
        <v>11.9</v>
      </c>
      <c r="K16" s="82">
        <v>1</v>
      </c>
      <c r="L16" s="82">
        <f>ROUND(I16*J16/K16,2)</f>
        <v>1.43</v>
      </c>
      <c r="M16" s="82">
        <f t="shared" ref="M16" si="1">ROUND((A16^2+B16^2)/F16^2*L16,3)</f>
        <v>0.151</v>
      </c>
      <c r="N16" s="82" t="s">
        <v>62</v>
      </c>
    </row>
    <row r="17" spans="1:14" ht="15" customHeight="1" x14ac:dyDescent="0.25">
      <c r="A17">
        <f>Потокорозподіл!E13</f>
        <v>2.8430000000000035</v>
      </c>
      <c r="B17">
        <f>Потокорозподіл!F13</f>
        <v>1.3919999999999995</v>
      </c>
      <c r="C17" s="116"/>
      <c r="D17" s="116"/>
      <c r="E17" s="82" t="str">
        <f>Потокорозподіл!C13</f>
        <v>Е-Г</v>
      </c>
      <c r="F17" s="82">
        <f>F16</f>
        <v>110</v>
      </c>
      <c r="G17" s="82" t="str">
        <f>COMPLEX(A17,B17)</f>
        <v>2.843+1.392i</v>
      </c>
      <c r="H17" s="82" t="str">
        <f>нагрів!I17</f>
        <v>АС-150/34</v>
      </c>
      <c r="I17" s="82">
        <f>0.198</f>
        <v>0.19800000000000001</v>
      </c>
      <c r="J17" s="82">
        <f>Потокорозподіл!D13</f>
        <v>14.5</v>
      </c>
      <c r="K17" s="82">
        <v>1</v>
      </c>
      <c r="L17" s="82">
        <f>ROUND(I17*J17/K17,2)</f>
        <v>2.87</v>
      </c>
      <c r="M17" s="82">
        <f>ROUND((A17^2+B17^2)/F17^2*L17,3)</f>
        <v>2E-3</v>
      </c>
      <c r="N17" s="82" t="s">
        <v>62</v>
      </c>
    </row>
    <row r="18" spans="1:14" ht="15" customHeight="1" x14ac:dyDescent="0.25">
      <c r="C18" s="116"/>
      <c r="D18" s="116"/>
      <c r="E18" s="87"/>
      <c r="F18" s="82"/>
      <c r="G18" s="82"/>
      <c r="H18" s="82"/>
      <c r="I18" s="82"/>
      <c r="J18" s="87"/>
      <c r="K18" s="82"/>
      <c r="L18" s="82"/>
      <c r="M18" s="83">
        <f>SUM(M15:M17)</f>
        <v>0.29899999999999999</v>
      </c>
      <c r="N18" s="84">
        <f>M18*P8</f>
        <v>1821.807</v>
      </c>
    </row>
    <row r="19" spans="1:14" ht="15" customHeight="1" x14ac:dyDescent="0.25">
      <c r="A19">
        <f>Потокорозподіл!E14</f>
        <v>67</v>
      </c>
      <c r="B19">
        <f>Потокорозподіл!F14</f>
        <v>32.5</v>
      </c>
      <c r="C19" s="116"/>
      <c r="D19" s="116" t="s">
        <v>54</v>
      </c>
      <c r="E19" s="82" t="str">
        <f>Потокорозподіл!C14</f>
        <v>ВП-2</v>
      </c>
      <c r="F19" s="82">
        <f>F15</f>
        <v>110</v>
      </c>
      <c r="G19" s="82" t="str">
        <f>COMPLEX(A19,B19)</f>
        <v>67+32.5i</v>
      </c>
      <c r="H19" s="82" t="str">
        <f>нагрів!I18</f>
        <v>АС-300/67</v>
      </c>
      <c r="I19" s="82">
        <v>0.12</v>
      </c>
      <c r="J19" s="82">
        <f>Потокорозподіл!D14</f>
        <v>5.4</v>
      </c>
      <c r="K19" s="82">
        <v>2</v>
      </c>
      <c r="L19" s="82">
        <f>ROUND(I19*J19/K19,2)</f>
        <v>0.32</v>
      </c>
      <c r="M19" s="82">
        <f>ROUND((A19^2+B19^2)/F19^2*L19,3)</f>
        <v>0.14699999999999999</v>
      </c>
      <c r="N19" s="82" t="s">
        <v>62</v>
      </c>
    </row>
    <row r="20" spans="1:14" ht="15" customHeight="1" x14ac:dyDescent="0.25">
      <c r="A20">
        <f>Потокорозподіл!E15</f>
        <v>32</v>
      </c>
      <c r="B20">
        <f>Потокорозподіл!F15</f>
        <v>15.5</v>
      </c>
      <c r="C20" s="116"/>
      <c r="D20" s="179"/>
      <c r="E20" s="82" t="str">
        <f>Потокорозподіл!C15</f>
        <v>Г-2</v>
      </c>
      <c r="F20" s="82">
        <f>F19</f>
        <v>110</v>
      </c>
      <c r="G20" s="82" t="str">
        <f>COMPLEX(A20,B20)</f>
        <v>32+15.5i</v>
      </c>
      <c r="H20" s="82" t="str">
        <f>нагрів!I19</f>
        <v>АС-120/27</v>
      </c>
      <c r="I20" s="82">
        <v>0.249</v>
      </c>
      <c r="J20" s="82">
        <f>Потокорозподіл!D15</f>
        <v>7.2</v>
      </c>
      <c r="K20" s="82">
        <v>2</v>
      </c>
      <c r="L20" s="82">
        <f>ROUND(I20*J20/K20,2)</f>
        <v>0.9</v>
      </c>
      <c r="M20" s="82">
        <f t="shared" ref="M20:M21" si="2">ROUND((A20^2+B20^2)/F20^2*L20,3)</f>
        <v>9.4E-2</v>
      </c>
      <c r="N20" s="82" t="s">
        <v>62</v>
      </c>
    </row>
    <row r="21" spans="1:14" ht="15" customHeight="1" x14ac:dyDescent="0.25">
      <c r="A21">
        <f>Потокорозподіл!E16</f>
        <v>35</v>
      </c>
      <c r="B21">
        <f>Потокорозподіл!F16</f>
        <v>17</v>
      </c>
      <c r="C21" s="116"/>
      <c r="D21" s="179"/>
      <c r="E21" s="82" t="str">
        <f>Потокорозподіл!C16</f>
        <v>Е-2</v>
      </c>
      <c r="F21" s="82">
        <f>F20</f>
        <v>110</v>
      </c>
      <c r="G21" s="82" t="str">
        <f>COMPLEX(A21,B21)</f>
        <v>35+17i</v>
      </c>
      <c r="H21" s="82" t="str">
        <f>нагрів!I20</f>
        <v>АС-150/34</v>
      </c>
      <c r="I21" s="82">
        <v>0.19800000000000001</v>
      </c>
      <c r="J21" s="82">
        <f>Потокорозподіл!D16</f>
        <v>8.3000000000000007</v>
      </c>
      <c r="K21" s="82">
        <v>2</v>
      </c>
      <c r="L21" s="82">
        <f>ROUND(I21*J21/K21,2)</f>
        <v>0.82</v>
      </c>
      <c r="M21" s="82">
        <f t="shared" si="2"/>
        <v>0.10299999999999999</v>
      </c>
      <c r="N21" s="82" t="s">
        <v>62</v>
      </c>
    </row>
    <row r="22" spans="1:14" ht="15" customHeight="1" x14ac:dyDescent="0.25">
      <c r="C22" s="116"/>
      <c r="D22" s="179"/>
      <c r="E22" s="116"/>
      <c r="F22" s="179"/>
      <c r="G22" s="179"/>
      <c r="H22" s="179"/>
      <c r="I22" s="179"/>
      <c r="J22" s="179"/>
      <c r="K22" s="179"/>
      <c r="L22" s="179"/>
      <c r="M22" s="83">
        <f>SUM(M19:M21)</f>
        <v>0.34399999999999997</v>
      </c>
      <c r="N22" s="84">
        <f>M22*P8</f>
        <v>2095.9919999999997</v>
      </c>
    </row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1">
    <mergeCell ref="K5:K7"/>
    <mergeCell ref="L5:L7"/>
    <mergeCell ref="M5:M7"/>
    <mergeCell ref="N5:N7"/>
    <mergeCell ref="C5:C7"/>
    <mergeCell ref="D5:D7"/>
    <mergeCell ref="E5:E7"/>
    <mergeCell ref="F5:F7"/>
    <mergeCell ref="G5:G7"/>
    <mergeCell ref="H5:H7"/>
    <mergeCell ref="I5:I7"/>
    <mergeCell ref="J5:J7"/>
    <mergeCell ref="D12:D14"/>
    <mergeCell ref="C15:C22"/>
    <mergeCell ref="D15:D18"/>
    <mergeCell ref="D19:D22"/>
    <mergeCell ref="E22:L22"/>
    <mergeCell ref="E14:L14"/>
    <mergeCell ref="C8:C14"/>
    <mergeCell ref="E11:L11"/>
    <mergeCell ref="D8:D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5613" r:id="rId4">
          <objectPr defaultSize="0" autoPict="0" r:id="rId5">
            <anchor moveWithCells="1" sizeWithCells="1">
              <from>
                <xdr:col>5</xdr:col>
                <xdr:colOff>142875</xdr:colOff>
                <xdr:row>3</xdr:row>
                <xdr:rowOff>9525</xdr:rowOff>
              </from>
              <to>
                <xdr:col>5</xdr:col>
                <xdr:colOff>542925</xdr:colOff>
                <xdr:row>3</xdr:row>
                <xdr:rowOff>219075</xdr:rowOff>
              </to>
            </anchor>
          </objectPr>
        </oleObject>
      </mc:Choice>
      <mc:Fallback>
        <oleObject progId="Equation.3" shapeId="25613" r:id="rId4"/>
      </mc:Fallback>
    </mc:AlternateContent>
    <mc:AlternateContent xmlns:mc="http://schemas.openxmlformats.org/markup-compatibility/2006">
      <mc:Choice Requires="x14">
        <oleObject progId="Equation.3" shapeId="25614" r:id="rId6">
          <objectPr defaultSize="0" autoPict="0" r:id="rId7">
            <anchor moveWithCells="1" sizeWithCells="1">
              <from>
                <xdr:col>6</xdr:col>
                <xdr:colOff>9525</xdr:colOff>
                <xdr:row>2</xdr:row>
                <xdr:rowOff>47625</xdr:rowOff>
              </from>
              <to>
                <xdr:col>7</xdr:col>
                <xdr:colOff>9525</xdr:colOff>
                <xdr:row>3</xdr:row>
                <xdr:rowOff>247650</xdr:rowOff>
              </to>
            </anchor>
          </objectPr>
        </oleObject>
      </mc:Choice>
      <mc:Fallback>
        <oleObject progId="Equation.3" shapeId="25614" r:id="rId6"/>
      </mc:Fallback>
    </mc:AlternateContent>
    <mc:AlternateContent xmlns:mc="http://schemas.openxmlformats.org/markup-compatibility/2006">
      <mc:Choice Requires="x14">
        <oleObject progId="Equation.3" shapeId="25615" r:id="rId8">
          <objectPr defaultSize="0" autoPict="0" r:id="rId9">
            <anchor moveWithCells="1" sizeWithCells="1">
              <from>
                <xdr:col>8</xdr:col>
                <xdr:colOff>266700</xdr:colOff>
                <xdr:row>2</xdr:row>
                <xdr:rowOff>152400</xdr:rowOff>
              </from>
              <to>
                <xdr:col>9</xdr:col>
                <xdr:colOff>228600</xdr:colOff>
                <xdr:row>3</xdr:row>
                <xdr:rowOff>171450</xdr:rowOff>
              </to>
            </anchor>
          </objectPr>
        </oleObject>
      </mc:Choice>
      <mc:Fallback>
        <oleObject progId="Equation.3" shapeId="25615" r:id="rId8"/>
      </mc:Fallback>
    </mc:AlternateContent>
    <mc:AlternateContent xmlns:mc="http://schemas.openxmlformats.org/markup-compatibility/2006">
      <mc:Choice Requires="x14">
        <oleObject progId="Equation.3" shapeId="25616" r:id="rId10">
          <objectPr defaultSize="0" autoPict="0" r:id="rId11">
            <anchor moveWithCells="1" sizeWithCells="1">
              <from>
                <xdr:col>9</xdr:col>
                <xdr:colOff>466725</xdr:colOff>
                <xdr:row>3</xdr:row>
                <xdr:rowOff>28575</xdr:rowOff>
              </from>
              <to>
                <xdr:col>9</xdr:col>
                <xdr:colOff>561975</xdr:colOff>
                <xdr:row>3</xdr:row>
                <xdr:rowOff>219075</xdr:rowOff>
              </to>
            </anchor>
          </objectPr>
        </oleObject>
      </mc:Choice>
      <mc:Fallback>
        <oleObject progId="Equation.3" shapeId="25616" r:id="rId10"/>
      </mc:Fallback>
    </mc:AlternateContent>
    <mc:AlternateContent xmlns:mc="http://schemas.openxmlformats.org/markup-compatibility/2006">
      <mc:Choice Requires="x14">
        <oleObject progId="Equation.3" shapeId="25617" r:id="rId12">
          <objectPr defaultSize="0" autoPict="0" r:id="rId13">
            <anchor moveWithCells="1" sizeWithCells="1">
              <from>
                <xdr:col>10</xdr:col>
                <xdr:colOff>238125</xdr:colOff>
                <xdr:row>2</xdr:row>
                <xdr:rowOff>161925</xdr:rowOff>
              </from>
              <to>
                <xdr:col>10</xdr:col>
                <xdr:colOff>381000</xdr:colOff>
                <xdr:row>3</xdr:row>
                <xdr:rowOff>123825</xdr:rowOff>
              </to>
            </anchor>
          </objectPr>
        </oleObject>
      </mc:Choice>
      <mc:Fallback>
        <oleObject progId="Equation.3" shapeId="25617" r:id="rId12"/>
      </mc:Fallback>
    </mc:AlternateContent>
    <mc:AlternateContent xmlns:mc="http://schemas.openxmlformats.org/markup-compatibility/2006">
      <mc:Choice Requires="x14">
        <oleObject progId="Equation.3" shapeId="25618" r:id="rId14">
          <objectPr defaultSize="0" autoPict="0" r:id="rId15">
            <anchor moveWithCells="1" sizeWithCells="1">
              <from>
                <xdr:col>11</xdr:col>
                <xdr:colOff>209550</xdr:colOff>
                <xdr:row>2</xdr:row>
                <xdr:rowOff>85725</xdr:rowOff>
              </from>
              <to>
                <xdr:col>11</xdr:col>
                <xdr:colOff>533400</xdr:colOff>
                <xdr:row>3</xdr:row>
                <xdr:rowOff>123825</xdr:rowOff>
              </to>
            </anchor>
          </objectPr>
        </oleObject>
      </mc:Choice>
      <mc:Fallback>
        <oleObject progId="Equation.3" shapeId="25618" r:id="rId14"/>
      </mc:Fallback>
    </mc:AlternateContent>
    <mc:AlternateContent xmlns:mc="http://schemas.openxmlformats.org/markup-compatibility/2006">
      <mc:Choice Requires="x14">
        <oleObject progId="Equation.3" shapeId="25619" r:id="rId16">
          <objectPr defaultSize="0" autoPict="0" r:id="rId17">
            <anchor moveWithCells="1" sizeWithCells="1">
              <from>
                <xdr:col>12</xdr:col>
                <xdr:colOff>219075</xdr:colOff>
                <xdr:row>2</xdr:row>
                <xdr:rowOff>142875</xdr:rowOff>
              </from>
              <to>
                <xdr:col>12</xdr:col>
                <xdr:colOff>628650</xdr:colOff>
                <xdr:row>3</xdr:row>
                <xdr:rowOff>171450</xdr:rowOff>
              </to>
            </anchor>
          </objectPr>
        </oleObject>
      </mc:Choice>
      <mc:Fallback>
        <oleObject progId="Equation.3" shapeId="25619" r:id="rId16"/>
      </mc:Fallback>
    </mc:AlternateContent>
    <mc:AlternateContent xmlns:mc="http://schemas.openxmlformats.org/markup-compatibility/2006">
      <mc:Choice Requires="x14">
        <oleObject progId="Equation.3" shapeId="25620" r:id="rId18">
          <objectPr defaultSize="0" autoPict="0" r:id="rId19">
            <anchor moveWithCells="1" sizeWithCells="1">
              <from>
                <xdr:col>13</xdr:col>
                <xdr:colOff>219075</xdr:colOff>
                <xdr:row>2</xdr:row>
                <xdr:rowOff>171450</xdr:rowOff>
              </from>
              <to>
                <xdr:col>13</xdr:col>
                <xdr:colOff>581025</xdr:colOff>
                <xdr:row>3</xdr:row>
                <xdr:rowOff>190500</xdr:rowOff>
              </to>
            </anchor>
          </objectPr>
        </oleObject>
      </mc:Choice>
      <mc:Fallback>
        <oleObject progId="Equation.3" shapeId="25620" r:id="rId1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90" t="s">
        <v>48</v>
      </c>
      <c r="D3" s="92" t="s">
        <v>49</v>
      </c>
      <c r="E3" s="93"/>
      <c r="F3" s="93"/>
      <c r="G3" s="93"/>
      <c r="H3" s="94"/>
      <c r="I3" s="92" t="s">
        <v>50</v>
      </c>
      <c r="J3" s="93"/>
      <c r="K3" s="93"/>
      <c r="L3" s="93"/>
      <c r="M3" s="94"/>
    </row>
    <row r="4" spans="3:13" ht="16.5" thickBot="1" x14ac:dyDescent="0.3">
      <c r="C4" s="91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D12" sqref="D12:D14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99" t="s">
        <v>107</v>
      </c>
      <c r="D2" s="99" t="s">
        <v>106</v>
      </c>
      <c r="E2" s="99" t="s">
        <v>105</v>
      </c>
      <c r="F2" s="34" t="s">
        <v>104</v>
      </c>
      <c r="G2" s="34" t="s">
        <v>103</v>
      </c>
      <c r="H2" s="34" t="s">
        <v>102</v>
      </c>
      <c r="I2" s="105" t="s">
        <v>87</v>
      </c>
      <c r="J2" s="107" t="s">
        <v>101</v>
      </c>
      <c r="K2" s="34" t="s">
        <v>100</v>
      </c>
      <c r="L2" s="99" t="s">
        <v>99</v>
      </c>
      <c r="M2" s="99" t="s">
        <v>133</v>
      </c>
      <c r="N2" s="35">
        <v>0.8</v>
      </c>
      <c r="O2" t="s">
        <v>98</v>
      </c>
    </row>
    <row r="3" spans="1:15" ht="23.25" thickBot="1" x14ac:dyDescent="0.3">
      <c r="C3" s="104"/>
      <c r="D3" s="103"/>
      <c r="E3" s="103"/>
      <c r="F3" s="44" t="s">
        <v>97</v>
      </c>
      <c r="G3" s="44" t="s">
        <v>97</v>
      </c>
      <c r="H3" s="44" t="s">
        <v>9</v>
      </c>
      <c r="I3" s="106"/>
      <c r="J3" s="108"/>
      <c r="K3" s="44" t="s">
        <v>96</v>
      </c>
      <c r="L3" s="103"/>
      <c r="M3" s="103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95" t="s">
        <v>19</v>
      </c>
      <c r="D4" s="100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96"/>
      <c r="D5" s="101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96"/>
      <c r="D6" s="102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97"/>
      <c r="D7" s="103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98"/>
      <c r="D8" s="98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99" t="s">
        <v>20</v>
      </c>
      <c r="D9" s="99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97"/>
      <c r="D10" s="97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97"/>
      <c r="D11" s="98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97"/>
      <c r="D12" s="99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97"/>
      <c r="D13" s="97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98"/>
      <c r="D14" s="98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99"/>
      <c r="D15" s="99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97"/>
      <c r="D16" s="97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98"/>
      <c r="D17" s="98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M2:M3"/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09" t="s">
        <v>116</v>
      </c>
      <c r="D3" s="109" t="s">
        <v>115</v>
      </c>
      <c r="E3" s="109"/>
      <c r="F3" s="109" t="s">
        <v>114</v>
      </c>
      <c r="G3" s="109"/>
    </row>
    <row r="4" spans="3:7" ht="32.25" thickBot="1" x14ac:dyDescent="0.3">
      <c r="C4" s="109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zoomScaleNormal="100" workbookViewId="0">
      <selection activeCell="N35" sqref="N3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16" t="s">
        <v>107</v>
      </c>
      <c r="D3" s="55" t="s">
        <v>145</v>
      </c>
      <c r="E3" s="116" t="s">
        <v>105</v>
      </c>
      <c r="F3" s="116" t="s">
        <v>116</v>
      </c>
      <c r="G3" s="113" t="s">
        <v>162</v>
      </c>
      <c r="H3" s="116" t="s">
        <v>167</v>
      </c>
      <c r="I3" s="116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16"/>
      <c r="D4" s="55" t="s">
        <v>146</v>
      </c>
      <c r="E4" s="116"/>
      <c r="F4" s="116"/>
      <c r="G4" s="121"/>
      <c r="H4" s="116"/>
      <c r="I4" s="116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13" t="s">
        <v>19</v>
      </c>
      <c r="D5" s="116" t="s">
        <v>154</v>
      </c>
      <c r="E5" s="116" t="s">
        <v>137</v>
      </c>
      <c r="F5" s="116"/>
      <c r="G5" s="116"/>
      <c r="H5" s="116"/>
      <c r="I5" s="116"/>
      <c r="J5" s="116"/>
      <c r="K5" s="116"/>
      <c r="L5" s="116"/>
      <c r="M5" s="116"/>
    </row>
    <row r="6" spans="3:14" ht="18.75" x14ac:dyDescent="0.3">
      <c r="C6" s="118"/>
      <c r="D6" s="117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18"/>
      <c r="D7" s="117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18"/>
      <c r="D8" s="117"/>
      <c r="E8" s="110" t="s">
        <v>157</v>
      </c>
      <c r="F8" s="111"/>
      <c r="G8" s="111"/>
      <c r="H8" s="111"/>
      <c r="I8" s="111"/>
      <c r="J8" s="111"/>
      <c r="K8" s="111"/>
      <c r="L8" s="112"/>
      <c r="M8" s="59">
        <f>M6+M7</f>
        <v>1.8504872727272728</v>
      </c>
    </row>
    <row r="9" spans="3:14" ht="18.75" x14ac:dyDescent="0.25">
      <c r="C9" s="118"/>
      <c r="D9" s="117"/>
      <c r="E9" s="110" t="str">
        <f>нагрів!D7</f>
        <v>відключення ВП-Д</v>
      </c>
      <c r="F9" s="111"/>
      <c r="G9" s="111"/>
      <c r="H9" s="111"/>
      <c r="I9" s="111"/>
      <c r="J9" s="111"/>
      <c r="K9" s="111"/>
      <c r="L9" s="111"/>
      <c r="M9" s="112"/>
    </row>
    <row r="10" spans="3:14" ht="19.5" customHeight="1" x14ac:dyDescent="0.25">
      <c r="C10" s="118"/>
      <c r="D10" s="117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18"/>
      <c r="D11" s="117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18"/>
      <c r="D12" s="117"/>
      <c r="E12" s="110" t="s">
        <v>158</v>
      </c>
      <c r="F12" s="111"/>
      <c r="G12" s="111"/>
      <c r="H12" s="111"/>
      <c r="I12" s="111"/>
      <c r="J12" s="111"/>
      <c r="K12" s="111"/>
      <c r="L12" s="112"/>
      <c r="M12" s="59">
        <f>M10+M11</f>
        <v>2.6022927272727272</v>
      </c>
    </row>
    <row r="13" spans="3:14" ht="18.75" x14ac:dyDescent="0.25">
      <c r="C13" s="118"/>
      <c r="D13" s="113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18"/>
      <c r="D14" s="118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19"/>
      <c r="D15" s="119"/>
      <c r="E15" s="110" t="s">
        <v>159</v>
      </c>
      <c r="F15" s="111"/>
      <c r="G15" s="111"/>
      <c r="H15" s="111"/>
      <c r="I15" s="111"/>
      <c r="J15" s="111"/>
      <c r="K15" s="111"/>
      <c r="L15" s="112"/>
      <c r="M15" s="59">
        <f>M13+M14</f>
        <v>2.2285745454545456</v>
      </c>
    </row>
    <row r="16" spans="3:14" ht="19.5" customHeight="1" x14ac:dyDescent="0.25">
      <c r="C16" s="116" t="s">
        <v>20</v>
      </c>
      <c r="D16" s="116" t="s">
        <v>154</v>
      </c>
      <c r="E16" s="110" t="s">
        <v>141</v>
      </c>
      <c r="F16" s="111"/>
      <c r="G16" s="111"/>
      <c r="H16" s="111"/>
      <c r="I16" s="111"/>
      <c r="J16" s="111"/>
      <c r="K16" s="111"/>
      <c r="L16" s="111"/>
      <c r="M16" s="112"/>
    </row>
    <row r="17" spans="3:14" ht="18.75" x14ac:dyDescent="0.25">
      <c r="C17" s="116"/>
      <c r="D17" s="117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16"/>
      <c r="D18" s="117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16"/>
      <c r="D19" s="117"/>
      <c r="E19" s="110" t="s">
        <v>160</v>
      </c>
      <c r="F19" s="111"/>
      <c r="G19" s="111"/>
      <c r="H19" s="111"/>
      <c r="I19" s="111"/>
      <c r="J19" s="111"/>
      <c r="K19" s="111"/>
      <c r="L19" s="112"/>
      <c r="M19" s="59">
        <f>M17+M18</f>
        <v>1.8346254545454546</v>
      </c>
    </row>
    <row r="20" spans="3:14" ht="19.350000000000001" customHeight="1" x14ac:dyDescent="0.25">
      <c r="C20" s="116"/>
      <c r="D20" s="117"/>
      <c r="E20" s="110" t="s">
        <v>140</v>
      </c>
      <c r="F20" s="111"/>
      <c r="G20" s="111"/>
      <c r="H20" s="111"/>
      <c r="I20" s="111"/>
      <c r="J20" s="111"/>
      <c r="K20" s="111"/>
      <c r="L20" s="111"/>
      <c r="M20" s="112"/>
    </row>
    <row r="21" spans="3:14" ht="18.75" x14ac:dyDescent="0.25">
      <c r="C21" s="116"/>
      <c r="D21" s="117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16"/>
      <c r="D22" s="117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16"/>
      <c r="D23" s="117"/>
      <c r="E23" s="110" t="s">
        <v>161</v>
      </c>
      <c r="F23" s="111"/>
      <c r="G23" s="111"/>
      <c r="H23" s="111"/>
      <c r="I23" s="111"/>
      <c r="J23" s="111"/>
      <c r="K23" s="111"/>
      <c r="L23" s="112"/>
      <c r="M23" s="59">
        <f>M21+M22</f>
        <v>2.3726354545454549</v>
      </c>
    </row>
    <row r="24" spans="3:14" ht="18.75" x14ac:dyDescent="0.25">
      <c r="C24" s="116"/>
      <c r="D24" s="116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16"/>
      <c r="D25" s="116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16"/>
      <c r="D26" s="116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16"/>
      <c r="D27" s="116"/>
      <c r="E27" s="110" t="s">
        <v>161</v>
      </c>
      <c r="F27" s="111"/>
      <c r="G27" s="111"/>
      <c r="H27" s="111"/>
      <c r="I27" s="111"/>
      <c r="J27" s="111"/>
      <c r="K27" s="111"/>
      <c r="L27" s="112"/>
      <c r="M27" s="59">
        <f>M26</f>
        <v>1.0616454545454546</v>
      </c>
    </row>
    <row r="28" spans="3:14" ht="18.75" x14ac:dyDescent="0.25">
      <c r="C28" s="116"/>
      <c r="D28" s="116"/>
      <c r="E28" s="110" t="s">
        <v>160</v>
      </c>
      <c r="F28" s="111"/>
      <c r="G28" s="111"/>
      <c r="H28" s="111"/>
      <c r="I28" s="111"/>
      <c r="J28" s="111"/>
      <c r="K28" s="111"/>
      <c r="L28" s="112"/>
      <c r="M28" s="59">
        <f>M24+M25</f>
        <v>1.7127409090909091</v>
      </c>
    </row>
    <row r="29" spans="3:14" ht="18.75" x14ac:dyDescent="0.25">
      <c r="C29" s="116" t="s">
        <v>150</v>
      </c>
      <c r="D29" s="113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16"/>
      <c r="D30" s="114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16"/>
      <c r="D31" s="115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20" t="s">
        <v>165</v>
      </c>
      <c r="D32" s="120"/>
      <c r="E32" s="120"/>
      <c r="F32" s="120"/>
      <c r="G32" s="120"/>
      <c r="H32" s="120"/>
      <c r="I32" s="120"/>
      <c r="J32" s="120"/>
      <c r="K32" s="120"/>
      <c r="L32" s="120"/>
      <c r="M32" s="59">
        <f>M29+M30</f>
        <v>9.2161288181818186</v>
      </c>
    </row>
    <row r="33" spans="3:14" ht="18.75" x14ac:dyDescent="0.25">
      <c r="C33" s="120" t="s">
        <v>166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  <mergeCell ref="E9:M9"/>
    <mergeCell ref="E8:L8"/>
    <mergeCell ref="E12:L12"/>
    <mergeCell ref="D13:D15"/>
    <mergeCell ref="E23:L23"/>
    <mergeCell ref="E27:L27"/>
    <mergeCell ref="E28:L28"/>
    <mergeCell ref="D29:D31"/>
    <mergeCell ref="C16:C28"/>
    <mergeCell ref="D16:D23"/>
    <mergeCell ref="D24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Fрозр</vt:lpstr>
      <vt:lpstr>мех міцн</vt:lpstr>
      <vt:lpstr>падіння напруги</vt:lpstr>
      <vt:lpstr>трансформ + компенс</vt:lpstr>
      <vt:lpstr>нагрів</vt:lpstr>
      <vt:lpstr>Таблиця 1-4</vt:lpstr>
      <vt:lpstr>економ. частина</vt:lpstr>
      <vt:lpstr>Втрати потужності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2021-05-04T19:47:20Z</dcterms:modified>
</cp:coreProperties>
</file>