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95" firstSheet="1" activeTab="5"/>
  </bookViews>
  <sheets>
    <sheet name="Лист1" sheetId="1" r:id="rId1"/>
    <sheet name="Рис 1-2 Довжини" sheetId="2" r:id="rId2"/>
    <sheet name="Таблиця 1-3" sheetId="3" r:id="rId3"/>
    <sheet name="Потокорозподіл" sheetId="4" r:id="rId4"/>
    <sheet name="Unom" sheetId="5" r:id="rId5"/>
    <sheet name="Fрозр" sheetId="6" r:id="rId6"/>
    <sheet name="мех міцн" sheetId="7" r:id="rId7"/>
  </sheets>
  <calcPr calcId="162913"/>
</workbook>
</file>

<file path=xl/calcChain.xml><?xml version="1.0" encoding="utf-8"?>
<calcChain xmlns="http://schemas.openxmlformats.org/spreadsheetml/2006/main">
  <c r="F4" i="6" l="1"/>
  <c r="F11" i="7" l="1"/>
  <c r="F6" i="7"/>
  <c r="F7" i="7"/>
  <c r="F5" i="7"/>
  <c r="F10" i="7"/>
  <c r="H17" i="6"/>
  <c r="H15" i="6"/>
  <c r="H14" i="6"/>
  <c r="H12" i="6"/>
  <c r="H11" i="6"/>
  <c r="H9" i="6"/>
  <c r="H8" i="6"/>
  <c r="H6" i="6"/>
  <c r="H5" i="6"/>
  <c r="A5" i="6"/>
  <c r="B5" i="6"/>
  <c r="F5" i="6" s="1"/>
  <c r="G5" i="6" s="1"/>
  <c r="J5" i="6" s="1"/>
  <c r="K5" i="6" s="1"/>
  <c r="E5" i="6"/>
  <c r="I5" i="6"/>
  <c r="A6" i="6"/>
  <c r="F6" i="6" s="1"/>
  <c r="G6" i="6" s="1"/>
  <c r="J6" i="6" s="1"/>
  <c r="K6" i="6" s="1"/>
  <c r="B6" i="6"/>
  <c r="E6" i="6"/>
  <c r="I6" i="6"/>
  <c r="A7" i="6"/>
  <c r="F7" i="6" s="1"/>
  <c r="G7" i="6" s="1"/>
  <c r="J7" i="6" s="1"/>
  <c r="K7" i="6" s="1"/>
  <c r="B7" i="6"/>
  <c r="E7" i="6"/>
  <c r="H7" i="6"/>
  <c r="I7" i="6"/>
  <c r="A8" i="6"/>
  <c r="F8" i="6" s="1"/>
  <c r="G8" i="6" s="1"/>
  <c r="J8" i="6" s="1"/>
  <c r="K8" i="6" s="1"/>
  <c r="B8" i="6"/>
  <c r="E8" i="6"/>
  <c r="I8" i="6"/>
  <c r="A9" i="6"/>
  <c r="B9" i="6"/>
  <c r="E9" i="6"/>
  <c r="F9" i="6"/>
  <c r="G9" i="6" s="1"/>
  <c r="J9" i="6" s="1"/>
  <c r="K9" i="6" s="1"/>
  <c r="I9" i="6"/>
  <c r="A10" i="6"/>
  <c r="F10" i="6" s="1"/>
  <c r="G10" i="6" s="1"/>
  <c r="J10" i="6" s="1"/>
  <c r="K10" i="6" s="1"/>
  <c r="B10" i="6"/>
  <c r="E10" i="6"/>
  <c r="H10" i="6"/>
  <c r="I10" i="6"/>
  <c r="A11" i="6"/>
  <c r="B11" i="6"/>
  <c r="F11" i="6" s="1"/>
  <c r="G11" i="6" s="1"/>
  <c r="J11" i="6" s="1"/>
  <c r="K11" i="6" s="1"/>
  <c r="E11" i="6"/>
  <c r="I11" i="6"/>
  <c r="A12" i="6"/>
  <c r="B12" i="6"/>
  <c r="E12" i="6"/>
  <c r="F12" i="6"/>
  <c r="G12" i="6" s="1"/>
  <c r="J12" i="6" s="1"/>
  <c r="K12" i="6" s="1"/>
  <c r="I12" i="6"/>
  <c r="A13" i="6"/>
  <c r="B13" i="6"/>
  <c r="F13" i="6" s="1"/>
  <c r="G13" i="6" s="1"/>
  <c r="J13" i="6" s="1"/>
  <c r="K13" i="6" s="1"/>
  <c r="E13" i="6"/>
  <c r="H13" i="6"/>
  <c r="I13" i="6"/>
  <c r="A14" i="6"/>
  <c r="F14" i="6" s="1"/>
  <c r="G14" i="6" s="1"/>
  <c r="J14" i="6" s="1"/>
  <c r="K14" i="6" s="1"/>
  <c r="B14" i="6"/>
  <c r="E14" i="6"/>
  <c r="I14" i="6"/>
  <c r="A15" i="6"/>
  <c r="F15" i="6" s="1"/>
  <c r="G15" i="6" s="1"/>
  <c r="B15" i="6"/>
  <c r="E15" i="6"/>
  <c r="I15" i="6"/>
  <c r="A16" i="6"/>
  <c r="F16" i="6" s="1"/>
  <c r="G16" i="6" s="1"/>
  <c r="J16" i="6" s="1"/>
  <c r="K16" i="6" s="1"/>
  <c r="B16" i="6"/>
  <c r="E16" i="6"/>
  <c r="H16" i="6"/>
  <c r="I16" i="6"/>
  <c r="A17" i="6"/>
  <c r="B17" i="6"/>
  <c r="E17" i="6"/>
  <c r="F17" i="6"/>
  <c r="G17" i="6" s="1"/>
  <c r="J17" i="6" s="1"/>
  <c r="K17" i="6" s="1"/>
  <c r="I17" i="6"/>
  <c r="K4" i="6"/>
  <c r="J4" i="6"/>
  <c r="I4" i="6"/>
  <c r="H4" i="6"/>
  <c r="G4" i="6"/>
  <c r="B4" i="6"/>
  <c r="A4" i="6"/>
  <c r="E4" i="6"/>
  <c r="G9" i="5"/>
  <c r="I9" i="5" s="1"/>
  <c r="G10" i="5"/>
  <c r="I10" i="5" s="1"/>
  <c r="G11" i="5"/>
  <c r="I4" i="5"/>
  <c r="I5" i="5"/>
  <c r="I6" i="5"/>
  <c r="I7" i="5"/>
  <c r="I8" i="5"/>
  <c r="I11" i="5"/>
  <c r="I12" i="5"/>
  <c r="I13" i="5"/>
  <c r="I14" i="5"/>
  <c r="I15" i="5"/>
  <c r="I16" i="5"/>
  <c r="I3" i="5"/>
  <c r="E4" i="5"/>
  <c r="F4" i="5"/>
  <c r="G4" i="5"/>
  <c r="E5" i="5"/>
  <c r="F5" i="5"/>
  <c r="G5" i="5"/>
  <c r="E6" i="5"/>
  <c r="F6" i="5"/>
  <c r="G6" i="5"/>
  <c r="E7" i="5"/>
  <c r="F7" i="5"/>
  <c r="G7" i="5"/>
  <c r="E8" i="5"/>
  <c r="F8" i="5"/>
  <c r="G8" i="5"/>
  <c r="E9" i="5"/>
  <c r="F9" i="5"/>
  <c r="E10" i="5"/>
  <c r="F10" i="5"/>
  <c r="E11" i="5"/>
  <c r="F11" i="5"/>
  <c r="E12" i="5"/>
  <c r="F12" i="5"/>
  <c r="G12" i="5"/>
  <c r="E13" i="5"/>
  <c r="F13" i="5"/>
  <c r="G13" i="5"/>
  <c r="E14" i="5"/>
  <c r="F14" i="5"/>
  <c r="G14" i="5"/>
  <c r="E15" i="5"/>
  <c r="F15" i="5"/>
  <c r="G15" i="5"/>
  <c r="E16" i="5"/>
  <c r="F16" i="5"/>
  <c r="G16" i="5"/>
  <c r="F3" i="5"/>
  <c r="G3" i="5"/>
  <c r="E3" i="5"/>
  <c r="J15" i="6" l="1"/>
  <c r="K15" i="6" s="1"/>
  <c r="F13" i="4"/>
  <c r="E13" i="4"/>
  <c r="N16" i="4"/>
  <c r="M16" i="4"/>
  <c r="F12" i="4"/>
  <c r="E12" i="4"/>
  <c r="F11" i="4"/>
  <c r="E11" i="4"/>
  <c r="O21" i="4"/>
  <c r="N21" i="4"/>
  <c r="L21" i="4"/>
  <c r="K21" i="4"/>
  <c r="P18" i="4"/>
  <c r="M18" i="4"/>
  <c r="J18" i="4"/>
  <c r="F7" i="4"/>
  <c r="E7" i="4"/>
  <c r="N5" i="4"/>
  <c r="M5" i="4"/>
  <c r="F6" i="4"/>
  <c r="E6" i="4"/>
  <c r="R3" i="4"/>
  <c r="Q3" i="4"/>
  <c r="R2" i="4"/>
  <c r="Q2" i="4"/>
  <c r="Q5" i="4"/>
  <c r="P5" i="4"/>
  <c r="J5" i="4"/>
  <c r="F5" i="4"/>
  <c r="E5" i="4"/>
  <c r="K5" i="4"/>
  <c r="P7" i="4"/>
  <c r="M7" i="4"/>
  <c r="J7" i="4"/>
  <c r="O10" i="4"/>
  <c r="N10" i="4"/>
  <c r="L10" i="4"/>
  <c r="K10" i="4"/>
  <c r="F14" i="4"/>
  <c r="E14" i="4"/>
  <c r="C15" i="4"/>
  <c r="D15" i="4"/>
  <c r="C16" i="4"/>
  <c r="D16" i="4"/>
  <c r="D14" i="4"/>
  <c r="C14" i="4"/>
  <c r="D11" i="4"/>
  <c r="D12" i="4"/>
  <c r="D13" i="4"/>
  <c r="C12" i="4"/>
  <c r="C13" i="4"/>
  <c r="C11" i="4"/>
  <c r="B14" i="4"/>
  <c r="B11" i="4"/>
  <c r="F8" i="4"/>
  <c r="E8" i="4"/>
  <c r="D5" i="4"/>
  <c r="L6" i="3"/>
  <c r="K6" i="3"/>
  <c r="K7" i="3" s="1"/>
  <c r="W7" i="2"/>
  <c r="V7" i="2" s="1"/>
  <c r="W6" i="2"/>
  <c r="W5" i="2"/>
  <c r="Q20" i="2"/>
  <c r="Q19" i="2"/>
  <c r="Q18" i="2"/>
  <c r="P21" i="2"/>
  <c r="J6" i="3"/>
  <c r="I6" i="3"/>
  <c r="I5" i="3"/>
  <c r="H6" i="3"/>
  <c r="H7" i="3" s="1"/>
  <c r="G6" i="3"/>
  <c r="F6" i="3"/>
  <c r="F7" i="3" s="1"/>
  <c r="E6" i="3"/>
  <c r="E7" i="3"/>
  <c r="G7" i="3"/>
  <c r="J7" i="3"/>
  <c r="M7" i="3"/>
  <c r="D7" i="3"/>
  <c r="D6" i="3"/>
  <c r="V6" i="2"/>
  <c r="V5" i="2"/>
  <c r="V4" i="2"/>
  <c r="W4" i="2"/>
  <c r="U4" i="2"/>
  <c r="P19" i="2"/>
  <c r="P20" i="2"/>
  <c r="P18" i="2"/>
  <c r="P17" i="2"/>
  <c r="Q17" i="2"/>
  <c r="O17" i="2"/>
  <c r="H17" i="2"/>
  <c r="H18" i="2"/>
  <c r="H19" i="2"/>
  <c r="G18" i="2"/>
  <c r="G19" i="2"/>
  <c r="G17" i="2"/>
  <c r="H6" i="2"/>
  <c r="H7" i="2"/>
  <c r="I7" i="2"/>
  <c r="I6" i="2"/>
  <c r="H5" i="2"/>
  <c r="I5" i="2"/>
  <c r="K3" i="2"/>
  <c r="L3" i="2"/>
  <c r="M3" i="2"/>
  <c r="K4" i="2"/>
  <c r="L4" i="2"/>
  <c r="M4" i="2"/>
  <c r="K5" i="2"/>
  <c r="L5" i="2"/>
  <c r="M5" i="2"/>
  <c r="K6" i="2"/>
  <c r="L6" i="2"/>
  <c r="M6" i="2"/>
  <c r="K7" i="2"/>
  <c r="L7" i="2"/>
  <c r="M7" i="2"/>
  <c r="L8" i="2"/>
  <c r="M8" i="2"/>
  <c r="M2" i="2"/>
  <c r="L2" i="2"/>
  <c r="K2" i="2"/>
  <c r="R14" i="4" l="1"/>
  <c r="Q14" i="4"/>
  <c r="J16" i="4"/>
  <c r="K16" i="4"/>
  <c r="P16" i="4"/>
  <c r="Q13" i="4" s="1"/>
  <c r="Q16" i="4"/>
  <c r="L7" i="3"/>
  <c r="V8" i="2"/>
  <c r="I7" i="3"/>
  <c r="H20" i="1"/>
  <c r="H19" i="1"/>
  <c r="H18" i="1"/>
  <c r="H17" i="1"/>
  <c r="H16" i="1"/>
  <c r="H15" i="1"/>
  <c r="H21" i="1" s="1"/>
  <c r="J16" i="1" s="1"/>
  <c r="L16" i="1" s="1"/>
  <c r="J13" i="1"/>
  <c r="F20" i="1"/>
  <c r="F19" i="1"/>
  <c r="F18" i="1"/>
  <c r="F17" i="1"/>
  <c r="F16" i="1"/>
  <c r="F15" i="1"/>
  <c r="F21" i="1" s="1"/>
  <c r="K13" i="1" s="1"/>
  <c r="D21" i="1"/>
  <c r="D20" i="1"/>
  <c r="D19" i="1"/>
  <c r="D18" i="1"/>
  <c r="D17" i="1"/>
  <c r="D16" i="1"/>
  <c r="D15" i="1"/>
  <c r="J3" i="1"/>
  <c r="I3" i="1"/>
  <c r="R13" i="4" l="1"/>
  <c r="K3" i="1"/>
  <c r="L3" i="1" s="1"/>
  <c r="I6" i="1" s="1"/>
  <c r="I9" i="1" s="1"/>
  <c r="J6" i="1" l="1"/>
  <c r="J9" i="1" s="1"/>
  <c r="K9" i="1" s="1"/>
</calcChain>
</file>

<file path=xl/sharedStrings.xml><?xml version="1.0" encoding="utf-8"?>
<sst xmlns="http://schemas.openxmlformats.org/spreadsheetml/2006/main" count="189" uniqueCount="121">
  <si>
    <t>Найм. ПС</t>
  </si>
  <si>
    <t>Рм</t>
  </si>
  <si>
    <t>МВт</t>
  </si>
  <si>
    <t>Qм</t>
  </si>
  <si>
    <t>Мвар</t>
  </si>
  <si>
    <t>Х</t>
  </si>
  <si>
    <t>мм</t>
  </si>
  <si>
    <t>Y</t>
  </si>
  <si>
    <t>U2 ном</t>
  </si>
  <si>
    <t>кВ</t>
  </si>
  <si>
    <t>Кат. Над.</t>
  </si>
  <si>
    <t>А</t>
  </si>
  <si>
    <t>Б</t>
  </si>
  <si>
    <t>В</t>
  </si>
  <si>
    <t>Г</t>
  </si>
  <si>
    <t>Д</t>
  </si>
  <si>
    <t>Е</t>
  </si>
  <si>
    <t>ДЖ</t>
  </si>
  <si>
    <t xml:space="preserve"> - </t>
  </si>
  <si>
    <t>I</t>
  </si>
  <si>
    <t>II</t>
  </si>
  <si>
    <t>Σ</t>
  </si>
  <si>
    <r>
      <t xml:space="preserve">Sнав </t>
    </r>
    <r>
      <rPr>
        <sz val="11"/>
        <color theme="1"/>
        <rFont val="Calibri"/>
        <family val="2"/>
        <charset val="204"/>
      </rPr>
      <t>Σ</t>
    </r>
  </si>
  <si>
    <r>
      <t xml:space="preserve">Рнав </t>
    </r>
    <r>
      <rPr>
        <sz val="11"/>
        <color theme="1"/>
        <rFont val="Calibri"/>
        <family val="2"/>
        <charset val="204"/>
      </rPr>
      <t>Σ</t>
    </r>
    <r>
      <rPr>
        <sz val="11"/>
        <color theme="1"/>
        <rFont val="Calibri"/>
        <family val="2"/>
      </rPr>
      <t>2</t>
    </r>
  </si>
  <si>
    <t>Qнав Σ2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</si>
  <si>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</rPr>
      <t>P</t>
    </r>
    <r>
      <rPr>
        <sz val="11"/>
        <color theme="1"/>
        <rFont val="Calibri"/>
        <family val="2"/>
        <charset val="204"/>
      </rPr>
      <t>Σ</t>
    </r>
  </si>
  <si>
    <t>ΔQΣ</t>
  </si>
  <si>
    <t>К у.м.</t>
  </si>
  <si>
    <t>Р р</t>
  </si>
  <si>
    <t>Q р</t>
  </si>
  <si>
    <t>S р</t>
  </si>
  <si>
    <t>ТЦН</t>
  </si>
  <si>
    <r>
      <t>Р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Х</t>
    </r>
  </si>
  <si>
    <r>
      <t>МВт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мм</t>
    </r>
  </si>
  <si>
    <r>
      <t>P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Y</t>
    </r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</si>
  <si>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>ПС-ТЦН</t>
    </r>
  </si>
  <si>
    <r>
      <t>Рм</t>
    </r>
    <r>
      <rPr>
        <sz val="11"/>
        <color theme="1"/>
        <rFont val="Calibri"/>
        <family val="2"/>
        <charset val="204"/>
      </rPr>
      <t>·ℓПС-ТЦН</t>
    </r>
  </si>
  <si>
    <t>Х0</t>
  </si>
  <si>
    <t>Y0</t>
  </si>
  <si>
    <t>Таб.1.2</t>
  </si>
  <si>
    <t>Таб. 1.1</t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</si>
  <si>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>ср взв</t>
    </r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</si>
  <si>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 xml:space="preserve"> ДЖ-ТЦН</t>
    </r>
  </si>
  <si>
    <t>l</t>
  </si>
  <si>
    <t>l, км</t>
  </si>
  <si>
    <t>Ділянка</t>
  </si>
  <si>
    <t>ВП-Г</t>
  </si>
  <si>
    <t>ВП-Е</t>
  </si>
  <si>
    <t>Г-Е</t>
  </si>
  <si>
    <t>X</t>
  </si>
  <si>
    <t>mm</t>
  </si>
  <si>
    <t>ВП-1</t>
  </si>
  <si>
    <t>1-Г</t>
  </si>
  <si>
    <t>1-Е</t>
  </si>
  <si>
    <t>ВП-2</t>
  </si>
  <si>
    <t>2-Г</t>
  </si>
  <si>
    <t>2-Е</t>
  </si>
  <si>
    <t>Натуральні показники</t>
  </si>
  <si>
    <t>I група</t>
  </si>
  <si>
    <t>II група</t>
  </si>
  <si>
    <t>а)</t>
  </si>
  <si>
    <t>б)</t>
  </si>
  <si>
    <t>в)</t>
  </si>
  <si>
    <t>г)</t>
  </si>
  <si>
    <t>д)</t>
  </si>
  <si>
    <t xml:space="preserve"> шт.</t>
  </si>
  <si>
    <t xml:space="preserve"> км</t>
  </si>
  <si>
    <t>а</t>
  </si>
  <si>
    <t>б</t>
  </si>
  <si>
    <t>в</t>
  </si>
  <si>
    <t>рад</t>
  </si>
  <si>
    <t>кольц</t>
  </si>
  <si>
    <t>маг</t>
  </si>
  <si>
    <t>+</t>
  </si>
  <si>
    <t>-</t>
  </si>
  <si>
    <t>P</t>
  </si>
  <si>
    <t>Q</t>
  </si>
  <si>
    <t>км</t>
  </si>
  <si>
    <t>Група</t>
  </si>
  <si>
    <t>Варіант</t>
  </si>
  <si>
    <t>д</t>
  </si>
  <si>
    <t>ВП-Б</t>
  </si>
  <si>
    <t>ВП-Д</t>
  </si>
  <si>
    <t>Б-Д</t>
  </si>
  <si>
    <t>ВП-3</t>
  </si>
  <si>
    <t>3-Б</t>
  </si>
  <si>
    <t>3-Д</t>
  </si>
  <si>
    <t>Баланс</t>
  </si>
  <si>
    <r>
      <t>,</t>
    </r>
    <r>
      <rPr>
        <sz val="12"/>
        <color theme="1"/>
        <rFont val="Times New Roman"/>
        <family val="1"/>
        <charset val="204"/>
      </rPr>
      <t xml:space="preserve"> км</t>
    </r>
  </si>
  <si>
    <r>
      <t xml:space="preserve">, </t>
    </r>
    <r>
      <rPr>
        <sz val="12"/>
        <color theme="1"/>
        <rFont val="Times New Roman"/>
        <family val="1"/>
        <charset val="204"/>
      </rPr>
      <t>МВт</t>
    </r>
  </si>
  <si>
    <t>n</t>
  </si>
  <si>
    <r>
      <t xml:space="preserve">, </t>
    </r>
    <r>
      <rPr>
        <sz val="12"/>
        <color theme="1"/>
        <rFont val="Times New Roman"/>
        <family val="1"/>
        <charset val="204"/>
      </rPr>
      <t>кВ</t>
    </r>
  </si>
  <si>
    <t>Мережа зовнішнього електропостачання</t>
  </si>
  <si>
    <t>ДЖ-В</t>
  </si>
  <si>
    <t>В-А</t>
  </si>
  <si>
    <t>Гру-па</t>
  </si>
  <si>
    <t>Варі-ант</t>
  </si>
  <si>
    <t>Ділянка мережі</t>
  </si>
  <si>
    <r>
      <t>P</t>
    </r>
    <r>
      <rPr>
        <sz val="14"/>
        <color theme="1"/>
        <rFont val="Times New Roman"/>
        <family val="1"/>
        <charset val="204"/>
      </rPr>
      <t>діл</t>
    </r>
    <r>
      <rPr>
        <i/>
        <sz val="14"/>
        <color theme="1"/>
        <rFont val="Times New Roman"/>
        <family val="1"/>
        <charset val="204"/>
      </rPr>
      <t>+jQ</t>
    </r>
    <r>
      <rPr>
        <sz val="14"/>
        <color theme="1"/>
        <rFont val="Times New Roman"/>
        <family val="1"/>
        <charset val="204"/>
      </rPr>
      <t>діл,</t>
    </r>
  </si>
  <si>
    <r>
      <t>МВ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>А</t>
    </r>
  </si>
  <si>
    <r>
      <t>S</t>
    </r>
    <r>
      <rPr>
        <sz val="14"/>
        <color theme="1"/>
        <rFont val="Times New Roman"/>
        <family val="1"/>
        <charset val="204"/>
      </rPr>
      <t>діл,</t>
    </r>
  </si>
  <si>
    <r>
      <t>U</t>
    </r>
    <r>
      <rPr>
        <vertAlign val="subscript"/>
        <sz val="14"/>
        <color theme="1"/>
        <rFont val="Times New Roman"/>
        <family val="1"/>
        <charset val="204"/>
      </rPr>
      <t>ном</t>
    </r>
    <r>
      <rPr>
        <sz val="14"/>
        <color theme="1"/>
        <rFont val="Times New Roman"/>
        <family val="1"/>
        <charset val="204"/>
      </rPr>
      <t>,</t>
    </r>
  </si>
  <si>
    <r>
      <t>I</t>
    </r>
    <r>
      <rPr>
        <vertAlign val="subscript"/>
        <sz val="14"/>
        <color theme="1"/>
        <rFont val="Times New Roman"/>
        <family val="1"/>
        <charset val="204"/>
      </rPr>
      <t>р</t>
    </r>
    <r>
      <rPr>
        <sz val="14"/>
        <color theme="1"/>
        <rFont val="Times New Roman"/>
        <family val="1"/>
        <charset val="204"/>
      </rPr>
      <t>, А</t>
    </r>
  </si>
  <si>
    <r>
      <t>F</t>
    </r>
    <r>
      <rPr>
        <vertAlign val="subscript"/>
        <sz val="14"/>
        <color theme="1"/>
        <rFont val="Times New Roman"/>
        <family val="1"/>
        <charset val="204"/>
      </rPr>
      <t>ек</t>
    </r>
    <r>
      <rPr>
        <sz val="14"/>
        <color theme="1"/>
        <rFont val="Times New Roman"/>
        <family val="1"/>
        <charset val="204"/>
      </rPr>
      <t>,</t>
    </r>
  </si>
  <si>
    <r>
      <t>мм</t>
    </r>
    <r>
      <rPr>
        <vertAlign val="superscript"/>
        <sz val="14"/>
        <color theme="1"/>
        <rFont val="Times New Roman"/>
        <family val="1"/>
        <charset val="204"/>
      </rPr>
      <t>2</t>
    </r>
  </si>
  <si>
    <t>Прийнята марка</t>
  </si>
  <si>
    <t>A/mm2</t>
  </si>
  <si>
    <t>табл.1.14 Неклепаев</t>
  </si>
  <si>
    <t>Марка проводу</t>
  </si>
  <si>
    <r>
      <t>Реальні перетини, мм</t>
    </r>
    <r>
      <rPr>
        <vertAlign val="superscript"/>
        <sz val="12"/>
        <color theme="1"/>
        <rFont val="Times New Roman"/>
        <family val="1"/>
        <charset val="204"/>
      </rPr>
      <t>2</t>
    </r>
  </si>
  <si>
    <r>
      <t xml:space="preserve">Відношення </t>
    </r>
    <r>
      <rPr>
        <b/>
        <sz val="12"/>
        <color theme="1"/>
        <rFont val="Times New Roman"/>
        <family val="1"/>
        <charset val="204"/>
      </rPr>
      <t>А : C</t>
    </r>
  </si>
  <si>
    <t>Алюміній</t>
  </si>
  <si>
    <t>сталі</t>
  </si>
  <si>
    <t>фактичне</t>
  </si>
  <si>
    <t xml:space="preserve">за ПУЕ </t>
  </si>
  <si>
    <t>4 – 4,5</t>
  </si>
  <si>
    <t>АС-185/</t>
  </si>
  <si>
    <t>АС-120/19</t>
  </si>
  <si>
    <t>АС-120/24</t>
  </si>
  <si>
    <t>АС-150/34</t>
  </si>
  <si>
    <t>АС-150/24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</si>
</sst>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mbria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sz val="11"/>
      <color rgb="FFFF0000"/>
      <name val="Calibri"/>
      <family val="2"/>
      <scheme val="minor"/>
    </font>
    <font>
      <sz val="14"/>
      <color rgb="FFFF0000"/>
      <name val="Times New Roman"/>
      <family val="1"/>
      <charset val="204"/>
    </font>
    <font>
      <sz val="14"/>
      <color theme="1"/>
      <name val="Symbol"/>
      <family val="1"/>
      <charset val="2"/>
    </font>
    <font>
      <vertAlign val="subscript"/>
      <sz val="14"/>
      <color theme="1"/>
      <name val="Times New Roman"/>
      <family val="1"/>
      <charset val="204"/>
    </font>
    <font>
      <vertAlign val="superscript"/>
      <sz val="14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2" fillId="3" borderId="0" xfId="0" applyFont="1" applyFill="1" applyAlignment="1">
      <alignment horizontal="center"/>
    </xf>
    <xf numFmtId="0" fontId="0" fillId="3" borderId="0" xfId="0" applyFill="1"/>
    <xf numFmtId="0" fontId="3" fillId="0" borderId="0" xfId="0" applyFont="1"/>
    <xf numFmtId="0" fontId="3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center"/>
    </xf>
    <xf numFmtId="0" fontId="0" fillId="0" borderId="0" xfId="0" applyAlignment="1">
      <alignment horizontal="right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11" fillId="0" borderId="0" xfId="0" applyFont="1"/>
    <xf numFmtId="164" fontId="9" fillId="0" borderId="11" xfId="0" applyNumberFormat="1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8" fillId="7" borderId="0" xfId="0" applyFont="1" applyFill="1"/>
    <xf numFmtId="0" fontId="12" fillId="0" borderId="9" xfId="0" applyFont="1" applyBorder="1" applyAlignment="1">
      <alignment horizontal="center" vertical="center" wrapText="1"/>
    </xf>
    <xf numFmtId="1" fontId="9" fillId="0" borderId="11" xfId="0" applyNumberFormat="1" applyFont="1" applyBorder="1" applyAlignment="1">
      <alignment horizontal="center" vertical="center" wrapText="1"/>
    </xf>
    <xf numFmtId="1" fontId="12" fillId="0" borderId="11" xfId="0" applyNumberFormat="1" applyFont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8" borderId="1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2" fontId="6" fillId="0" borderId="11" xfId="0" applyNumberFormat="1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justify" vertical="center" wrapText="1"/>
    </xf>
    <xf numFmtId="0" fontId="10" fillId="0" borderId="9" xfId="0" applyFont="1" applyBorder="1" applyAlignment="1">
      <alignment horizontal="justify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wmf"/><Relationship Id="rId2" Type="http://schemas.openxmlformats.org/officeDocument/2006/relationships/image" Target="../media/image6.wmf"/><Relationship Id="rId1" Type="http://schemas.openxmlformats.org/officeDocument/2006/relationships/image" Target="../media/image5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wmf"/><Relationship Id="rId2" Type="http://schemas.openxmlformats.org/officeDocument/2006/relationships/image" Target="../media/image9.wmf"/><Relationship Id="rId1" Type="http://schemas.openxmlformats.org/officeDocument/2006/relationships/image" Target="../media/image8.wmf"/><Relationship Id="rId4" Type="http://schemas.openxmlformats.org/officeDocument/2006/relationships/image" Target="../media/image1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160020</xdr:colOff>
      <xdr:row>1</xdr:row>
      <xdr:rowOff>106680</xdr:rowOff>
    </xdr:from>
    <xdr:to>
      <xdr:col>5</xdr:col>
      <xdr:colOff>540668</xdr:colOff>
      <xdr:row>13</xdr:row>
      <xdr:rowOff>102596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9620" y="289560"/>
          <a:ext cx="2819048" cy="21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182880</xdr:colOff>
      <xdr:row>15</xdr:row>
      <xdr:rowOff>53340</xdr:rowOff>
    </xdr:from>
    <xdr:to>
      <xdr:col>5</xdr:col>
      <xdr:colOff>563528</xdr:colOff>
      <xdr:row>27</xdr:row>
      <xdr:rowOff>49256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480" y="2796540"/>
          <a:ext cx="2819048" cy="21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13</xdr:col>
      <xdr:colOff>437790</xdr:colOff>
      <xdr:row>27</xdr:row>
      <xdr:rowOff>178796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6400" y="2926080"/>
          <a:ext cx="2876190" cy="2190476"/>
        </a:xfrm>
        <a:prstGeom prst="rect">
          <a:avLst/>
        </a:prstGeom>
      </xdr:spPr>
    </xdr:pic>
    <xdr:clientData/>
  </xdr:twoCellAnchor>
  <xdr:twoCellAnchor editAs="oneCell">
    <xdr:from>
      <xdr:col>14</xdr:col>
      <xdr:colOff>550334</xdr:colOff>
      <xdr:row>0</xdr:row>
      <xdr:rowOff>67734</xdr:rowOff>
    </xdr:from>
    <xdr:to>
      <xdr:col>19</xdr:col>
      <xdr:colOff>321382</xdr:colOff>
      <xdr:row>12</xdr:row>
      <xdr:rowOff>23010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84734" y="67734"/>
          <a:ext cx="2819048" cy="21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</xdr:row>
          <xdr:rowOff>0</xdr:rowOff>
        </xdr:from>
        <xdr:to>
          <xdr:col>2</xdr:col>
          <xdr:colOff>228600</xdr:colOff>
          <xdr:row>5</xdr:row>
          <xdr:rowOff>57150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</xdr:row>
          <xdr:rowOff>0</xdr:rowOff>
        </xdr:from>
        <xdr:to>
          <xdr:col>2</xdr:col>
          <xdr:colOff>304800</xdr:colOff>
          <xdr:row>6</xdr:row>
          <xdr:rowOff>47625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</xdr:row>
          <xdr:rowOff>0</xdr:rowOff>
        </xdr:from>
        <xdr:to>
          <xdr:col>2</xdr:col>
          <xdr:colOff>361950</xdr:colOff>
          <xdr:row>7</xdr:row>
          <xdr:rowOff>9525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5</xdr:row>
      <xdr:rowOff>160020</xdr:rowOff>
    </xdr:from>
    <xdr:to>
      <xdr:col>15</xdr:col>
      <xdr:colOff>472440</xdr:colOff>
      <xdr:row>5</xdr:row>
      <xdr:rowOff>160020</xdr:rowOff>
    </xdr:to>
    <xdr:cxnSp macro="">
      <xdr:nvCxnSpPr>
        <xdr:cNvPr id="3" name="Прямая соединительная линия 2"/>
        <xdr:cNvCxnSpPr/>
      </xdr:nvCxnSpPr>
      <xdr:spPr>
        <a:xfrm>
          <a:off x="5074920" y="1074420"/>
          <a:ext cx="454152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601980</xdr:colOff>
      <xdr:row>5</xdr:row>
      <xdr:rowOff>152400</xdr:rowOff>
    </xdr:from>
    <xdr:to>
      <xdr:col>11</xdr:col>
      <xdr:colOff>15240</xdr:colOff>
      <xdr:row>9</xdr:row>
      <xdr:rowOff>7620</xdr:rowOff>
    </xdr:to>
    <xdr:cxnSp macro="">
      <xdr:nvCxnSpPr>
        <xdr:cNvPr id="5" name="Прямая со стрелкой 4"/>
        <xdr:cNvCxnSpPr/>
      </xdr:nvCxnSpPr>
      <xdr:spPr>
        <a:xfrm>
          <a:off x="669798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548640</xdr:colOff>
      <xdr:row>5</xdr:row>
      <xdr:rowOff>152400</xdr:rowOff>
    </xdr:from>
    <xdr:to>
      <xdr:col>13</xdr:col>
      <xdr:colOff>571500</xdr:colOff>
      <xdr:row>9</xdr:row>
      <xdr:rowOff>7620</xdr:rowOff>
    </xdr:to>
    <xdr:cxnSp macro="">
      <xdr:nvCxnSpPr>
        <xdr:cNvPr id="6" name="Прямая со стрелкой 5"/>
        <xdr:cNvCxnSpPr/>
      </xdr:nvCxnSpPr>
      <xdr:spPr>
        <a:xfrm>
          <a:off x="847344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441960</xdr:colOff>
      <xdr:row>5</xdr:row>
      <xdr:rowOff>60960</xdr:rowOff>
    </xdr:from>
    <xdr:to>
      <xdr:col>13</xdr:col>
      <xdr:colOff>342900</xdr:colOff>
      <xdr:row>5</xdr:row>
      <xdr:rowOff>76200</xdr:rowOff>
    </xdr:to>
    <xdr:cxnSp macro="">
      <xdr:nvCxnSpPr>
        <xdr:cNvPr id="7" name="Прямая со стрелкой 6"/>
        <xdr:cNvCxnSpPr/>
      </xdr:nvCxnSpPr>
      <xdr:spPr>
        <a:xfrm flipV="1">
          <a:off x="7147560" y="97536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5</xdr:row>
      <xdr:rowOff>45720</xdr:rowOff>
    </xdr:from>
    <xdr:to>
      <xdr:col>10</xdr:col>
      <xdr:colOff>358140</xdr:colOff>
      <xdr:row>5</xdr:row>
      <xdr:rowOff>60960</xdr:rowOff>
    </xdr:to>
    <xdr:cxnSp macro="">
      <xdr:nvCxnSpPr>
        <xdr:cNvPr id="9" name="Прямая со стрелкой 8"/>
        <xdr:cNvCxnSpPr/>
      </xdr:nvCxnSpPr>
      <xdr:spPr>
        <a:xfrm flipV="1">
          <a:off x="5334000" y="96012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5</xdr:row>
      <xdr:rowOff>53340</xdr:rowOff>
    </xdr:from>
    <xdr:to>
      <xdr:col>16</xdr:col>
      <xdr:colOff>457200</xdr:colOff>
      <xdr:row>5</xdr:row>
      <xdr:rowOff>68580</xdr:rowOff>
    </xdr:to>
    <xdr:cxnSp macro="">
      <xdr:nvCxnSpPr>
        <xdr:cNvPr id="10" name="Прямая со стрелкой 9"/>
        <xdr:cNvCxnSpPr/>
      </xdr:nvCxnSpPr>
      <xdr:spPr>
        <a:xfrm flipH="1">
          <a:off x="9288780" y="9677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198120</xdr:colOff>
      <xdr:row>17</xdr:row>
      <xdr:rowOff>22860</xdr:rowOff>
    </xdr:from>
    <xdr:to>
      <xdr:col>15</xdr:col>
      <xdr:colOff>472440</xdr:colOff>
      <xdr:row>17</xdr:row>
      <xdr:rowOff>22860</xdr:rowOff>
    </xdr:to>
    <xdr:cxnSp macro="">
      <xdr:nvCxnSpPr>
        <xdr:cNvPr id="12" name="Прямая соединительная линия 11"/>
        <xdr:cNvCxnSpPr/>
      </xdr:nvCxnSpPr>
      <xdr:spPr>
        <a:xfrm>
          <a:off x="5074920" y="3131820"/>
          <a:ext cx="454152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601980</xdr:colOff>
      <xdr:row>16</xdr:row>
      <xdr:rowOff>152400</xdr:rowOff>
    </xdr:from>
    <xdr:to>
      <xdr:col>11</xdr:col>
      <xdr:colOff>15240</xdr:colOff>
      <xdr:row>20</xdr:row>
      <xdr:rowOff>7620</xdr:rowOff>
    </xdr:to>
    <xdr:cxnSp macro="">
      <xdr:nvCxnSpPr>
        <xdr:cNvPr id="13" name="Прямая со стрелкой 12"/>
        <xdr:cNvCxnSpPr/>
      </xdr:nvCxnSpPr>
      <xdr:spPr>
        <a:xfrm>
          <a:off x="669798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548640</xdr:colOff>
      <xdr:row>16</xdr:row>
      <xdr:rowOff>152400</xdr:rowOff>
    </xdr:from>
    <xdr:to>
      <xdr:col>13</xdr:col>
      <xdr:colOff>571500</xdr:colOff>
      <xdr:row>20</xdr:row>
      <xdr:rowOff>7620</xdr:rowOff>
    </xdr:to>
    <xdr:cxnSp macro="">
      <xdr:nvCxnSpPr>
        <xdr:cNvPr id="14" name="Прямая со стрелкой 13"/>
        <xdr:cNvCxnSpPr/>
      </xdr:nvCxnSpPr>
      <xdr:spPr>
        <a:xfrm>
          <a:off x="847344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373380</xdr:colOff>
      <xdr:row>16</xdr:row>
      <xdr:rowOff>68580</xdr:rowOff>
    </xdr:from>
    <xdr:to>
      <xdr:col>13</xdr:col>
      <xdr:colOff>381000</xdr:colOff>
      <xdr:row>16</xdr:row>
      <xdr:rowOff>76200</xdr:rowOff>
    </xdr:to>
    <xdr:cxnSp macro="">
      <xdr:nvCxnSpPr>
        <xdr:cNvPr id="15" name="Прямая со стрелкой 14"/>
        <xdr:cNvCxnSpPr/>
      </xdr:nvCxnSpPr>
      <xdr:spPr>
        <a:xfrm flipH="1">
          <a:off x="7078980" y="2994660"/>
          <a:ext cx="1226820" cy="76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16</xdr:row>
      <xdr:rowOff>45720</xdr:rowOff>
    </xdr:from>
    <xdr:to>
      <xdr:col>10</xdr:col>
      <xdr:colOff>358140</xdr:colOff>
      <xdr:row>16</xdr:row>
      <xdr:rowOff>60960</xdr:rowOff>
    </xdr:to>
    <xdr:cxnSp macro="">
      <xdr:nvCxnSpPr>
        <xdr:cNvPr id="16" name="Прямая со стрелкой 15"/>
        <xdr:cNvCxnSpPr/>
      </xdr:nvCxnSpPr>
      <xdr:spPr>
        <a:xfrm flipV="1">
          <a:off x="5334000" y="96012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16</xdr:row>
      <xdr:rowOff>53340</xdr:rowOff>
    </xdr:from>
    <xdr:to>
      <xdr:col>16</xdr:col>
      <xdr:colOff>457200</xdr:colOff>
      <xdr:row>16</xdr:row>
      <xdr:rowOff>68580</xdr:rowOff>
    </xdr:to>
    <xdr:cxnSp macro="">
      <xdr:nvCxnSpPr>
        <xdr:cNvPr id="17" name="Прямая со стрелкой 16"/>
        <xdr:cNvCxnSpPr/>
      </xdr:nvCxnSpPr>
      <xdr:spPr>
        <a:xfrm flipH="1">
          <a:off x="9288780" y="9677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0</xdr:row>
          <xdr:rowOff>95250</xdr:rowOff>
        </xdr:from>
        <xdr:to>
          <xdr:col>5</xdr:col>
          <xdr:colOff>285750</xdr:colOff>
          <xdr:row>1</xdr:row>
          <xdr:rowOff>152400</xdr:rowOff>
        </xdr:to>
        <xdr:sp macro="" textlink="">
          <xdr:nvSpPr>
            <xdr:cNvPr id="6148" name="Object 4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0</xdr:row>
          <xdr:rowOff>95250</xdr:rowOff>
        </xdr:from>
        <xdr:to>
          <xdr:col>6</xdr:col>
          <xdr:colOff>323850</xdr:colOff>
          <xdr:row>1</xdr:row>
          <xdr:rowOff>152400</xdr:rowOff>
        </xdr:to>
        <xdr:sp macro="" textlink="">
          <xdr:nvSpPr>
            <xdr:cNvPr id="6147" name="Object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0</xdr:row>
          <xdr:rowOff>95250</xdr:rowOff>
        </xdr:from>
        <xdr:to>
          <xdr:col>8</xdr:col>
          <xdr:colOff>247650</xdr:colOff>
          <xdr:row>1</xdr:row>
          <xdr:rowOff>171450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0</xdr:row>
          <xdr:rowOff>95250</xdr:rowOff>
        </xdr:from>
        <xdr:to>
          <xdr:col>9</xdr:col>
          <xdr:colOff>400050</xdr:colOff>
          <xdr:row>1</xdr:row>
          <xdr:rowOff>142875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w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6" Type="http://schemas.openxmlformats.org/officeDocument/2006/relationships/image" Target="../media/image6.w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5.w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9.w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5.bin"/><Relationship Id="rId11" Type="http://schemas.openxmlformats.org/officeDocument/2006/relationships/image" Target="../media/image11.wmf"/><Relationship Id="rId5" Type="http://schemas.openxmlformats.org/officeDocument/2006/relationships/image" Target="../media/image8.wmf"/><Relationship Id="rId10" Type="http://schemas.openxmlformats.org/officeDocument/2006/relationships/oleObject" Target="../embeddings/oleObject7.bin"/><Relationship Id="rId4" Type="http://schemas.openxmlformats.org/officeDocument/2006/relationships/oleObject" Target="../embeddings/oleObject4.bin"/><Relationship Id="rId9" Type="http://schemas.openxmlformats.org/officeDocument/2006/relationships/image" Target="../media/image10.w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D9" sqref="D9"/>
    </sheetView>
  </sheetViews>
  <sheetFormatPr defaultRowHeight="15" x14ac:dyDescent="0.25"/>
  <cols>
    <col min="6" max="6" width="10.85546875" customWidth="1"/>
    <col min="8" max="8" width="12.140625" customWidth="1"/>
    <col min="11" max="11" width="10" customWidth="1"/>
  </cols>
  <sheetData>
    <row r="1" spans="1:13" x14ac:dyDescent="0.25">
      <c r="A1" t="s">
        <v>40</v>
      </c>
    </row>
    <row r="2" spans="1:13" x14ac:dyDescent="0.25">
      <c r="A2" s="44" t="s">
        <v>0</v>
      </c>
      <c r="B2" s="2" t="s">
        <v>1</v>
      </c>
      <c r="C2" s="2" t="s">
        <v>3</v>
      </c>
      <c r="D2" s="2" t="s">
        <v>5</v>
      </c>
      <c r="E2" s="2" t="s">
        <v>7</v>
      </c>
      <c r="F2" s="2" t="s">
        <v>8</v>
      </c>
      <c r="G2" s="44" t="s">
        <v>10</v>
      </c>
      <c r="H2" s="6"/>
      <c r="I2" s="3" t="s">
        <v>23</v>
      </c>
      <c r="J2" s="3" t="s">
        <v>24</v>
      </c>
      <c r="K2" s="5" t="s">
        <v>21</v>
      </c>
      <c r="L2" s="2" t="s">
        <v>22</v>
      </c>
      <c r="M2" s="1"/>
    </row>
    <row r="3" spans="1:13" x14ac:dyDescent="0.25">
      <c r="A3" s="44"/>
      <c r="B3" s="2" t="s">
        <v>2</v>
      </c>
      <c r="C3" s="2" t="s">
        <v>4</v>
      </c>
      <c r="D3" s="2" t="s">
        <v>6</v>
      </c>
      <c r="E3" s="2" t="s">
        <v>6</v>
      </c>
      <c r="F3" s="2" t="s">
        <v>9</v>
      </c>
      <c r="G3" s="44"/>
      <c r="H3" s="6"/>
      <c r="I3" s="3">
        <f>POWER(B11,2)</f>
        <v>2209</v>
      </c>
      <c r="J3" s="2">
        <f>POWER(C11,2)</f>
        <v>900</v>
      </c>
      <c r="K3" s="2">
        <f>SUM(I3:J3)</f>
        <v>3109</v>
      </c>
      <c r="L3" s="2">
        <f>SQRT(K3)</f>
        <v>55.758407437802596</v>
      </c>
      <c r="M3" s="1"/>
    </row>
    <row r="4" spans="1:13" x14ac:dyDescent="0.25">
      <c r="A4" s="3" t="s">
        <v>11</v>
      </c>
      <c r="B4" s="4">
        <v>4</v>
      </c>
      <c r="C4" s="4">
        <v>3</v>
      </c>
      <c r="D4" s="4">
        <v>110</v>
      </c>
      <c r="E4" s="4">
        <v>235</v>
      </c>
      <c r="F4" s="4">
        <v>6</v>
      </c>
      <c r="G4" s="2" t="s">
        <v>19</v>
      </c>
      <c r="H4" s="7"/>
      <c r="I4" s="7"/>
      <c r="J4" s="7"/>
      <c r="K4" s="1"/>
      <c r="L4" s="1"/>
      <c r="M4" s="1"/>
    </row>
    <row r="5" spans="1:13" x14ac:dyDescent="0.25">
      <c r="A5" s="3" t="s">
        <v>12</v>
      </c>
      <c r="B5" s="4">
        <v>6</v>
      </c>
      <c r="C5" s="4">
        <v>2</v>
      </c>
      <c r="D5" s="4">
        <v>75</v>
      </c>
      <c r="E5" s="4">
        <v>250</v>
      </c>
      <c r="F5" s="4">
        <v>6</v>
      </c>
      <c r="G5" s="2" t="s">
        <v>19</v>
      </c>
      <c r="H5" s="7"/>
      <c r="I5" s="5" t="s">
        <v>25</v>
      </c>
      <c r="J5" s="2" t="s">
        <v>26</v>
      </c>
      <c r="K5" s="2" t="s">
        <v>27</v>
      </c>
      <c r="L5" s="2" t="s">
        <v>27</v>
      </c>
      <c r="M5" s="1"/>
    </row>
    <row r="6" spans="1:13" x14ac:dyDescent="0.25">
      <c r="A6" s="3" t="s">
        <v>13</v>
      </c>
      <c r="B6" s="4">
        <v>20</v>
      </c>
      <c r="C6" s="4">
        <v>15</v>
      </c>
      <c r="D6" s="4">
        <v>110</v>
      </c>
      <c r="E6" s="4">
        <v>205</v>
      </c>
      <c r="F6" s="4">
        <v>10</v>
      </c>
      <c r="G6" s="2" t="s">
        <v>20</v>
      </c>
      <c r="H6" s="7"/>
      <c r="I6" s="2">
        <f>PRODUCT(0.05,L3)</f>
        <v>2.78792037189013</v>
      </c>
      <c r="J6" s="2">
        <f>PRODUCT(0.15,L3)</f>
        <v>8.363761115670389</v>
      </c>
      <c r="K6" s="2">
        <v>0.95</v>
      </c>
      <c r="L6" s="2">
        <v>0.98</v>
      </c>
      <c r="M6" s="1"/>
    </row>
    <row r="7" spans="1:13" x14ac:dyDescent="0.25">
      <c r="A7" s="3" t="s">
        <v>14</v>
      </c>
      <c r="B7" s="4">
        <v>7</v>
      </c>
      <c r="C7" s="4">
        <v>5</v>
      </c>
      <c r="D7" s="4">
        <v>165</v>
      </c>
      <c r="E7" s="4">
        <v>240</v>
      </c>
      <c r="F7" s="4">
        <v>10</v>
      </c>
      <c r="G7" s="2" t="s">
        <v>20</v>
      </c>
      <c r="H7" s="7"/>
      <c r="I7" s="7"/>
      <c r="J7" s="1"/>
      <c r="K7" s="1"/>
      <c r="L7" s="1"/>
      <c r="M7" s="1"/>
    </row>
    <row r="8" spans="1:13" x14ac:dyDescent="0.25">
      <c r="A8" s="3" t="s">
        <v>15</v>
      </c>
      <c r="B8" s="4">
        <v>5</v>
      </c>
      <c r="C8" s="4">
        <v>2</v>
      </c>
      <c r="D8" s="4">
        <v>95</v>
      </c>
      <c r="E8" s="4">
        <v>280</v>
      </c>
      <c r="F8" s="4">
        <v>6</v>
      </c>
      <c r="G8" s="2" t="s">
        <v>19</v>
      </c>
      <c r="H8" s="7"/>
      <c r="I8" s="2" t="s">
        <v>28</v>
      </c>
      <c r="J8" s="2" t="s">
        <v>29</v>
      </c>
      <c r="K8" s="2" t="s">
        <v>30</v>
      </c>
      <c r="L8" s="1"/>
      <c r="M8" s="1"/>
    </row>
    <row r="9" spans="1:13" x14ac:dyDescent="0.25">
      <c r="A9" s="3" t="s">
        <v>16</v>
      </c>
      <c r="B9" s="4">
        <v>5</v>
      </c>
      <c r="C9" s="4">
        <v>3</v>
      </c>
      <c r="D9" s="4">
        <v>150</v>
      </c>
      <c r="E9" s="4">
        <v>200</v>
      </c>
      <c r="F9" s="4">
        <v>10</v>
      </c>
      <c r="G9" s="2" t="s">
        <v>20</v>
      </c>
      <c r="H9" s="7"/>
      <c r="I9" s="2">
        <f>PRODUCT(K6,B11)+I6</f>
        <v>47.437920371890129</v>
      </c>
      <c r="J9" s="2">
        <f>PRODUCT(L6,C11)+J6</f>
        <v>37.763761115670391</v>
      </c>
      <c r="K9" s="2">
        <f>SUM(I9:J9)</f>
        <v>85.201681487560521</v>
      </c>
      <c r="L9" s="1"/>
      <c r="M9" s="1"/>
    </row>
    <row r="10" spans="1:13" x14ac:dyDescent="0.25">
      <c r="A10" s="3" t="s">
        <v>17</v>
      </c>
      <c r="B10" s="4" t="s">
        <v>18</v>
      </c>
      <c r="C10" s="4" t="s">
        <v>18</v>
      </c>
      <c r="D10" s="4">
        <v>75</v>
      </c>
      <c r="E10" s="4">
        <v>105</v>
      </c>
      <c r="F10" s="4"/>
      <c r="G10" s="4"/>
      <c r="H10" s="8"/>
      <c r="I10" s="8"/>
    </row>
    <row r="11" spans="1:13" x14ac:dyDescent="0.25">
      <c r="A11" s="9" t="s">
        <v>21</v>
      </c>
      <c r="B11" s="10">
        <v>47</v>
      </c>
      <c r="C11" s="10">
        <v>30</v>
      </c>
      <c r="D11" s="10"/>
      <c r="E11" s="10"/>
      <c r="F11" s="10"/>
      <c r="G11" s="10"/>
      <c r="H11" s="8"/>
      <c r="I11" s="8"/>
      <c r="J11" s="13" t="s">
        <v>31</v>
      </c>
      <c r="K11" s="14"/>
    </row>
    <row r="12" spans="1:13" x14ac:dyDescent="0.25">
      <c r="A12" s="6" t="s">
        <v>39</v>
      </c>
      <c r="J12" s="14" t="s">
        <v>37</v>
      </c>
      <c r="K12" s="14" t="s">
        <v>38</v>
      </c>
    </row>
    <row r="13" spans="1:13" x14ac:dyDescent="0.25">
      <c r="A13" s="44" t="s">
        <v>0</v>
      </c>
      <c r="B13" s="2" t="s">
        <v>1</v>
      </c>
      <c r="C13" s="2" t="s">
        <v>5</v>
      </c>
      <c r="D13" s="2" t="s">
        <v>32</v>
      </c>
      <c r="E13" s="2" t="s">
        <v>7</v>
      </c>
      <c r="F13" s="2" t="s">
        <v>34</v>
      </c>
      <c r="G13" s="12" t="s">
        <v>35</v>
      </c>
      <c r="H13" s="2" t="s">
        <v>36</v>
      </c>
      <c r="J13" s="14">
        <f>QUOTIENT(D21,B21)</f>
        <v>116</v>
      </c>
      <c r="K13" s="14">
        <f>QUOTIENT(F21,B21)</f>
        <v>225</v>
      </c>
    </row>
    <row r="14" spans="1:13" x14ac:dyDescent="0.25">
      <c r="A14" s="44"/>
      <c r="B14" s="2" t="s">
        <v>2</v>
      </c>
      <c r="C14" s="2" t="s">
        <v>6</v>
      </c>
      <c r="D14" s="2" t="s">
        <v>33</v>
      </c>
      <c r="E14" s="2" t="s">
        <v>6</v>
      </c>
      <c r="F14" s="2" t="s">
        <v>33</v>
      </c>
      <c r="G14" s="2" t="s">
        <v>6</v>
      </c>
      <c r="H14" s="2" t="s">
        <v>33</v>
      </c>
    </row>
    <row r="15" spans="1:13" x14ac:dyDescent="0.25">
      <c r="A15" s="3" t="s">
        <v>11</v>
      </c>
      <c r="B15" s="4">
        <v>4</v>
      </c>
      <c r="C15" s="4">
        <v>110</v>
      </c>
      <c r="D15" s="4">
        <f>PRODUCT(B15:C15)</f>
        <v>440</v>
      </c>
      <c r="E15" s="4">
        <v>235</v>
      </c>
      <c r="F15" s="4">
        <f t="shared" ref="F15:F20" si="0">PRODUCT(B15,E15)</f>
        <v>940</v>
      </c>
      <c r="G15" s="4">
        <v>11</v>
      </c>
      <c r="H15" s="4">
        <f t="shared" ref="H15:H20" si="1">PRODUCT(B15,G15)</f>
        <v>44</v>
      </c>
      <c r="J15" s="11" t="s">
        <v>41</v>
      </c>
      <c r="K15" s="11" t="s">
        <v>42</v>
      </c>
    </row>
    <row r="16" spans="1:13" x14ac:dyDescent="0.25">
      <c r="A16" s="3" t="s">
        <v>12</v>
      </c>
      <c r="B16" s="4">
        <v>6</v>
      </c>
      <c r="C16" s="4">
        <v>75</v>
      </c>
      <c r="D16" s="4">
        <f>PRODUCT(B16,C16)</f>
        <v>450</v>
      </c>
      <c r="E16" s="4">
        <v>250</v>
      </c>
      <c r="F16" s="4">
        <f t="shared" si="0"/>
        <v>1500</v>
      </c>
      <c r="G16" s="4">
        <v>48</v>
      </c>
      <c r="H16" s="4">
        <f t="shared" si="1"/>
        <v>288</v>
      </c>
      <c r="J16">
        <f>H21/B21</f>
        <v>34.51063829787234</v>
      </c>
      <c r="K16">
        <v>128</v>
      </c>
      <c r="L16">
        <f>K16/J16</f>
        <v>3.7090012330456226</v>
      </c>
    </row>
    <row r="17" spans="1:8" x14ac:dyDescent="0.25">
      <c r="A17" s="3" t="s">
        <v>13</v>
      </c>
      <c r="B17" s="4">
        <v>20</v>
      </c>
      <c r="C17" s="4">
        <v>110</v>
      </c>
      <c r="D17" s="4">
        <f>PRODUCT(B17,C17)</f>
        <v>2200</v>
      </c>
      <c r="E17" s="4">
        <v>205</v>
      </c>
      <c r="F17" s="4">
        <f t="shared" si="0"/>
        <v>4100</v>
      </c>
      <c r="G17" s="4">
        <v>22</v>
      </c>
      <c r="H17" s="4">
        <f t="shared" si="1"/>
        <v>440</v>
      </c>
    </row>
    <row r="18" spans="1:8" x14ac:dyDescent="0.25">
      <c r="A18" s="3" t="s">
        <v>14</v>
      </c>
      <c r="B18" s="4">
        <v>7</v>
      </c>
      <c r="C18" s="4">
        <v>165</v>
      </c>
      <c r="D18" s="4">
        <f>PRODUCT(B18,C18)</f>
        <v>1155</v>
      </c>
      <c r="E18" s="4">
        <v>240</v>
      </c>
      <c r="F18" s="4">
        <f t="shared" si="0"/>
        <v>1680</v>
      </c>
      <c r="G18" s="4">
        <v>50</v>
      </c>
      <c r="H18" s="4">
        <f t="shared" si="1"/>
        <v>350</v>
      </c>
    </row>
    <row r="19" spans="1:8" x14ac:dyDescent="0.25">
      <c r="A19" s="3" t="s">
        <v>15</v>
      </c>
      <c r="B19" s="4">
        <v>5</v>
      </c>
      <c r="C19" s="4">
        <v>95</v>
      </c>
      <c r="D19" s="4">
        <f>PRODUCT(B19:C19)</f>
        <v>475</v>
      </c>
      <c r="E19" s="4">
        <v>280</v>
      </c>
      <c r="F19" s="4">
        <f t="shared" si="0"/>
        <v>1400</v>
      </c>
      <c r="G19" s="4">
        <v>58</v>
      </c>
      <c r="H19" s="4">
        <f t="shared" si="1"/>
        <v>290</v>
      </c>
    </row>
    <row r="20" spans="1:8" x14ac:dyDescent="0.25">
      <c r="A20" s="3" t="s">
        <v>16</v>
      </c>
      <c r="B20" s="4">
        <v>5</v>
      </c>
      <c r="C20" s="4">
        <v>150</v>
      </c>
      <c r="D20" s="4">
        <f>PRODUCT(B20:C20)</f>
        <v>750</v>
      </c>
      <c r="E20" s="4">
        <v>200</v>
      </c>
      <c r="F20" s="4">
        <f t="shared" si="0"/>
        <v>1000</v>
      </c>
      <c r="G20" s="4">
        <v>42</v>
      </c>
      <c r="H20" s="4">
        <f t="shared" si="1"/>
        <v>210</v>
      </c>
    </row>
    <row r="21" spans="1:8" x14ac:dyDescent="0.25">
      <c r="A21" s="9" t="s">
        <v>21</v>
      </c>
      <c r="B21" s="10">
        <v>47</v>
      </c>
      <c r="C21" s="10"/>
      <c r="D21" s="10">
        <f>SUM(D15:D20)</f>
        <v>5470</v>
      </c>
      <c r="E21" s="10"/>
      <c r="F21" s="10">
        <f>SUM(F15:F20)</f>
        <v>10620</v>
      </c>
      <c r="G21" s="10"/>
      <c r="H21" s="10">
        <f>SUM(H15:H20)</f>
        <v>1622</v>
      </c>
    </row>
  </sheetData>
  <mergeCells count="3">
    <mergeCell ref="A2:A3"/>
    <mergeCell ref="G2:G3"/>
    <mergeCell ref="A13:A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W29"/>
  <sheetViews>
    <sheetView topLeftCell="B1" zoomScale="110" zoomScaleNormal="110" workbookViewId="0">
      <selection activeCell="R26" sqref="R26"/>
    </sheetView>
  </sheetViews>
  <sheetFormatPr defaultRowHeight="15" x14ac:dyDescent="0.25"/>
  <sheetData>
    <row r="1" spans="4:23" x14ac:dyDescent="0.25">
      <c r="L1" t="s">
        <v>49</v>
      </c>
      <c r="M1" t="s">
        <v>7</v>
      </c>
    </row>
    <row r="2" spans="4:23" x14ac:dyDescent="0.25">
      <c r="K2" t="str">
        <f>Лист1!A4</f>
        <v>А</v>
      </c>
      <c r="L2">
        <f>Лист1!D4</f>
        <v>110</v>
      </c>
      <c r="M2">
        <f>Лист1!E4</f>
        <v>235</v>
      </c>
    </row>
    <row r="3" spans="4:23" x14ac:dyDescent="0.25">
      <c r="K3" t="str">
        <f>Лист1!A5</f>
        <v>Б</v>
      </c>
      <c r="L3">
        <f>Лист1!D5</f>
        <v>75</v>
      </c>
      <c r="M3">
        <f>Лист1!E5</f>
        <v>250</v>
      </c>
    </row>
    <row r="4" spans="4:23" x14ac:dyDescent="0.25">
      <c r="G4" s="15" t="s">
        <v>45</v>
      </c>
      <c r="H4" s="16" t="s">
        <v>44</v>
      </c>
      <c r="I4" t="s">
        <v>50</v>
      </c>
      <c r="K4" t="str">
        <f>Лист1!A6</f>
        <v>В</v>
      </c>
      <c r="L4">
        <f>Лист1!D6</f>
        <v>110</v>
      </c>
      <c r="M4">
        <f>Лист1!E6</f>
        <v>205</v>
      </c>
      <c r="U4" s="1" t="str">
        <f>G4</f>
        <v>Ділянка</v>
      </c>
      <c r="V4" s="16" t="str">
        <f t="shared" ref="V4:W4" si="0">H4</f>
        <v>l, км</v>
      </c>
      <c r="W4" t="str">
        <f t="shared" si="0"/>
        <v>mm</v>
      </c>
    </row>
    <row r="5" spans="4:23" x14ac:dyDescent="0.25">
      <c r="G5" s="1" t="s">
        <v>46</v>
      </c>
      <c r="H5" s="1">
        <f>ROUND(1.1*I5/10*2,1)</f>
        <v>12.1</v>
      </c>
      <c r="I5">
        <f>SQRT(($L$2-L5)^2+($M$2-M5)^2)</f>
        <v>55.226805085936306</v>
      </c>
      <c r="K5" t="str">
        <f>Лист1!A7</f>
        <v>Г</v>
      </c>
      <c r="L5">
        <f>Лист1!D7</f>
        <v>165</v>
      </c>
      <c r="M5">
        <f>Лист1!E7</f>
        <v>240</v>
      </c>
      <c r="U5" s="1" t="s">
        <v>54</v>
      </c>
      <c r="V5" s="1">
        <f>ROUND(1.1*W5/10*2,1)</f>
        <v>7.2</v>
      </c>
      <c r="W5">
        <f>SQRT(($L$2-L10)^2+($M$2-M10)^2)</f>
        <v>32.572994949804659</v>
      </c>
    </row>
    <row r="6" spans="4:23" x14ac:dyDescent="0.25">
      <c r="G6" s="1" t="s">
        <v>47</v>
      </c>
      <c r="H6" s="1">
        <f t="shared" ref="H6:H7" si="1">ROUND(1.1*I6/10*2,1)</f>
        <v>11.7</v>
      </c>
      <c r="I6">
        <f>SQRT(($L$2-L7)^2+($M$2-M7)^2)</f>
        <v>53.150729063673246</v>
      </c>
      <c r="K6" t="str">
        <f>Лист1!A8</f>
        <v>Д</v>
      </c>
      <c r="L6">
        <f>Лист1!D8</f>
        <v>95</v>
      </c>
      <c r="M6">
        <f>Лист1!E8</f>
        <v>280</v>
      </c>
      <c r="U6" s="1" t="s">
        <v>55</v>
      </c>
      <c r="V6" s="1">
        <f t="shared" ref="V6:V7" si="2">ROUND(1.1*W6/10*2,1)</f>
        <v>6.2</v>
      </c>
      <c r="W6">
        <f>SQRT(($L$10-L5)^2+($M$10-M5)^2)</f>
        <v>28.301943396169811</v>
      </c>
    </row>
    <row r="7" spans="4:23" x14ac:dyDescent="0.25">
      <c r="G7" s="1" t="s">
        <v>48</v>
      </c>
      <c r="H7" s="1">
        <f t="shared" si="1"/>
        <v>9.4</v>
      </c>
      <c r="I7">
        <f>SQRT(($L$5-L7)^2+($M$5-M7)^2)</f>
        <v>42.720018726587654</v>
      </c>
      <c r="K7" t="str">
        <f>Лист1!A9</f>
        <v>Е</v>
      </c>
      <c r="L7">
        <f>Лист1!D9</f>
        <v>150</v>
      </c>
      <c r="M7">
        <f>Лист1!E9</f>
        <v>200</v>
      </c>
      <c r="U7" s="1" t="s">
        <v>56</v>
      </c>
      <c r="V7" s="1">
        <f t="shared" si="2"/>
        <v>5.8</v>
      </c>
      <c r="W7">
        <f>SQRT(($L$10-L7)^2+($M$10-M7)^2)</f>
        <v>26.570660511172846</v>
      </c>
    </row>
    <row r="8" spans="4:23" x14ac:dyDescent="0.25">
      <c r="L8">
        <f>Лист1!D10</f>
        <v>75</v>
      </c>
      <c r="M8">
        <f>Лист1!E10</f>
        <v>105</v>
      </c>
      <c r="V8">
        <f>SUM(V5:V7)</f>
        <v>19.2</v>
      </c>
    </row>
    <row r="9" spans="4:23" x14ac:dyDescent="0.25">
      <c r="K9">
        <v>1</v>
      </c>
      <c r="L9">
        <v>147</v>
      </c>
      <c r="M9">
        <v>238</v>
      </c>
    </row>
    <row r="10" spans="4:23" x14ac:dyDescent="0.25">
      <c r="K10">
        <v>2</v>
      </c>
      <c r="L10">
        <v>141</v>
      </c>
      <c r="M10">
        <v>225</v>
      </c>
    </row>
    <row r="15" spans="4:23" x14ac:dyDescent="0.25">
      <c r="D15" t="s">
        <v>67</v>
      </c>
    </row>
    <row r="16" spans="4:23" x14ac:dyDescent="0.25">
      <c r="G16">
        <v>2</v>
      </c>
    </row>
    <row r="17" spans="4:17" x14ac:dyDescent="0.25">
      <c r="G17" s="1" t="str">
        <f>G4</f>
        <v>Ділянка</v>
      </c>
      <c r="H17" s="16" t="str">
        <f>H4</f>
        <v>l, км</v>
      </c>
      <c r="O17" s="1" t="str">
        <f>G4</f>
        <v>Ділянка</v>
      </c>
      <c r="P17" s="16" t="str">
        <f t="shared" ref="P17:Q17" si="3">H4</f>
        <v>l, км</v>
      </c>
      <c r="Q17" t="str">
        <f t="shared" si="3"/>
        <v>mm</v>
      </c>
    </row>
    <row r="18" spans="4:17" x14ac:dyDescent="0.25">
      <c r="G18" s="1" t="str">
        <f t="shared" ref="G18:H19" si="4">G5</f>
        <v>ВП-Г</v>
      </c>
      <c r="H18" s="1">
        <f t="shared" si="4"/>
        <v>12.1</v>
      </c>
      <c r="O18" s="1" t="s">
        <v>51</v>
      </c>
      <c r="P18" s="1">
        <f t="shared" ref="P18:P20" si="5">H5</f>
        <v>12.1</v>
      </c>
      <c r="Q18">
        <f>SQRT(($L$2-L9)^2+($M$2-M9)^2)</f>
        <v>37.12142238654117</v>
      </c>
    </row>
    <row r="19" spans="4:17" x14ac:dyDescent="0.25">
      <c r="G19" s="1" t="str">
        <f t="shared" si="4"/>
        <v>ВП-Е</v>
      </c>
      <c r="H19" s="1">
        <f t="shared" si="4"/>
        <v>11.7</v>
      </c>
      <c r="O19" s="1" t="s">
        <v>52</v>
      </c>
      <c r="P19" s="1">
        <f t="shared" si="5"/>
        <v>11.7</v>
      </c>
      <c r="Q19">
        <f>SQRT(($L$9-L5)^2+($M$9-M5)^2)</f>
        <v>18.110770276274835</v>
      </c>
    </row>
    <row r="20" spans="4:17" x14ac:dyDescent="0.25">
      <c r="O20" s="1" t="s">
        <v>53</v>
      </c>
      <c r="P20" s="1">
        <f t="shared" si="5"/>
        <v>9.4</v>
      </c>
      <c r="Q20">
        <f>SQRT(($L$9-L7)^2+($M$9-M7)^2)</f>
        <v>38.118237105091836</v>
      </c>
    </row>
    <row r="21" spans="4:17" x14ac:dyDescent="0.25">
      <c r="P21" s="1">
        <f>SUM(P18:P20)</f>
        <v>33.199999999999996</v>
      </c>
    </row>
    <row r="28" spans="4:17" x14ac:dyDescent="0.25">
      <c r="F28">
        <v>2</v>
      </c>
    </row>
    <row r="29" spans="4:17" x14ac:dyDescent="0.25">
      <c r="D29" t="s">
        <v>68</v>
      </c>
      <c r="L29" t="s">
        <v>69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M9"/>
  <sheetViews>
    <sheetView zoomScale="160" zoomScaleNormal="160" workbookViewId="0">
      <selection activeCell="J7" sqref="J7"/>
    </sheetView>
  </sheetViews>
  <sheetFormatPr defaultRowHeight="15" x14ac:dyDescent="0.25"/>
  <sheetData>
    <row r="2" spans="3:13" ht="15.75" thickBot="1" x14ac:dyDescent="0.3"/>
    <row r="3" spans="3:13" ht="46.15" customHeight="1" thickBot="1" x14ac:dyDescent="0.3">
      <c r="C3" s="45" t="s">
        <v>57</v>
      </c>
      <c r="D3" s="47" t="s">
        <v>58</v>
      </c>
      <c r="E3" s="48"/>
      <c r="F3" s="48"/>
      <c r="G3" s="48"/>
      <c r="H3" s="49"/>
      <c r="I3" s="47" t="s">
        <v>59</v>
      </c>
      <c r="J3" s="48"/>
      <c r="K3" s="48"/>
      <c r="L3" s="48"/>
      <c r="M3" s="49"/>
    </row>
    <row r="4" spans="3:13" ht="16.5" thickBot="1" x14ac:dyDescent="0.3">
      <c r="C4" s="46"/>
      <c r="D4" s="17" t="s">
        <v>60</v>
      </c>
      <c r="E4" s="17" t="s">
        <v>61</v>
      </c>
      <c r="F4" s="17" t="s">
        <v>62</v>
      </c>
      <c r="G4" s="17" t="s">
        <v>63</v>
      </c>
      <c r="H4" s="17" t="s">
        <v>64</v>
      </c>
      <c r="I4" s="17" t="s">
        <v>60</v>
      </c>
      <c r="J4" s="17" t="s">
        <v>61</v>
      </c>
      <c r="K4" s="17" t="s">
        <v>62</v>
      </c>
      <c r="L4" s="17" t="s">
        <v>63</v>
      </c>
      <c r="M4" s="17" t="s">
        <v>64</v>
      </c>
    </row>
    <row r="5" spans="3:13" ht="16.5" thickBot="1" x14ac:dyDescent="0.3">
      <c r="C5" s="18" t="s">
        <v>65</v>
      </c>
      <c r="D5" s="17">
        <v>4</v>
      </c>
      <c r="E5" s="17">
        <v>4</v>
      </c>
      <c r="F5" s="17">
        <v>2</v>
      </c>
      <c r="G5" s="17">
        <v>2</v>
      </c>
      <c r="H5" s="17">
        <v>2</v>
      </c>
      <c r="I5" s="17">
        <f>4</f>
        <v>4</v>
      </c>
      <c r="J5" s="17">
        <v>4</v>
      </c>
      <c r="K5" s="17">
        <v>2</v>
      </c>
      <c r="L5" s="17">
        <v>2</v>
      </c>
      <c r="M5" s="17">
        <v>2</v>
      </c>
    </row>
    <row r="6" spans="3:13" ht="16.5" thickBot="1" x14ac:dyDescent="0.3">
      <c r="C6" s="18" t="s">
        <v>66</v>
      </c>
      <c r="D6" s="17">
        <f>8.25*2+10.45*2</f>
        <v>37.4</v>
      </c>
      <c r="E6" s="17">
        <f>8.25+10.45+7.92</f>
        <v>26.619999999999997</v>
      </c>
      <c r="F6" s="17">
        <f>(6.05+6.38+5.5)*2</f>
        <v>35.86</v>
      </c>
      <c r="G6" s="17">
        <f>(5.17+5.28+6.05)*2</f>
        <v>33</v>
      </c>
      <c r="H6" s="17">
        <f>(6.71+1.54+7.7)*2</f>
        <v>31.9</v>
      </c>
      <c r="I6" s="17">
        <f>'Рис 1-2 Довжини'!H5+'Рис 1-2 Довжини'!H6+'Рис 1-2 Довжини'!H7</f>
        <v>33.199999999999996</v>
      </c>
      <c r="J6" s="17">
        <f>'Рис 1-2 Довжини'!H18*1.6+'Рис 1-2 Довжини'!H19*1.6</f>
        <v>38.08</v>
      </c>
      <c r="K6" s="17">
        <f>('Рис 1-2 Довжини'!P21)*1.6</f>
        <v>53.12</v>
      </c>
      <c r="L6" s="17">
        <f>('Рис 1-2 Довжини'!V8)*1.6</f>
        <v>30.72</v>
      </c>
      <c r="M6" s="17"/>
    </row>
    <row r="7" spans="3:13" ht="16.5" thickBot="1" x14ac:dyDescent="0.3">
      <c r="C7" s="18" t="s">
        <v>66</v>
      </c>
      <c r="D7" s="17">
        <f>D6+D5*3</f>
        <v>49.4</v>
      </c>
      <c r="E7" s="19">
        <f t="shared" ref="E7:M7" si="0">E6+E5*3</f>
        <v>38.619999999999997</v>
      </c>
      <c r="F7" s="17">
        <f t="shared" si="0"/>
        <v>41.86</v>
      </c>
      <c r="G7" s="17">
        <f t="shared" si="0"/>
        <v>39</v>
      </c>
      <c r="H7" s="19">
        <f t="shared" si="0"/>
        <v>37.9</v>
      </c>
      <c r="I7" s="17">
        <f t="shared" si="0"/>
        <v>45.199999999999996</v>
      </c>
      <c r="J7" s="17">
        <f t="shared" si="0"/>
        <v>50.08</v>
      </c>
      <c r="K7" s="17">
        <f t="shared" si="0"/>
        <v>59.12</v>
      </c>
      <c r="L7" s="19">
        <f t="shared" si="0"/>
        <v>36.72</v>
      </c>
      <c r="M7" s="17">
        <f t="shared" si="0"/>
        <v>6</v>
      </c>
    </row>
    <row r="8" spans="3:13" x14ac:dyDescent="0.25">
      <c r="D8" t="s">
        <v>70</v>
      </c>
      <c r="E8" t="s">
        <v>71</v>
      </c>
      <c r="F8" t="s">
        <v>72</v>
      </c>
      <c r="G8" t="s">
        <v>72</v>
      </c>
      <c r="H8" t="s">
        <v>72</v>
      </c>
      <c r="I8" t="s">
        <v>71</v>
      </c>
      <c r="J8" t="s">
        <v>70</v>
      </c>
      <c r="K8" t="s">
        <v>72</v>
      </c>
      <c r="L8" t="s">
        <v>72</v>
      </c>
      <c r="M8" t="s">
        <v>72</v>
      </c>
    </row>
    <row r="9" spans="3:13" x14ac:dyDescent="0.25">
      <c r="E9" t="s">
        <v>73</v>
      </c>
      <c r="F9" t="s">
        <v>74</v>
      </c>
      <c r="G9" t="s">
        <v>74</v>
      </c>
      <c r="H9" t="s">
        <v>73</v>
      </c>
      <c r="I9" t="s">
        <v>73</v>
      </c>
      <c r="J9" t="s">
        <v>74</v>
      </c>
      <c r="K9" t="s">
        <v>74</v>
      </c>
      <c r="L9" t="s">
        <v>73</v>
      </c>
    </row>
  </sheetData>
  <mergeCells count="3">
    <mergeCell ref="C3:C4"/>
    <mergeCell ref="D3:H3"/>
    <mergeCell ref="I3:M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078" r:id="rId3">
          <objectPr defaultSize="0" autoPict="0" r:id="rId4">
            <anchor moveWithCells="1" sizeWithCells="1">
              <from>
                <xdr:col>2</xdr:col>
                <xdr:colOff>0</xdr:colOff>
                <xdr:row>4</xdr:row>
                <xdr:rowOff>0</xdr:rowOff>
              </from>
              <to>
                <xdr:col>2</xdr:col>
                <xdr:colOff>228600</xdr:colOff>
                <xdr:row>5</xdr:row>
                <xdr:rowOff>57150</xdr:rowOff>
              </to>
            </anchor>
          </objectPr>
        </oleObject>
      </mc:Choice>
      <mc:Fallback>
        <oleObject progId="Equation.3" shapeId="3078" r:id="rId3"/>
      </mc:Fallback>
    </mc:AlternateContent>
    <mc:AlternateContent xmlns:mc="http://schemas.openxmlformats.org/markup-compatibility/2006">
      <mc:Choice Requires="x14">
        <oleObject progId="Equation.3" shapeId="3077" r:id="rId5">
          <objectPr defaultSize="0" autoPict="0" r:id="rId6">
            <anchor moveWithCells="1" sizeWithCells="1">
              <from>
                <xdr:col>2</xdr:col>
                <xdr:colOff>0</xdr:colOff>
                <xdr:row>5</xdr:row>
                <xdr:rowOff>0</xdr:rowOff>
              </from>
              <to>
                <xdr:col>2</xdr:col>
                <xdr:colOff>304800</xdr:colOff>
                <xdr:row>6</xdr:row>
                <xdr:rowOff>47625</xdr:rowOff>
              </to>
            </anchor>
          </objectPr>
        </oleObject>
      </mc:Choice>
      <mc:Fallback>
        <oleObject progId="Equation.3" shapeId="3077" r:id="rId5"/>
      </mc:Fallback>
    </mc:AlternateContent>
    <mc:AlternateContent xmlns:mc="http://schemas.openxmlformats.org/markup-compatibility/2006">
      <mc:Choice Requires="x14">
        <oleObject progId="Equation.3" shapeId="3076" r:id="rId7">
          <objectPr defaultSize="0" autoPict="0" r:id="rId8">
            <anchor moveWithCells="1" sizeWithCells="1">
              <from>
                <xdr:col>2</xdr:col>
                <xdr:colOff>0</xdr:colOff>
                <xdr:row>6</xdr:row>
                <xdr:rowOff>0</xdr:rowOff>
              </from>
              <to>
                <xdr:col>2</xdr:col>
                <xdr:colOff>361950</xdr:colOff>
                <xdr:row>7</xdr:row>
                <xdr:rowOff>9525</xdr:rowOff>
              </to>
            </anchor>
          </objectPr>
        </oleObject>
      </mc:Choice>
      <mc:Fallback>
        <oleObject progId="Equation.3" shapeId="3076" r:id="rId7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1"/>
  <sheetViews>
    <sheetView topLeftCell="A4" zoomScale="130" zoomScaleNormal="130" workbookViewId="0">
      <selection activeCell="E18" sqref="E18"/>
    </sheetView>
  </sheetViews>
  <sheetFormatPr defaultRowHeight="15" x14ac:dyDescent="0.25"/>
  <sheetData>
    <row r="2" spans="1:18" x14ac:dyDescent="0.25">
      <c r="P2" t="s">
        <v>87</v>
      </c>
      <c r="Q2">
        <f>J5+P5</f>
        <v>11</v>
      </c>
      <c r="R2">
        <f>K5+Q5</f>
        <v>4</v>
      </c>
    </row>
    <row r="3" spans="1:18" x14ac:dyDescent="0.25">
      <c r="A3" t="s">
        <v>78</v>
      </c>
      <c r="B3" t="s">
        <v>79</v>
      </c>
      <c r="C3" t="s">
        <v>45</v>
      </c>
      <c r="D3" t="s">
        <v>43</v>
      </c>
      <c r="E3" t="s">
        <v>75</v>
      </c>
      <c r="F3" t="s">
        <v>76</v>
      </c>
      <c r="Q3">
        <f>K10+N10</f>
        <v>11</v>
      </c>
      <c r="R3">
        <f>L10+O10</f>
        <v>4</v>
      </c>
    </row>
    <row r="4" spans="1:18" x14ac:dyDescent="0.25">
      <c r="D4" t="s">
        <v>77</v>
      </c>
    </row>
    <row r="5" spans="1:18" x14ac:dyDescent="0.25">
      <c r="A5">
        <v>1</v>
      </c>
      <c r="B5" t="s">
        <v>68</v>
      </c>
      <c r="C5" t="s">
        <v>81</v>
      </c>
      <c r="D5">
        <f>8.25</f>
        <v>8.25</v>
      </c>
      <c r="E5" s="20">
        <f>J5</f>
        <v>6.1040000000000001</v>
      </c>
      <c r="F5" s="20">
        <f>K5</f>
        <v>2.1659999999999999</v>
      </c>
      <c r="J5" s="21">
        <f>ROUND((K10*(M7+P7)+N10*P7)/(J7+M7+P7),3)</f>
        <v>6.1040000000000001</v>
      </c>
      <c r="K5" s="21">
        <f>ROUND((L10*(M7+P7)+O10*P7)/(J7+M7+P7),3)</f>
        <v>2.1659999999999999</v>
      </c>
      <c r="M5">
        <f>J5-K10</f>
        <v>0.10400000000000009</v>
      </c>
      <c r="N5">
        <f>K5-L10</f>
        <v>0.16599999999999993</v>
      </c>
      <c r="P5" s="21">
        <f>ROUND((K10*J7+N10*(J7+M7))/(J7+M7+P7),3)</f>
        <v>4.8959999999999999</v>
      </c>
      <c r="Q5" s="21">
        <f>ROUND((L10*J7+O10*(J7+M7))/(J7+M7+P7),3)</f>
        <v>1.8340000000000001</v>
      </c>
    </row>
    <row r="6" spans="1:18" x14ac:dyDescent="0.25">
      <c r="C6" t="s">
        <v>82</v>
      </c>
      <c r="D6">
        <v>10.45</v>
      </c>
      <c r="E6" s="20">
        <f>P5</f>
        <v>4.8959999999999999</v>
      </c>
      <c r="F6" s="20">
        <f>Q5</f>
        <v>1.8340000000000001</v>
      </c>
      <c r="K6" s="23" t="s">
        <v>12</v>
      </c>
      <c r="N6" s="23" t="s">
        <v>15</v>
      </c>
    </row>
    <row r="7" spans="1:18" x14ac:dyDescent="0.25">
      <c r="C7" t="s">
        <v>83</v>
      </c>
      <c r="D7">
        <v>7.82</v>
      </c>
      <c r="E7" s="20">
        <f>M5</f>
        <v>0.10400000000000009</v>
      </c>
      <c r="F7" s="20">
        <f>N5</f>
        <v>0.16599999999999993</v>
      </c>
      <c r="J7">
        <f>D5</f>
        <v>8.25</v>
      </c>
      <c r="M7">
        <f>D7</f>
        <v>7.82</v>
      </c>
      <c r="P7">
        <f>D6</f>
        <v>10.45</v>
      </c>
    </row>
    <row r="8" spans="1:18" x14ac:dyDescent="0.25">
      <c r="B8" t="s">
        <v>80</v>
      </c>
      <c r="C8" t="s">
        <v>84</v>
      </c>
      <c r="D8">
        <v>6.71</v>
      </c>
      <c r="E8">
        <f>E9+E10</f>
        <v>11</v>
      </c>
      <c r="F8">
        <f>F9+F10</f>
        <v>4</v>
      </c>
    </row>
    <row r="9" spans="1:18" x14ac:dyDescent="0.25">
      <c r="C9" t="s">
        <v>85</v>
      </c>
      <c r="D9">
        <v>1.54</v>
      </c>
      <c r="E9" s="21">
        <v>6</v>
      </c>
      <c r="F9" s="21">
        <v>2</v>
      </c>
    </row>
    <row r="10" spans="1:18" x14ac:dyDescent="0.25">
      <c r="C10" t="s">
        <v>86</v>
      </c>
      <c r="D10">
        <v>6.71</v>
      </c>
      <c r="E10" s="21">
        <v>5</v>
      </c>
      <c r="F10" s="21">
        <v>2</v>
      </c>
      <c r="K10">
        <f>E9</f>
        <v>6</v>
      </c>
      <c r="L10">
        <f>F9</f>
        <v>2</v>
      </c>
      <c r="N10">
        <f>E10</f>
        <v>5</v>
      </c>
      <c r="O10">
        <f>F10</f>
        <v>2</v>
      </c>
    </row>
    <row r="11" spans="1:18" x14ac:dyDescent="0.25">
      <c r="A11">
        <v>2</v>
      </c>
      <c r="B11" t="str">
        <f>'Таблиця 1-3'!I4</f>
        <v>а)</v>
      </c>
      <c r="C11" s="22" t="str">
        <f>'Рис 1-2 Довжини'!G5</f>
        <v>ВП-Г</v>
      </c>
      <c r="D11" s="22">
        <f>'Рис 1-2 Довжини'!H5</f>
        <v>12.1</v>
      </c>
      <c r="E11">
        <f>J16</f>
        <v>6.2110000000000003</v>
      </c>
      <c r="F11">
        <f>K16</f>
        <v>4.2350000000000003</v>
      </c>
    </row>
    <row r="12" spans="1:18" x14ac:dyDescent="0.25">
      <c r="C12" s="22" t="str">
        <f>'Рис 1-2 Довжини'!G6</f>
        <v>ВП-Е</v>
      </c>
      <c r="D12" s="22">
        <f>'Рис 1-2 Довжини'!H6</f>
        <v>11.7</v>
      </c>
      <c r="E12">
        <f>P16</f>
        <v>5.7889999999999997</v>
      </c>
      <c r="F12">
        <f>Q16</f>
        <v>3.7650000000000001</v>
      </c>
    </row>
    <row r="13" spans="1:18" x14ac:dyDescent="0.25">
      <c r="C13" s="22" t="str">
        <f>'Рис 1-2 Довжини'!G7</f>
        <v>Г-Е</v>
      </c>
      <c r="D13" s="22">
        <f>'Рис 1-2 Довжини'!H7</f>
        <v>9.4</v>
      </c>
      <c r="E13">
        <f>M16</f>
        <v>0.7889999999999997</v>
      </c>
      <c r="F13">
        <f>N16</f>
        <v>0.76500000000000012</v>
      </c>
      <c r="P13" t="s">
        <v>87</v>
      </c>
      <c r="Q13">
        <f>J16+P16</f>
        <v>12</v>
      </c>
      <c r="R13">
        <f>K16+Q16</f>
        <v>8</v>
      </c>
    </row>
    <row r="14" spans="1:18" x14ac:dyDescent="0.25">
      <c r="B14" t="str">
        <f>'Таблиця 1-3'!L4</f>
        <v>г)</v>
      </c>
      <c r="C14" s="22" t="str">
        <f>'Рис 1-2 Довжини'!U5</f>
        <v>ВП-2</v>
      </c>
      <c r="D14" s="22">
        <f>'Рис 1-2 Довжини'!V5</f>
        <v>7.2</v>
      </c>
      <c r="E14">
        <f>E15+E16</f>
        <v>12</v>
      </c>
      <c r="F14">
        <f>F15+F16</f>
        <v>8</v>
      </c>
      <c r="Q14">
        <f>K21+N21</f>
        <v>12</v>
      </c>
      <c r="R14">
        <f>L21+O21</f>
        <v>8</v>
      </c>
    </row>
    <row r="15" spans="1:18" x14ac:dyDescent="0.25">
      <c r="C15" s="22" t="str">
        <f>'Рис 1-2 Довжини'!U6</f>
        <v>2-Г</v>
      </c>
      <c r="D15" s="22">
        <f>'Рис 1-2 Довжини'!V6</f>
        <v>6.2</v>
      </c>
      <c r="E15" s="21">
        <v>7</v>
      </c>
      <c r="F15" s="21">
        <v>5</v>
      </c>
    </row>
    <row r="16" spans="1:18" x14ac:dyDescent="0.25">
      <c r="C16" s="22" t="str">
        <f>'Рис 1-2 Довжини'!U7</f>
        <v>2-Е</v>
      </c>
      <c r="D16" s="22">
        <f>'Рис 1-2 Довжини'!V7</f>
        <v>5.8</v>
      </c>
      <c r="E16" s="21">
        <v>5</v>
      </c>
      <c r="F16" s="21">
        <v>3</v>
      </c>
      <c r="J16" s="21">
        <f>ROUND((K21*(M18+P18)+N21*P18)/(J18+M18+P18),3)</f>
        <v>6.2110000000000003</v>
      </c>
      <c r="K16" s="21">
        <f>ROUND((L21*(M18+P18)+O21*P18)/(J18+M18+P18),3)</f>
        <v>4.2350000000000003</v>
      </c>
      <c r="M16">
        <f>P16-N21</f>
        <v>0.7889999999999997</v>
      </c>
      <c r="N16">
        <f>Q16-O21</f>
        <v>0.76500000000000012</v>
      </c>
      <c r="P16" s="21">
        <f>ROUND((K21*J18+N21*(J18+M18))/(J18+M18+P18),3)</f>
        <v>5.7889999999999997</v>
      </c>
      <c r="Q16" s="21">
        <f>ROUND((L21*J18+O21*(J18+M18))/(J18+M18+P18),3)</f>
        <v>3.7650000000000001</v>
      </c>
    </row>
    <row r="17" spans="3:16" x14ac:dyDescent="0.25">
      <c r="C17" t="s">
        <v>93</v>
      </c>
      <c r="D17" s="29">
        <v>12</v>
      </c>
      <c r="E17" s="29">
        <v>47</v>
      </c>
      <c r="F17" s="29">
        <v>37</v>
      </c>
      <c r="K17" s="23" t="s">
        <v>14</v>
      </c>
      <c r="N17" s="23" t="s">
        <v>16</v>
      </c>
    </row>
    <row r="18" spans="3:16" x14ac:dyDescent="0.25">
      <c r="C18" t="s">
        <v>94</v>
      </c>
      <c r="D18" s="29">
        <v>7</v>
      </c>
      <c r="E18" s="29">
        <v>27</v>
      </c>
      <c r="F18" s="29">
        <v>22</v>
      </c>
      <c r="J18">
        <f>D11</f>
        <v>12.1</v>
      </c>
      <c r="M18">
        <f>D13</f>
        <v>9.4</v>
      </c>
      <c r="P18">
        <f>D12</f>
        <v>11.7</v>
      </c>
    </row>
    <row r="21" spans="3:16" x14ac:dyDescent="0.25">
      <c r="K21">
        <f>E15</f>
        <v>7</v>
      </c>
      <c r="L21">
        <f>F15</f>
        <v>5</v>
      </c>
      <c r="N21">
        <f>E16</f>
        <v>5</v>
      </c>
      <c r="O21">
        <f>F16</f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"/>
  <sheetViews>
    <sheetView zoomScaleNormal="100" workbookViewId="0">
      <selection activeCell="E3" sqref="E3"/>
    </sheetView>
  </sheetViews>
  <sheetFormatPr defaultRowHeight="15" x14ac:dyDescent="0.25"/>
  <cols>
    <col min="3" max="3" width="25.28515625" customWidth="1"/>
    <col min="9" max="9" width="11.42578125" bestFit="1" customWidth="1"/>
  </cols>
  <sheetData>
    <row r="1" spans="1:10" ht="15.75" thickBot="1" x14ac:dyDescent="0.3">
      <c r="A1" t="s">
        <v>7</v>
      </c>
    </row>
    <row r="2" spans="1:10" ht="19.5" thickBot="1" x14ac:dyDescent="0.3">
      <c r="C2" s="24" t="s">
        <v>78</v>
      </c>
      <c r="D2" s="25" t="s">
        <v>79</v>
      </c>
      <c r="E2" s="25" t="s">
        <v>45</v>
      </c>
      <c r="F2" s="26" t="s">
        <v>88</v>
      </c>
      <c r="G2" s="26" t="s">
        <v>89</v>
      </c>
      <c r="H2" s="27" t="s">
        <v>90</v>
      </c>
      <c r="I2" s="26" t="s">
        <v>91</v>
      </c>
      <c r="J2" s="26" t="s">
        <v>91</v>
      </c>
    </row>
    <row r="3" spans="1:10" ht="19.5" thickBot="1" x14ac:dyDescent="0.3">
      <c r="C3" s="57" t="s">
        <v>19</v>
      </c>
      <c r="D3" s="57" t="s">
        <v>12</v>
      </c>
      <c r="E3" s="28" t="str">
        <f>Потокорозподіл!C5</f>
        <v>ВП-Б</v>
      </c>
      <c r="F3" s="28">
        <f>Потокорозподіл!D5</f>
        <v>8.25</v>
      </c>
      <c r="G3" s="28">
        <f>Потокорозподіл!E5</f>
        <v>6.1040000000000001</v>
      </c>
      <c r="H3" s="28">
        <v>1</v>
      </c>
      <c r="I3" s="30">
        <f>4.34*SQRT(F3+16*G3/H3)</f>
        <v>44.664904997100351</v>
      </c>
      <c r="J3" s="54">
        <v>35</v>
      </c>
    </row>
    <row r="4" spans="1:10" ht="19.5" thickBot="1" x14ac:dyDescent="0.3">
      <c r="C4" s="58"/>
      <c r="D4" s="58"/>
      <c r="E4" s="28" t="str">
        <f>Потокорозподіл!C6</f>
        <v>ВП-Д</v>
      </c>
      <c r="F4" s="28">
        <f>Потокорозподіл!D6</f>
        <v>10.45</v>
      </c>
      <c r="G4" s="28">
        <f>Потокорозподіл!E6</f>
        <v>4.8959999999999999</v>
      </c>
      <c r="H4" s="28">
        <v>1</v>
      </c>
      <c r="I4" s="30">
        <f t="shared" ref="I4:I16" si="0">4.34*SQRT(F4+16*G4/H4)</f>
        <v>40.894224306129097</v>
      </c>
      <c r="J4" s="55"/>
    </row>
    <row r="5" spans="1:10" ht="19.5" thickBot="1" x14ac:dyDescent="0.3">
      <c r="C5" s="58"/>
      <c r="D5" s="59"/>
      <c r="E5" s="28" t="str">
        <f>Потокорозподіл!C7</f>
        <v>Б-Д</v>
      </c>
      <c r="F5" s="28">
        <f>Потокорозподіл!D7</f>
        <v>7.82</v>
      </c>
      <c r="G5" s="28">
        <f>Потокорозподіл!E7</f>
        <v>0.10400000000000009</v>
      </c>
      <c r="H5" s="28">
        <v>1</v>
      </c>
      <c r="I5" s="30">
        <f t="shared" si="0"/>
        <v>13.365508983948198</v>
      </c>
      <c r="J5" s="56"/>
    </row>
    <row r="6" spans="1:10" ht="19.5" thickBot="1" x14ac:dyDescent="0.3">
      <c r="C6" s="58"/>
      <c r="D6" s="57" t="s">
        <v>15</v>
      </c>
      <c r="E6" s="28" t="str">
        <f>Потокорозподіл!C8</f>
        <v>ВП-3</v>
      </c>
      <c r="F6" s="28">
        <f>Потокорозподіл!D8</f>
        <v>6.71</v>
      </c>
      <c r="G6" s="28">
        <f>Потокорозподіл!E8</f>
        <v>11</v>
      </c>
      <c r="H6" s="28">
        <v>2</v>
      </c>
      <c r="I6" s="30">
        <f t="shared" si="0"/>
        <v>42.236473290273658</v>
      </c>
      <c r="J6" s="54">
        <v>35</v>
      </c>
    </row>
    <row r="7" spans="1:10" ht="19.5" thickBot="1" x14ac:dyDescent="0.3">
      <c r="C7" s="58"/>
      <c r="D7" s="58"/>
      <c r="E7" s="28" t="str">
        <f>Потокорозподіл!C9</f>
        <v>3-Б</v>
      </c>
      <c r="F7" s="28">
        <f>Потокорозподіл!D9</f>
        <v>1.54</v>
      </c>
      <c r="G7" s="28">
        <f>Потокорозподіл!E9</f>
        <v>6</v>
      </c>
      <c r="H7" s="28">
        <v>2</v>
      </c>
      <c r="I7" s="30">
        <f t="shared" si="0"/>
        <v>30.546941319876854</v>
      </c>
      <c r="J7" s="55"/>
    </row>
    <row r="8" spans="1:10" ht="19.5" thickBot="1" x14ac:dyDescent="0.3">
      <c r="C8" s="59"/>
      <c r="D8" s="59"/>
      <c r="E8" s="28" t="str">
        <f>Потокорозподіл!C10</f>
        <v>3-Д</v>
      </c>
      <c r="F8" s="28">
        <f>Потокорозподіл!D10</f>
        <v>6.71</v>
      </c>
      <c r="G8" s="28">
        <f>Потокорозподіл!E10</f>
        <v>5</v>
      </c>
      <c r="H8" s="28">
        <v>2</v>
      </c>
      <c r="I8" s="30">
        <f t="shared" si="0"/>
        <v>29.661606092725325</v>
      </c>
      <c r="J8" s="56"/>
    </row>
    <row r="9" spans="1:10" ht="19.5" thickBot="1" x14ac:dyDescent="0.3">
      <c r="C9" s="54" t="s">
        <v>20</v>
      </c>
      <c r="D9" s="57" t="s">
        <v>67</v>
      </c>
      <c r="E9" s="28" t="str">
        <f>Потокорозподіл!C11</f>
        <v>ВП-Г</v>
      </c>
      <c r="F9" s="28">
        <f>Потокорозподіл!D11</f>
        <v>12.1</v>
      </c>
      <c r="G9" s="28">
        <f>Потокорозподіл!E11</f>
        <v>6.2110000000000003</v>
      </c>
      <c r="H9" s="28">
        <v>1</v>
      </c>
      <c r="I9" s="30">
        <f t="shared" si="0"/>
        <v>45.822672833434758</v>
      </c>
      <c r="J9" s="54">
        <v>35</v>
      </c>
    </row>
    <row r="10" spans="1:10" ht="19.5" thickBot="1" x14ac:dyDescent="0.3">
      <c r="C10" s="60"/>
      <c r="D10" s="58"/>
      <c r="E10" s="28" t="str">
        <f>Потокорозподіл!C12</f>
        <v>ВП-Е</v>
      </c>
      <c r="F10" s="28">
        <f>Потокорозподіл!D12</f>
        <v>11.7</v>
      </c>
      <c r="G10" s="28">
        <f>Потокорозподіл!E12</f>
        <v>5.7889999999999997</v>
      </c>
      <c r="H10" s="28">
        <v>1</v>
      </c>
      <c r="I10" s="30">
        <f t="shared" si="0"/>
        <v>44.328378431880409</v>
      </c>
      <c r="J10" s="55"/>
    </row>
    <row r="11" spans="1:10" ht="19.5" thickBot="1" x14ac:dyDescent="0.3">
      <c r="C11" s="60"/>
      <c r="D11" s="59"/>
      <c r="E11" s="28" t="str">
        <f>Потокорозподіл!C13</f>
        <v>Г-Е</v>
      </c>
      <c r="F11" s="28">
        <f>Потокорозподіл!D13</f>
        <v>9.4</v>
      </c>
      <c r="G11" s="28">
        <f>Потокорозподіл!E13</f>
        <v>0.7889999999999997</v>
      </c>
      <c r="H11" s="28">
        <v>1</v>
      </c>
      <c r="I11" s="30">
        <f t="shared" si="0"/>
        <v>20.367504864366669</v>
      </c>
      <c r="J11" s="56"/>
    </row>
    <row r="12" spans="1:10" ht="19.5" thickBot="1" x14ac:dyDescent="0.3">
      <c r="C12" s="60"/>
      <c r="D12" s="57" t="s">
        <v>14</v>
      </c>
      <c r="E12" s="28" t="str">
        <f>Потокорозподіл!C14</f>
        <v>ВП-2</v>
      </c>
      <c r="F12" s="28">
        <f>Потокорозподіл!D14</f>
        <v>7.2</v>
      </c>
      <c r="G12" s="28">
        <f>Потокорозподіл!E14</f>
        <v>12</v>
      </c>
      <c r="H12" s="28">
        <v>2</v>
      </c>
      <c r="I12" s="30">
        <f t="shared" si="0"/>
        <v>44.088931944423422</v>
      </c>
      <c r="J12" s="54">
        <v>35</v>
      </c>
    </row>
    <row r="13" spans="1:10" ht="19.5" thickBot="1" x14ac:dyDescent="0.3">
      <c r="C13" s="60"/>
      <c r="D13" s="58"/>
      <c r="E13" s="28" t="str">
        <f>Потокорозподіл!C15</f>
        <v>2-Г</v>
      </c>
      <c r="F13" s="28">
        <f>Потокорозподіл!D15</f>
        <v>6.2</v>
      </c>
      <c r="G13" s="28">
        <f>Потокорозподіл!E15</f>
        <v>7</v>
      </c>
      <c r="H13" s="28">
        <v>2</v>
      </c>
      <c r="I13" s="30">
        <f t="shared" si="0"/>
        <v>34.228267849834296</v>
      </c>
      <c r="J13" s="55"/>
    </row>
    <row r="14" spans="1:10" ht="19.5" thickBot="1" x14ac:dyDescent="0.3">
      <c r="C14" s="61"/>
      <c r="D14" s="59"/>
      <c r="E14" s="28" t="str">
        <f>Потокорозподіл!C16</f>
        <v>2-Е</v>
      </c>
      <c r="F14" s="28">
        <f>Потокорозподіл!D16</f>
        <v>5.8</v>
      </c>
      <c r="G14" s="28">
        <f>Потокорозподіл!E16</f>
        <v>5</v>
      </c>
      <c r="H14" s="28">
        <v>2</v>
      </c>
      <c r="I14" s="30">
        <f t="shared" si="0"/>
        <v>29.371252612035462</v>
      </c>
      <c r="J14" s="56"/>
    </row>
    <row r="15" spans="1:10" ht="19.5" thickBot="1" x14ac:dyDescent="0.3">
      <c r="C15" s="50" t="s">
        <v>92</v>
      </c>
      <c r="D15" s="51"/>
      <c r="E15" s="28" t="str">
        <f>Потокорозподіл!C17</f>
        <v>ДЖ-В</v>
      </c>
      <c r="F15" s="28">
        <f>Потокорозподіл!D17</f>
        <v>12</v>
      </c>
      <c r="G15" s="28">
        <f>Потокорозподіл!E17</f>
        <v>47</v>
      </c>
      <c r="H15" s="28">
        <v>2</v>
      </c>
      <c r="I15" s="30">
        <f t="shared" si="0"/>
        <v>85.488085719590174</v>
      </c>
      <c r="J15" s="54">
        <v>110</v>
      </c>
    </row>
    <row r="16" spans="1:10" ht="19.5" thickBot="1" x14ac:dyDescent="0.3">
      <c r="C16" s="52"/>
      <c r="D16" s="53"/>
      <c r="E16" s="28" t="str">
        <f>Потокорозподіл!C18</f>
        <v>В-А</v>
      </c>
      <c r="F16" s="28">
        <f>Потокорозподіл!D18</f>
        <v>7</v>
      </c>
      <c r="G16" s="28">
        <f>Потокорозподіл!E18</f>
        <v>27</v>
      </c>
      <c r="H16" s="28">
        <v>2</v>
      </c>
      <c r="I16" s="30">
        <f t="shared" si="0"/>
        <v>64.810020830115462</v>
      </c>
      <c r="J16" s="56"/>
    </row>
  </sheetData>
  <mergeCells count="12">
    <mergeCell ref="C15:D16"/>
    <mergeCell ref="J3:J5"/>
    <mergeCell ref="J6:J8"/>
    <mergeCell ref="J9:J11"/>
    <mergeCell ref="J12:J14"/>
    <mergeCell ref="J15:J16"/>
    <mergeCell ref="C3:C8"/>
    <mergeCell ref="D3:D5"/>
    <mergeCell ref="D6:D8"/>
    <mergeCell ref="C9:C14"/>
    <mergeCell ref="D9:D11"/>
    <mergeCell ref="D12:D14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6148" r:id="rId4">
          <objectPr defaultSize="0" autoPict="0" r:id="rId5">
            <anchor moveWithCells="1" sizeWithCells="1">
              <from>
                <xdr:col>5</xdr:col>
                <xdr:colOff>0</xdr:colOff>
                <xdr:row>0</xdr:row>
                <xdr:rowOff>95250</xdr:rowOff>
              </from>
              <to>
                <xdr:col>5</xdr:col>
                <xdr:colOff>285750</xdr:colOff>
                <xdr:row>1</xdr:row>
                <xdr:rowOff>152400</xdr:rowOff>
              </to>
            </anchor>
          </objectPr>
        </oleObject>
      </mc:Choice>
      <mc:Fallback>
        <oleObject progId="Equation.3" shapeId="6148" r:id="rId4"/>
      </mc:Fallback>
    </mc:AlternateContent>
    <mc:AlternateContent xmlns:mc="http://schemas.openxmlformats.org/markup-compatibility/2006">
      <mc:Choice Requires="x14">
        <oleObject progId="Equation.3" shapeId="6147" r:id="rId6">
          <objectPr defaultSize="0" autoPict="0" r:id="rId7">
            <anchor moveWithCells="1" sizeWithCells="1">
              <from>
                <xdr:col>6</xdr:col>
                <xdr:colOff>0</xdr:colOff>
                <xdr:row>0</xdr:row>
                <xdr:rowOff>95250</xdr:rowOff>
              </from>
              <to>
                <xdr:col>6</xdr:col>
                <xdr:colOff>323850</xdr:colOff>
                <xdr:row>1</xdr:row>
                <xdr:rowOff>152400</xdr:rowOff>
              </to>
            </anchor>
          </objectPr>
        </oleObject>
      </mc:Choice>
      <mc:Fallback>
        <oleObject progId="Equation.3" shapeId="6147" r:id="rId6"/>
      </mc:Fallback>
    </mc:AlternateContent>
    <mc:AlternateContent xmlns:mc="http://schemas.openxmlformats.org/markup-compatibility/2006">
      <mc:Choice Requires="x14">
        <oleObject progId="Equation.3" shapeId="6146" r:id="rId8">
          <objectPr defaultSize="0" autoPict="0" r:id="rId9">
            <anchor moveWithCells="1" sizeWithCells="1">
              <from>
                <xdr:col>8</xdr:col>
                <xdr:colOff>0</xdr:colOff>
                <xdr:row>0</xdr:row>
                <xdr:rowOff>95250</xdr:rowOff>
              </from>
              <to>
                <xdr:col>8</xdr:col>
                <xdr:colOff>247650</xdr:colOff>
                <xdr:row>1</xdr:row>
                <xdr:rowOff>171450</xdr:rowOff>
              </to>
            </anchor>
          </objectPr>
        </oleObject>
      </mc:Choice>
      <mc:Fallback>
        <oleObject progId="Equation.3" shapeId="6146" r:id="rId8"/>
      </mc:Fallback>
    </mc:AlternateContent>
    <mc:AlternateContent xmlns:mc="http://schemas.openxmlformats.org/markup-compatibility/2006">
      <mc:Choice Requires="x14">
        <oleObject progId="Equation.3" shapeId="6145" r:id="rId10">
          <objectPr defaultSize="0" autoPict="0" r:id="rId11">
            <anchor moveWithCells="1" sizeWithCells="1">
              <from>
                <xdr:col>9</xdr:col>
                <xdr:colOff>0</xdr:colOff>
                <xdr:row>0</xdr:row>
                <xdr:rowOff>95250</xdr:rowOff>
              </from>
              <to>
                <xdr:col>9</xdr:col>
                <xdr:colOff>400050</xdr:colOff>
                <xdr:row>1</xdr:row>
                <xdr:rowOff>142875</xdr:rowOff>
              </to>
            </anchor>
          </objectPr>
        </oleObject>
      </mc:Choice>
      <mc:Fallback>
        <oleObject progId="Equation.3" shapeId="6145" r:id="rId10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zoomScaleNormal="100" workbookViewId="0">
      <selection activeCell="M4" sqref="M4"/>
    </sheetView>
  </sheetViews>
  <sheetFormatPr defaultRowHeight="15" x14ac:dyDescent="0.25"/>
  <cols>
    <col min="3" max="4" width="8.85546875" customWidth="1"/>
    <col min="6" max="6" width="18" customWidth="1"/>
    <col min="7" max="7" width="15.28515625" bestFit="1" customWidth="1"/>
    <col min="10" max="10" width="15.28515625" bestFit="1" customWidth="1"/>
    <col min="11" max="11" width="10.5703125" bestFit="1" customWidth="1"/>
  </cols>
  <sheetData>
    <row r="1" spans="1:14" ht="15.75" thickBot="1" x14ac:dyDescent="0.3"/>
    <row r="2" spans="1:14" ht="33" customHeight="1" x14ac:dyDescent="0.25">
      <c r="C2" s="54" t="s">
        <v>95</v>
      </c>
      <c r="D2" s="54" t="s">
        <v>96</v>
      </c>
      <c r="E2" s="54" t="s">
        <v>97</v>
      </c>
      <c r="F2" s="32" t="s">
        <v>98</v>
      </c>
      <c r="G2" s="32" t="s">
        <v>100</v>
      </c>
      <c r="H2" s="32" t="s">
        <v>101</v>
      </c>
      <c r="I2" s="62" t="s">
        <v>90</v>
      </c>
      <c r="J2" s="64" t="s">
        <v>102</v>
      </c>
      <c r="K2" s="32" t="s">
        <v>103</v>
      </c>
      <c r="L2" s="54" t="s">
        <v>105</v>
      </c>
      <c r="M2" s="34">
        <v>0.8</v>
      </c>
      <c r="N2" t="s">
        <v>106</v>
      </c>
    </row>
    <row r="3" spans="1:14" ht="23.25" thickBot="1" x14ac:dyDescent="0.3">
      <c r="C3" s="61"/>
      <c r="D3" s="61"/>
      <c r="E3" s="61"/>
      <c r="F3" s="28" t="s">
        <v>99</v>
      </c>
      <c r="G3" s="28" t="s">
        <v>99</v>
      </c>
      <c r="H3" s="28" t="s">
        <v>9</v>
      </c>
      <c r="I3" s="63"/>
      <c r="J3" s="65"/>
      <c r="K3" s="28" t="s">
        <v>104</v>
      </c>
      <c r="L3" s="61"/>
    </row>
    <row r="4" spans="1:14" ht="19.5" thickBot="1" x14ac:dyDescent="0.3">
      <c r="A4">
        <f>Потокорозподіл!E5</f>
        <v>6.1040000000000001</v>
      </c>
      <c r="B4">
        <f>Потокорозподіл!F5</f>
        <v>2.1659999999999999</v>
      </c>
      <c r="C4" s="33"/>
      <c r="D4" s="28"/>
      <c r="E4" s="28" t="str">
        <f>Unom!E3</f>
        <v>ВП-Б</v>
      </c>
      <c r="F4" s="28" t="str">
        <f>COMPLEX(A4,B4)</f>
        <v>6.104+2.166i</v>
      </c>
      <c r="G4" s="28">
        <f>ROUND(1*IMABS(F4),2)</f>
        <v>6.48</v>
      </c>
      <c r="H4" s="28">
        <f>Unom!J3</f>
        <v>35</v>
      </c>
      <c r="I4" s="28">
        <f>Unom!H3</f>
        <v>1</v>
      </c>
      <c r="J4" s="28">
        <f>ROUND(G4/SQRT(3)/H4/I4*10^3,2)</f>
        <v>106.89</v>
      </c>
      <c r="K4" s="36">
        <f>J4/$M$2</f>
        <v>133.61249999999998</v>
      </c>
      <c r="L4" s="38">
        <v>150</v>
      </c>
      <c r="M4" s="28">
        <v>150</v>
      </c>
      <c r="N4" t="s">
        <v>107</v>
      </c>
    </row>
    <row r="5" spans="1:14" ht="19.5" thickBot="1" x14ac:dyDescent="0.3">
      <c r="A5">
        <f>Потокорозподіл!E6</f>
        <v>4.8959999999999999</v>
      </c>
      <c r="B5">
        <f>Потокорозподіл!F6</f>
        <v>1.8340000000000001</v>
      </c>
      <c r="C5" s="33"/>
      <c r="D5" s="28"/>
      <c r="E5" s="28" t="str">
        <f>Unom!E4</f>
        <v>ВП-Д</v>
      </c>
      <c r="F5" s="28" t="str">
        <f t="shared" ref="F5:F17" si="0">COMPLEX(A5,B5)</f>
        <v>4,896+1,834i</v>
      </c>
      <c r="G5" s="28">
        <f t="shared" ref="G5:G17" si="1">ROUND(1*IMABS(F5),2)</f>
        <v>5.23</v>
      </c>
      <c r="H5" s="28">
        <f>H4</f>
        <v>35</v>
      </c>
      <c r="I5" s="28">
        <f>Unom!H4</f>
        <v>1</v>
      </c>
      <c r="J5" s="28">
        <f t="shared" ref="J5:J17" si="2">ROUND(G5/SQRT(3)/H5/I5*10^3,2)</f>
        <v>86.27</v>
      </c>
      <c r="K5" s="36">
        <f t="shared" ref="K5:K17" si="3">J5/$M$2</f>
        <v>107.83749999999999</v>
      </c>
      <c r="L5" s="38">
        <v>120</v>
      </c>
      <c r="M5" s="28">
        <v>150</v>
      </c>
    </row>
    <row r="6" spans="1:14" ht="19.5" thickBot="1" x14ac:dyDescent="0.3">
      <c r="A6">
        <f>Потокорозподіл!E7</f>
        <v>0.10400000000000009</v>
      </c>
      <c r="B6">
        <f>Потокорозподіл!F7</f>
        <v>0.16599999999999993</v>
      </c>
      <c r="C6" s="33"/>
      <c r="D6" s="28"/>
      <c r="E6" s="28" t="str">
        <f>Unom!E5</f>
        <v>Б-Д</v>
      </c>
      <c r="F6" s="28" t="str">
        <f t="shared" si="0"/>
        <v>0,104+0,166i</v>
      </c>
      <c r="G6" s="28">
        <f t="shared" si="1"/>
        <v>0.2</v>
      </c>
      <c r="H6" s="28">
        <f>H5</f>
        <v>35</v>
      </c>
      <c r="I6" s="28">
        <f>Unom!H5</f>
        <v>1</v>
      </c>
      <c r="J6" s="28">
        <f t="shared" si="2"/>
        <v>3.3</v>
      </c>
      <c r="K6" s="36">
        <f t="shared" si="3"/>
        <v>4.1249999999999991</v>
      </c>
      <c r="L6" s="38">
        <v>95</v>
      </c>
      <c r="M6" s="28">
        <v>150</v>
      </c>
    </row>
    <row r="7" spans="1:14" ht="19.5" thickBot="1" x14ac:dyDescent="0.3">
      <c r="A7">
        <f>Потокорозподіл!E8</f>
        <v>11</v>
      </c>
      <c r="B7">
        <f>Потокорозподіл!F8</f>
        <v>4</v>
      </c>
      <c r="C7" s="33"/>
      <c r="D7" s="28"/>
      <c r="E7" s="28" t="str">
        <f>Unom!E6</f>
        <v>ВП-3</v>
      </c>
      <c r="F7" s="28" t="str">
        <f t="shared" si="0"/>
        <v>11+4i</v>
      </c>
      <c r="G7" s="28">
        <f t="shared" si="1"/>
        <v>11.7</v>
      </c>
      <c r="H7" s="28">
        <f>Unom!J6</f>
        <v>35</v>
      </c>
      <c r="I7" s="28">
        <f>Unom!H6</f>
        <v>2</v>
      </c>
      <c r="J7" s="28">
        <f t="shared" si="2"/>
        <v>96.5</v>
      </c>
      <c r="K7" s="36">
        <f t="shared" si="3"/>
        <v>120.625</v>
      </c>
      <c r="L7" s="38">
        <v>120</v>
      </c>
      <c r="M7" s="28">
        <v>150</v>
      </c>
    </row>
    <row r="8" spans="1:14" ht="19.5" thickBot="1" x14ac:dyDescent="0.3">
      <c r="A8">
        <f>Потокорозподіл!E9</f>
        <v>6</v>
      </c>
      <c r="B8">
        <f>Потокорозподіл!F9</f>
        <v>2</v>
      </c>
      <c r="C8" s="33"/>
      <c r="D8" s="28"/>
      <c r="E8" s="28" t="str">
        <f>Unom!E7</f>
        <v>3-Б</v>
      </c>
      <c r="F8" s="28" t="str">
        <f t="shared" si="0"/>
        <v>6+2i</v>
      </c>
      <c r="G8" s="28">
        <f t="shared" si="1"/>
        <v>6.32</v>
      </c>
      <c r="H8" s="28">
        <f>H7</f>
        <v>35</v>
      </c>
      <c r="I8" s="28">
        <f>Unom!H7</f>
        <v>2</v>
      </c>
      <c r="J8" s="28">
        <f t="shared" si="2"/>
        <v>52.13</v>
      </c>
      <c r="K8" s="36">
        <f t="shared" si="3"/>
        <v>65.162499999999994</v>
      </c>
      <c r="L8" s="38">
        <v>95</v>
      </c>
      <c r="M8" s="28">
        <v>150</v>
      </c>
    </row>
    <row r="9" spans="1:14" ht="19.5" thickBot="1" x14ac:dyDescent="0.3">
      <c r="A9">
        <f>Потокорозподіл!E10</f>
        <v>5</v>
      </c>
      <c r="B9">
        <f>Потокорозподіл!F10</f>
        <v>2</v>
      </c>
      <c r="C9" s="33"/>
      <c r="D9" s="28"/>
      <c r="E9" s="28" t="str">
        <f>Unom!E8</f>
        <v>3-Д</v>
      </c>
      <c r="F9" s="28" t="str">
        <f t="shared" si="0"/>
        <v>5+2i</v>
      </c>
      <c r="G9" s="28">
        <f t="shared" si="1"/>
        <v>5.39</v>
      </c>
      <c r="H9" s="28">
        <f>H8</f>
        <v>35</v>
      </c>
      <c r="I9" s="28">
        <f>Unom!H8</f>
        <v>2</v>
      </c>
      <c r="J9" s="28">
        <f t="shared" si="2"/>
        <v>44.46</v>
      </c>
      <c r="K9" s="36">
        <f t="shared" si="3"/>
        <v>55.574999999999996</v>
      </c>
      <c r="L9" s="38">
        <v>95</v>
      </c>
      <c r="M9" s="28">
        <v>150</v>
      </c>
    </row>
    <row r="10" spans="1:14" ht="19.5" thickBot="1" x14ac:dyDescent="0.3">
      <c r="A10">
        <f>Потокорозподіл!E11</f>
        <v>6.2110000000000003</v>
      </c>
      <c r="B10">
        <f>Потокорозподіл!F11</f>
        <v>4.2350000000000003</v>
      </c>
      <c r="C10" s="33"/>
      <c r="D10" s="28"/>
      <c r="E10" s="28" t="str">
        <f>Unom!E9</f>
        <v>ВП-Г</v>
      </c>
      <c r="F10" s="28" t="str">
        <f t="shared" si="0"/>
        <v>6,211+4,235i</v>
      </c>
      <c r="G10" s="28">
        <f t="shared" si="1"/>
        <v>7.52</v>
      </c>
      <c r="H10" s="28">
        <f>Unom!J9</f>
        <v>35</v>
      </c>
      <c r="I10" s="28">
        <f>Unom!H9</f>
        <v>1</v>
      </c>
      <c r="J10" s="28">
        <f t="shared" si="2"/>
        <v>124.05</v>
      </c>
      <c r="K10" s="36">
        <f t="shared" si="3"/>
        <v>155.0625</v>
      </c>
      <c r="L10" s="38">
        <v>150</v>
      </c>
      <c r="M10" s="28">
        <v>150</v>
      </c>
    </row>
    <row r="11" spans="1:14" ht="19.5" thickBot="1" x14ac:dyDescent="0.3">
      <c r="A11">
        <f>Потокорозподіл!E12</f>
        <v>5.7889999999999997</v>
      </c>
      <c r="B11">
        <f>Потокорозподіл!F12</f>
        <v>3.7650000000000001</v>
      </c>
      <c r="C11" s="33"/>
      <c r="D11" s="28"/>
      <c r="E11" s="28" t="str">
        <f>Unom!E10</f>
        <v>ВП-Е</v>
      </c>
      <c r="F11" s="28" t="str">
        <f t="shared" si="0"/>
        <v>5,789+3,765i</v>
      </c>
      <c r="G11" s="28">
        <f t="shared" si="1"/>
        <v>6.91</v>
      </c>
      <c r="H11" s="28">
        <f>H10</f>
        <v>35</v>
      </c>
      <c r="I11" s="28">
        <f>Unom!H10</f>
        <v>1</v>
      </c>
      <c r="J11" s="28">
        <f t="shared" si="2"/>
        <v>113.99</v>
      </c>
      <c r="K11" s="36">
        <f t="shared" si="3"/>
        <v>142.48749999999998</v>
      </c>
      <c r="L11" s="38">
        <v>150</v>
      </c>
      <c r="M11" s="28">
        <v>150</v>
      </c>
    </row>
    <row r="12" spans="1:14" ht="19.5" thickBot="1" x14ac:dyDescent="0.3">
      <c r="A12">
        <f>Потокорозподіл!E13</f>
        <v>0.7889999999999997</v>
      </c>
      <c r="B12">
        <f>Потокорозподіл!F13</f>
        <v>0.76500000000000012</v>
      </c>
      <c r="C12" s="33"/>
      <c r="D12" s="28"/>
      <c r="E12" s="28" t="str">
        <f>Unom!E11</f>
        <v>Г-Е</v>
      </c>
      <c r="F12" s="28" t="str">
        <f t="shared" si="0"/>
        <v>0,789+0,765i</v>
      </c>
      <c r="G12" s="28">
        <f t="shared" si="1"/>
        <v>1.1000000000000001</v>
      </c>
      <c r="H12" s="28">
        <f>H11</f>
        <v>35</v>
      </c>
      <c r="I12" s="28">
        <f>Unom!H11</f>
        <v>1</v>
      </c>
      <c r="J12" s="28">
        <f t="shared" si="2"/>
        <v>18.149999999999999</v>
      </c>
      <c r="K12" s="36">
        <f t="shared" si="3"/>
        <v>22.687499999999996</v>
      </c>
      <c r="L12" s="38">
        <v>95</v>
      </c>
      <c r="M12" s="28">
        <v>150</v>
      </c>
    </row>
    <row r="13" spans="1:14" ht="19.5" thickBot="1" x14ac:dyDescent="0.3">
      <c r="A13">
        <f>Потокорозподіл!E14</f>
        <v>12</v>
      </c>
      <c r="B13">
        <f>Потокорозподіл!F14</f>
        <v>8</v>
      </c>
      <c r="C13" s="33"/>
      <c r="D13" s="28"/>
      <c r="E13" s="28" t="str">
        <f>Unom!E12</f>
        <v>ВП-2</v>
      </c>
      <c r="F13" s="28" t="str">
        <f t="shared" si="0"/>
        <v>12+8i</v>
      </c>
      <c r="G13" s="28">
        <f t="shared" si="1"/>
        <v>14.42</v>
      </c>
      <c r="H13" s="28">
        <f>Unom!J12</f>
        <v>35</v>
      </c>
      <c r="I13" s="28">
        <f>Unom!H12</f>
        <v>2</v>
      </c>
      <c r="J13" s="28">
        <f t="shared" si="2"/>
        <v>118.93</v>
      </c>
      <c r="K13" s="36">
        <f t="shared" si="3"/>
        <v>148.66249999999999</v>
      </c>
      <c r="L13" s="39">
        <v>150</v>
      </c>
      <c r="M13" s="28">
        <v>150</v>
      </c>
    </row>
    <row r="14" spans="1:14" ht="19.5" thickBot="1" x14ac:dyDescent="0.3">
      <c r="A14">
        <f>Потокорозподіл!E15</f>
        <v>7</v>
      </c>
      <c r="B14">
        <f>Потокорозподіл!F15</f>
        <v>5</v>
      </c>
      <c r="C14" s="33"/>
      <c r="D14" s="28"/>
      <c r="E14" s="28" t="str">
        <f>Unom!E13</f>
        <v>2-Г</v>
      </c>
      <c r="F14" s="28" t="str">
        <f t="shared" si="0"/>
        <v>7+5i</v>
      </c>
      <c r="G14" s="28">
        <f t="shared" si="1"/>
        <v>8.6</v>
      </c>
      <c r="H14" s="28">
        <f>H13</f>
        <v>35</v>
      </c>
      <c r="I14" s="28">
        <f>Unom!H13</f>
        <v>2</v>
      </c>
      <c r="J14" s="28">
        <f t="shared" si="2"/>
        <v>70.930000000000007</v>
      </c>
      <c r="K14" s="36">
        <f t="shared" si="3"/>
        <v>88.662500000000009</v>
      </c>
      <c r="L14" s="39">
        <v>95</v>
      </c>
      <c r="M14" s="28">
        <v>120</v>
      </c>
    </row>
    <row r="15" spans="1:14" ht="19.5" thickBot="1" x14ac:dyDescent="0.3">
      <c r="A15">
        <f>Потокорозподіл!E16</f>
        <v>5</v>
      </c>
      <c r="B15">
        <f>Потокорозподіл!F16</f>
        <v>3</v>
      </c>
      <c r="C15" s="33"/>
      <c r="D15" s="28"/>
      <c r="E15" s="28" t="str">
        <f>Unom!E14</f>
        <v>2-Е</v>
      </c>
      <c r="F15" s="28" t="str">
        <f t="shared" si="0"/>
        <v>5+3i</v>
      </c>
      <c r="G15" s="28">
        <f t="shared" si="1"/>
        <v>5.83</v>
      </c>
      <c r="H15" s="28">
        <f>H14</f>
        <v>35</v>
      </c>
      <c r="I15" s="28">
        <f>Unom!H14</f>
        <v>2</v>
      </c>
      <c r="J15" s="28">
        <f t="shared" si="2"/>
        <v>48.09</v>
      </c>
      <c r="K15" s="36">
        <f t="shared" si="3"/>
        <v>60.112500000000004</v>
      </c>
      <c r="L15" s="39">
        <v>95</v>
      </c>
      <c r="M15" s="28">
        <v>120</v>
      </c>
    </row>
    <row r="16" spans="1:14" ht="19.5" thickBot="1" x14ac:dyDescent="0.3">
      <c r="A16" s="29">
        <f>Потокорозподіл!E17</f>
        <v>47</v>
      </c>
      <c r="B16" s="29">
        <f>Потокорозподіл!F17</f>
        <v>37</v>
      </c>
      <c r="C16" s="35"/>
      <c r="D16" s="31"/>
      <c r="E16" s="31" t="str">
        <f>Unom!E15</f>
        <v>ДЖ-В</v>
      </c>
      <c r="F16" s="31" t="str">
        <f t="shared" si="0"/>
        <v>47+37i</v>
      </c>
      <c r="G16" s="31">
        <f t="shared" si="1"/>
        <v>59.82</v>
      </c>
      <c r="H16" s="31">
        <f>Unom!J15</f>
        <v>110</v>
      </c>
      <c r="I16" s="31">
        <f>Unom!H15</f>
        <v>2</v>
      </c>
      <c r="J16" s="31">
        <f t="shared" si="2"/>
        <v>156.99</v>
      </c>
      <c r="K16" s="37">
        <f t="shared" si="3"/>
        <v>196.23750000000001</v>
      </c>
      <c r="L16" s="28">
        <v>185</v>
      </c>
      <c r="M16" s="28">
        <v>185</v>
      </c>
    </row>
    <row r="17" spans="1:13" ht="19.5" thickBot="1" x14ac:dyDescent="0.3">
      <c r="A17" s="29">
        <f>Потокорозподіл!E18</f>
        <v>27</v>
      </c>
      <c r="B17" s="29">
        <f>Потокорозподіл!F18</f>
        <v>22</v>
      </c>
      <c r="C17" s="35"/>
      <c r="D17" s="31"/>
      <c r="E17" s="31" t="str">
        <f>Unom!E16</f>
        <v>В-А</v>
      </c>
      <c r="F17" s="31" t="str">
        <f t="shared" si="0"/>
        <v>27+22i</v>
      </c>
      <c r="G17" s="31">
        <f t="shared" si="1"/>
        <v>34.83</v>
      </c>
      <c r="H17" s="31">
        <f>H16</f>
        <v>110</v>
      </c>
      <c r="I17" s="31">
        <f>Unom!H16</f>
        <v>2</v>
      </c>
      <c r="J17" s="31">
        <f t="shared" si="2"/>
        <v>91.41</v>
      </c>
      <c r="K17" s="37">
        <f t="shared" si="3"/>
        <v>114.26249999999999</v>
      </c>
      <c r="L17" s="28">
        <v>120</v>
      </c>
      <c r="M17" s="28">
        <v>150</v>
      </c>
    </row>
  </sheetData>
  <mergeCells count="6">
    <mergeCell ref="L2:L3"/>
    <mergeCell ref="C2:C3"/>
    <mergeCell ref="D2:D3"/>
    <mergeCell ref="E2:E3"/>
    <mergeCell ref="I2:I3"/>
    <mergeCell ref="J2:J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1"/>
  <sheetViews>
    <sheetView zoomScale="140" zoomScaleNormal="140" workbookViewId="0">
      <selection activeCell="C15" sqref="C15"/>
    </sheetView>
  </sheetViews>
  <sheetFormatPr defaultRowHeight="15" x14ac:dyDescent="0.25"/>
  <cols>
    <col min="3" max="3" width="26.28515625" customWidth="1"/>
    <col min="6" max="6" width="12.7109375" bestFit="1" customWidth="1"/>
  </cols>
  <sheetData>
    <row r="2" spans="3:7" ht="15.75" thickBot="1" x14ac:dyDescent="0.3"/>
    <row r="3" spans="3:7" ht="34.15" customHeight="1" thickBot="1" x14ac:dyDescent="0.3">
      <c r="C3" s="57" t="s">
        <v>108</v>
      </c>
      <c r="D3" s="66" t="s">
        <v>109</v>
      </c>
      <c r="E3" s="67"/>
      <c r="F3" s="66" t="s">
        <v>110</v>
      </c>
      <c r="G3" s="67"/>
    </row>
    <row r="4" spans="3:7" ht="32.25" thickBot="1" x14ac:dyDescent="0.3">
      <c r="C4" s="59"/>
      <c r="D4" s="40" t="s">
        <v>111</v>
      </c>
      <c r="E4" s="40" t="s">
        <v>112</v>
      </c>
      <c r="F4" s="40" t="s">
        <v>113</v>
      </c>
      <c r="G4" s="40" t="s">
        <v>114</v>
      </c>
    </row>
    <row r="5" spans="3:7" ht="16.5" thickBot="1" x14ac:dyDescent="0.3">
      <c r="C5" s="41" t="s">
        <v>118</v>
      </c>
      <c r="D5" s="40">
        <v>114</v>
      </c>
      <c r="E5" s="40">
        <v>26.6</v>
      </c>
      <c r="F5" s="43">
        <f>D5/E3:E5</f>
        <v>4.2857142857142856</v>
      </c>
      <c r="G5" s="40" t="s">
        <v>115</v>
      </c>
    </row>
    <row r="6" spans="3:7" ht="16.5" thickBot="1" x14ac:dyDescent="0.3">
      <c r="C6" s="41" t="s">
        <v>119</v>
      </c>
      <c r="D6" s="40">
        <v>147</v>
      </c>
      <c r="E6" s="40">
        <v>34.299999999999997</v>
      </c>
      <c r="F6" s="43">
        <f t="shared" ref="F6:F7" si="0">D6/E4:E6</f>
        <v>4.2857142857142865</v>
      </c>
      <c r="G6" s="40" t="s">
        <v>115</v>
      </c>
    </row>
    <row r="7" spans="3:7" ht="16.5" thickBot="1" x14ac:dyDescent="0.3">
      <c r="C7" s="41" t="s">
        <v>116</v>
      </c>
      <c r="D7" s="40"/>
      <c r="E7" s="40"/>
      <c r="F7" s="40" t="e">
        <f t="shared" si="0"/>
        <v>#DIV/0!</v>
      </c>
      <c r="G7" s="40" t="s">
        <v>115</v>
      </c>
    </row>
    <row r="10" spans="3:7" ht="16.5" thickBot="1" x14ac:dyDescent="0.3">
      <c r="C10" s="42" t="s">
        <v>117</v>
      </c>
      <c r="D10" s="40">
        <v>118</v>
      </c>
      <c r="E10" s="40">
        <v>18.8</v>
      </c>
      <c r="F10" s="43">
        <f>D10/E4:E10</f>
        <v>6.2765957446808507</v>
      </c>
    </row>
    <row r="11" spans="3:7" ht="16.5" thickBot="1" x14ac:dyDescent="0.3">
      <c r="C11" s="41" t="s">
        <v>120</v>
      </c>
      <c r="D11" s="40">
        <v>149</v>
      </c>
      <c r="E11" s="40">
        <v>24.2</v>
      </c>
      <c r="F11" s="43">
        <f>D11/E5:E11</f>
        <v>6.1570247933884303</v>
      </c>
    </row>
  </sheetData>
  <mergeCells count="3">
    <mergeCell ref="C3:C4"/>
    <mergeCell ref="D3:E3"/>
    <mergeCell ref="F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Рис 1-2 Довжини</vt:lpstr>
      <vt:lpstr>Таблиця 1-3</vt:lpstr>
      <vt:lpstr>Потокорозподіл</vt:lpstr>
      <vt:lpstr>Unom</vt:lpstr>
      <vt:lpstr>Fрозр</vt:lpstr>
      <vt:lpstr>мех міцн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2021-03-15T20:11:36Z</dcterms:modified>
</cp:coreProperties>
</file>