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15" windowWidth="12150" windowHeight="6780" tabRatio="953" activeTab="1"/>
  </bookViews>
  <sheets>
    <sheet name="预算包含范围2015与2014" sheetId="83" r:id="rId1"/>
    <sheet name="2015预算稿 " sheetId="45" r:id="rId2"/>
    <sheet name="2014预算稿 " sheetId="66" r:id="rId3"/>
    <sheet name="武汉研发中心" sheetId="71" r:id="rId4"/>
    <sheet name="物业房租车位费" sheetId="80" r:id="rId5"/>
    <sheet name="媒体大厦日常和工程费用" sheetId="75" r:id="rId6"/>
    <sheet name="基础数据" sheetId="82" r:id="rId7"/>
    <sheet name="保安服务费" sheetId="79" r:id="rId8"/>
    <sheet name="保洁服务费" sheetId="78" r:id="rId9"/>
    <sheet name="媒体大厦物业费 能源费" sheetId="74" r:id="rId10"/>
    <sheet name="部分费用明细（水电植物耗材茶歇）" sheetId="72" r:id="rId11"/>
    <sheet name="阿姨工资奖金" sheetId="77" r:id="rId12"/>
    <sheet name="capex" sheetId="69" r:id="rId13"/>
    <sheet name="财产险" sheetId="68" r:id="rId14"/>
    <sheet name="2015年公司车险及ES车辆养护" sheetId="65" r:id="rId15"/>
    <sheet name="班车费用" sheetId="76" r:id="rId16"/>
    <sheet name="装饰门禁电视空调维护2015" sheetId="67" r:id="rId17"/>
    <sheet name="搜狐媒体大厦工位" sheetId="73" r:id="rId18"/>
    <sheet name="2013预算稿" sheetId="60" r:id="rId19"/>
    <sheet name="与2011年预算对比帮助" sheetId="33" state="hidden" r:id="rId20"/>
    <sheet name="与2012年预算对比" sheetId="39" state="hidden" r:id="rId21"/>
    <sheet name="2012预算稿" sheetId="38" state="hidden" r:id="rId22"/>
  </sheets>
  <externalReferences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</externalReferences>
  <definedNames>
    <definedName name="\P" localSheetId="18">#REF!</definedName>
    <definedName name="\P" localSheetId="2">#REF!</definedName>
    <definedName name="\P" localSheetId="14">#REF!</definedName>
    <definedName name="\P" localSheetId="1">#REF!</definedName>
    <definedName name="\P" localSheetId="12">#REF!</definedName>
    <definedName name="\P" localSheetId="11">#REF!</definedName>
    <definedName name="\P" localSheetId="15">#REF!</definedName>
    <definedName name="\P" localSheetId="7">#REF!</definedName>
    <definedName name="\P" localSheetId="8">#REF!</definedName>
    <definedName name="\P" localSheetId="10">#REF!</definedName>
    <definedName name="\P" localSheetId="13">#REF!</definedName>
    <definedName name="\P" localSheetId="6">#REF!</definedName>
    <definedName name="\P" localSheetId="5">#REF!</definedName>
    <definedName name="\P" localSheetId="9">#REF!</definedName>
    <definedName name="\P" localSheetId="17">#REF!</definedName>
    <definedName name="\P" localSheetId="3">#REF!</definedName>
    <definedName name="\P" localSheetId="4">#REF!</definedName>
    <definedName name="\P">#REF!</definedName>
    <definedName name="_c" localSheetId="18">#REF!</definedName>
    <definedName name="_c" localSheetId="2">#REF!</definedName>
    <definedName name="_c" localSheetId="14">#REF!</definedName>
    <definedName name="_c" localSheetId="1">#REF!</definedName>
    <definedName name="_c" localSheetId="12">#REF!</definedName>
    <definedName name="_c" localSheetId="11">#REF!</definedName>
    <definedName name="_c" localSheetId="15">#REF!</definedName>
    <definedName name="_c" localSheetId="7">#REF!</definedName>
    <definedName name="_c" localSheetId="8">#REF!</definedName>
    <definedName name="_c" localSheetId="10">#REF!</definedName>
    <definedName name="_c" localSheetId="13">#REF!</definedName>
    <definedName name="_c" localSheetId="6">#REF!</definedName>
    <definedName name="_c" localSheetId="5">#REF!</definedName>
    <definedName name="_c" localSheetId="9">#REF!</definedName>
    <definedName name="_c" localSheetId="17">#REF!</definedName>
    <definedName name="_c" localSheetId="3">#REF!</definedName>
    <definedName name="_c" localSheetId="4">#REF!</definedName>
    <definedName name="_c">#REF!</definedName>
    <definedName name="_Fill" localSheetId="18" hidden="1">[1]eqpmad2!#REF!</definedName>
    <definedName name="_Fill" localSheetId="2" hidden="1">[1]eqpmad2!#REF!</definedName>
    <definedName name="_Fill" localSheetId="14" hidden="1">[1]eqpmad2!#REF!</definedName>
    <definedName name="_Fill" localSheetId="1" hidden="1">[1]eqpmad2!#REF!</definedName>
    <definedName name="_Fill" localSheetId="12" hidden="1">[1]eqpmad2!#REF!</definedName>
    <definedName name="_Fill" localSheetId="11" hidden="1">[1]eqpmad2!#REF!</definedName>
    <definedName name="_Fill" localSheetId="15" hidden="1">[1]eqpmad2!#REF!</definedName>
    <definedName name="_Fill" localSheetId="7" hidden="1">[1]eqpmad2!#REF!</definedName>
    <definedName name="_Fill" localSheetId="8" hidden="1">[1]eqpmad2!#REF!</definedName>
    <definedName name="_Fill" localSheetId="10" hidden="1">[1]eqpmad2!#REF!</definedName>
    <definedName name="_Fill" localSheetId="13" hidden="1">[1]eqpmad2!#REF!</definedName>
    <definedName name="_Fill" localSheetId="6" hidden="1">[1]eqpmad2!#REF!</definedName>
    <definedName name="_Fill" localSheetId="5" hidden="1">[1]eqpmad2!#REF!</definedName>
    <definedName name="_Fill" localSheetId="9" hidden="1">[1]eqpmad2!#REF!</definedName>
    <definedName name="_Fill" localSheetId="17" hidden="1">[1]eqpmad2!#REF!</definedName>
    <definedName name="_Fill" localSheetId="3" hidden="1">[1]eqpmad2!#REF!</definedName>
    <definedName name="_Fill" localSheetId="4" hidden="1">[1]eqpmad2!#REF!</definedName>
    <definedName name="_Fill" hidden="1">[1]eqpmad2!#REF!</definedName>
    <definedName name="_xlnm._FilterDatabase" localSheetId="21" hidden="1">'2012预算稿'!$D$1:$D$164</definedName>
    <definedName name="_xlnm._FilterDatabase" localSheetId="18" hidden="1">'2013预算稿'!$A$5:$T$5</definedName>
    <definedName name="_xlnm._FilterDatabase" localSheetId="2" hidden="1">'2014预算稿 '!$A$3:$M$137</definedName>
    <definedName name="_xlnm._FilterDatabase" localSheetId="1" hidden="1">'2015预算稿 '!$D$3:$F$126</definedName>
    <definedName name="_xlnm._FilterDatabase" localSheetId="13" hidden="1">财产险!$B$58:$Q$90</definedName>
    <definedName name="_xlnm._FilterDatabase" localSheetId="19" hidden="1">与2011年预算对比帮助!$A$3:$L$157</definedName>
    <definedName name="_xlnm._FilterDatabase" localSheetId="20" hidden="1">与2012年预算对比!$A$3:$K$22</definedName>
    <definedName name="_Order1" hidden="1">255</definedName>
    <definedName name="_PA7" localSheetId="2">'[2]SW-TEO'!#REF!</definedName>
    <definedName name="_PA7" localSheetId="14">'[2]SW-TEO'!#REF!</definedName>
    <definedName name="_PA7" localSheetId="12">'[2]SW-TEO'!#REF!</definedName>
    <definedName name="_PA7" localSheetId="11">'[2]SW-TEO'!#REF!</definedName>
    <definedName name="_PA7" localSheetId="15">'[2]SW-TEO'!#REF!</definedName>
    <definedName name="_PA7" localSheetId="7">'[2]SW-TEO'!#REF!</definedName>
    <definedName name="_PA7" localSheetId="8">'[2]SW-TEO'!#REF!</definedName>
    <definedName name="_PA7" localSheetId="10">'[2]SW-TEO'!#REF!</definedName>
    <definedName name="_PA7" localSheetId="13">'[2]SW-TEO'!#REF!</definedName>
    <definedName name="_PA7" localSheetId="6">'[2]SW-TEO'!#REF!</definedName>
    <definedName name="_PA7" localSheetId="5">'[2]SW-TEO'!#REF!</definedName>
    <definedName name="_PA7" localSheetId="9">'[2]SW-TEO'!#REF!</definedName>
    <definedName name="_PA7" localSheetId="17">'[2]SW-TEO'!#REF!</definedName>
    <definedName name="_PA7" localSheetId="3">'[2]SW-TEO'!#REF!</definedName>
    <definedName name="_PA7" localSheetId="4">'[2]SW-TEO'!#REF!</definedName>
    <definedName name="_PA7">'[2]SW-TEO'!#REF!</definedName>
    <definedName name="_PA8" localSheetId="2">'[2]SW-TEO'!#REF!</definedName>
    <definedName name="_PA8" localSheetId="14">'[2]SW-TEO'!#REF!</definedName>
    <definedName name="_PA8" localSheetId="12">'[2]SW-TEO'!#REF!</definedName>
    <definedName name="_PA8" localSheetId="11">'[2]SW-TEO'!#REF!</definedName>
    <definedName name="_PA8" localSheetId="15">'[2]SW-TEO'!#REF!</definedName>
    <definedName name="_PA8" localSheetId="7">'[2]SW-TEO'!#REF!</definedName>
    <definedName name="_PA8" localSheetId="8">'[2]SW-TEO'!#REF!</definedName>
    <definedName name="_PA8" localSheetId="10">'[2]SW-TEO'!#REF!</definedName>
    <definedName name="_PA8" localSheetId="13">'[2]SW-TEO'!#REF!</definedName>
    <definedName name="_PA8" localSheetId="6">'[2]SW-TEO'!#REF!</definedName>
    <definedName name="_PA8" localSheetId="5">'[2]SW-TEO'!#REF!</definedName>
    <definedName name="_PA8" localSheetId="9">'[2]SW-TEO'!#REF!</definedName>
    <definedName name="_PA8" localSheetId="17">'[2]SW-TEO'!#REF!</definedName>
    <definedName name="_PA8" localSheetId="3">'[2]SW-TEO'!#REF!</definedName>
    <definedName name="_PA8" localSheetId="4">'[2]SW-TEO'!#REF!</definedName>
    <definedName name="_PA8">'[2]SW-TEO'!#REF!</definedName>
    <definedName name="_PD1" localSheetId="2">'[2]SW-TEO'!#REF!</definedName>
    <definedName name="_PD1" localSheetId="14">'[2]SW-TEO'!#REF!</definedName>
    <definedName name="_PD1" localSheetId="12">'[2]SW-TEO'!#REF!</definedName>
    <definedName name="_PD1" localSheetId="11">'[2]SW-TEO'!#REF!</definedName>
    <definedName name="_PD1" localSheetId="15">'[2]SW-TEO'!#REF!</definedName>
    <definedName name="_PD1" localSheetId="7">'[2]SW-TEO'!#REF!</definedName>
    <definedName name="_PD1" localSheetId="8">'[2]SW-TEO'!#REF!</definedName>
    <definedName name="_PD1" localSheetId="10">'[2]SW-TEO'!#REF!</definedName>
    <definedName name="_PD1" localSheetId="13">'[2]SW-TEO'!#REF!</definedName>
    <definedName name="_PD1" localSheetId="6">'[2]SW-TEO'!#REF!</definedName>
    <definedName name="_PD1" localSheetId="5">'[2]SW-TEO'!#REF!</definedName>
    <definedName name="_PD1" localSheetId="9">'[2]SW-TEO'!#REF!</definedName>
    <definedName name="_PD1" localSheetId="17">'[2]SW-TEO'!#REF!</definedName>
    <definedName name="_PD1" localSheetId="3">'[2]SW-TEO'!#REF!</definedName>
    <definedName name="_PD1" localSheetId="4">'[2]SW-TEO'!#REF!</definedName>
    <definedName name="_PD1">'[2]SW-TEO'!#REF!</definedName>
    <definedName name="_PE12" localSheetId="2">'[2]SW-TEO'!#REF!</definedName>
    <definedName name="_PE12" localSheetId="14">'[2]SW-TEO'!#REF!</definedName>
    <definedName name="_PE12" localSheetId="12">'[2]SW-TEO'!#REF!</definedName>
    <definedName name="_PE12" localSheetId="11">'[2]SW-TEO'!#REF!</definedName>
    <definedName name="_PE12" localSheetId="15">'[2]SW-TEO'!#REF!</definedName>
    <definedName name="_PE12" localSheetId="7">'[2]SW-TEO'!#REF!</definedName>
    <definedName name="_PE12" localSheetId="8">'[2]SW-TEO'!#REF!</definedName>
    <definedName name="_PE12" localSheetId="10">'[2]SW-TEO'!#REF!</definedName>
    <definedName name="_PE12" localSheetId="13">'[2]SW-TEO'!#REF!</definedName>
    <definedName name="_PE12" localSheetId="6">'[2]SW-TEO'!#REF!</definedName>
    <definedName name="_PE12" localSheetId="5">'[2]SW-TEO'!#REF!</definedName>
    <definedName name="_PE12" localSheetId="9">'[2]SW-TEO'!#REF!</definedName>
    <definedName name="_PE12" localSheetId="17">'[2]SW-TEO'!#REF!</definedName>
    <definedName name="_PE12" localSheetId="3">'[2]SW-TEO'!#REF!</definedName>
    <definedName name="_PE12" localSheetId="4">'[2]SW-TEO'!#REF!</definedName>
    <definedName name="_PE12">'[2]SW-TEO'!#REF!</definedName>
    <definedName name="_PE13" localSheetId="2">'[2]SW-TEO'!#REF!</definedName>
    <definedName name="_PE13" localSheetId="14">'[2]SW-TEO'!#REF!</definedName>
    <definedName name="_PE13" localSheetId="12">'[2]SW-TEO'!#REF!</definedName>
    <definedName name="_PE13" localSheetId="11">'[2]SW-TEO'!#REF!</definedName>
    <definedName name="_PE13" localSheetId="15">'[2]SW-TEO'!#REF!</definedName>
    <definedName name="_PE13" localSheetId="7">'[2]SW-TEO'!#REF!</definedName>
    <definedName name="_PE13" localSheetId="8">'[2]SW-TEO'!#REF!</definedName>
    <definedName name="_PE13" localSheetId="10">'[2]SW-TEO'!#REF!</definedName>
    <definedName name="_PE13" localSheetId="13">'[2]SW-TEO'!#REF!</definedName>
    <definedName name="_PE13" localSheetId="6">'[2]SW-TEO'!#REF!</definedName>
    <definedName name="_PE13" localSheetId="5">'[2]SW-TEO'!#REF!</definedName>
    <definedName name="_PE13" localSheetId="9">'[2]SW-TEO'!#REF!</definedName>
    <definedName name="_PE13" localSheetId="17">'[2]SW-TEO'!#REF!</definedName>
    <definedName name="_PE13" localSheetId="3">'[2]SW-TEO'!#REF!</definedName>
    <definedName name="_PE13" localSheetId="4">'[2]SW-TEO'!#REF!</definedName>
    <definedName name="_PE13">'[2]SW-TEO'!#REF!</definedName>
    <definedName name="_PE6" localSheetId="2">'[2]SW-TEO'!#REF!</definedName>
    <definedName name="_PE6" localSheetId="14">'[2]SW-TEO'!#REF!</definedName>
    <definedName name="_PE6" localSheetId="12">'[2]SW-TEO'!#REF!</definedName>
    <definedName name="_PE6" localSheetId="11">'[2]SW-TEO'!#REF!</definedName>
    <definedName name="_PE6" localSheetId="15">'[2]SW-TEO'!#REF!</definedName>
    <definedName name="_PE6" localSheetId="7">'[2]SW-TEO'!#REF!</definedName>
    <definedName name="_PE6" localSheetId="8">'[2]SW-TEO'!#REF!</definedName>
    <definedName name="_PE6" localSheetId="10">'[2]SW-TEO'!#REF!</definedName>
    <definedName name="_PE6" localSheetId="13">'[2]SW-TEO'!#REF!</definedName>
    <definedName name="_PE6" localSheetId="6">'[2]SW-TEO'!#REF!</definedName>
    <definedName name="_PE6" localSheetId="5">'[2]SW-TEO'!#REF!</definedName>
    <definedName name="_PE6" localSheetId="9">'[2]SW-TEO'!#REF!</definedName>
    <definedName name="_PE6" localSheetId="17">'[2]SW-TEO'!#REF!</definedName>
    <definedName name="_PE6" localSheetId="3">'[2]SW-TEO'!#REF!</definedName>
    <definedName name="_PE6" localSheetId="4">'[2]SW-TEO'!#REF!</definedName>
    <definedName name="_PE6">'[2]SW-TEO'!#REF!</definedName>
    <definedName name="_PE7" localSheetId="2">'[2]SW-TEO'!#REF!</definedName>
    <definedName name="_PE7" localSheetId="14">'[2]SW-TEO'!#REF!</definedName>
    <definedName name="_PE7" localSheetId="12">'[2]SW-TEO'!#REF!</definedName>
    <definedName name="_PE7" localSheetId="11">'[2]SW-TEO'!#REF!</definedName>
    <definedName name="_PE7" localSheetId="15">'[2]SW-TEO'!#REF!</definedName>
    <definedName name="_PE7" localSheetId="7">'[2]SW-TEO'!#REF!</definedName>
    <definedName name="_PE7" localSheetId="8">'[2]SW-TEO'!#REF!</definedName>
    <definedName name="_PE7" localSheetId="10">'[2]SW-TEO'!#REF!</definedName>
    <definedName name="_PE7" localSheetId="13">'[2]SW-TEO'!#REF!</definedName>
    <definedName name="_PE7" localSheetId="6">'[2]SW-TEO'!#REF!</definedName>
    <definedName name="_PE7" localSheetId="5">'[2]SW-TEO'!#REF!</definedName>
    <definedName name="_PE7" localSheetId="9">'[2]SW-TEO'!#REF!</definedName>
    <definedName name="_PE7" localSheetId="17">'[2]SW-TEO'!#REF!</definedName>
    <definedName name="_PE7" localSheetId="3">'[2]SW-TEO'!#REF!</definedName>
    <definedName name="_PE7" localSheetId="4">'[2]SW-TEO'!#REF!</definedName>
    <definedName name="_PE7">'[2]SW-TEO'!#REF!</definedName>
    <definedName name="_PE8" localSheetId="2">'[2]SW-TEO'!#REF!</definedName>
    <definedName name="_PE8" localSheetId="14">'[2]SW-TEO'!#REF!</definedName>
    <definedName name="_PE8" localSheetId="12">'[2]SW-TEO'!#REF!</definedName>
    <definedName name="_PE8" localSheetId="11">'[2]SW-TEO'!#REF!</definedName>
    <definedName name="_PE8" localSheetId="15">'[2]SW-TEO'!#REF!</definedName>
    <definedName name="_PE8" localSheetId="7">'[2]SW-TEO'!#REF!</definedName>
    <definedName name="_PE8" localSheetId="8">'[2]SW-TEO'!#REF!</definedName>
    <definedName name="_PE8" localSheetId="10">'[2]SW-TEO'!#REF!</definedName>
    <definedName name="_PE8" localSheetId="13">'[2]SW-TEO'!#REF!</definedName>
    <definedName name="_PE8" localSheetId="6">'[2]SW-TEO'!#REF!</definedName>
    <definedName name="_PE8" localSheetId="5">'[2]SW-TEO'!#REF!</definedName>
    <definedName name="_PE8" localSheetId="9">'[2]SW-TEO'!#REF!</definedName>
    <definedName name="_PE8" localSheetId="17">'[2]SW-TEO'!#REF!</definedName>
    <definedName name="_PE8" localSheetId="3">'[2]SW-TEO'!#REF!</definedName>
    <definedName name="_PE8" localSheetId="4">'[2]SW-TEO'!#REF!</definedName>
    <definedName name="_PE8">'[2]SW-TEO'!#REF!</definedName>
    <definedName name="_PE9" localSheetId="2">'[2]SW-TEO'!#REF!</definedName>
    <definedName name="_PE9" localSheetId="14">'[2]SW-TEO'!#REF!</definedName>
    <definedName name="_PE9" localSheetId="12">'[2]SW-TEO'!#REF!</definedName>
    <definedName name="_PE9" localSheetId="11">'[2]SW-TEO'!#REF!</definedName>
    <definedName name="_PE9" localSheetId="15">'[2]SW-TEO'!#REF!</definedName>
    <definedName name="_PE9" localSheetId="7">'[2]SW-TEO'!#REF!</definedName>
    <definedName name="_PE9" localSheetId="8">'[2]SW-TEO'!#REF!</definedName>
    <definedName name="_PE9" localSheetId="10">'[2]SW-TEO'!#REF!</definedName>
    <definedName name="_PE9" localSheetId="13">'[2]SW-TEO'!#REF!</definedName>
    <definedName name="_PE9" localSheetId="6">'[2]SW-TEO'!#REF!</definedName>
    <definedName name="_PE9" localSheetId="5">'[2]SW-TEO'!#REF!</definedName>
    <definedName name="_PE9" localSheetId="9">'[2]SW-TEO'!#REF!</definedName>
    <definedName name="_PE9" localSheetId="17">'[2]SW-TEO'!#REF!</definedName>
    <definedName name="_PE9" localSheetId="3">'[2]SW-TEO'!#REF!</definedName>
    <definedName name="_PE9" localSheetId="4">'[2]SW-TEO'!#REF!</definedName>
    <definedName name="_PE9">'[2]SW-TEO'!#REF!</definedName>
    <definedName name="_PH1" localSheetId="2">'[2]SW-TEO'!#REF!</definedName>
    <definedName name="_PH1" localSheetId="14">'[2]SW-TEO'!#REF!</definedName>
    <definedName name="_PH1" localSheetId="12">'[2]SW-TEO'!#REF!</definedName>
    <definedName name="_PH1" localSheetId="11">'[2]SW-TEO'!#REF!</definedName>
    <definedName name="_PH1" localSheetId="15">'[2]SW-TEO'!#REF!</definedName>
    <definedName name="_PH1" localSheetId="7">'[2]SW-TEO'!#REF!</definedName>
    <definedName name="_PH1" localSheetId="8">'[2]SW-TEO'!#REF!</definedName>
    <definedName name="_PH1" localSheetId="10">'[2]SW-TEO'!#REF!</definedName>
    <definedName name="_PH1" localSheetId="13">'[2]SW-TEO'!#REF!</definedName>
    <definedName name="_PH1" localSheetId="6">'[2]SW-TEO'!#REF!</definedName>
    <definedName name="_PH1" localSheetId="5">'[2]SW-TEO'!#REF!</definedName>
    <definedName name="_PH1" localSheetId="9">'[2]SW-TEO'!#REF!</definedName>
    <definedName name="_PH1" localSheetId="17">'[2]SW-TEO'!#REF!</definedName>
    <definedName name="_PH1" localSheetId="3">'[2]SW-TEO'!#REF!</definedName>
    <definedName name="_PH1" localSheetId="4">'[2]SW-TEO'!#REF!</definedName>
    <definedName name="_PH1">'[2]SW-TEO'!#REF!</definedName>
    <definedName name="_PI1" localSheetId="2">'[2]SW-TEO'!#REF!</definedName>
    <definedName name="_PI1" localSheetId="14">'[2]SW-TEO'!#REF!</definedName>
    <definedName name="_PI1" localSheetId="12">'[2]SW-TEO'!#REF!</definedName>
    <definedName name="_PI1" localSheetId="11">'[2]SW-TEO'!#REF!</definedName>
    <definedName name="_PI1" localSheetId="15">'[2]SW-TEO'!#REF!</definedName>
    <definedName name="_PI1" localSheetId="7">'[2]SW-TEO'!#REF!</definedName>
    <definedName name="_PI1" localSheetId="8">'[2]SW-TEO'!#REF!</definedName>
    <definedName name="_PI1" localSheetId="10">'[2]SW-TEO'!#REF!</definedName>
    <definedName name="_PI1" localSheetId="13">'[2]SW-TEO'!#REF!</definedName>
    <definedName name="_PI1" localSheetId="6">'[2]SW-TEO'!#REF!</definedName>
    <definedName name="_PI1" localSheetId="5">'[2]SW-TEO'!#REF!</definedName>
    <definedName name="_PI1" localSheetId="9">'[2]SW-TEO'!#REF!</definedName>
    <definedName name="_PI1" localSheetId="17">'[2]SW-TEO'!#REF!</definedName>
    <definedName name="_PI1" localSheetId="3">'[2]SW-TEO'!#REF!</definedName>
    <definedName name="_PI1" localSheetId="4">'[2]SW-TEO'!#REF!</definedName>
    <definedName name="_PI1">'[2]SW-TEO'!#REF!</definedName>
    <definedName name="_PK1" localSheetId="2">'[2]SW-TEO'!#REF!</definedName>
    <definedName name="_PK1" localSheetId="14">'[2]SW-TEO'!#REF!</definedName>
    <definedName name="_PK1" localSheetId="12">'[2]SW-TEO'!#REF!</definedName>
    <definedName name="_PK1" localSheetId="11">'[2]SW-TEO'!#REF!</definedName>
    <definedName name="_PK1" localSheetId="15">'[2]SW-TEO'!#REF!</definedName>
    <definedName name="_PK1" localSheetId="7">'[2]SW-TEO'!#REF!</definedName>
    <definedName name="_PK1" localSheetId="8">'[2]SW-TEO'!#REF!</definedName>
    <definedName name="_PK1" localSheetId="10">'[2]SW-TEO'!#REF!</definedName>
    <definedName name="_PK1" localSheetId="13">'[2]SW-TEO'!#REF!</definedName>
    <definedName name="_PK1" localSheetId="6">'[2]SW-TEO'!#REF!</definedName>
    <definedName name="_PK1" localSheetId="5">'[2]SW-TEO'!#REF!</definedName>
    <definedName name="_PK1" localSheetId="9">'[2]SW-TEO'!#REF!</definedName>
    <definedName name="_PK1" localSheetId="17">'[2]SW-TEO'!#REF!</definedName>
    <definedName name="_PK1" localSheetId="3">'[2]SW-TEO'!#REF!</definedName>
    <definedName name="_PK1" localSheetId="4">'[2]SW-TEO'!#REF!</definedName>
    <definedName name="_PK1">'[2]SW-TEO'!#REF!</definedName>
    <definedName name="_PK3" localSheetId="2">'[2]SW-TEO'!#REF!</definedName>
    <definedName name="_PK3" localSheetId="14">'[2]SW-TEO'!#REF!</definedName>
    <definedName name="_PK3" localSheetId="12">'[2]SW-TEO'!#REF!</definedName>
    <definedName name="_PK3" localSheetId="11">'[2]SW-TEO'!#REF!</definedName>
    <definedName name="_PK3" localSheetId="15">'[2]SW-TEO'!#REF!</definedName>
    <definedName name="_PK3" localSheetId="7">'[2]SW-TEO'!#REF!</definedName>
    <definedName name="_PK3" localSheetId="8">'[2]SW-TEO'!#REF!</definedName>
    <definedName name="_PK3" localSheetId="10">'[2]SW-TEO'!#REF!</definedName>
    <definedName name="_PK3" localSheetId="13">'[2]SW-TEO'!#REF!</definedName>
    <definedName name="_PK3" localSheetId="6">'[2]SW-TEO'!#REF!</definedName>
    <definedName name="_PK3" localSheetId="5">'[2]SW-TEO'!#REF!</definedName>
    <definedName name="_PK3" localSheetId="9">'[2]SW-TEO'!#REF!</definedName>
    <definedName name="_PK3" localSheetId="17">'[2]SW-TEO'!#REF!</definedName>
    <definedName name="_PK3" localSheetId="3">'[2]SW-TEO'!#REF!</definedName>
    <definedName name="_PK3" localSheetId="4">'[2]SW-TEO'!#REF!</definedName>
    <definedName name="_PK3">'[2]SW-TEO'!#REF!</definedName>
    <definedName name="_sun2" localSheetId="18">#REF!</definedName>
    <definedName name="_sun2" localSheetId="2">#REF!</definedName>
    <definedName name="_sun2" localSheetId="14">#REF!</definedName>
    <definedName name="_sun2" localSheetId="12">#REF!</definedName>
    <definedName name="_sun2" localSheetId="11">#REF!</definedName>
    <definedName name="_sun2" localSheetId="15">#REF!</definedName>
    <definedName name="_sun2" localSheetId="7">#REF!</definedName>
    <definedName name="_sun2" localSheetId="8">#REF!</definedName>
    <definedName name="_sun2" localSheetId="10">#REF!</definedName>
    <definedName name="_sun2" localSheetId="13">#REF!</definedName>
    <definedName name="_sun2" localSheetId="6">#REF!</definedName>
    <definedName name="_sun2" localSheetId="5">#REF!</definedName>
    <definedName name="_sun2" localSheetId="9">#REF!</definedName>
    <definedName name="_sun2" localSheetId="17">#REF!</definedName>
    <definedName name="_sun2" localSheetId="3">#REF!</definedName>
    <definedName name="_sun2" localSheetId="4">#REF!</definedName>
    <definedName name="_sun2">#REF!</definedName>
    <definedName name="_SW1">[3]系数516!$C$2</definedName>
    <definedName name="_SW2">[3]系数516!$C$3</definedName>
    <definedName name="_SW3">[3]系数516!$C$4</definedName>
    <definedName name="_SW4">[3]系数516!$C$5</definedName>
    <definedName name="_SW8">[3]系数516!$C$9</definedName>
    <definedName name="_ZE16384" localSheetId="2">[4]报价单!#REF!</definedName>
    <definedName name="_ZE16384" localSheetId="14">[4]报价单!#REF!</definedName>
    <definedName name="_ZE16384" localSheetId="12">[4]报价单!#REF!</definedName>
    <definedName name="_ZE16384" localSheetId="11">[4]报价单!#REF!</definedName>
    <definedName name="_ZE16384" localSheetId="15">[4]报价单!#REF!</definedName>
    <definedName name="_ZE16384" localSheetId="7">[4]报价单!#REF!</definedName>
    <definedName name="_ZE16384" localSheetId="8">[4]报价单!#REF!</definedName>
    <definedName name="_ZE16384" localSheetId="10">[4]报价单!#REF!</definedName>
    <definedName name="_ZE16384" localSheetId="13">[4]报价单!#REF!</definedName>
    <definedName name="_ZE16384" localSheetId="6">[4]报价单!#REF!</definedName>
    <definedName name="_ZE16384" localSheetId="5">[4]报价单!#REF!</definedName>
    <definedName name="_ZE16384" localSheetId="9">[4]报价单!#REF!</definedName>
    <definedName name="_ZE16384" localSheetId="17">[4]报价单!#REF!</definedName>
    <definedName name="_ZE16384" localSheetId="3">[4]报价单!#REF!</definedName>
    <definedName name="_ZE16384" localSheetId="4">[4]报价单!#REF!</definedName>
    <definedName name="_ZE16384">[4]报价单!#REF!</definedName>
    <definedName name="aiu_bottom" localSheetId="2">'[5]Financ. Overview'!#REF!</definedName>
    <definedName name="aiu_bottom" localSheetId="14">'[5]Financ. Overview'!#REF!</definedName>
    <definedName name="aiu_bottom" localSheetId="12">'[5]Financ. Overview'!#REF!</definedName>
    <definedName name="aiu_bottom" localSheetId="11">'[5]Financ. Overview'!#REF!</definedName>
    <definedName name="aiu_bottom" localSheetId="15">'[5]Financ. Overview'!#REF!</definedName>
    <definedName name="aiu_bottom" localSheetId="7">'[5]Financ. Overview'!#REF!</definedName>
    <definedName name="aiu_bottom" localSheetId="8">'[5]Financ. Overview'!#REF!</definedName>
    <definedName name="aiu_bottom" localSheetId="10">'[5]Financ. Overview'!#REF!</definedName>
    <definedName name="aiu_bottom" localSheetId="13">'[5]Financ. Overview'!#REF!</definedName>
    <definedName name="aiu_bottom" localSheetId="6">'[5]Financ. Overview'!#REF!</definedName>
    <definedName name="aiu_bottom" localSheetId="5">'[5]Financ. Overview'!#REF!</definedName>
    <definedName name="aiu_bottom" localSheetId="9">'[5]Financ. Overview'!#REF!</definedName>
    <definedName name="aiu_bottom" localSheetId="17">'[5]Financ. Overview'!#REF!</definedName>
    <definedName name="aiu_bottom" localSheetId="3">'[5]Financ. Overview'!#REF!</definedName>
    <definedName name="aiu_bottom" localSheetId="4">'[5]Financ. Overview'!#REF!</definedName>
    <definedName name="aiu_bottom">'[5]Financ. Overview'!#REF!</definedName>
    <definedName name="bg_charge">[6]Sheet9!$I$58</definedName>
    <definedName name="bo_num">[6]Sheet9!$C$17</definedName>
    <definedName name="Bust">[7]XL4Poppy!$C$31</definedName>
    <definedName name="B空调" localSheetId="18">'2013预算稿'!B空调</definedName>
    <definedName name="B空调" localSheetId="2">'2014预算稿 '!B空调</definedName>
    <definedName name="B空调" localSheetId="14">'2015年公司车险及ES车辆养护'!B空调</definedName>
    <definedName name="B空调" localSheetId="1">'2015预算稿 '!B空调</definedName>
    <definedName name="B空调" localSheetId="12">capex!B空调</definedName>
    <definedName name="B空调" localSheetId="11">阿姨工资奖金!B空调</definedName>
    <definedName name="B空调" localSheetId="15">班车费用!B空调</definedName>
    <definedName name="B空调" localSheetId="7">保安服务费!B空调</definedName>
    <definedName name="B空调" localSheetId="8">保洁服务费!B空调</definedName>
    <definedName name="B空调" localSheetId="10">'部分费用明细（水电植物耗材茶歇）'!B空调</definedName>
    <definedName name="B空调" localSheetId="13">财产险!B空调</definedName>
    <definedName name="B空调" localSheetId="6">基础数据!B空调</definedName>
    <definedName name="B空调" localSheetId="5">#N/A</definedName>
    <definedName name="B空调" localSheetId="9">'媒体大厦物业费 能源费'!B空调</definedName>
    <definedName name="B空调" localSheetId="17">搜狐媒体大厦工位!B空调</definedName>
    <definedName name="B空调" localSheetId="3">#N/A</definedName>
    <definedName name="B空调" localSheetId="4">物业房租车位费!B空调</definedName>
    <definedName name="B空调">'2013预算稿'!B空调</definedName>
    <definedName name="cctv">'[8]99CCTV'!$A$6:$C$800</definedName>
    <definedName name="CO" localSheetId="18">#REF!</definedName>
    <definedName name="CO" localSheetId="2">#REF!</definedName>
    <definedName name="CO" localSheetId="14">#REF!</definedName>
    <definedName name="CO" localSheetId="12">#REF!</definedName>
    <definedName name="CO" localSheetId="11">#REF!</definedName>
    <definedName name="CO" localSheetId="15">#REF!</definedName>
    <definedName name="CO" localSheetId="7">#REF!</definedName>
    <definedName name="CO" localSheetId="8">#REF!</definedName>
    <definedName name="CO" localSheetId="10">#REF!</definedName>
    <definedName name="CO" localSheetId="13">#REF!</definedName>
    <definedName name="CO" localSheetId="6">#REF!</definedName>
    <definedName name="CO" localSheetId="5">#REF!</definedName>
    <definedName name="CO" localSheetId="9">#REF!</definedName>
    <definedName name="CO" localSheetId="17">#REF!</definedName>
    <definedName name="CO" localSheetId="3">#REF!</definedName>
    <definedName name="CO" localSheetId="4">#REF!</definedName>
    <definedName name="CO">#REF!</definedName>
    <definedName name="Continue">[7]XL4Poppy!$C$9</definedName>
    <definedName name="d" localSheetId="18">#REF!</definedName>
    <definedName name="d" localSheetId="2">#REF!</definedName>
    <definedName name="d" localSheetId="14">#REF!</definedName>
    <definedName name="d" localSheetId="12">#REF!</definedName>
    <definedName name="d" localSheetId="11">#REF!</definedName>
    <definedName name="d" localSheetId="15">#REF!</definedName>
    <definedName name="d" localSheetId="7">#REF!</definedName>
    <definedName name="d" localSheetId="8">#REF!</definedName>
    <definedName name="d" localSheetId="10">#REF!</definedName>
    <definedName name="d" localSheetId="13">#REF!</definedName>
    <definedName name="d" localSheetId="6">#REF!</definedName>
    <definedName name="d" localSheetId="5">#REF!</definedName>
    <definedName name="d" localSheetId="9">#REF!</definedName>
    <definedName name="d" localSheetId="17">#REF!</definedName>
    <definedName name="d" localSheetId="3">#REF!</definedName>
    <definedName name="d" localSheetId="4">#REF!</definedName>
    <definedName name="d">#REF!</definedName>
    <definedName name="doc_cost" localSheetId="2">[6]Sheet9!#REF!</definedName>
    <definedName name="doc_cost" localSheetId="14">[6]Sheet9!#REF!</definedName>
    <definedName name="doc_cost" localSheetId="12">[6]Sheet9!#REF!</definedName>
    <definedName name="doc_cost" localSheetId="11">[6]Sheet9!#REF!</definedName>
    <definedName name="doc_cost" localSheetId="15">[6]Sheet9!#REF!</definedName>
    <definedName name="doc_cost" localSheetId="7">[6]Sheet9!#REF!</definedName>
    <definedName name="doc_cost" localSheetId="8">[6]Sheet9!#REF!</definedName>
    <definedName name="doc_cost" localSheetId="10">[6]Sheet9!#REF!</definedName>
    <definedName name="doc_cost" localSheetId="13">[6]Sheet9!#REF!</definedName>
    <definedName name="doc_cost" localSheetId="6">[6]Sheet9!#REF!</definedName>
    <definedName name="doc_cost" localSheetId="5">[6]Sheet9!#REF!</definedName>
    <definedName name="doc_cost" localSheetId="9">[6]Sheet9!#REF!</definedName>
    <definedName name="doc_cost" localSheetId="17">[6]Sheet9!#REF!</definedName>
    <definedName name="doc_cost" localSheetId="3">[6]Sheet9!#REF!</definedName>
    <definedName name="doc_cost" localSheetId="4">[6]Sheet9!#REF!</definedName>
    <definedName name="doc_cost">[6]Sheet9!#REF!</definedName>
    <definedName name="Documents_array">[7]XL4Poppy!$B$1:$B$16</definedName>
    <definedName name="e" localSheetId="18">#REF!</definedName>
    <definedName name="e" localSheetId="2">#REF!</definedName>
    <definedName name="e" localSheetId="14">#REF!</definedName>
    <definedName name="e" localSheetId="12">#REF!</definedName>
    <definedName name="e" localSheetId="11">#REF!</definedName>
    <definedName name="e" localSheetId="15">#REF!</definedName>
    <definedName name="e" localSheetId="7">#REF!</definedName>
    <definedName name="e" localSheetId="8">#REF!</definedName>
    <definedName name="e" localSheetId="10">#REF!</definedName>
    <definedName name="e" localSheetId="13">#REF!</definedName>
    <definedName name="e" localSheetId="6">#REF!</definedName>
    <definedName name="e" localSheetId="5">#REF!</definedName>
    <definedName name="e" localSheetId="9">#REF!</definedName>
    <definedName name="e" localSheetId="17">#REF!</definedName>
    <definedName name="e" localSheetId="3">#REF!</definedName>
    <definedName name="e" localSheetId="4">#REF!</definedName>
    <definedName name="e">#REF!</definedName>
    <definedName name="f" localSheetId="18">#REF!</definedName>
    <definedName name="f" localSheetId="2">#REF!</definedName>
    <definedName name="f" localSheetId="14">#REF!</definedName>
    <definedName name="f" localSheetId="12">#REF!</definedName>
    <definedName name="f" localSheetId="11">#REF!</definedName>
    <definedName name="f" localSheetId="15">#REF!</definedName>
    <definedName name="f" localSheetId="7">#REF!</definedName>
    <definedName name="f" localSheetId="8">#REF!</definedName>
    <definedName name="f" localSheetId="10">#REF!</definedName>
    <definedName name="f" localSheetId="13">#REF!</definedName>
    <definedName name="f" localSheetId="6">#REF!</definedName>
    <definedName name="f" localSheetId="5">#REF!</definedName>
    <definedName name="f" localSheetId="9">#REF!</definedName>
    <definedName name="f" localSheetId="17">#REF!</definedName>
    <definedName name="f" localSheetId="3">#REF!</definedName>
    <definedName name="f" localSheetId="4">#REF!</definedName>
    <definedName name="f">#REF!</definedName>
    <definedName name="FRC">[9]Main!$C$9</definedName>
    <definedName name="fret_cost" localSheetId="2">[6]Sheet9!#REF!</definedName>
    <definedName name="fret_cost" localSheetId="14">[6]Sheet9!#REF!</definedName>
    <definedName name="fret_cost" localSheetId="12">[6]Sheet9!#REF!</definedName>
    <definedName name="fret_cost" localSheetId="11">[6]Sheet9!#REF!</definedName>
    <definedName name="fret_cost" localSheetId="15">[6]Sheet9!#REF!</definedName>
    <definedName name="fret_cost" localSheetId="7">[6]Sheet9!#REF!</definedName>
    <definedName name="fret_cost" localSheetId="8">[6]Sheet9!#REF!</definedName>
    <definedName name="fret_cost" localSheetId="10">[6]Sheet9!#REF!</definedName>
    <definedName name="fret_cost" localSheetId="13">[6]Sheet9!#REF!</definedName>
    <definedName name="fret_cost" localSheetId="6">[6]Sheet9!#REF!</definedName>
    <definedName name="fret_cost" localSheetId="5">[6]Sheet9!#REF!</definedName>
    <definedName name="fret_cost" localSheetId="9">[6]Sheet9!#REF!</definedName>
    <definedName name="fret_cost" localSheetId="17">[6]Sheet9!#REF!</definedName>
    <definedName name="fret_cost" localSheetId="3">[6]Sheet9!#REF!</definedName>
    <definedName name="fret_cost" localSheetId="4">[6]Sheet9!#REF!</definedName>
    <definedName name="fret_cost">[6]Sheet9!#REF!</definedName>
    <definedName name="G" localSheetId="18">#REF!</definedName>
    <definedName name="G" localSheetId="2">#REF!</definedName>
    <definedName name="G" localSheetId="14">#REF!</definedName>
    <definedName name="G" localSheetId="12">#REF!</definedName>
    <definedName name="G" localSheetId="11">#REF!</definedName>
    <definedName name="G" localSheetId="15">#REF!</definedName>
    <definedName name="G" localSheetId="7">#REF!</definedName>
    <definedName name="G" localSheetId="8">#REF!</definedName>
    <definedName name="G" localSheetId="10">#REF!</definedName>
    <definedName name="G" localSheetId="13">#REF!</definedName>
    <definedName name="G" localSheetId="6">#REF!</definedName>
    <definedName name="G" localSheetId="5">#REF!</definedName>
    <definedName name="G" localSheetId="9">#REF!</definedName>
    <definedName name="G" localSheetId="17">#REF!</definedName>
    <definedName name="G" localSheetId="3">#REF!</definedName>
    <definedName name="G" localSheetId="4">#REF!</definedName>
    <definedName name="G">#REF!</definedName>
    <definedName name="Hello">[7]XL4Poppy!$A$15</definedName>
    <definedName name="hhh" localSheetId="2">'[10]Mp-team 1'!#REF!</definedName>
    <definedName name="hhh" localSheetId="14">'[10]Mp-team 1'!#REF!</definedName>
    <definedName name="hhh" localSheetId="12">'[10]Mp-team 1'!#REF!</definedName>
    <definedName name="hhh" localSheetId="11">'[10]Mp-team 1'!#REF!</definedName>
    <definedName name="hhh" localSheetId="15">'[10]Mp-team 1'!#REF!</definedName>
    <definedName name="hhh" localSheetId="7">'[10]Mp-team 1'!#REF!</definedName>
    <definedName name="hhh" localSheetId="8">'[10]Mp-team 1'!#REF!</definedName>
    <definedName name="hhh" localSheetId="10">'[10]Mp-team 1'!#REF!</definedName>
    <definedName name="hhh" localSheetId="13">'[10]Mp-team 1'!#REF!</definedName>
    <definedName name="hhh" localSheetId="6">'[10]Mp-team 1'!#REF!</definedName>
    <definedName name="hhh" localSheetId="5">'[10]Mp-team 1'!#REF!</definedName>
    <definedName name="hhh" localSheetId="9">'[10]Mp-team 1'!#REF!</definedName>
    <definedName name="hhh" localSheetId="17">'[10]Mp-team 1'!#REF!</definedName>
    <definedName name="hhh" localSheetId="3">'[10]Mp-team 1'!#REF!</definedName>
    <definedName name="hhh" localSheetId="4">'[10]Mp-team 1'!#REF!</definedName>
    <definedName name="hhh">'[10]Mp-team 1'!#REF!</definedName>
    <definedName name="hostfee">'[5]Financ. Overview'!$H$12</definedName>
    <definedName name="hraiu_bottom" localSheetId="2">'[5]Financ. Overview'!#REF!</definedName>
    <definedName name="hraiu_bottom" localSheetId="14">'[5]Financ. Overview'!#REF!</definedName>
    <definedName name="hraiu_bottom" localSheetId="12">'[5]Financ. Overview'!#REF!</definedName>
    <definedName name="hraiu_bottom" localSheetId="11">'[5]Financ. Overview'!#REF!</definedName>
    <definedName name="hraiu_bottom" localSheetId="15">'[5]Financ. Overview'!#REF!</definedName>
    <definedName name="hraiu_bottom" localSheetId="7">'[5]Financ. Overview'!#REF!</definedName>
    <definedName name="hraiu_bottom" localSheetId="8">'[5]Financ. Overview'!#REF!</definedName>
    <definedName name="hraiu_bottom" localSheetId="10">'[5]Financ. Overview'!#REF!</definedName>
    <definedName name="hraiu_bottom" localSheetId="13">'[5]Financ. Overview'!#REF!</definedName>
    <definedName name="hraiu_bottom" localSheetId="6">'[5]Financ. Overview'!#REF!</definedName>
    <definedName name="hraiu_bottom" localSheetId="5">'[5]Financ. Overview'!#REF!</definedName>
    <definedName name="hraiu_bottom" localSheetId="9">'[5]Financ. Overview'!#REF!</definedName>
    <definedName name="hraiu_bottom" localSheetId="17">'[5]Financ. Overview'!#REF!</definedName>
    <definedName name="hraiu_bottom" localSheetId="3">'[5]Financ. Overview'!#REF!</definedName>
    <definedName name="hraiu_bottom" localSheetId="4">'[5]Financ. Overview'!#REF!</definedName>
    <definedName name="hraiu_bottom">'[5]Financ. Overview'!#REF!</definedName>
    <definedName name="hvac" localSheetId="2">'[5]Financ. Overview'!#REF!</definedName>
    <definedName name="hvac" localSheetId="14">'[5]Financ. Overview'!#REF!</definedName>
    <definedName name="hvac" localSheetId="12">'[5]Financ. Overview'!#REF!</definedName>
    <definedName name="hvac" localSheetId="11">'[5]Financ. Overview'!#REF!</definedName>
    <definedName name="hvac" localSheetId="15">'[5]Financ. Overview'!#REF!</definedName>
    <definedName name="hvac" localSheetId="7">'[5]Financ. Overview'!#REF!</definedName>
    <definedName name="hvac" localSheetId="8">'[5]Financ. Overview'!#REF!</definedName>
    <definedName name="hvac" localSheetId="10">'[5]Financ. Overview'!#REF!</definedName>
    <definedName name="hvac" localSheetId="13">'[5]Financ. Overview'!#REF!</definedName>
    <definedName name="hvac" localSheetId="6">'[5]Financ. Overview'!#REF!</definedName>
    <definedName name="hvac" localSheetId="5">'[5]Financ. Overview'!#REF!</definedName>
    <definedName name="hvac" localSheetId="9">'[5]Financ. Overview'!#REF!</definedName>
    <definedName name="hvac" localSheetId="17">'[5]Financ. Overview'!#REF!</definedName>
    <definedName name="hvac" localSheetId="3">'[5]Financ. Overview'!#REF!</definedName>
    <definedName name="hvac" localSheetId="4">'[5]Financ. Overview'!#REF!</definedName>
    <definedName name="hvac">'[5]Financ. Overview'!#REF!</definedName>
    <definedName name="HWSheet">1</definedName>
    <definedName name="install_cost" localSheetId="2">[6]Sheet9!#REF!</definedName>
    <definedName name="install_cost" localSheetId="14">[6]Sheet9!#REF!</definedName>
    <definedName name="install_cost" localSheetId="12">[6]Sheet9!#REF!</definedName>
    <definedName name="install_cost" localSheetId="11">[6]Sheet9!#REF!</definedName>
    <definedName name="install_cost" localSheetId="15">[6]Sheet9!#REF!</definedName>
    <definedName name="install_cost" localSheetId="7">[6]Sheet9!#REF!</definedName>
    <definedName name="install_cost" localSheetId="8">[6]Sheet9!#REF!</definedName>
    <definedName name="install_cost" localSheetId="10">[6]Sheet9!#REF!</definedName>
    <definedName name="install_cost" localSheetId="13">[6]Sheet9!#REF!</definedName>
    <definedName name="install_cost" localSheetId="6">[6]Sheet9!#REF!</definedName>
    <definedName name="install_cost" localSheetId="5">[6]Sheet9!#REF!</definedName>
    <definedName name="install_cost" localSheetId="9">[6]Sheet9!#REF!</definedName>
    <definedName name="install_cost" localSheetId="17">[6]Sheet9!#REF!</definedName>
    <definedName name="install_cost" localSheetId="3">[6]Sheet9!#REF!</definedName>
    <definedName name="install_cost" localSheetId="4">[6]Sheet9!#REF!</definedName>
    <definedName name="install_cost">[6]Sheet9!#REF!</definedName>
    <definedName name="Insurance" localSheetId="2">[6]Sheet9!#REF!</definedName>
    <definedName name="Insurance" localSheetId="14">[6]Sheet9!#REF!</definedName>
    <definedName name="Insurance" localSheetId="12">[6]Sheet9!#REF!</definedName>
    <definedName name="Insurance" localSheetId="11">[6]Sheet9!#REF!</definedName>
    <definedName name="Insurance" localSheetId="15">[6]Sheet9!#REF!</definedName>
    <definedName name="Insurance" localSheetId="7">[6]Sheet9!#REF!</definedName>
    <definedName name="Insurance" localSheetId="8">[6]Sheet9!#REF!</definedName>
    <definedName name="Insurance" localSheetId="10">[6]Sheet9!#REF!</definedName>
    <definedName name="Insurance" localSheetId="13">[6]Sheet9!#REF!</definedName>
    <definedName name="Insurance" localSheetId="6">[6]Sheet9!#REF!</definedName>
    <definedName name="Insurance" localSheetId="5">[6]Sheet9!#REF!</definedName>
    <definedName name="Insurance" localSheetId="9">[6]Sheet9!#REF!</definedName>
    <definedName name="Insurance" localSheetId="17">[6]Sheet9!#REF!</definedName>
    <definedName name="Insurance" localSheetId="3">[6]Sheet9!#REF!</definedName>
    <definedName name="Insurance" localSheetId="4">[6]Sheet9!#REF!</definedName>
    <definedName name="Insurance">[6]Sheet9!#REF!</definedName>
    <definedName name="J" localSheetId="18">#REF!</definedName>
    <definedName name="J" localSheetId="2">#REF!</definedName>
    <definedName name="J" localSheetId="14">#REF!</definedName>
    <definedName name="J" localSheetId="12">#REF!</definedName>
    <definedName name="J" localSheetId="11">#REF!</definedName>
    <definedName name="J" localSheetId="15">#REF!</definedName>
    <definedName name="J" localSheetId="7">#REF!</definedName>
    <definedName name="J" localSheetId="8">#REF!</definedName>
    <definedName name="J" localSheetId="10">#REF!</definedName>
    <definedName name="J" localSheetId="13">#REF!</definedName>
    <definedName name="J" localSheetId="6">#REF!</definedName>
    <definedName name="J" localSheetId="5">#REF!</definedName>
    <definedName name="J" localSheetId="9">#REF!</definedName>
    <definedName name="J" localSheetId="17">#REF!</definedName>
    <definedName name="J" localSheetId="3">#REF!</definedName>
    <definedName name="J" localSheetId="4">#REF!</definedName>
    <definedName name="J">#REF!</definedName>
    <definedName name="MakeIt">[7]XL4Poppy!$A$26</definedName>
    <definedName name="manpower_site" localSheetId="2">[6]Sheet9!#REF!</definedName>
    <definedName name="manpower_site" localSheetId="14">[6]Sheet9!#REF!</definedName>
    <definedName name="manpower_site" localSheetId="12">[6]Sheet9!#REF!</definedName>
    <definedName name="manpower_site" localSheetId="11">[6]Sheet9!#REF!</definedName>
    <definedName name="manpower_site" localSheetId="15">[6]Sheet9!#REF!</definedName>
    <definedName name="manpower_site" localSheetId="7">[6]Sheet9!#REF!</definedName>
    <definedName name="manpower_site" localSheetId="8">[6]Sheet9!#REF!</definedName>
    <definedName name="manpower_site" localSheetId="10">[6]Sheet9!#REF!</definedName>
    <definedName name="manpower_site" localSheetId="13">[6]Sheet9!#REF!</definedName>
    <definedName name="manpower_site" localSheetId="6">[6]Sheet9!#REF!</definedName>
    <definedName name="manpower_site" localSheetId="5">[6]Sheet9!#REF!</definedName>
    <definedName name="manpower_site" localSheetId="9">[6]Sheet9!#REF!</definedName>
    <definedName name="manpower_site" localSheetId="17">[6]Sheet9!#REF!</definedName>
    <definedName name="manpower_site" localSheetId="3">[6]Sheet9!#REF!</definedName>
    <definedName name="manpower_site" localSheetId="4">[6]Sheet9!#REF!</definedName>
    <definedName name="manpower_site">[6]Sheet9!#REF!</definedName>
    <definedName name="Module.Prix_SMC" localSheetId="18">'2013预算稿'!Module.Prix_SMC</definedName>
    <definedName name="Module.Prix_SMC" localSheetId="2">'2014预算稿 '!Module.Prix_SMC</definedName>
    <definedName name="Module.Prix_SMC" localSheetId="14">'2015年公司车险及ES车辆养护'!Module.Prix_SMC</definedName>
    <definedName name="Module.Prix_SMC" localSheetId="1">'2015预算稿 '!Module.Prix_SMC</definedName>
    <definedName name="Module.Prix_SMC" localSheetId="12">capex!Module.Prix_SMC</definedName>
    <definedName name="Module.Prix_SMC" localSheetId="11">阿姨工资奖金!Module.Prix_SMC</definedName>
    <definedName name="Module.Prix_SMC" localSheetId="15">班车费用!Module.Prix_SMC</definedName>
    <definedName name="Module.Prix_SMC" localSheetId="7">保安服务费!Module.Prix_SMC</definedName>
    <definedName name="Module.Prix_SMC" localSheetId="8">保洁服务费!Module.Prix_SMC</definedName>
    <definedName name="Module.Prix_SMC" localSheetId="10">'部分费用明细（水电植物耗材茶歇）'!Module.Prix_SMC</definedName>
    <definedName name="Module.Prix_SMC" localSheetId="13">财产险!Module.Prix_SMC</definedName>
    <definedName name="Module.Prix_SMC" localSheetId="6">基础数据!Module.Prix_SMC</definedName>
    <definedName name="Module.Prix_SMC" localSheetId="5">#N/A</definedName>
    <definedName name="Module.Prix_SMC" localSheetId="9">'媒体大厦物业费 能源费'!Module.Prix_SMC</definedName>
    <definedName name="Module.Prix_SMC" localSheetId="17">搜狐媒体大厦工位!Module.Prix_SMC</definedName>
    <definedName name="Module.Prix_SMC" localSheetId="3">#N/A</definedName>
    <definedName name="Module.Prix_SMC" localSheetId="4">物业房租车位费!Module.Prix_SMC</definedName>
    <definedName name="Module.Prix_SMC">'2013预算稿'!Module.Prix_SMC</definedName>
    <definedName name="Morning">[7]XL4Poppy!$C$39</definedName>
    <definedName name="office_exp" localSheetId="2">[6]Sheet9!#REF!</definedName>
    <definedName name="office_exp" localSheetId="14">[6]Sheet9!#REF!</definedName>
    <definedName name="office_exp" localSheetId="12">[6]Sheet9!#REF!</definedName>
    <definedName name="office_exp" localSheetId="11">[6]Sheet9!#REF!</definedName>
    <definedName name="office_exp" localSheetId="15">[6]Sheet9!#REF!</definedName>
    <definedName name="office_exp" localSheetId="7">[6]Sheet9!#REF!</definedName>
    <definedName name="office_exp" localSheetId="8">[6]Sheet9!#REF!</definedName>
    <definedName name="office_exp" localSheetId="10">[6]Sheet9!#REF!</definedName>
    <definedName name="office_exp" localSheetId="13">[6]Sheet9!#REF!</definedName>
    <definedName name="office_exp" localSheetId="6">[6]Sheet9!#REF!</definedName>
    <definedName name="office_exp" localSheetId="5">[6]Sheet9!#REF!</definedName>
    <definedName name="office_exp" localSheetId="9">[6]Sheet9!#REF!</definedName>
    <definedName name="office_exp" localSheetId="17">[6]Sheet9!#REF!</definedName>
    <definedName name="office_exp" localSheetId="3">[6]Sheet9!#REF!</definedName>
    <definedName name="office_exp" localSheetId="4">[6]Sheet9!#REF!</definedName>
    <definedName name="office_exp">[6]Sheet9!#REF!</definedName>
    <definedName name="OS" localSheetId="2">[11]Open!#REF!</definedName>
    <definedName name="OS" localSheetId="14">[11]Open!#REF!</definedName>
    <definedName name="OS" localSheetId="12">[11]Open!#REF!</definedName>
    <definedName name="OS" localSheetId="11">[11]Open!#REF!</definedName>
    <definedName name="OS" localSheetId="15">[11]Open!#REF!</definedName>
    <definedName name="OS" localSheetId="7">[11]Open!#REF!</definedName>
    <definedName name="OS" localSheetId="8">[11]Open!#REF!</definedName>
    <definedName name="OS" localSheetId="10">[11]Open!#REF!</definedName>
    <definedName name="OS" localSheetId="13">[11]Open!#REF!</definedName>
    <definedName name="OS" localSheetId="6">[11]Open!#REF!</definedName>
    <definedName name="OS" localSheetId="5">[11]Open!#REF!</definedName>
    <definedName name="OS" localSheetId="9">[11]Open!#REF!</definedName>
    <definedName name="OS" localSheetId="17">[11]Open!#REF!</definedName>
    <definedName name="OS" localSheetId="3">[11]Open!#REF!</definedName>
    <definedName name="OS" localSheetId="4">[11]Open!#REF!</definedName>
    <definedName name="OS">[11]Open!#REF!</definedName>
    <definedName name="P" localSheetId="18">#REF!</definedName>
    <definedName name="P" localSheetId="2">#REF!</definedName>
    <definedName name="P" localSheetId="14">#REF!</definedName>
    <definedName name="P" localSheetId="12">#REF!</definedName>
    <definedName name="P" localSheetId="11">#REF!</definedName>
    <definedName name="P" localSheetId="15">#REF!</definedName>
    <definedName name="P" localSheetId="7">#REF!</definedName>
    <definedName name="P" localSheetId="8">#REF!</definedName>
    <definedName name="P" localSheetId="10">#REF!</definedName>
    <definedName name="P" localSheetId="13">#REF!</definedName>
    <definedName name="P" localSheetId="6">#REF!</definedName>
    <definedName name="P" localSheetId="5">#REF!</definedName>
    <definedName name="P" localSheetId="9">#REF!</definedName>
    <definedName name="P" localSheetId="17">#REF!</definedName>
    <definedName name="P" localSheetId="3">#REF!</definedName>
    <definedName name="P" localSheetId="4">#REF!</definedName>
    <definedName name="P">#REF!</definedName>
    <definedName name="pa">'[8]99PA'!$A$4:$C$488</definedName>
    <definedName name="Poppy">[7]XL4Poppy!$C$27</definedName>
    <definedName name="pr_toolbox">[5]Toolbox!$A$3:$I$80</definedName>
    <definedName name="_xlnm.Print_Area" localSheetId="14">'2015年公司车险及ES车辆养护'!#REF!</definedName>
    <definedName name="_xlnm.Print_Titles" localSheetId="2">'2014预算稿 '!$1:$5</definedName>
    <definedName name="_xlnm.Print_Titles" localSheetId="1">'2015预算稿 '!$1:$5</definedName>
    <definedName name="Prix_SMC" localSheetId="18">'2013预算稿'!Prix_SMC</definedName>
    <definedName name="Prix_SMC" localSheetId="2">'2014预算稿 '!Prix_SMC</definedName>
    <definedName name="Prix_SMC" localSheetId="14">'2015年公司车险及ES车辆养护'!Prix_SMC</definedName>
    <definedName name="Prix_SMC" localSheetId="1">'2015预算稿 '!Prix_SMC</definedName>
    <definedName name="Prix_SMC" localSheetId="12">capex!Prix_SMC</definedName>
    <definedName name="Prix_SMC" localSheetId="11">阿姨工资奖金!Prix_SMC</definedName>
    <definedName name="Prix_SMC" localSheetId="15">班车费用!Prix_SMC</definedName>
    <definedName name="Prix_SMC" localSheetId="7">保安服务费!Prix_SMC</definedName>
    <definedName name="Prix_SMC" localSheetId="8">保洁服务费!Prix_SMC</definedName>
    <definedName name="Prix_SMC" localSheetId="10">'部分费用明细（水电植物耗材茶歇）'!Prix_SMC</definedName>
    <definedName name="Prix_SMC" localSheetId="13">财产险!Prix_SMC</definedName>
    <definedName name="Prix_SMC" localSheetId="6">基础数据!Prix_SMC</definedName>
    <definedName name="Prix_SMC" localSheetId="5">#N/A</definedName>
    <definedName name="Prix_SMC" localSheetId="9">'媒体大厦物业费 能源费'!Prix_SMC</definedName>
    <definedName name="Prix_SMC" localSheetId="17">搜狐媒体大厦工位!Prix_SMC</definedName>
    <definedName name="Prix_SMC" localSheetId="3">#N/A</definedName>
    <definedName name="Prix_SMC" localSheetId="4">物业房租车位费!Prix_SMC</definedName>
    <definedName name="Prix_SMC">'2013预算稿'!Prix_SMC</definedName>
    <definedName name="S" localSheetId="18">#REF!</definedName>
    <definedName name="S" localSheetId="2">#REF!</definedName>
    <definedName name="S" localSheetId="14">#REF!</definedName>
    <definedName name="S" localSheetId="1">#REF!</definedName>
    <definedName name="S" localSheetId="12">#REF!</definedName>
    <definedName name="S" localSheetId="11">#REF!</definedName>
    <definedName name="S" localSheetId="15">#REF!</definedName>
    <definedName name="S" localSheetId="7">#REF!</definedName>
    <definedName name="S" localSheetId="8">#REF!</definedName>
    <definedName name="S" localSheetId="10">#REF!</definedName>
    <definedName name="S" localSheetId="13">#REF!</definedName>
    <definedName name="S" localSheetId="6">#REF!</definedName>
    <definedName name="S" localSheetId="5">#REF!</definedName>
    <definedName name="S" localSheetId="9">#REF!</definedName>
    <definedName name="S" localSheetId="17">#REF!</definedName>
    <definedName name="S" localSheetId="3">#REF!</definedName>
    <definedName name="S" localSheetId="4">#REF!</definedName>
    <definedName name="S">#REF!</definedName>
    <definedName name="s_c_list">[12]Toolbox!$A$7:$H$969</definedName>
    <definedName name="SCG" localSheetId="2">'[13]G.1R-Shou COP Gf'!#REF!</definedName>
    <definedName name="SCG" localSheetId="14">'[13]G.1R-Shou COP Gf'!#REF!</definedName>
    <definedName name="SCG" localSheetId="12">'[13]G.1R-Shou COP Gf'!#REF!</definedName>
    <definedName name="SCG" localSheetId="11">'[13]G.1R-Shou COP Gf'!#REF!</definedName>
    <definedName name="SCG" localSheetId="15">'[13]G.1R-Shou COP Gf'!#REF!</definedName>
    <definedName name="SCG" localSheetId="7">'[13]G.1R-Shou COP Gf'!#REF!</definedName>
    <definedName name="SCG" localSheetId="8">'[13]G.1R-Shou COP Gf'!#REF!</definedName>
    <definedName name="SCG" localSheetId="10">'[13]G.1R-Shou COP Gf'!#REF!</definedName>
    <definedName name="SCG" localSheetId="13">'[13]G.1R-Shou COP Gf'!#REF!</definedName>
    <definedName name="SCG" localSheetId="6">'[13]G.1R-Shou COP Gf'!#REF!</definedName>
    <definedName name="SCG" localSheetId="5">'[13]G.1R-Shou COP Gf'!#REF!</definedName>
    <definedName name="SCG" localSheetId="9">'[13]G.1R-Shou COP Gf'!#REF!</definedName>
    <definedName name="SCG" localSheetId="17">'[13]G.1R-Shou COP Gf'!#REF!</definedName>
    <definedName name="SCG" localSheetId="3">'[13]G.1R-Shou COP Gf'!#REF!</definedName>
    <definedName name="SCG" localSheetId="4">'[13]G.1R-Shou COP Gf'!#REF!</definedName>
    <definedName name="SCG">'[13]G.1R-Shou COP Gf'!#REF!</definedName>
    <definedName name="sdlfee">'[5]Financ. Overview'!$H$13</definedName>
    <definedName name="solar_ratio">'[14]POWER ASSUMPTIONS'!$H$7</definedName>
    <definedName name="SS" localSheetId="18">'2013预算稿'!SS</definedName>
    <definedName name="SS" localSheetId="2">'2014预算稿 '!SS</definedName>
    <definedName name="SS" localSheetId="14">'2015年公司车险及ES车辆养护'!SS</definedName>
    <definedName name="SS" localSheetId="1">'2015预算稿 '!SS</definedName>
    <definedName name="SS" localSheetId="12">capex!SS</definedName>
    <definedName name="SS" localSheetId="11">阿姨工资奖金!SS</definedName>
    <definedName name="SS" localSheetId="15">班车费用!SS</definedName>
    <definedName name="SS" localSheetId="7">保安服务费!SS</definedName>
    <definedName name="SS" localSheetId="8">保洁服务费!SS</definedName>
    <definedName name="SS" localSheetId="10">'部分费用明细（水电植物耗材茶歇）'!SS</definedName>
    <definedName name="SS" localSheetId="13">财产险!SS</definedName>
    <definedName name="SS" localSheetId="6">基础数据!SS</definedName>
    <definedName name="SS" localSheetId="5">#N/A</definedName>
    <definedName name="SS" localSheetId="9">'媒体大厦物业费 能源费'!SS</definedName>
    <definedName name="SS" localSheetId="17">搜狐媒体大厦工位!SS</definedName>
    <definedName name="SS" localSheetId="3">#N/A</definedName>
    <definedName name="SS" localSheetId="4">物业房租车位费!SS</definedName>
    <definedName name="SS">'2013预算稿'!SS</definedName>
    <definedName name="ss7fee">'[5]Financ. Overview'!$H$18</definedName>
    <definedName name="st">[8]预算200326!$A$49065</definedName>
    <definedName name="subsfee">'[5]Financ. Overview'!$H$14</definedName>
    <definedName name="SUN" localSheetId="18">#REF!</definedName>
    <definedName name="SUN" localSheetId="2">#REF!</definedName>
    <definedName name="SUN" localSheetId="14">#REF!</definedName>
    <definedName name="SUN" localSheetId="12">#REF!</definedName>
    <definedName name="SUN" localSheetId="11">#REF!</definedName>
    <definedName name="SUN" localSheetId="15">#REF!</definedName>
    <definedName name="SUN" localSheetId="7">#REF!</definedName>
    <definedName name="SUN" localSheetId="8">#REF!</definedName>
    <definedName name="SUN" localSheetId="10">#REF!</definedName>
    <definedName name="SUN" localSheetId="13">#REF!</definedName>
    <definedName name="SUN" localSheetId="6">#REF!</definedName>
    <definedName name="SUN" localSheetId="5">#REF!</definedName>
    <definedName name="SUN" localSheetId="9">#REF!</definedName>
    <definedName name="SUN" localSheetId="17">#REF!</definedName>
    <definedName name="SUN" localSheetId="3">#REF!</definedName>
    <definedName name="SUN" localSheetId="4">#REF!</definedName>
    <definedName name="SUN">#REF!</definedName>
    <definedName name="sys_num">[6]Sheet9!$C$15</definedName>
    <definedName name="T" localSheetId="18">#REF!</definedName>
    <definedName name="T" localSheetId="2">#REF!</definedName>
    <definedName name="T" localSheetId="14">#REF!</definedName>
    <definedName name="T" localSheetId="12">#REF!</definedName>
    <definedName name="T" localSheetId="11">#REF!</definedName>
    <definedName name="T" localSheetId="15">#REF!</definedName>
    <definedName name="T" localSheetId="7">#REF!</definedName>
    <definedName name="T" localSheetId="8">#REF!</definedName>
    <definedName name="T" localSheetId="10">#REF!</definedName>
    <definedName name="T" localSheetId="13">#REF!</definedName>
    <definedName name="T" localSheetId="6">#REF!</definedName>
    <definedName name="T" localSheetId="5">#REF!</definedName>
    <definedName name="T" localSheetId="9">#REF!</definedName>
    <definedName name="T" localSheetId="17">#REF!</definedName>
    <definedName name="T" localSheetId="3">#REF!</definedName>
    <definedName name="T" localSheetId="4">#REF!</definedName>
    <definedName name="T">#REF!</definedName>
    <definedName name="toolbox">[15]Toolbox!$C$5:$T$1578</definedName>
    <definedName name="total_de">[6]Sheet9!$F$34</definedName>
    <definedName name="total_pack" localSheetId="2">[6]Sheet9!#REF!</definedName>
    <definedName name="total_pack" localSheetId="14">[6]Sheet9!#REF!</definedName>
    <definedName name="total_pack" localSheetId="12">[6]Sheet9!#REF!</definedName>
    <definedName name="total_pack" localSheetId="11">[6]Sheet9!#REF!</definedName>
    <definedName name="total_pack" localSheetId="15">[6]Sheet9!#REF!</definedName>
    <definedName name="total_pack" localSheetId="7">[6]Sheet9!#REF!</definedName>
    <definedName name="total_pack" localSheetId="8">[6]Sheet9!#REF!</definedName>
    <definedName name="total_pack" localSheetId="10">[6]Sheet9!#REF!</definedName>
    <definedName name="total_pack" localSheetId="13">[6]Sheet9!#REF!</definedName>
    <definedName name="total_pack" localSheetId="6">[6]Sheet9!#REF!</definedName>
    <definedName name="total_pack" localSheetId="5">[6]Sheet9!#REF!</definedName>
    <definedName name="total_pack" localSheetId="9">[6]Sheet9!#REF!</definedName>
    <definedName name="total_pack" localSheetId="17">[6]Sheet9!#REF!</definedName>
    <definedName name="total_pack" localSheetId="3">[6]Sheet9!#REF!</definedName>
    <definedName name="total_pack" localSheetId="4">[6]Sheet9!#REF!</definedName>
    <definedName name="total_pack">[6]Sheet9!#REF!</definedName>
    <definedName name="V" localSheetId="18">#REF!</definedName>
    <definedName name="V" localSheetId="2">#REF!</definedName>
    <definedName name="V" localSheetId="14">#REF!</definedName>
    <definedName name="V" localSheetId="12">#REF!</definedName>
    <definedName name="V" localSheetId="11">#REF!</definedName>
    <definedName name="V" localSheetId="15">#REF!</definedName>
    <definedName name="V" localSheetId="7">#REF!</definedName>
    <definedName name="V" localSheetId="8">#REF!</definedName>
    <definedName name="V" localSheetId="10">#REF!</definedName>
    <definedName name="V" localSheetId="13">#REF!</definedName>
    <definedName name="V" localSheetId="6">#REF!</definedName>
    <definedName name="V" localSheetId="5">#REF!</definedName>
    <definedName name="V" localSheetId="9">#REF!</definedName>
    <definedName name="V" localSheetId="17">#REF!</definedName>
    <definedName name="V" localSheetId="3">#REF!</definedName>
    <definedName name="V" localSheetId="4">#REF!</definedName>
    <definedName name="V">#REF!</definedName>
    <definedName name="V5.1Fee">'[5]Financ. Overview'!$H$15</definedName>
    <definedName name="W" localSheetId="18">#REF!</definedName>
    <definedName name="W" localSheetId="2">#REF!</definedName>
    <definedName name="W" localSheetId="14">#REF!</definedName>
    <definedName name="W" localSheetId="12">#REF!</definedName>
    <definedName name="W" localSheetId="11">#REF!</definedName>
    <definedName name="W" localSheetId="15">#REF!</definedName>
    <definedName name="W" localSheetId="7">#REF!</definedName>
    <definedName name="W" localSheetId="8">#REF!</definedName>
    <definedName name="W" localSheetId="10">#REF!</definedName>
    <definedName name="W" localSheetId="13">#REF!</definedName>
    <definedName name="W" localSheetId="6">#REF!</definedName>
    <definedName name="W" localSheetId="5">#REF!</definedName>
    <definedName name="W" localSheetId="9">#REF!</definedName>
    <definedName name="W" localSheetId="17">#REF!</definedName>
    <definedName name="W" localSheetId="3">#REF!</definedName>
    <definedName name="W" localSheetId="4">#REF!</definedName>
    <definedName name="W">#REF!</definedName>
    <definedName name="x" localSheetId="2">[16]清单1!#REF!</definedName>
    <definedName name="x" localSheetId="14">[16]清单1!#REF!</definedName>
    <definedName name="x" localSheetId="12">[16]清单1!#REF!</definedName>
    <definedName name="x" localSheetId="11">[16]清单1!#REF!</definedName>
    <definedName name="x" localSheetId="15">[16]清单1!#REF!</definedName>
    <definedName name="x" localSheetId="7">[16]清单1!#REF!</definedName>
    <definedName name="x" localSheetId="8">[16]清单1!#REF!</definedName>
    <definedName name="x" localSheetId="10">[16]清单1!#REF!</definedName>
    <definedName name="x" localSheetId="13">[16]清单1!#REF!</definedName>
    <definedName name="x" localSheetId="6">[16]清单1!#REF!</definedName>
    <definedName name="x" localSheetId="5">[16]清单1!#REF!</definedName>
    <definedName name="x" localSheetId="9">[16]清单1!#REF!</definedName>
    <definedName name="x" localSheetId="17">[16]清单1!#REF!</definedName>
    <definedName name="x" localSheetId="3">[16]清单1!#REF!</definedName>
    <definedName name="x" localSheetId="4">[16]清单1!#REF!</definedName>
    <definedName name="x">[16]清单1!#REF!</definedName>
    <definedName name="y" localSheetId="2">[16]清单1!#REF!</definedName>
    <definedName name="y" localSheetId="14">[16]清单1!#REF!</definedName>
    <definedName name="y" localSheetId="12">[16]清单1!#REF!</definedName>
    <definedName name="y" localSheetId="11">[16]清单1!#REF!</definedName>
    <definedName name="y" localSheetId="15">[16]清单1!#REF!</definedName>
    <definedName name="y" localSheetId="7">[16]清单1!#REF!</definedName>
    <definedName name="y" localSheetId="8">[16]清单1!#REF!</definedName>
    <definedName name="y" localSheetId="10">[16]清单1!#REF!</definedName>
    <definedName name="y" localSheetId="13">[16]清单1!#REF!</definedName>
    <definedName name="y" localSheetId="6">[16]清单1!#REF!</definedName>
    <definedName name="y" localSheetId="5">[16]清单1!#REF!</definedName>
    <definedName name="y" localSheetId="9">[16]清单1!#REF!</definedName>
    <definedName name="y" localSheetId="17">[16]清单1!#REF!</definedName>
    <definedName name="y" localSheetId="3">[16]清单1!#REF!</definedName>
    <definedName name="y" localSheetId="4">[16]清单1!#REF!</definedName>
    <definedName name="y">[16]清单1!#REF!</definedName>
    <definedName name="yy">[17]预算200326!$A$49065</definedName>
    <definedName name="z" localSheetId="2">[16]清单1!#REF!</definedName>
    <definedName name="z" localSheetId="14">[16]清单1!#REF!</definedName>
    <definedName name="z" localSheetId="12">[16]清单1!#REF!</definedName>
    <definedName name="z" localSheetId="11">[16]清单1!#REF!</definedName>
    <definedName name="z" localSheetId="15">[16]清单1!#REF!</definedName>
    <definedName name="z" localSheetId="7">[16]清单1!#REF!</definedName>
    <definedName name="z" localSheetId="8">[16]清单1!#REF!</definedName>
    <definedName name="z" localSheetId="10">[16]清单1!#REF!</definedName>
    <definedName name="z" localSheetId="13">[16]清单1!#REF!</definedName>
    <definedName name="z" localSheetId="6">[16]清单1!#REF!</definedName>
    <definedName name="z" localSheetId="5">[16]清单1!#REF!</definedName>
    <definedName name="z" localSheetId="9">[16]清单1!#REF!</definedName>
    <definedName name="z" localSheetId="17">[16]清单1!#REF!</definedName>
    <definedName name="z" localSheetId="3">[16]清单1!#REF!</definedName>
    <definedName name="z" localSheetId="4">[16]清单1!#REF!</definedName>
    <definedName name="z">[16]清单1!#REF!</definedName>
    <definedName name="Z32_Cost_red" localSheetId="2">'[5]Financ. Overview'!#REF!</definedName>
    <definedName name="Z32_Cost_red" localSheetId="14">'[5]Financ. Overview'!#REF!</definedName>
    <definedName name="Z32_Cost_red" localSheetId="12">'[5]Financ. Overview'!#REF!</definedName>
    <definedName name="Z32_Cost_red" localSheetId="11">'[5]Financ. Overview'!#REF!</definedName>
    <definedName name="Z32_Cost_red" localSheetId="15">'[5]Financ. Overview'!#REF!</definedName>
    <definedName name="Z32_Cost_red" localSheetId="7">'[5]Financ. Overview'!#REF!</definedName>
    <definedName name="Z32_Cost_red" localSheetId="8">'[5]Financ. Overview'!#REF!</definedName>
    <definedName name="Z32_Cost_red" localSheetId="10">'[5]Financ. Overview'!#REF!</definedName>
    <definedName name="Z32_Cost_red" localSheetId="13">'[5]Financ. Overview'!#REF!</definedName>
    <definedName name="Z32_Cost_red" localSheetId="6">'[5]Financ. Overview'!#REF!</definedName>
    <definedName name="Z32_Cost_red" localSheetId="5">'[5]Financ. Overview'!#REF!</definedName>
    <definedName name="Z32_Cost_red" localSheetId="9">'[5]Financ. Overview'!#REF!</definedName>
    <definedName name="Z32_Cost_red" localSheetId="17">'[5]Financ. Overview'!#REF!</definedName>
    <definedName name="Z32_Cost_red" localSheetId="3">'[5]Financ. Overview'!#REF!</definedName>
    <definedName name="Z32_Cost_red" localSheetId="4">'[5]Financ. Overview'!#REF!</definedName>
    <definedName name="Z32_Cost_red">'[5]Financ. Overview'!#REF!</definedName>
    <definedName name="报价日期">[18]基本设置!$D$7</definedName>
    <definedName name="承接单位">[18]基本设置!$D$6</definedName>
    <definedName name="当地">#REF!</definedName>
    <definedName name="电" localSheetId="18">'2013预算稿'!电</definedName>
    <definedName name="电" localSheetId="2">'2014预算稿 '!电</definedName>
    <definedName name="电" localSheetId="14">'2015年公司车险及ES车辆养护'!电</definedName>
    <definedName name="电" localSheetId="1">'2015预算稿 '!电</definedName>
    <definedName name="电" localSheetId="12">capex!电</definedName>
    <definedName name="电" localSheetId="11">阿姨工资奖金!电</definedName>
    <definedName name="电" localSheetId="15">班车费用!电</definedName>
    <definedName name="电" localSheetId="7">保安服务费!电</definedName>
    <definedName name="电" localSheetId="8">保洁服务费!电</definedName>
    <definedName name="电" localSheetId="10">'部分费用明细（水电植物耗材茶歇）'!电</definedName>
    <definedName name="电" localSheetId="13">财产险!电</definedName>
    <definedName name="电" localSheetId="6">基础数据!电</definedName>
    <definedName name="电" localSheetId="5">#N/A</definedName>
    <definedName name="电" localSheetId="9">'媒体大厦物业费 能源费'!电</definedName>
    <definedName name="电" localSheetId="17">搜狐媒体大厦工位!电</definedName>
    <definedName name="电" localSheetId="3">#N/A</definedName>
    <definedName name="电" localSheetId="4">物业房租车位费!电</definedName>
    <definedName name="电">'2013预算稿'!电</definedName>
    <definedName name="二层平面图" localSheetId="18">#REF!</definedName>
    <definedName name="二层平面图" localSheetId="2">#REF!</definedName>
    <definedName name="二层平面图" localSheetId="14">#REF!</definedName>
    <definedName name="二层平面图" localSheetId="1">#REF!</definedName>
    <definedName name="二层平面图" localSheetId="12">#REF!</definedName>
    <definedName name="二层平面图" localSheetId="11">#REF!</definedName>
    <definedName name="二层平面图" localSheetId="15">#REF!</definedName>
    <definedName name="二层平面图" localSheetId="7">#REF!</definedName>
    <definedName name="二层平面图" localSheetId="8">#REF!</definedName>
    <definedName name="二层平面图" localSheetId="10">#REF!</definedName>
    <definedName name="二层平面图" localSheetId="13">#REF!</definedName>
    <definedName name="二层平面图" localSheetId="6">#REF!</definedName>
    <definedName name="二层平面图" localSheetId="5">#REF!</definedName>
    <definedName name="二层平面图" localSheetId="9">#REF!</definedName>
    <definedName name="二层平面图" localSheetId="17">#REF!</definedName>
    <definedName name="二层平面图" localSheetId="3">#REF!</definedName>
    <definedName name="二层平面图" localSheetId="4">#REF!</definedName>
    <definedName name="二层平面图">#REF!</definedName>
    <definedName name="工程单位">[18]基本设置!$D$5</definedName>
    <definedName name="门厅处的装饰" localSheetId="18">'2013预算稿'!门厅处的装饰</definedName>
    <definedName name="门厅处的装饰" localSheetId="2">'2014预算稿 '!门厅处的装饰</definedName>
    <definedName name="门厅处的装饰" localSheetId="14">'2015年公司车险及ES车辆养护'!门厅处的装饰</definedName>
    <definedName name="门厅处的装饰" localSheetId="1">'2015预算稿 '!门厅处的装饰</definedName>
    <definedName name="门厅处的装饰" localSheetId="12">capex!门厅处的装饰</definedName>
    <definedName name="门厅处的装饰" localSheetId="11">阿姨工资奖金!门厅处的装饰</definedName>
    <definedName name="门厅处的装饰" localSheetId="15">班车费用!门厅处的装饰</definedName>
    <definedName name="门厅处的装饰" localSheetId="7">保安服务费!门厅处的装饰</definedName>
    <definedName name="门厅处的装饰" localSheetId="8">保洁服务费!门厅处的装饰</definedName>
    <definedName name="门厅处的装饰" localSheetId="10">'部分费用明细（水电植物耗材茶歇）'!门厅处的装饰</definedName>
    <definedName name="门厅处的装饰" localSheetId="13">财产险!门厅处的装饰</definedName>
    <definedName name="门厅处的装饰" localSheetId="6">基础数据!门厅处的装饰</definedName>
    <definedName name="门厅处的装饰" localSheetId="5">#N/A</definedName>
    <definedName name="门厅处的装饰" localSheetId="9">'媒体大厦物业费 能源费'!门厅处的装饰</definedName>
    <definedName name="门厅处的装饰" localSheetId="17">搜狐媒体大厦工位!门厅处的装饰</definedName>
    <definedName name="门厅处的装饰" localSheetId="3">#N/A</definedName>
    <definedName name="门厅处的装饰" localSheetId="4">物业房租车位费!门厅处的装饰</definedName>
    <definedName name="门厅处的装饰">'2013预算稿'!门厅处的装饰</definedName>
    <definedName name="设备一览表8.13" localSheetId="18">'2013预算稿'!设备一览表8.13</definedName>
    <definedName name="设备一览表8.13" localSheetId="2">'2014预算稿 '!设备一览表8.13</definedName>
    <definedName name="设备一览表8.13" localSheetId="14">'2015年公司车险及ES车辆养护'!设备一览表8.13</definedName>
    <definedName name="设备一览表8.13" localSheetId="1">'2015预算稿 '!设备一览表8.13</definedName>
    <definedName name="设备一览表8.13" localSheetId="12">capex!设备一览表8.13</definedName>
    <definedName name="设备一览表8.13" localSheetId="11">阿姨工资奖金!设备一览表8.13</definedName>
    <definedName name="设备一览表8.13" localSheetId="15">班车费用!设备一览表8.13</definedName>
    <definedName name="设备一览表8.13" localSheetId="7">保安服务费!设备一览表8.13</definedName>
    <definedName name="设备一览表8.13" localSheetId="8">保洁服务费!设备一览表8.13</definedName>
    <definedName name="设备一览表8.13" localSheetId="10">'部分费用明细（水电植物耗材茶歇）'!设备一览表8.13</definedName>
    <definedName name="设备一览表8.13" localSheetId="13">财产险!设备一览表8.13</definedName>
    <definedName name="设备一览表8.13" localSheetId="6">基础数据!设备一览表8.13</definedName>
    <definedName name="设备一览表8.13" localSheetId="5">#N/A</definedName>
    <definedName name="设备一览表8.13" localSheetId="9">'媒体大厦物业费 能源费'!设备一览表8.13</definedName>
    <definedName name="设备一览表8.13" localSheetId="17">搜狐媒体大厦工位!设备一览表8.13</definedName>
    <definedName name="设备一览表8.13" localSheetId="3">#N/A</definedName>
    <definedName name="设备一览表8.13" localSheetId="4">物业房租车位费!设备一览表8.13</definedName>
    <definedName name="设备一览表8.13">'2013预算稿'!设备一览表8.13</definedName>
    <definedName name="预" localSheetId="18">[19]报价单!#REF!</definedName>
    <definedName name="预" localSheetId="2">[19]报价单!#REF!</definedName>
    <definedName name="预" localSheetId="14">[19]报价单!#REF!</definedName>
    <definedName name="预" localSheetId="1">[19]报价单!#REF!</definedName>
    <definedName name="预" localSheetId="12">[19]报价单!#REF!</definedName>
    <definedName name="预" localSheetId="11">[19]报价单!#REF!</definedName>
    <definedName name="预" localSheetId="15">[19]报价单!#REF!</definedName>
    <definedName name="预" localSheetId="7">[19]报价单!#REF!</definedName>
    <definedName name="预" localSheetId="8">[19]报价单!#REF!</definedName>
    <definedName name="预" localSheetId="10">[19]报价单!#REF!</definedName>
    <definedName name="预" localSheetId="13">[19]报价单!#REF!</definedName>
    <definedName name="预" localSheetId="6">[19]报价单!#REF!</definedName>
    <definedName name="预" localSheetId="5">[19]报价单!#REF!</definedName>
    <definedName name="预" localSheetId="9">[19]报价单!#REF!</definedName>
    <definedName name="预" localSheetId="17">[19]报价单!#REF!</definedName>
    <definedName name="预" localSheetId="3">[19]报价单!#REF!</definedName>
    <definedName name="预" localSheetId="4">[19]报价单!#REF!</definedName>
    <definedName name="预">[19]报价单!#REF!</definedName>
    <definedName name="预算稿" hidden="1">[1]eqpmad2!#REF!</definedName>
    <definedName name="装饰门禁电视空调维护">#N/A</definedName>
  </definedNames>
  <calcPr calcId="145621"/>
</workbook>
</file>

<file path=xl/calcChain.xml><?xml version="1.0" encoding="utf-8"?>
<calcChain xmlns="http://schemas.openxmlformats.org/spreadsheetml/2006/main">
  <c r="L28" i="80" l="1"/>
  <c r="E53" i="75" l="1"/>
  <c r="E52" i="75"/>
  <c r="G38" i="67" l="1"/>
  <c r="L106" i="45"/>
  <c r="N106" i="45" s="1"/>
  <c r="S79" i="75"/>
  <c r="S78" i="75"/>
  <c r="S77" i="75"/>
  <c r="S76" i="75"/>
  <c r="S75" i="75"/>
  <c r="S74" i="75"/>
  <c r="S72" i="75"/>
  <c r="S71" i="75"/>
  <c r="S70" i="75"/>
  <c r="S69" i="75"/>
  <c r="S68" i="75"/>
  <c r="S67" i="75"/>
  <c r="S66" i="75"/>
  <c r="S65" i="75"/>
  <c r="S64" i="75"/>
  <c r="S63" i="75"/>
  <c r="S62" i="75"/>
  <c r="S61" i="75"/>
  <c r="S60" i="75"/>
  <c r="S59" i="75"/>
  <c r="S58" i="75"/>
  <c r="S57" i="75"/>
  <c r="S56" i="75"/>
  <c r="S55" i="75"/>
  <c r="S54" i="75"/>
  <c r="S52" i="75"/>
  <c r="S51" i="75"/>
  <c r="S50" i="75"/>
  <c r="S49" i="75"/>
  <c r="S48" i="75"/>
  <c r="S47" i="75"/>
  <c r="S45" i="75" l="1"/>
  <c r="T45" i="75" s="1"/>
  <c r="E48" i="75"/>
  <c r="E49" i="75"/>
  <c r="N117" i="45" l="1"/>
  <c r="N101" i="45"/>
  <c r="L75" i="45" l="1"/>
  <c r="I27" i="75"/>
  <c r="K58" i="82" l="1"/>
  <c r="G58" i="82"/>
  <c r="E58" i="82"/>
  <c r="B58" i="82"/>
  <c r="M47" i="82"/>
  <c r="M58" i="82" s="1"/>
  <c r="I44" i="82"/>
  <c r="H44" i="82"/>
  <c r="H58" i="82" s="1"/>
  <c r="C44" i="82"/>
  <c r="I41" i="82"/>
  <c r="C41" i="82"/>
  <c r="L40" i="82"/>
  <c r="L58" i="82" s="1"/>
  <c r="J40" i="82"/>
  <c r="J58" i="82" s="1"/>
  <c r="I40" i="82"/>
  <c r="F40" i="82"/>
  <c r="F58" i="82" s="1"/>
  <c r="D40" i="82"/>
  <c r="D58" i="82" s="1"/>
  <c r="C40" i="82"/>
  <c r="C24" i="82"/>
  <c r="B24" i="82"/>
  <c r="D23" i="82"/>
  <c r="E23" i="82" s="1"/>
  <c r="D22" i="82"/>
  <c r="E22" i="82" s="1"/>
  <c r="D21" i="82"/>
  <c r="E21" i="82" s="1"/>
  <c r="D20" i="82"/>
  <c r="E20" i="82" s="1"/>
  <c r="D19" i="82"/>
  <c r="E19" i="82" s="1"/>
  <c r="D18" i="82"/>
  <c r="E18" i="82" s="1"/>
  <c r="G17" i="82"/>
  <c r="I17" i="82" s="1"/>
  <c r="J17" i="82" s="1"/>
  <c r="D17" i="82"/>
  <c r="E17" i="82" s="1"/>
  <c r="E10" i="82"/>
  <c r="H9" i="82"/>
  <c r="H10" i="82" s="1"/>
  <c r="F9" i="82"/>
  <c r="F10" i="82" s="1"/>
  <c r="D9" i="82"/>
  <c r="D10" i="82" s="1"/>
  <c r="C9" i="82"/>
  <c r="C10" i="82" s="1"/>
  <c r="B9" i="82"/>
  <c r="B10" i="82" s="1"/>
  <c r="G6" i="82"/>
  <c r="F6" i="82"/>
  <c r="E6" i="82"/>
  <c r="E7" i="82" s="1"/>
  <c r="D6" i="82"/>
  <c r="C6" i="82"/>
  <c r="B6" i="82"/>
  <c r="H4" i="82"/>
  <c r="H6" i="82" s="1"/>
  <c r="H11" i="82" s="1"/>
  <c r="F55" i="75"/>
  <c r="G55" i="75"/>
  <c r="H55" i="75"/>
  <c r="I55" i="75"/>
  <c r="E54" i="75"/>
  <c r="E51" i="75"/>
  <c r="E50" i="75"/>
  <c r="E47" i="75"/>
  <c r="E46" i="75"/>
  <c r="E45" i="75"/>
  <c r="E44" i="75"/>
  <c r="E43" i="75"/>
  <c r="E41" i="75"/>
  <c r="E38" i="75"/>
  <c r="E39" i="75"/>
  <c r="E40" i="75"/>
  <c r="E37" i="75"/>
  <c r="E35" i="75"/>
  <c r="E36" i="75"/>
  <c r="F34" i="75"/>
  <c r="H34" i="75"/>
  <c r="I34" i="75"/>
  <c r="E4" i="75"/>
  <c r="E18" i="75"/>
  <c r="E17" i="75"/>
  <c r="E16" i="75"/>
  <c r="E15" i="75"/>
  <c r="E14" i="75"/>
  <c r="E13" i="75"/>
  <c r="E10" i="75"/>
  <c r="E9" i="75"/>
  <c r="F27" i="75"/>
  <c r="G27" i="75"/>
  <c r="H27" i="75"/>
  <c r="E33" i="75"/>
  <c r="E32" i="75"/>
  <c r="E31" i="75"/>
  <c r="E30" i="75"/>
  <c r="E28" i="75"/>
  <c r="E26" i="75"/>
  <c r="E25" i="75"/>
  <c r="E24" i="75"/>
  <c r="E22" i="75"/>
  <c r="E20" i="75"/>
  <c r="E19" i="75"/>
  <c r="E12" i="75"/>
  <c r="E11" i="75"/>
  <c r="E8" i="75"/>
  <c r="E7" i="75"/>
  <c r="E6" i="75"/>
  <c r="E5" i="75"/>
  <c r="F6" i="79"/>
  <c r="H6" i="79" s="1"/>
  <c r="L37" i="80"/>
  <c r="K25" i="80"/>
  <c r="F7" i="82" l="1"/>
  <c r="H7" i="82"/>
  <c r="B7" i="82"/>
  <c r="E55" i="75"/>
  <c r="L77" i="45"/>
  <c r="H56" i="75"/>
  <c r="F56" i="75"/>
  <c r="C58" i="82"/>
  <c r="I58" i="82"/>
  <c r="I56" i="75"/>
  <c r="I9" i="82"/>
  <c r="I10" i="82" s="1"/>
  <c r="D24" i="82"/>
  <c r="C7" i="82"/>
  <c r="D7" i="82"/>
  <c r="H130" i="45"/>
  <c r="I7" i="82" l="1"/>
  <c r="D154" i="72" l="1"/>
  <c r="C154" i="72"/>
  <c r="C155" i="72" s="1"/>
  <c r="C169" i="72"/>
  <c r="C170" i="72" s="1"/>
  <c r="C174" i="72" s="1"/>
  <c r="L46" i="80"/>
  <c r="K46" i="80"/>
  <c r="H46" i="80"/>
  <c r="G46" i="80"/>
  <c r="L45" i="80"/>
  <c r="K45" i="80"/>
  <c r="H45" i="80"/>
  <c r="G45" i="80"/>
  <c r="L44" i="80"/>
  <c r="K44" i="80"/>
  <c r="H44" i="80"/>
  <c r="G44" i="80"/>
  <c r="L43" i="80"/>
  <c r="K43" i="80"/>
  <c r="H43" i="80"/>
  <c r="G43" i="80"/>
  <c r="L42" i="80"/>
  <c r="K42" i="80"/>
  <c r="H42" i="80"/>
  <c r="G42" i="80"/>
  <c r="L41" i="80"/>
  <c r="H41" i="80"/>
  <c r="L40" i="80"/>
  <c r="K40" i="80"/>
  <c r="H40" i="80"/>
  <c r="G40" i="80"/>
  <c r="L39" i="80"/>
  <c r="K39" i="80"/>
  <c r="H39" i="80"/>
  <c r="G39" i="80"/>
  <c r="G38" i="80"/>
  <c r="K37" i="80"/>
  <c r="H37" i="80"/>
  <c r="G37" i="80"/>
  <c r="L36" i="80"/>
  <c r="K36" i="80"/>
  <c r="H36" i="80"/>
  <c r="G36" i="80"/>
  <c r="L33" i="80"/>
  <c r="K33" i="80"/>
  <c r="H33" i="80"/>
  <c r="G33" i="80"/>
  <c r="L32" i="80"/>
  <c r="K32" i="80"/>
  <c r="H32" i="80"/>
  <c r="G32" i="80"/>
  <c r="L31" i="80"/>
  <c r="K31" i="80"/>
  <c r="H31" i="80"/>
  <c r="G31" i="80"/>
  <c r="L30" i="80"/>
  <c r="K30" i="80"/>
  <c r="H30" i="80"/>
  <c r="G30" i="80"/>
  <c r="L29" i="80"/>
  <c r="K29" i="80"/>
  <c r="H29" i="80"/>
  <c r="G29" i="80"/>
  <c r="K28" i="80"/>
  <c r="H28" i="80"/>
  <c r="G28" i="80"/>
  <c r="G34" i="80" s="1"/>
  <c r="J26" i="80"/>
  <c r="I26" i="80"/>
  <c r="F26" i="80"/>
  <c r="E26" i="80"/>
  <c r="D26" i="80"/>
  <c r="L25" i="80"/>
  <c r="H25" i="80"/>
  <c r="G25" i="80"/>
  <c r="L24" i="80"/>
  <c r="K24" i="80"/>
  <c r="H24" i="80"/>
  <c r="G24" i="80"/>
  <c r="L23" i="80"/>
  <c r="K23" i="80"/>
  <c r="H23" i="80"/>
  <c r="G23" i="80"/>
  <c r="L22" i="80"/>
  <c r="K22" i="80"/>
  <c r="H22" i="80"/>
  <c r="G22" i="80"/>
  <c r="L21" i="80"/>
  <c r="K21" i="80"/>
  <c r="H21" i="80"/>
  <c r="G21" i="80"/>
  <c r="L20" i="80"/>
  <c r="K20" i="80"/>
  <c r="H20" i="80"/>
  <c r="G20" i="80"/>
  <c r="L19" i="80"/>
  <c r="K19" i="80"/>
  <c r="H19" i="80"/>
  <c r="G19" i="80"/>
  <c r="L18" i="80"/>
  <c r="K18" i="80"/>
  <c r="H18" i="80"/>
  <c r="G18" i="80"/>
  <c r="L17" i="80"/>
  <c r="K17" i="80"/>
  <c r="H17" i="80"/>
  <c r="G17" i="80"/>
  <c r="L16" i="80"/>
  <c r="K16" i="80"/>
  <c r="H16" i="80"/>
  <c r="G16" i="80"/>
  <c r="L15" i="80"/>
  <c r="K15" i="80"/>
  <c r="H15" i="80"/>
  <c r="G15" i="80"/>
  <c r="L14" i="80"/>
  <c r="K14" i="80"/>
  <c r="H14" i="80"/>
  <c r="G14" i="80"/>
  <c r="L13" i="80"/>
  <c r="K13" i="80"/>
  <c r="K26" i="80" s="1"/>
  <c r="H13" i="80"/>
  <c r="H26" i="80" s="1"/>
  <c r="G13" i="80"/>
  <c r="L12" i="80"/>
  <c r="K12" i="80"/>
  <c r="H12" i="80"/>
  <c r="G12" i="80"/>
  <c r="L11" i="80"/>
  <c r="K11" i="80"/>
  <c r="H11" i="80"/>
  <c r="G11" i="80"/>
  <c r="L10" i="80"/>
  <c r="K10" i="80"/>
  <c r="H10" i="80"/>
  <c r="G10" i="80"/>
  <c r="L9" i="80"/>
  <c r="K9" i="80"/>
  <c r="H9" i="80"/>
  <c r="G9" i="80"/>
  <c r="L8" i="80"/>
  <c r="K8" i="80"/>
  <c r="H8" i="80"/>
  <c r="G8" i="80"/>
  <c r="L7" i="80"/>
  <c r="K7" i="80"/>
  <c r="H7" i="80"/>
  <c r="G7" i="80"/>
  <c r="H77" i="79"/>
  <c r="F75" i="79"/>
  <c r="H75" i="79" s="1"/>
  <c r="F74" i="79"/>
  <c r="H74" i="79" s="1"/>
  <c r="F73" i="79"/>
  <c r="H73" i="79" s="1"/>
  <c r="H64" i="79"/>
  <c r="F62" i="79"/>
  <c r="H62" i="79" s="1"/>
  <c r="F61" i="79"/>
  <c r="H61" i="79" s="1"/>
  <c r="F60" i="79"/>
  <c r="F49" i="79"/>
  <c r="H49" i="79" s="1"/>
  <c r="F48" i="79"/>
  <c r="H48" i="79" s="1"/>
  <c r="F47" i="79"/>
  <c r="H47" i="79" s="1"/>
  <c r="H38" i="79"/>
  <c r="F36" i="79"/>
  <c r="H36" i="79" s="1"/>
  <c r="F35" i="79"/>
  <c r="H35" i="79" s="1"/>
  <c r="F34" i="79"/>
  <c r="H25" i="79"/>
  <c r="F23" i="79"/>
  <c r="H23" i="79" s="1"/>
  <c r="F22" i="79"/>
  <c r="H22" i="79" s="1"/>
  <c r="F21" i="79"/>
  <c r="H21" i="79" s="1"/>
  <c r="H12" i="79"/>
  <c r="F10" i="79"/>
  <c r="H10" i="79" s="1"/>
  <c r="F9" i="79"/>
  <c r="H9" i="79" s="1"/>
  <c r="F8" i="79"/>
  <c r="H8" i="79" s="1"/>
  <c r="F7" i="79"/>
  <c r="H7" i="79" s="1"/>
  <c r="D68" i="78"/>
  <c r="D66" i="78"/>
  <c r="D65" i="78"/>
  <c r="D59" i="78"/>
  <c r="D57" i="78"/>
  <c r="D56" i="78"/>
  <c r="D55" i="78"/>
  <c r="D48" i="78"/>
  <c r="D46" i="78"/>
  <c r="D45" i="78"/>
  <c r="C39" i="78"/>
  <c r="D38" i="78"/>
  <c r="D37" i="78"/>
  <c r="D35" i="78"/>
  <c r="D34" i="78"/>
  <c r="D33" i="78"/>
  <c r="D32" i="78"/>
  <c r="D26" i="78"/>
  <c r="D24" i="78"/>
  <c r="D17" i="78"/>
  <c r="D11" i="78"/>
  <c r="D9" i="78"/>
  <c r="D8" i="78"/>
  <c r="D7" i="78"/>
  <c r="D6" i="78"/>
  <c r="D5" i="78"/>
  <c r="D4" i="78"/>
  <c r="N8" i="77"/>
  <c r="N7" i="77"/>
  <c r="N6" i="77"/>
  <c r="N5" i="77"/>
  <c r="G34" i="75"/>
  <c r="G56" i="75" s="1"/>
  <c r="L9" i="45" s="1"/>
  <c r="N9" i="45" s="1"/>
  <c r="E27" i="75"/>
  <c r="B76" i="74"/>
  <c r="B77" i="74" s="1"/>
  <c r="B67" i="74"/>
  <c r="B52" i="74"/>
  <c r="D50" i="74"/>
  <c r="D51" i="74" s="1"/>
  <c r="B50" i="74"/>
  <c r="B51" i="74" s="1"/>
  <c r="D36" i="74"/>
  <c r="B35" i="74"/>
  <c r="B33" i="74"/>
  <c r="B34" i="74" s="1"/>
  <c r="D31" i="74"/>
  <c r="D30" i="74"/>
  <c r="D29" i="74"/>
  <c r="D28" i="74"/>
  <c r="D27" i="74"/>
  <c r="D26" i="74"/>
  <c r="D25" i="74"/>
  <c r="D24" i="74"/>
  <c r="B18" i="74"/>
  <c r="B19" i="74" s="1"/>
  <c r="E32" i="73"/>
  <c r="E31" i="73"/>
  <c r="E30" i="73"/>
  <c r="N19" i="73"/>
  <c r="M19" i="73"/>
  <c r="L19" i="73"/>
  <c r="K19" i="73"/>
  <c r="J19" i="73"/>
  <c r="I19" i="73"/>
  <c r="H19" i="73"/>
  <c r="G19" i="73"/>
  <c r="F19" i="73"/>
  <c r="E19" i="73"/>
  <c r="D19" i="73"/>
  <c r="N21" i="73"/>
  <c r="M21" i="73"/>
  <c r="L21" i="73"/>
  <c r="K21" i="73"/>
  <c r="J21" i="73"/>
  <c r="I21" i="73"/>
  <c r="H21" i="73"/>
  <c r="G21" i="73"/>
  <c r="F21" i="73"/>
  <c r="E21" i="73"/>
  <c r="D21" i="73"/>
  <c r="O17" i="73"/>
  <c r="O16" i="73"/>
  <c r="O15" i="73"/>
  <c r="F11" i="73"/>
  <c r="O10" i="73"/>
  <c r="O9" i="73"/>
  <c r="N11" i="73"/>
  <c r="M11" i="73"/>
  <c r="L11" i="73"/>
  <c r="K11" i="73"/>
  <c r="J11" i="73"/>
  <c r="I11" i="73"/>
  <c r="H11" i="73"/>
  <c r="G11" i="73"/>
  <c r="E11" i="73"/>
  <c r="D11" i="73"/>
  <c r="C11" i="73"/>
  <c r="O7" i="73"/>
  <c r="O6" i="73"/>
  <c r="O5" i="73"/>
  <c r="H189" i="72"/>
  <c r="H191" i="72" s="1"/>
  <c r="H192" i="72" s="1"/>
  <c r="D189" i="72"/>
  <c r="D191" i="72" s="1"/>
  <c r="G168" i="72"/>
  <c r="G166" i="72"/>
  <c r="G167" i="72" s="1"/>
  <c r="G145" i="72"/>
  <c r="F145" i="72"/>
  <c r="E145" i="72"/>
  <c r="D145" i="72"/>
  <c r="C145" i="72"/>
  <c r="I141" i="72"/>
  <c r="H141" i="72"/>
  <c r="G141" i="72"/>
  <c r="F141" i="72"/>
  <c r="E141" i="72"/>
  <c r="C140" i="72"/>
  <c r="C141" i="72" s="1"/>
  <c r="D130" i="72"/>
  <c r="D131" i="72" s="1"/>
  <c r="H128" i="72"/>
  <c r="H130" i="72" s="1"/>
  <c r="H131" i="72" s="1"/>
  <c r="C106" i="72"/>
  <c r="C104" i="72"/>
  <c r="C105" i="72" s="1"/>
  <c r="G90" i="72"/>
  <c r="F90" i="72"/>
  <c r="E90" i="72"/>
  <c r="D90" i="72"/>
  <c r="C90" i="72"/>
  <c r="I86" i="72"/>
  <c r="H86" i="72"/>
  <c r="G86" i="72"/>
  <c r="F86" i="72"/>
  <c r="E86" i="72"/>
  <c r="C85" i="72"/>
  <c r="D86" i="72" s="1"/>
  <c r="H73" i="72"/>
  <c r="H74" i="72" s="1"/>
  <c r="G73" i="72"/>
  <c r="G74" i="72" s="1"/>
  <c r="F73" i="72"/>
  <c r="F74" i="72" s="1"/>
  <c r="E73" i="72"/>
  <c r="E74" i="72" s="1"/>
  <c r="D73" i="72"/>
  <c r="D74" i="72" s="1"/>
  <c r="C73" i="72"/>
  <c r="C74" i="72" s="1"/>
  <c r="H57" i="72"/>
  <c r="I54" i="72"/>
  <c r="I55" i="72" s="1"/>
  <c r="I57" i="72" s="1"/>
  <c r="H54" i="72"/>
  <c r="H55" i="72" s="1"/>
  <c r="G54" i="72"/>
  <c r="G55" i="72" s="1"/>
  <c r="G57" i="72" s="1"/>
  <c r="F54" i="72"/>
  <c r="F55" i="72" s="1"/>
  <c r="F57" i="72" s="1"/>
  <c r="E54" i="72"/>
  <c r="E55" i="72" s="1"/>
  <c r="E57" i="72" s="1"/>
  <c r="D54" i="72"/>
  <c r="D55" i="72" s="1"/>
  <c r="D57" i="72" s="1"/>
  <c r="C54" i="72"/>
  <c r="C55" i="72" s="1"/>
  <c r="C57" i="72" s="1"/>
  <c r="X37" i="72"/>
  <c r="R37" i="72"/>
  <c r="L37" i="72"/>
  <c r="J37" i="72"/>
  <c r="H37" i="72"/>
  <c r="F37" i="72"/>
  <c r="D37" i="72"/>
  <c r="X34" i="72"/>
  <c r="X35" i="72" s="1"/>
  <c r="T34" i="72"/>
  <c r="T35" i="72" s="1"/>
  <c r="T38" i="72" s="1"/>
  <c r="U38" i="72" s="1"/>
  <c r="R34" i="72"/>
  <c r="R35" i="72" s="1"/>
  <c r="R38" i="72" s="1"/>
  <c r="P34" i="72"/>
  <c r="P35" i="72" s="1"/>
  <c r="P38" i="72" s="1"/>
  <c r="Q38" i="72" s="1"/>
  <c r="N34" i="72"/>
  <c r="N35" i="72" s="1"/>
  <c r="N38" i="72" s="1"/>
  <c r="O38" i="72" s="1"/>
  <c r="L34" i="72"/>
  <c r="L35" i="72" s="1"/>
  <c r="J34" i="72"/>
  <c r="J35" i="72" s="1"/>
  <c r="H34" i="72"/>
  <c r="H35" i="72" s="1"/>
  <c r="F34" i="72"/>
  <c r="F35" i="72" s="1"/>
  <c r="D34" i="72"/>
  <c r="D35" i="72" s="1"/>
  <c r="D38" i="72" s="1"/>
  <c r="E38" i="72" s="1"/>
  <c r="M17" i="72"/>
  <c r="O16" i="72"/>
  <c r="L16" i="72"/>
  <c r="I16" i="72"/>
  <c r="F16" i="72"/>
  <c r="C16" i="72"/>
  <c r="O14" i="72"/>
  <c r="O15" i="72" s="1"/>
  <c r="N14" i="72"/>
  <c r="N15" i="72" s="1"/>
  <c r="I14" i="72"/>
  <c r="I15" i="72" s="1"/>
  <c r="F14" i="72"/>
  <c r="F15" i="72" s="1"/>
  <c r="C14" i="72"/>
  <c r="C15" i="72" s="1"/>
  <c r="C17" i="72" s="1"/>
  <c r="E17" i="72" s="1"/>
  <c r="K13" i="72"/>
  <c r="H13" i="72"/>
  <c r="E13" i="72"/>
  <c r="K12" i="72"/>
  <c r="H12" i="72"/>
  <c r="E12" i="72"/>
  <c r="K11" i="72"/>
  <c r="H11" i="72"/>
  <c r="E11" i="72"/>
  <c r="K10" i="72"/>
  <c r="H10" i="72"/>
  <c r="E10" i="72"/>
  <c r="K9" i="72"/>
  <c r="H9" i="72"/>
  <c r="E9" i="72"/>
  <c r="K8" i="72"/>
  <c r="H8" i="72"/>
  <c r="E8" i="72"/>
  <c r="K7" i="72"/>
  <c r="H7" i="72"/>
  <c r="E7" i="72"/>
  <c r="K6" i="72"/>
  <c r="H6" i="72"/>
  <c r="E6" i="72"/>
  <c r="K5" i="72"/>
  <c r="H5" i="72"/>
  <c r="E5" i="72"/>
  <c r="B223" i="71"/>
  <c r="B222" i="71"/>
  <c r="B218" i="71"/>
  <c r="B177" i="71"/>
  <c r="B178" i="71" s="1"/>
  <c r="G133" i="45" s="1"/>
  <c r="B171" i="71"/>
  <c r="B164" i="71"/>
  <c r="B165" i="71" s="1"/>
  <c r="G132" i="45" s="1"/>
  <c r="B158" i="71"/>
  <c r="B134" i="71"/>
  <c r="B135" i="71" s="1"/>
  <c r="G130" i="45" s="1"/>
  <c r="B109" i="71"/>
  <c r="B96" i="71"/>
  <c r="B97" i="71" s="1"/>
  <c r="M137" i="45" s="1"/>
  <c r="B76" i="71"/>
  <c r="B77" i="71" s="1"/>
  <c r="M140" i="45" s="1"/>
  <c r="B56" i="71"/>
  <c r="B57" i="71" s="1"/>
  <c r="M141" i="45" s="1"/>
  <c r="B40" i="71"/>
  <c r="B24" i="71"/>
  <c r="B25" i="71" s="1"/>
  <c r="M135" i="45" s="1"/>
  <c r="D39" i="78" l="1"/>
  <c r="K34" i="80"/>
  <c r="C76" i="72"/>
  <c r="D17" i="76"/>
  <c r="B231" i="71"/>
  <c r="M138" i="45" s="1"/>
  <c r="F17" i="72"/>
  <c r="H17" i="72" s="1"/>
  <c r="L26" i="80"/>
  <c r="G47" i="80"/>
  <c r="O19" i="73"/>
  <c r="G26" i="80"/>
  <c r="B143" i="71"/>
  <c r="B144" i="71" s="1"/>
  <c r="B151" i="71"/>
  <c r="B152" i="71" s="1"/>
  <c r="G131" i="45" s="1"/>
  <c r="B186" i="71"/>
  <c r="B187" i="71" s="1"/>
  <c r="B194" i="71"/>
  <c r="B195" i="71" s="1"/>
  <c r="G142" i="45" s="1"/>
  <c r="B203" i="71"/>
  <c r="M139" i="45" s="1"/>
  <c r="B211" i="71"/>
  <c r="B212" i="71" s="1"/>
  <c r="G139" i="45" s="1"/>
  <c r="H38" i="72"/>
  <c r="I38" i="72" s="1"/>
  <c r="B35" i="71"/>
  <c r="B36" i="71" s="1"/>
  <c r="B224" i="71"/>
  <c r="B225" i="71" s="1"/>
  <c r="G136" i="45" s="1"/>
  <c r="E76" i="72"/>
  <c r="O8" i="73"/>
  <c r="O11" i="73" s="1"/>
  <c r="D47" i="78"/>
  <c r="D67" i="78"/>
  <c r="D174" i="72"/>
  <c r="B159" i="71"/>
  <c r="M132" i="45"/>
  <c r="B5" i="71"/>
  <c r="B8" i="71" s="1"/>
  <c r="M134" i="45"/>
  <c r="B117" i="71"/>
  <c r="B118" i="71" s="1"/>
  <c r="G143" i="45" s="1"/>
  <c r="B126" i="71"/>
  <c r="C86" i="72"/>
  <c r="D33" i="74"/>
  <c r="D34" i="74" s="1"/>
  <c r="E66" i="74"/>
  <c r="E68" i="74" s="1"/>
  <c r="F37" i="79"/>
  <c r="H38" i="80"/>
  <c r="H47" i="80" s="1"/>
  <c r="O18" i="73"/>
  <c r="C29" i="73" s="1"/>
  <c r="C19" i="73"/>
  <c r="C21" i="73"/>
  <c r="H34" i="80"/>
  <c r="L49" i="80"/>
  <c r="K38" i="80"/>
  <c r="K47" i="80" s="1"/>
  <c r="N9" i="77"/>
  <c r="D10" i="78"/>
  <c r="D23" i="78"/>
  <c r="D25" i="78" s="1"/>
  <c r="D58" i="78"/>
  <c r="B204" i="71"/>
  <c r="B219" i="71"/>
  <c r="M136" i="45"/>
  <c r="B110" i="71"/>
  <c r="M143" i="45"/>
  <c r="B172" i="71"/>
  <c r="M133" i="45"/>
  <c r="B53" i="74"/>
  <c r="H11" i="79"/>
  <c r="H13" i="79" s="1"/>
  <c r="L34" i="80"/>
  <c r="E29" i="75"/>
  <c r="E34" i="75" s="1"/>
  <c r="E56" i="75" s="1"/>
  <c r="F63" i="79"/>
  <c r="H76" i="79"/>
  <c r="H78" i="79" s="1"/>
  <c r="H14" i="72"/>
  <c r="H15" i="72" s="1"/>
  <c r="G34" i="72"/>
  <c r="G35" i="72" s="1"/>
  <c r="O34" i="72"/>
  <c r="O35" i="72" s="1"/>
  <c r="F76" i="72"/>
  <c r="I34" i="72"/>
  <c r="I35" i="72" s="1"/>
  <c r="Q34" i="72"/>
  <c r="Q35" i="72" s="1"/>
  <c r="L38" i="72"/>
  <c r="M38" i="72" s="1"/>
  <c r="G76" i="72"/>
  <c r="F38" i="72"/>
  <c r="G38" i="72" s="1"/>
  <c r="X38" i="72"/>
  <c r="Y38" i="72" s="1"/>
  <c r="C109" i="72"/>
  <c r="D192" i="72"/>
  <c r="L14" i="72"/>
  <c r="L15" i="72" s="1"/>
  <c r="L17" i="72" s="1"/>
  <c r="N17" i="72" s="1"/>
  <c r="E34" i="72"/>
  <c r="E35" i="72" s="1"/>
  <c r="M34" i="72"/>
  <c r="M35" i="72" s="1"/>
  <c r="U34" i="72"/>
  <c r="U35" i="72" s="1"/>
  <c r="J86" i="72"/>
  <c r="D141" i="72"/>
  <c r="J141" i="72" s="1"/>
  <c r="E14" i="72"/>
  <c r="E15" i="72" s="1"/>
  <c r="Q14" i="72"/>
  <c r="Q15" i="72" s="1"/>
  <c r="I17" i="72"/>
  <c r="K17" i="72" s="1"/>
  <c r="V34" i="72"/>
  <c r="V35" i="72" s="1"/>
  <c r="Y34" i="72"/>
  <c r="Y35" i="72" s="1"/>
  <c r="K34" i="72"/>
  <c r="K35" i="72" s="1"/>
  <c r="C147" i="72"/>
  <c r="K14" i="72"/>
  <c r="K15" i="72" s="1"/>
  <c r="O17" i="72"/>
  <c r="Q17" i="72" s="1"/>
  <c r="C92" i="72"/>
  <c r="G171" i="72"/>
  <c r="L38" i="80"/>
  <c r="H24" i="79"/>
  <c r="H26" i="79" s="1"/>
  <c r="H50" i="79"/>
  <c r="F11" i="79"/>
  <c r="F24" i="79"/>
  <c r="F50" i="79"/>
  <c r="F51" i="79" s="1"/>
  <c r="H51" i="79" s="1"/>
  <c r="H34" i="79"/>
  <c r="H37" i="79" s="1"/>
  <c r="H39" i="79" s="1"/>
  <c r="F76" i="79"/>
  <c r="H60" i="79"/>
  <c r="H63" i="79" s="1"/>
  <c r="H65" i="79" s="1"/>
  <c r="D36" i="78"/>
  <c r="I58" i="74"/>
  <c r="I60" i="74" s="1"/>
  <c r="C41" i="74"/>
  <c r="C53" i="74" s="1"/>
  <c r="O21" i="73"/>
  <c r="J38" i="72"/>
  <c r="K38" i="72" s="1"/>
  <c r="S38" i="72"/>
  <c r="W38" i="72" s="1"/>
  <c r="V38" i="72"/>
  <c r="S34" i="72"/>
  <c r="S35" i="72" s="1"/>
  <c r="D76" i="72"/>
  <c r="H76" i="72"/>
  <c r="B29" i="71"/>
  <c r="G135" i="45" s="1"/>
  <c r="B28" i="71"/>
  <c r="B61" i="71"/>
  <c r="G141" i="45" s="1"/>
  <c r="B60" i="71"/>
  <c r="B81" i="71"/>
  <c r="G140" i="45" s="1"/>
  <c r="B80" i="71"/>
  <c r="B101" i="71"/>
  <c r="G137" i="45" s="1"/>
  <c r="B100" i="71"/>
  <c r="B39" i="71"/>
  <c r="B41" i="71" s="1"/>
  <c r="B42" i="71" s="1"/>
  <c r="G144" i="45" s="1"/>
  <c r="M142" i="45" l="1"/>
  <c r="B9" i="71"/>
  <c r="B10" i="71" s="1"/>
  <c r="B11" i="71" s="1"/>
  <c r="G134" i="45" s="1"/>
  <c r="M131" i="45"/>
  <c r="B232" i="71"/>
  <c r="B236" i="71" s="1"/>
  <c r="L27" i="80"/>
  <c r="L35" i="80"/>
  <c r="B235" i="71"/>
  <c r="B237" i="71" s="1"/>
  <c r="B238" i="71" s="1"/>
  <c r="G138" i="45" s="1"/>
  <c r="D53" i="74"/>
  <c r="M144" i="45"/>
  <c r="B127" i="71"/>
  <c r="M130" i="45"/>
  <c r="H52" i="79"/>
  <c r="W34" i="72"/>
  <c r="W35" i="72" s="1"/>
  <c r="L50" i="80"/>
  <c r="L47" i="80"/>
  <c r="L48" i="80" s="1"/>
  <c r="N16" i="77"/>
  <c r="N17" i="77" s="1"/>
  <c r="N26" i="77"/>
  <c r="C33" i="73"/>
  <c r="E33" i="73" s="1"/>
  <c r="E29" i="73"/>
  <c r="H138" i="45" l="1"/>
  <c r="I138" i="45"/>
  <c r="K138" i="45"/>
  <c r="J138" i="45"/>
  <c r="N27" i="77"/>
  <c r="E34" i="73"/>
  <c r="L138" i="45" l="1"/>
  <c r="N28" i="77"/>
  <c r="O138" i="45" l="1"/>
  <c r="N138" i="45"/>
  <c r="H153" i="69"/>
  <c r="G153" i="69"/>
  <c r="E153" i="69"/>
  <c r="D153" i="69"/>
  <c r="C153" i="69"/>
  <c r="B153" i="69"/>
  <c r="H138" i="69"/>
  <c r="G138" i="69"/>
  <c r="E138" i="69"/>
  <c r="D138" i="69"/>
  <c r="C138" i="69"/>
  <c r="B138" i="69"/>
  <c r="H129" i="69"/>
  <c r="G129" i="69"/>
  <c r="E129" i="69"/>
  <c r="D129" i="69"/>
  <c r="C129" i="69"/>
  <c r="B129" i="69"/>
  <c r="H106" i="69"/>
  <c r="G106" i="69"/>
  <c r="E106" i="69"/>
  <c r="D106" i="69"/>
  <c r="C106" i="69"/>
  <c r="B106" i="69"/>
  <c r="H75" i="69"/>
  <c r="K66" i="69"/>
  <c r="F66" i="69"/>
  <c r="D66" i="69"/>
  <c r="B66" i="69"/>
  <c r="K52" i="69"/>
  <c r="J52" i="69"/>
  <c r="I52" i="69"/>
  <c r="H52" i="69"/>
  <c r="G52" i="69"/>
  <c r="F52" i="69"/>
  <c r="E52" i="69"/>
  <c r="D52" i="69"/>
  <c r="L51" i="69"/>
  <c r="L50" i="69"/>
  <c r="L49" i="69"/>
  <c r="L52" i="69" s="1"/>
  <c r="M2" i="69"/>
  <c r="H90" i="68"/>
  <c r="C32" i="68"/>
  <c r="C26" i="68"/>
  <c r="D26" i="68" s="1"/>
  <c r="C20" i="68"/>
  <c r="C14" i="68"/>
  <c r="J8" i="68"/>
  <c r="J32" i="68" s="1"/>
  <c r="B8" i="68"/>
  <c r="C8" i="68" l="1"/>
  <c r="J26" i="68"/>
  <c r="D75" i="69"/>
  <c r="J20" i="68"/>
  <c r="E75" i="69"/>
  <c r="I129" i="69"/>
  <c r="F138" i="69"/>
  <c r="I153" i="69"/>
  <c r="C75" i="69"/>
  <c r="J14" i="68"/>
  <c r="F106" i="69"/>
  <c r="F129" i="69"/>
  <c r="F153" i="69"/>
  <c r="I138" i="69"/>
  <c r="G75" i="69"/>
  <c r="B75" i="69"/>
  <c r="I106" i="69"/>
  <c r="D14" i="68"/>
  <c r="F26" i="68"/>
  <c r="D20" i="68"/>
  <c r="E26" i="68"/>
  <c r="D32" i="68"/>
  <c r="F32" i="68" s="1"/>
  <c r="F75" i="69" l="1"/>
  <c r="I75" i="69"/>
  <c r="H66" i="69"/>
  <c r="K32" i="68"/>
  <c r="G32" i="68"/>
  <c r="H32" i="68"/>
  <c r="D8" i="68"/>
  <c r="F14" i="68"/>
  <c r="I14" i="68" s="1"/>
  <c r="I32" i="68"/>
  <c r="E32" i="68"/>
  <c r="F20" i="68"/>
  <c r="I20" i="68" s="1"/>
  <c r="E20" i="68"/>
  <c r="K26" i="68"/>
  <c r="G26" i="68"/>
  <c r="H26" i="68"/>
  <c r="E14" i="68"/>
  <c r="I26" i="68"/>
  <c r="E8" i="68" l="1"/>
  <c r="J66" i="69"/>
  <c r="K20" i="68"/>
  <c r="G20" i="68"/>
  <c r="H20" i="68"/>
  <c r="K14" i="68"/>
  <c r="G14" i="68"/>
  <c r="H14" i="68"/>
  <c r="F8" i="68"/>
  <c r="I8" i="68" s="1"/>
  <c r="L66" i="69" l="1"/>
  <c r="C66" i="69"/>
  <c r="E66" i="69"/>
  <c r="G66" i="69"/>
  <c r="I66" i="69"/>
  <c r="K8" i="68"/>
  <c r="G8" i="68"/>
  <c r="H8" i="68"/>
  <c r="L109" i="45" l="1"/>
  <c r="K155" i="66" l="1"/>
  <c r="E155" i="66"/>
  <c r="G155" i="66" s="1"/>
  <c r="E154" i="66"/>
  <c r="I154" i="66" s="1"/>
  <c r="I153" i="66"/>
  <c r="H153" i="66"/>
  <c r="G153" i="66"/>
  <c r="F153" i="66"/>
  <c r="K152" i="66"/>
  <c r="E152" i="66"/>
  <c r="I152" i="66" s="1"/>
  <c r="K151" i="66"/>
  <c r="E151" i="66"/>
  <c r="I150" i="66"/>
  <c r="H150" i="66"/>
  <c r="G150" i="66"/>
  <c r="F150" i="66"/>
  <c r="K149" i="66"/>
  <c r="I149" i="66"/>
  <c r="G149" i="66"/>
  <c r="J149" i="66" s="1"/>
  <c r="K148" i="66"/>
  <c r="E148" i="66"/>
  <c r="G148" i="66" s="1"/>
  <c r="K147" i="66"/>
  <c r="E147" i="66"/>
  <c r="G147" i="66" s="1"/>
  <c r="K146" i="66"/>
  <c r="E146" i="66"/>
  <c r="G146" i="66" s="1"/>
  <c r="K145" i="66"/>
  <c r="E145" i="66"/>
  <c r="G145" i="66" s="1"/>
  <c r="E144" i="66"/>
  <c r="I144" i="66" s="1"/>
  <c r="E143" i="66"/>
  <c r="I143" i="66" s="1"/>
  <c r="E142" i="66"/>
  <c r="G142" i="66" s="1"/>
  <c r="I141" i="66"/>
  <c r="H141" i="66"/>
  <c r="G141" i="66"/>
  <c r="F141" i="66"/>
  <c r="F130" i="66"/>
  <c r="K125" i="66"/>
  <c r="K124" i="66"/>
  <c r="K122" i="66"/>
  <c r="K121" i="66"/>
  <c r="K123" i="66" s="1"/>
  <c r="K120" i="66"/>
  <c r="J119" i="66"/>
  <c r="J120" i="66" s="1"/>
  <c r="I120" i="66"/>
  <c r="G120" i="66"/>
  <c r="K117" i="66"/>
  <c r="J117" i="66"/>
  <c r="K116" i="66"/>
  <c r="K115" i="66"/>
  <c r="K113" i="66"/>
  <c r="I114" i="66"/>
  <c r="K112" i="66"/>
  <c r="K109" i="66"/>
  <c r="K108" i="66"/>
  <c r="K106" i="66"/>
  <c r="K104" i="66"/>
  <c r="K103" i="66"/>
  <c r="I103" i="66"/>
  <c r="H103" i="66"/>
  <c r="G103" i="66"/>
  <c r="F103" i="66"/>
  <c r="K101" i="66"/>
  <c r="K100" i="66"/>
  <c r="K98" i="66"/>
  <c r="K97" i="66"/>
  <c r="K96" i="66"/>
  <c r="K95" i="66"/>
  <c r="K92" i="66"/>
  <c r="K91" i="66"/>
  <c r="I93" i="66"/>
  <c r="K89" i="66"/>
  <c r="K88" i="66"/>
  <c r="K87" i="66"/>
  <c r="K86" i="66"/>
  <c r="K85" i="66"/>
  <c r="K83" i="66"/>
  <c r="J83" i="66"/>
  <c r="K82" i="66"/>
  <c r="K81" i="66"/>
  <c r="K79" i="66"/>
  <c r="K78" i="66"/>
  <c r="K77" i="66"/>
  <c r="K76" i="66"/>
  <c r="K75" i="66"/>
  <c r="K74" i="66"/>
  <c r="K72" i="66"/>
  <c r="K71" i="66"/>
  <c r="K70" i="66"/>
  <c r="K69" i="66"/>
  <c r="K66" i="66"/>
  <c r="K65" i="66"/>
  <c r="K63" i="66"/>
  <c r="K62" i="66"/>
  <c r="K61" i="66"/>
  <c r="K60" i="66"/>
  <c r="K58" i="66"/>
  <c r="K57" i="66"/>
  <c r="K55" i="66"/>
  <c r="K54" i="66"/>
  <c r="K53" i="66"/>
  <c r="K51" i="66"/>
  <c r="K50" i="66"/>
  <c r="K48" i="66"/>
  <c r="K47" i="66"/>
  <c r="K46" i="66"/>
  <c r="K45" i="66"/>
  <c r="K44" i="66"/>
  <c r="K42" i="66"/>
  <c r="K41" i="66"/>
  <c r="K40" i="66"/>
  <c r="K38" i="66"/>
  <c r="K37" i="66"/>
  <c r="J37" i="66"/>
  <c r="K36" i="66"/>
  <c r="J36" i="66"/>
  <c r="K35" i="66"/>
  <c r="K34" i="66"/>
  <c r="K33" i="66"/>
  <c r="K32" i="66"/>
  <c r="K30" i="66"/>
  <c r="K29" i="66"/>
  <c r="K28" i="66"/>
  <c r="K26" i="66"/>
  <c r="K25" i="66"/>
  <c r="K24" i="66"/>
  <c r="K23" i="66"/>
  <c r="K21" i="66"/>
  <c r="K20" i="66"/>
  <c r="K19" i="66"/>
  <c r="K18" i="66"/>
  <c r="K15" i="66"/>
  <c r="K14" i="66"/>
  <c r="K13" i="66"/>
  <c r="K12" i="66"/>
  <c r="K11" i="66"/>
  <c r="K10" i="66"/>
  <c r="K9" i="66"/>
  <c r="K8" i="66"/>
  <c r="K7" i="66"/>
  <c r="K6" i="66"/>
  <c r="H146" i="66" l="1"/>
  <c r="K93" i="66"/>
  <c r="I123" i="66"/>
  <c r="K114" i="66"/>
  <c r="F120" i="66"/>
  <c r="H123" i="66"/>
  <c r="G123" i="66"/>
  <c r="K126" i="66"/>
  <c r="G126" i="66"/>
  <c r="H143" i="66"/>
  <c r="H130" i="66"/>
  <c r="G143" i="66"/>
  <c r="J33" i="66"/>
  <c r="L33" i="66" s="1"/>
  <c r="L36" i="66"/>
  <c r="M33" i="45"/>
  <c r="K68" i="66"/>
  <c r="K84" i="66" s="1"/>
  <c r="J81" i="66"/>
  <c r="I118" i="66"/>
  <c r="I130" i="66"/>
  <c r="H148" i="66"/>
  <c r="K156" i="66"/>
  <c r="J10" i="66"/>
  <c r="L10" i="66" s="1"/>
  <c r="K52" i="66"/>
  <c r="K67" i="66"/>
  <c r="K110" i="66"/>
  <c r="F118" i="66"/>
  <c r="J129" i="66"/>
  <c r="F143" i="66"/>
  <c r="H147" i="66"/>
  <c r="J150" i="66"/>
  <c r="L150" i="66" s="1"/>
  <c r="L37" i="66"/>
  <c r="M34" i="45"/>
  <c r="L83" i="66"/>
  <c r="M77" i="45"/>
  <c r="N77" i="45" s="1"/>
  <c r="H145" i="66"/>
  <c r="G154" i="66"/>
  <c r="K90" i="66"/>
  <c r="G114" i="66"/>
  <c r="K22" i="66"/>
  <c r="I67" i="66"/>
  <c r="H93" i="66"/>
  <c r="H118" i="66"/>
  <c r="G118" i="66"/>
  <c r="L117" i="66"/>
  <c r="J122" i="66"/>
  <c r="I126" i="66"/>
  <c r="F145" i="66"/>
  <c r="F146" i="66"/>
  <c r="F147" i="66"/>
  <c r="F148" i="66"/>
  <c r="L120" i="66"/>
  <c r="F155" i="66"/>
  <c r="K43" i="66"/>
  <c r="F93" i="66"/>
  <c r="K118" i="66"/>
  <c r="H120" i="66"/>
  <c r="J121" i="66"/>
  <c r="M111" i="45" s="1"/>
  <c r="F126" i="66"/>
  <c r="L149" i="66"/>
  <c r="H155" i="66"/>
  <c r="L107" i="45"/>
  <c r="H151" i="66"/>
  <c r="F151" i="66"/>
  <c r="G151" i="66"/>
  <c r="I151" i="66"/>
  <c r="J9" i="66"/>
  <c r="L9" i="66" s="1"/>
  <c r="J153" i="66"/>
  <c r="L153" i="66" s="1"/>
  <c r="K31" i="66"/>
  <c r="I43" i="66"/>
  <c r="J8" i="66"/>
  <c r="L8" i="66" s="1"/>
  <c r="J34" i="66"/>
  <c r="K59" i="66"/>
  <c r="I90" i="66"/>
  <c r="J82" i="66"/>
  <c r="H102" i="66"/>
  <c r="G102" i="66"/>
  <c r="J141" i="66"/>
  <c r="F144" i="66"/>
  <c r="H144" i="66"/>
  <c r="G144" i="66"/>
  <c r="H152" i="66"/>
  <c r="F152" i="66"/>
  <c r="G152" i="66"/>
  <c r="I102" i="66"/>
  <c r="J115" i="66"/>
  <c r="M104" i="45" s="1"/>
  <c r="G130" i="66"/>
  <c r="J128" i="66"/>
  <c r="J79" i="66"/>
  <c r="J80" i="66"/>
  <c r="M74" i="45" s="1"/>
  <c r="K105" i="66"/>
  <c r="I94" i="66"/>
  <c r="J103" i="66"/>
  <c r="H114" i="66"/>
  <c r="H142" i="66"/>
  <c r="F142" i="66"/>
  <c r="J116" i="66"/>
  <c r="J124" i="66"/>
  <c r="M114" i="45" s="1"/>
  <c r="I142" i="66"/>
  <c r="F154" i="66"/>
  <c r="H154" i="66"/>
  <c r="G93" i="66"/>
  <c r="J112" i="66"/>
  <c r="F123" i="66"/>
  <c r="I145" i="66"/>
  <c r="I146" i="66"/>
  <c r="I147" i="66"/>
  <c r="I148" i="66"/>
  <c r="I155" i="66"/>
  <c r="J63" i="66" l="1"/>
  <c r="L63" i="66" s="1"/>
  <c r="J130" i="66"/>
  <c r="M121" i="45" s="1"/>
  <c r="J17" i="66"/>
  <c r="M15" i="45" s="1"/>
  <c r="J39" i="66"/>
  <c r="J146" i="66"/>
  <c r="L146" i="66" s="1"/>
  <c r="J46" i="66"/>
  <c r="L46" i="66" s="1"/>
  <c r="J44" i="66"/>
  <c r="M40" i="45" s="1"/>
  <c r="J125" i="66"/>
  <c r="L125" i="66" s="1"/>
  <c r="L121" i="66"/>
  <c r="J35" i="66"/>
  <c r="L35" i="66" s="1"/>
  <c r="J48" i="66"/>
  <c r="L48" i="66" s="1"/>
  <c r="J86" i="66"/>
  <c r="L86" i="66" s="1"/>
  <c r="J55" i="66"/>
  <c r="G59" i="66"/>
  <c r="I110" i="66"/>
  <c r="J38" i="66"/>
  <c r="M35" i="45" s="1"/>
  <c r="J143" i="66"/>
  <c r="L143" i="66" s="1"/>
  <c r="J155" i="66"/>
  <c r="L155" i="66" s="1"/>
  <c r="J145" i="66"/>
  <c r="L145" i="66" s="1"/>
  <c r="J50" i="66"/>
  <c r="I105" i="66"/>
  <c r="J26" i="66"/>
  <c r="M24" i="45" s="1"/>
  <c r="J40" i="66"/>
  <c r="L40" i="66" s="1"/>
  <c r="H67" i="66"/>
  <c r="H52" i="66"/>
  <c r="F52" i="66"/>
  <c r="J51" i="66"/>
  <c r="M46" i="45" s="1"/>
  <c r="J27" i="66"/>
  <c r="M25" i="45" s="1"/>
  <c r="J13" i="66"/>
  <c r="M11" i="45" s="1"/>
  <c r="J148" i="66"/>
  <c r="L148" i="66" s="1"/>
  <c r="J66" i="66"/>
  <c r="L66" i="66" s="1"/>
  <c r="J49" i="66"/>
  <c r="J19" i="66"/>
  <c r="L19" i="66" s="1"/>
  <c r="J16" i="66"/>
  <c r="M14" i="45" s="1"/>
  <c r="J64" i="66"/>
  <c r="N107" i="45"/>
  <c r="O109" i="45"/>
  <c r="N109" i="45"/>
  <c r="L79" i="66"/>
  <c r="M73" i="45"/>
  <c r="L51" i="66"/>
  <c r="J109" i="66"/>
  <c r="J24" i="66"/>
  <c r="L81" i="66"/>
  <c r="M75" i="45"/>
  <c r="N75" i="45" s="1"/>
  <c r="J98" i="66"/>
  <c r="J96" i="66"/>
  <c r="J142" i="66"/>
  <c r="L142" i="66" s="1"/>
  <c r="J107" i="66"/>
  <c r="L103" i="66"/>
  <c r="M94" i="45"/>
  <c r="L50" i="66"/>
  <c r="M45" i="45"/>
  <c r="M42" i="45"/>
  <c r="L34" i="66"/>
  <c r="M31" i="45"/>
  <c r="M17" i="45"/>
  <c r="L38" i="66"/>
  <c r="J61" i="66"/>
  <c r="H126" i="66"/>
  <c r="L55" i="66"/>
  <c r="M50" i="45"/>
  <c r="G110" i="66"/>
  <c r="L82" i="66"/>
  <c r="M76" i="45"/>
  <c r="G156" i="66"/>
  <c r="F31" i="66"/>
  <c r="L116" i="66"/>
  <c r="M105" i="45"/>
  <c r="L122" i="66"/>
  <c r="M112" i="45"/>
  <c r="H110" i="66"/>
  <c r="J47" i="66"/>
  <c r="J123" i="66"/>
  <c r="L123" i="66" s="1"/>
  <c r="G94" i="66"/>
  <c r="G105" i="66" s="1"/>
  <c r="I59" i="66"/>
  <c r="J41" i="66"/>
  <c r="H31" i="66"/>
  <c r="J12" i="66"/>
  <c r="G31" i="66"/>
  <c r="J60" i="66"/>
  <c r="L60" i="66" s="1"/>
  <c r="J58" i="66"/>
  <c r="J14" i="66"/>
  <c r="J25" i="66"/>
  <c r="H22" i="66"/>
  <c r="H156" i="66"/>
  <c r="K131" i="66"/>
  <c r="K159" i="66" s="1"/>
  <c r="J151" i="66"/>
  <c r="J147" i="66"/>
  <c r="L147" i="66" s="1"/>
  <c r="F67" i="66"/>
  <c r="J89" i="66"/>
  <c r="H90" i="66"/>
  <c r="J45" i="66"/>
  <c r="J7" i="66"/>
  <c r="J42" i="66"/>
  <c r="J29" i="66"/>
  <c r="J15" i="66"/>
  <c r="J62" i="66"/>
  <c r="J78" i="66"/>
  <c r="L124" i="66"/>
  <c r="G67" i="66"/>
  <c r="J65" i="66"/>
  <c r="L141" i="66"/>
  <c r="I31" i="66"/>
  <c r="I68" i="66"/>
  <c r="I84" i="66" s="1"/>
  <c r="J100" i="66"/>
  <c r="J53" i="66"/>
  <c r="M48" i="45" s="1"/>
  <c r="F59" i="66"/>
  <c r="J101" i="66"/>
  <c r="F156" i="66"/>
  <c r="J104" i="66"/>
  <c r="F102" i="66"/>
  <c r="J102" i="66" s="1"/>
  <c r="M93" i="45" s="1"/>
  <c r="J32" i="66"/>
  <c r="M30" i="45" s="1"/>
  <c r="F43" i="66"/>
  <c r="J21" i="66"/>
  <c r="L112" i="66"/>
  <c r="I156" i="66"/>
  <c r="J99" i="66"/>
  <c r="J97" i="66"/>
  <c r="F94" i="66"/>
  <c r="J95" i="66"/>
  <c r="J113" i="66"/>
  <c r="J106" i="66"/>
  <c r="F110" i="66"/>
  <c r="J56" i="66"/>
  <c r="M51" i="45" s="1"/>
  <c r="J54" i="66"/>
  <c r="J152" i="66"/>
  <c r="J144" i="66"/>
  <c r="L144" i="66" s="1"/>
  <c r="F114" i="66"/>
  <c r="J85" i="66"/>
  <c r="M79" i="45" s="1"/>
  <c r="F90" i="66"/>
  <c r="I52" i="66"/>
  <c r="J87" i="66"/>
  <c r="J73" i="66"/>
  <c r="M67" i="45" s="1"/>
  <c r="J71" i="66"/>
  <c r="J69" i="66"/>
  <c r="M63" i="45" s="1"/>
  <c r="F68" i="66"/>
  <c r="F84" i="66" s="1"/>
  <c r="J57" i="66"/>
  <c r="J18" i="66"/>
  <c r="J77" i="66"/>
  <c r="M71" i="45" s="1"/>
  <c r="G52" i="66"/>
  <c r="J28" i="66"/>
  <c r="J72" i="66"/>
  <c r="J70" i="66"/>
  <c r="J23" i="66"/>
  <c r="M21" i="45" s="1"/>
  <c r="J11" i="66"/>
  <c r="J74" i="66"/>
  <c r="H43" i="66"/>
  <c r="F22" i="66"/>
  <c r="H94" i="66"/>
  <c r="H105" i="66" s="1"/>
  <c r="G43" i="66"/>
  <c r="J118" i="66"/>
  <c r="L118" i="66" s="1"/>
  <c r="L115" i="66"/>
  <c r="G68" i="66"/>
  <c r="J88" i="66"/>
  <c r="L88" i="66" s="1"/>
  <c r="J154" i="66"/>
  <c r="J91" i="66"/>
  <c r="M84" i="45" s="1"/>
  <c r="H59" i="66"/>
  <c r="J108" i="66"/>
  <c r="G90" i="66"/>
  <c r="I22" i="66"/>
  <c r="J6" i="66"/>
  <c r="M6" i="45" s="1"/>
  <c r="J75" i="66"/>
  <c r="H68" i="66"/>
  <c r="H84" i="66" s="1"/>
  <c r="J20" i="66"/>
  <c r="J30" i="66"/>
  <c r="G22" i="66"/>
  <c r="M80" i="45" l="1"/>
  <c r="M58" i="45"/>
  <c r="L44" i="66"/>
  <c r="L26" i="66"/>
  <c r="L13" i="66"/>
  <c r="G84" i="66"/>
  <c r="G131" i="66" s="1"/>
  <c r="G159" i="66" s="1"/>
  <c r="J126" i="66"/>
  <c r="L126" i="66" s="1"/>
  <c r="M115" i="45"/>
  <c r="M32" i="45"/>
  <c r="J52" i="66"/>
  <c r="L52" i="66" s="1"/>
  <c r="M44" i="45"/>
  <c r="L87" i="66"/>
  <c r="M81" i="45"/>
  <c r="N81" i="45" s="1"/>
  <c r="M60" i="45"/>
  <c r="M36" i="45"/>
  <c r="I131" i="66"/>
  <c r="I159" i="66" s="1"/>
  <c r="L70" i="66"/>
  <c r="M64" i="45"/>
  <c r="J94" i="66"/>
  <c r="L101" i="66"/>
  <c r="M92" i="45"/>
  <c r="L65" i="66"/>
  <c r="M59" i="45"/>
  <c r="L62" i="66"/>
  <c r="M57" i="45"/>
  <c r="L7" i="66"/>
  <c r="M7" i="45"/>
  <c r="L14" i="66"/>
  <c r="M12" i="45"/>
  <c r="L12" i="66"/>
  <c r="M10" i="45"/>
  <c r="L96" i="66"/>
  <c r="M88" i="45"/>
  <c r="L24" i="66"/>
  <c r="M22" i="45"/>
  <c r="L20" i="66"/>
  <c r="M18" i="45"/>
  <c r="L74" i="66"/>
  <c r="M68" i="45"/>
  <c r="L72" i="66"/>
  <c r="M66" i="45"/>
  <c r="L18" i="66"/>
  <c r="M16" i="45"/>
  <c r="L71" i="66"/>
  <c r="M65" i="45"/>
  <c r="M97" i="45"/>
  <c r="J110" i="66"/>
  <c r="L110" i="66" s="1"/>
  <c r="L97" i="66"/>
  <c r="M89" i="45"/>
  <c r="L21" i="66"/>
  <c r="M19" i="45"/>
  <c r="L15" i="66"/>
  <c r="M13" i="45"/>
  <c r="L45" i="66"/>
  <c r="M41" i="45"/>
  <c r="L58" i="66"/>
  <c r="M53" i="45"/>
  <c r="L98" i="66"/>
  <c r="M90" i="45"/>
  <c r="L109" i="66"/>
  <c r="M99" i="45"/>
  <c r="L30" i="66"/>
  <c r="M28" i="45"/>
  <c r="L75" i="66"/>
  <c r="M69" i="45"/>
  <c r="L11" i="66"/>
  <c r="M8" i="45"/>
  <c r="L28" i="66"/>
  <c r="M26" i="45"/>
  <c r="L57" i="66"/>
  <c r="M52" i="45"/>
  <c r="L54" i="66"/>
  <c r="M49" i="45"/>
  <c r="L104" i="66"/>
  <c r="M95" i="45"/>
  <c r="J156" i="66"/>
  <c r="L156" i="66" s="1"/>
  <c r="L29" i="66"/>
  <c r="M27" i="45"/>
  <c r="J67" i="66"/>
  <c r="L67" i="66" s="1"/>
  <c r="M55" i="45"/>
  <c r="L41" i="66"/>
  <c r="M37" i="45"/>
  <c r="L47" i="66"/>
  <c r="M43" i="45"/>
  <c r="L61" i="66"/>
  <c r="M56" i="45"/>
  <c r="L95" i="66"/>
  <c r="M87" i="45"/>
  <c r="L100" i="66"/>
  <c r="M91" i="45"/>
  <c r="L78" i="66"/>
  <c r="M72" i="45"/>
  <c r="L42" i="66"/>
  <c r="M38" i="45"/>
  <c r="L89" i="66"/>
  <c r="M82" i="45"/>
  <c r="L25" i="66"/>
  <c r="M23" i="45"/>
  <c r="H131" i="66"/>
  <c r="H159" i="66" s="1"/>
  <c r="L114" i="66"/>
  <c r="M102" i="45"/>
  <c r="L151" i="66"/>
  <c r="L154" i="66"/>
  <c r="L108" i="66"/>
  <c r="M98" i="45"/>
  <c r="L152" i="66"/>
  <c r="J114" i="66"/>
  <c r="J93" i="66"/>
  <c r="L93" i="66" s="1"/>
  <c r="L91" i="66"/>
  <c r="L23" i="66"/>
  <c r="J31" i="66"/>
  <c r="L31" i="66" s="1"/>
  <c r="L53" i="66"/>
  <c r="J59" i="66"/>
  <c r="L59" i="66" s="1"/>
  <c r="L77" i="66"/>
  <c r="J76" i="66"/>
  <c r="F105" i="66"/>
  <c r="F131" i="66" s="1"/>
  <c r="F159" i="66" s="1"/>
  <c r="L32" i="66"/>
  <c r="J43" i="66"/>
  <c r="L43" i="66" s="1"/>
  <c r="L6" i="66"/>
  <c r="J22" i="66"/>
  <c r="L85" i="66"/>
  <c r="J90" i="66"/>
  <c r="L90" i="66" s="1"/>
  <c r="J68" i="66"/>
  <c r="L69" i="66"/>
  <c r="L106" i="66"/>
  <c r="M100" i="45" l="1"/>
  <c r="L76" i="66"/>
  <c r="M70" i="45"/>
  <c r="J105" i="66"/>
  <c r="M86" i="45"/>
  <c r="M96" i="45" s="1"/>
  <c r="L22" i="66"/>
  <c r="J84" i="66"/>
  <c r="L84" i="66" s="1"/>
  <c r="L68" i="66"/>
  <c r="J131" i="66" l="1"/>
  <c r="L131" i="66" s="1"/>
  <c r="J159" i="66" l="1"/>
  <c r="M159" i="66" s="1"/>
  <c r="L159" i="66" l="1"/>
  <c r="B30" i="65" l="1"/>
  <c r="C30" i="65"/>
  <c r="B31" i="65" l="1"/>
  <c r="E31" i="65" s="1"/>
  <c r="E30" i="65"/>
  <c r="M30" i="65"/>
  <c r="D30" i="65"/>
  <c r="C31" i="65"/>
  <c r="D31" i="65"/>
  <c r="F31" i="65" l="1"/>
  <c r="G31" i="65" s="1"/>
  <c r="G115" i="45" s="1"/>
  <c r="F30" i="65"/>
  <c r="L105" i="45"/>
  <c r="O105" i="45" l="1"/>
  <c r="N105" i="45"/>
  <c r="L104" i="45"/>
  <c r="N104" i="45" l="1"/>
  <c r="L108" i="45"/>
  <c r="H110" i="45"/>
  <c r="H119" i="45" l="1"/>
  <c r="K139" i="45" l="1"/>
  <c r="J139" i="45"/>
  <c r="I139" i="45"/>
  <c r="H139" i="45"/>
  <c r="I142" i="45"/>
  <c r="J142" i="45"/>
  <c r="K142" i="45"/>
  <c r="H142" i="45"/>
  <c r="K136" i="45"/>
  <c r="H137" i="45"/>
  <c r="H141" i="45"/>
  <c r="J144" i="45"/>
  <c r="J140" i="45" l="1"/>
  <c r="L139" i="45"/>
  <c r="L142" i="45"/>
  <c r="J136" i="45"/>
  <c r="H144" i="45"/>
  <c r="H140" i="45"/>
  <c r="H136" i="45"/>
  <c r="I136" i="45"/>
  <c r="I144" i="45"/>
  <c r="I140" i="45"/>
  <c r="K141" i="45"/>
  <c r="J141" i="45"/>
  <c r="J137" i="45"/>
  <c r="K144" i="45"/>
  <c r="I141" i="45"/>
  <c r="K140" i="45"/>
  <c r="I137" i="45"/>
  <c r="K137" i="45"/>
  <c r="H135" i="45"/>
  <c r="O139" i="45" l="1"/>
  <c r="N139" i="45"/>
  <c r="O142" i="45"/>
  <c r="N142" i="45"/>
  <c r="M145" i="45"/>
  <c r="K134" i="45"/>
  <c r="H134" i="45"/>
  <c r="I134" i="45"/>
  <c r="J134" i="45"/>
  <c r="I135" i="45"/>
  <c r="K135" i="45"/>
  <c r="J135" i="45"/>
  <c r="L144" i="45"/>
  <c r="L136" i="45"/>
  <c r="N136" i="45" s="1"/>
  <c r="L140" i="45"/>
  <c r="L141" i="45"/>
  <c r="L137" i="45"/>
  <c r="O137" i="45" l="1"/>
  <c r="N137" i="45"/>
  <c r="O144" i="45"/>
  <c r="N144" i="45"/>
  <c r="O140" i="45"/>
  <c r="N140" i="45"/>
  <c r="O141" i="45"/>
  <c r="N141" i="45"/>
  <c r="O136" i="45"/>
  <c r="L135" i="45"/>
  <c r="L134" i="45"/>
  <c r="J130" i="45"/>
  <c r="I133" i="45"/>
  <c r="H132" i="45"/>
  <c r="K132" i="45"/>
  <c r="O135" i="45" l="1"/>
  <c r="N135" i="45"/>
  <c r="O134" i="45"/>
  <c r="N134" i="45"/>
  <c r="I130" i="45"/>
  <c r="H133" i="45"/>
  <c r="K130" i="45"/>
  <c r="I132" i="45"/>
  <c r="K133" i="45"/>
  <c r="J133" i="45"/>
  <c r="J132" i="45"/>
  <c r="I131" i="45"/>
  <c r="J131" i="45"/>
  <c r="L130" i="45" l="1"/>
  <c r="N130" i="45" s="1"/>
  <c r="L132" i="45"/>
  <c r="L133" i="45"/>
  <c r="H131" i="45"/>
  <c r="K131" i="45"/>
  <c r="O132" i="45" l="1"/>
  <c r="N132" i="45"/>
  <c r="O133" i="45"/>
  <c r="N133" i="45"/>
  <c r="O130" i="45"/>
  <c r="L131" i="45"/>
  <c r="O131" i="45" l="1"/>
  <c r="N131" i="45"/>
  <c r="L94" i="45" l="1"/>
  <c r="N94" i="45" s="1"/>
  <c r="J99" i="60"/>
  <c r="E101" i="60"/>
  <c r="K116" i="60" l="1"/>
  <c r="K137" i="60" s="1"/>
  <c r="K142" i="60" s="1"/>
  <c r="I103" i="60"/>
  <c r="F103" i="60"/>
  <c r="E96" i="60"/>
  <c r="J89" i="60"/>
  <c r="E88" i="60"/>
  <c r="E87" i="60"/>
  <c r="J84" i="60"/>
  <c r="E82" i="60"/>
  <c r="E80" i="60"/>
  <c r="E79" i="60"/>
  <c r="E78" i="60"/>
  <c r="I76" i="60"/>
  <c r="H76" i="60"/>
  <c r="G76" i="60"/>
  <c r="E73" i="60"/>
  <c r="E72" i="60"/>
  <c r="E71" i="60"/>
  <c r="E70" i="60"/>
  <c r="J68" i="60"/>
  <c r="L68" i="60" s="1"/>
  <c r="E66" i="60"/>
  <c r="E65" i="60"/>
  <c r="E63" i="60"/>
  <c r="E61" i="60"/>
  <c r="E60" i="60"/>
  <c r="E59" i="60"/>
  <c r="E58" i="60"/>
  <c r="E57" i="60"/>
  <c r="E56" i="60"/>
  <c r="E53" i="60"/>
  <c r="E51" i="60"/>
  <c r="E50" i="60"/>
  <c r="E49" i="60"/>
  <c r="E48" i="60"/>
  <c r="E46" i="60"/>
  <c r="E45" i="60"/>
  <c r="E44" i="60"/>
  <c r="E43" i="60"/>
  <c r="E42" i="60"/>
  <c r="E40" i="60"/>
  <c r="E39" i="60"/>
  <c r="E38" i="60"/>
  <c r="E37" i="60"/>
  <c r="E36" i="60"/>
  <c r="E35" i="60"/>
  <c r="E33" i="60"/>
  <c r="E32" i="60"/>
  <c r="E31" i="60"/>
  <c r="E30" i="60"/>
  <c r="E29" i="60"/>
  <c r="E28" i="60"/>
  <c r="E26" i="60"/>
  <c r="E25" i="60"/>
  <c r="E24" i="60"/>
  <c r="E23" i="60"/>
  <c r="E22" i="60"/>
  <c r="E21" i="60"/>
  <c r="E20" i="60"/>
  <c r="E18" i="60"/>
  <c r="E16" i="60"/>
  <c r="E15" i="60"/>
  <c r="E14" i="60"/>
  <c r="E13" i="60"/>
  <c r="E12" i="60"/>
  <c r="E11" i="60"/>
  <c r="E10" i="60"/>
  <c r="E9" i="60"/>
  <c r="E8" i="60"/>
  <c r="E7" i="60"/>
  <c r="E6" i="60"/>
  <c r="J93" i="60" l="1"/>
  <c r="L93" i="60" s="1"/>
  <c r="J49" i="60"/>
  <c r="J16" i="60"/>
  <c r="L16" i="60" s="1"/>
  <c r="J113" i="60"/>
  <c r="L113" i="60" s="1"/>
  <c r="J95" i="60"/>
  <c r="L95" i="60" s="1"/>
  <c r="J21" i="60"/>
  <c r="L21" i="60" s="1"/>
  <c r="J11" i="60"/>
  <c r="J75" i="60"/>
  <c r="J110" i="60"/>
  <c r="L110" i="60" s="1"/>
  <c r="J127" i="60"/>
  <c r="J128" i="60"/>
  <c r="J131" i="60"/>
  <c r="J29" i="60"/>
  <c r="J37" i="60"/>
  <c r="L84" i="60"/>
  <c r="F76" i="60"/>
  <c r="J67" i="60"/>
  <c r="J85" i="60"/>
  <c r="J94" i="60"/>
  <c r="L94" i="60" s="1"/>
  <c r="J91" i="60"/>
  <c r="J103" i="60"/>
  <c r="L103" i="60" s="1"/>
  <c r="J105" i="60"/>
  <c r="J129" i="60"/>
  <c r="J90" i="60"/>
  <c r="L90" i="60" s="1"/>
  <c r="J92" i="60"/>
  <c r="L92" i="60" s="1"/>
  <c r="J101" i="60"/>
  <c r="J126" i="60"/>
  <c r="J135" i="60"/>
  <c r="J140" i="60"/>
  <c r="E68" i="60"/>
  <c r="J30" i="60"/>
  <c r="J36" i="60"/>
  <c r="J50" i="60"/>
  <c r="E55" i="60"/>
  <c r="E62" i="60"/>
  <c r="J96" i="60"/>
  <c r="J112" i="60"/>
  <c r="J139" i="60"/>
  <c r="I74" i="60"/>
  <c r="J104" i="60"/>
  <c r="J109" i="60"/>
  <c r="J64" i="60" l="1"/>
  <c r="L64" i="60" s="1"/>
  <c r="G74" i="60"/>
  <c r="J42" i="60"/>
  <c r="L42" i="60" s="1"/>
  <c r="G34" i="60"/>
  <c r="F55" i="60"/>
  <c r="L29" i="60"/>
  <c r="J79" i="60"/>
  <c r="L79" i="60" s="1"/>
  <c r="J15" i="60"/>
  <c r="J57" i="60"/>
  <c r="J65" i="60"/>
  <c r="L65" i="60" s="1"/>
  <c r="H55" i="60"/>
  <c r="H69" i="60" s="1"/>
  <c r="J25" i="60"/>
  <c r="L25" i="60" s="1"/>
  <c r="J61" i="60"/>
  <c r="L61" i="60" s="1"/>
  <c r="F74" i="60"/>
  <c r="J82" i="60"/>
  <c r="L82" i="60" s="1"/>
  <c r="J72" i="60"/>
  <c r="J24" i="60"/>
  <c r="L24" i="60" s="1"/>
  <c r="J53" i="60"/>
  <c r="L53" i="60" s="1"/>
  <c r="J26" i="60"/>
  <c r="G19" i="60"/>
  <c r="J33" i="60"/>
  <c r="L33" i="60" s="1"/>
  <c r="J9" i="60"/>
  <c r="L9" i="60" s="1"/>
  <c r="J35" i="60"/>
  <c r="J44" i="60"/>
  <c r="J31" i="60"/>
  <c r="J18" i="60"/>
  <c r="L18" i="60" s="1"/>
  <c r="J76" i="60"/>
  <c r="J63" i="60"/>
  <c r="J23" i="60"/>
  <c r="G55" i="60"/>
  <c r="J58" i="60"/>
  <c r="J40" i="60"/>
  <c r="J8" i="60"/>
  <c r="M85" i="45"/>
  <c r="L101" i="60"/>
  <c r="M103" i="45"/>
  <c r="J114" i="60"/>
  <c r="J7" i="60"/>
  <c r="J73" i="60"/>
  <c r="L73" i="60" s="1"/>
  <c r="I47" i="60"/>
  <c r="J66" i="60"/>
  <c r="J60" i="60"/>
  <c r="J22" i="60"/>
  <c r="I27" i="60"/>
  <c r="E75" i="60"/>
  <c r="J14" i="60"/>
  <c r="L14" i="60" s="1"/>
  <c r="G47" i="60"/>
  <c r="J51" i="60"/>
  <c r="J13" i="60"/>
  <c r="J87" i="60"/>
  <c r="J10" i="60"/>
  <c r="L10" i="60" s="1"/>
  <c r="J106" i="60"/>
  <c r="G27" i="60"/>
  <c r="J45" i="60"/>
  <c r="L45" i="60" s="1"/>
  <c r="J46" i="60"/>
  <c r="L46" i="60" s="1"/>
  <c r="J111" i="60"/>
  <c r="J32" i="60"/>
  <c r="J38" i="60"/>
  <c r="J12" i="60"/>
  <c r="J6" i="60"/>
  <c r="J70" i="60"/>
  <c r="L70" i="60" s="1"/>
  <c r="L75" i="60"/>
  <c r="J39" i="60"/>
  <c r="J43" i="60"/>
  <c r="J88" i="60"/>
  <c r="J125" i="60"/>
  <c r="L105" i="60"/>
  <c r="L11" i="60"/>
  <c r="L104" i="60"/>
  <c r="L36" i="60"/>
  <c r="L30" i="60"/>
  <c r="L85" i="60"/>
  <c r="L37" i="60"/>
  <c r="L49" i="60"/>
  <c r="L67" i="60"/>
  <c r="H74" i="60"/>
  <c r="J83" i="60"/>
  <c r="J134" i="60"/>
  <c r="L96" i="60"/>
  <c r="L109" i="60"/>
  <c r="L112" i="60"/>
  <c r="J28" i="60"/>
  <c r="F34" i="60"/>
  <c r="E100" i="60"/>
  <c r="E102" i="60" s="1"/>
  <c r="I19" i="60"/>
  <c r="J80" i="60"/>
  <c r="H27" i="60"/>
  <c r="F27" i="60"/>
  <c r="J71" i="60"/>
  <c r="J48" i="60"/>
  <c r="J133" i="60"/>
  <c r="H34" i="60"/>
  <c r="J56" i="60"/>
  <c r="I55" i="60"/>
  <c r="J20" i="60"/>
  <c r="J78" i="60"/>
  <c r="F19" i="60"/>
  <c r="I34" i="60"/>
  <c r="J59" i="60"/>
  <c r="F47" i="60"/>
  <c r="H47" i="60"/>
  <c r="I69" i="60" l="1"/>
  <c r="F69" i="60"/>
  <c r="G69" i="60"/>
  <c r="L15" i="60"/>
  <c r="L72" i="60"/>
  <c r="J130" i="60"/>
  <c r="L63" i="60"/>
  <c r="L57" i="60"/>
  <c r="L23" i="60"/>
  <c r="L87" i="60"/>
  <c r="L40" i="60"/>
  <c r="J62" i="60"/>
  <c r="L35" i="60"/>
  <c r="L66" i="60"/>
  <c r="J107" i="60"/>
  <c r="J108" i="60" s="1"/>
  <c r="L58" i="60"/>
  <c r="L8" i="60"/>
  <c r="J27" i="60"/>
  <c r="J17" i="60"/>
  <c r="J41" i="60"/>
  <c r="L60" i="60"/>
  <c r="J47" i="60"/>
  <c r="J97" i="60"/>
  <c r="J132" i="60"/>
  <c r="J55" i="60"/>
  <c r="J74" i="60"/>
  <c r="J34" i="60"/>
  <c r="L80" i="60"/>
  <c r="L32" i="60"/>
  <c r="L31" i="60"/>
  <c r="L50" i="60"/>
  <c r="L26" i="60"/>
  <c r="L43" i="60"/>
  <c r="L22" i="60"/>
  <c r="L13" i="60"/>
  <c r="L51" i="60"/>
  <c r="H19" i="60"/>
  <c r="L38" i="60"/>
  <c r="L59" i="60"/>
  <c r="L44" i="60"/>
  <c r="L71" i="60"/>
  <c r="L7" i="60"/>
  <c r="L39" i="60"/>
  <c r="L12" i="60"/>
  <c r="L20" i="60"/>
  <c r="L6" i="60"/>
  <c r="L78" i="60"/>
  <c r="L48" i="60"/>
  <c r="L28" i="60"/>
  <c r="L56" i="60"/>
  <c r="J136" i="60" l="1"/>
  <c r="J69" i="60"/>
  <c r="M39" i="45"/>
  <c r="L107" i="60"/>
  <c r="M47" i="45"/>
  <c r="M62" i="45"/>
  <c r="M78" i="45" s="1"/>
  <c r="L17" i="60"/>
  <c r="E17" i="60"/>
  <c r="J19" i="60"/>
  <c r="M54" i="45"/>
  <c r="M20" i="45"/>
  <c r="J100" i="60"/>
  <c r="J102" i="60" s="1"/>
  <c r="E81" i="60" l="1"/>
  <c r="H86" i="60" l="1"/>
  <c r="E77" i="60"/>
  <c r="F86" i="60"/>
  <c r="G86" i="60"/>
  <c r="J81" i="60" l="1"/>
  <c r="I86" i="60"/>
  <c r="L81" i="60" l="1"/>
  <c r="J77" i="60"/>
  <c r="J86" i="60" s="1"/>
  <c r="E52" i="60" l="1"/>
  <c r="I54" i="60" l="1"/>
  <c r="I137" i="60" s="1"/>
  <c r="I142" i="60" s="1"/>
  <c r="G54" i="60" l="1"/>
  <c r="G137" i="60" s="1"/>
  <c r="G142" i="60" s="1"/>
  <c r="F54" i="60"/>
  <c r="J52" i="60"/>
  <c r="J54" i="60" s="1"/>
  <c r="H54" i="60"/>
  <c r="H137" i="60" s="1"/>
  <c r="H142" i="60" s="1"/>
  <c r="J116" i="60" l="1"/>
  <c r="J137" i="60" s="1"/>
  <c r="F137" i="60"/>
  <c r="F142" i="60" s="1"/>
  <c r="L52" i="60"/>
  <c r="M61" i="45"/>
  <c r="L116" i="60" l="1"/>
  <c r="J142" i="60"/>
  <c r="L142" i="60" s="1"/>
  <c r="L137" i="60"/>
  <c r="M83" i="45" l="1"/>
  <c r="L93" i="45" l="1"/>
  <c r="N93" i="45" s="1"/>
  <c r="K119" i="45"/>
  <c r="L110" i="45"/>
  <c r="L25" i="45"/>
  <c r="L95" i="45"/>
  <c r="N95" i="45" s="1"/>
  <c r="O110" i="45" l="1"/>
  <c r="N110" i="45"/>
  <c r="O25" i="45"/>
  <c r="N25" i="45"/>
  <c r="J119" i="45"/>
  <c r="L118" i="45"/>
  <c r="L119" i="45" l="1"/>
  <c r="N119" i="45" s="1"/>
  <c r="N118" i="45"/>
  <c r="I119" i="45"/>
  <c r="M108" i="45"/>
  <c r="M29" i="45" l="1"/>
  <c r="L22" i="45" l="1"/>
  <c r="N22" i="45" s="1"/>
  <c r="L33" i="45"/>
  <c r="O33" i="45" l="1"/>
  <c r="N33" i="45"/>
  <c r="L34" i="45"/>
  <c r="J103" i="45" l="1"/>
  <c r="I103" i="45"/>
  <c r="K103" i="45"/>
  <c r="O34" i="45"/>
  <c r="N34" i="45"/>
  <c r="L19" i="45"/>
  <c r="N19" i="45" s="1"/>
  <c r="L31" i="45"/>
  <c r="N31" i="45" s="1"/>
  <c r="L14" i="45"/>
  <c r="L17" i="45"/>
  <c r="N17" i="45" s="1"/>
  <c r="L15" i="45"/>
  <c r="K85" i="45"/>
  <c r="H103" i="45"/>
  <c r="L102" i="45"/>
  <c r="L26" i="45"/>
  <c r="N26" i="45" s="1"/>
  <c r="L76" i="45"/>
  <c r="N76" i="45" s="1"/>
  <c r="L74" i="45"/>
  <c r="L71" i="45"/>
  <c r="N71" i="45" s="1"/>
  <c r="H29" i="45"/>
  <c r="O74" i="45" l="1"/>
  <c r="N74" i="45"/>
  <c r="O14" i="45"/>
  <c r="N14" i="45"/>
  <c r="O15" i="45"/>
  <c r="N15" i="45"/>
  <c r="O102" i="45"/>
  <c r="N102" i="45"/>
  <c r="L41" i="45"/>
  <c r="O71" i="45"/>
  <c r="I85" i="45"/>
  <c r="J85" i="45"/>
  <c r="L7" i="45"/>
  <c r="N7" i="45" s="1"/>
  <c r="L98" i="45"/>
  <c r="N98" i="45" s="1"/>
  <c r="L53" i="45"/>
  <c r="N53" i="45" s="1"/>
  <c r="L8" i="45"/>
  <c r="N8" i="45" s="1"/>
  <c r="L50" i="45"/>
  <c r="N50" i="45" s="1"/>
  <c r="L6" i="45"/>
  <c r="N6" i="45" s="1"/>
  <c r="L49" i="45"/>
  <c r="N49" i="45" s="1"/>
  <c r="L48" i="45"/>
  <c r="N48" i="45" s="1"/>
  <c r="L37" i="45"/>
  <c r="N37" i="45" s="1"/>
  <c r="L103" i="45"/>
  <c r="N103" i="45" s="1"/>
  <c r="O103" i="45"/>
  <c r="L32" i="45"/>
  <c r="L67" i="45"/>
  <c r="L88" i="45"/>
  <c r="L35" i="45"/>
  <c r="N35" i="45" s="1"/>
  <c r="O32" i="45" l="1"/>
  <c r="N32" i="45"/>
  <c r="O8" i="45"/>
  <c r="O67" i="45"/>
  <c r="N67" i="45"/>
  <c r="O88" i="45"/>
  <c r="N88" i="45"/>
  <c r="O41" i="45"/>
  <c r="N41" i="45"/>
  <c r="L84" i="45"/>
  <c r="H85" i="45"/>
  <c r="L52" i="45"/>
  <c r="N52" i="45" s="1"/>
  <c r="L51" i="45"/>
  <c r="H54" i="45"/>
  <c r="L36" i="45"/>
  <c r="N36" i="45" s="1"/>
  <c r="L79" i="45"/>
  <c r="H83" i="45"/>
  <c r="O51" i="45" l="1"/>
  <c r="N51" i="45"/>
  <c r="N79" i="45"/>
  <c r="L85" i="45"/>
  <c r="N85" i="45" s="1"/>
  <c r="N84" i="45"/>
  <c r="L54" i="45"/>
  <c r="O84" i="45"/>
  <c r="H100" i="45"/>
  <c r="I108" i="45"/>
  <c r="K108" i="45"/>
  <c r="J108" i="45"/>
  <c r="O54" i="45" l="1"/>
  <c r="N54" i="45"/>
  <c r="H108" i="45"/>
  <c r="L112" i="45"/>
  <c r="M113" i="45"/>
  <c r="I110" i="45"/>
  <c r="K110" i="45"/>
  <c r="J110" i="45"/>
  <c r="O108" i="45" l="1"/>
  <c r="N108" i="45"/>
  <c r="O112" i="45"/>
  <c r="N112" i="45"/>
  <c r="J113" i="45"/>
  <c r="I113" i="45"/>
  <c r="H113" i="45"/>
  <c r="K113" i="45"/>
  <c r="L111" i="45" l="1"/>
  <c r="N111" i="45" s="1"/>
  <c r="L113" i="45" l="1"/>
  <c r="O111" i="45"/>
  <c r="O113" i="45" l="1"/>
  <c r="N113" i="45"/>
  <c r="M116" i="45"/>
  <c r="M120" i="45" s="1"/>
  <c r="M123" i="45" l="1"/>
  <c r="M148" i="45"/>
  <c r="O98" i="45"/>
  <c r="O77" i="45"/>
  <c r="I116" i="45" l="1"/>
  <c r="I100" i="45"/>
  <c r="G62" i="45"/>
  <c r="O17" i="45"/>
  <c r="O22" i="45"/>
  <c r="O95" i="45"/>
  <c r="O76" i="45"/>
  <c r="L89" i="45"/>
  <c r="O107" i="45"/>
  <c r="O49" i="45"/>
  <c r="O26" i="45"/>
  <c r="O104" i="45"/>
  <c r="L10" i="45"/>
  <c r="O85" i="45"/>
  <c r="O31" i="45"/>
  <c r="O35" i="45"/>
  <c r="L99" i="45"/>
  <c r="N99" i="45" s="1"/>
  <c r="L114" i="45"/>
  <c r="N114" i="45" s="1"/>
  <c r="K83" i="45"/>
  <c r="L57" i="45" l="1"/>
  <c r="N57" i="45" s="1"/>
  <c r="K61" i="45"/>
  <c r="L13" i="45"/>
  <c r="N13" i="45" s="1"/>
  <c r="K100" i="45"/>
  <c r="J116" i="45"/>
  <c r="L30" i="45"/>
  <c r="N30" i="45" s="1"/>
  <c r="K116" i="45"/>
  <c r="L42" i="45"/>
  <c r="O42" i="45" s="1"/>
  <c r="H20" i="45"/>
  <c r="L56" i="45"/>
  <c r="N56" i="45" s="1"/>
  <c r="H116" i="45"/>
  <c r="N10" i="45"/>
  <c r="O89" i="45"/>
  <c r="N89" i="45"/>
  <c r="L12" i="45"/>
  <c r="H61" i="45"/>
  <c r="L55" i="45"/>
  <c r="H62" i="45"/>
  <c r="H78" i="45" s="1"/>
  <c r="J100" i="45"/>
  <c r="J20" i="45"/>
  <c r="I86" i="45"/>
  <c r="I96" i="45" s="1"/>
  <c r="J86" i="45"/>
  <c r="J96" i="45" s="1"/>
  <c r="I20" i="45"/>
  <c r="K86" i="45"/>
  <c r="K96" i="45" s="1"/>
  <c r="L43" i="45"/>
  <c r="K20" i="45"/>
  <c r="H86" i="45"/>
  <c r="L91" i="45"/>
  <c r="L97" i="45"/>
  <c r="H39" i="45"/>
  <c r="O99" i="45"/>
  <c r="L82" i="45"/>
  <c r="L72" i="45"/>
  <c r="N72" i="45" s="1"/>
  <c r="L66" i="45"/>
  <c r="L58" i="45"/>
  <c r="L44" i="45"/>
  <c r="H47" i="45"/>
  <c r="L40" i="45"/>
  <c r="N40" i="45" s="1"/>
  <c r="L115" i="45"/>
  <c r="L38" i="45"/>
  <c r="L80" i="45"/>
  <c r="I83" i="45"/>
  <c r="L24" i="45"/>
  <c r="L27" i="45"/>
  <c r="O10" i="45"/>
  <c r="O7" i="45"/>
  <c r="L73" i="45"/>
  <c r="L65" i="45"/>
  <c r="O53" i="45"/>
  <c r="I61" i="45"/>
  <c r="J39" i="45"/>
  <c r="K47" i="45"/>
  <c r="O52" i="45"/>
  <c r="L45" i="45"/>
  <c r="O36" i="45"/>
  <c r="L59" i="45"/>
  <c r="L46" i="45"/>
  <c r="O19" i="45"/>
  <c r="O37" i="45"/>
  <c r="L16" i="45"/>
  <c r="L92" i="45"/>
  <c r="L69" i="45"/>
  <c r="K62" i="45"/>
  <c r="K78" i="45" s="1"/>
  <c r="J62" i="45"/>
  <c r="J78" i="45" s="1"/>
  <c r="K29" i="45"/>
  <c r="L18" i="45"/>
  <c r="N18" i="45" s="1"/>
  <c r="J47" i="45"/>
  <c r="K54" i="45"/>
  <c r="L90" i="45"/>
  <c r="J54" i="45"/>
  <c r="L23" i="45"/>
  <c r="O75" i="45"/>
  <c r="L68" i="45"/>
  <c r="I54" i="45"/>
  <c r="J83" i="45"/>
  <c r="L60" i="45"/>
  <c r="O114" i="45"/>
  <c r="O79" i="45"/>
  <c r="J61" i="45"/>
  <c r="O50" i="45"/>
  <c r="I39" i="45"/>
  <c r="I62" i="45"/>
  <c r="L28" i="45"/>
  <c r="J29" i="45"/>
  <c r="L21" i="45"/>
  <c r="N21" i="45" s="1"/>
  <c r="I47" i="45"/>
  <c r="I29" i="45"/>
  <c r="K39" i="45"/>
  <c r="L64" i="45"/>
  <c r="L63" i="45"/>
  <c r="N63" i="45" s="1"/>
  <c r="L87" i="45"/>
  <c r="N87" i="45" s="1"/>
  <c r="L11" i="45"/>
  <c r="O57" i="45" l="1"/>
  <c r="O13" i="45"/>
  <c r="O56" i="45"/>
  <c r="N42" i="45"/>
  <c r="O27" i="45"/>
  <c r="N27" i="45"/>
  <c r="O91" i="45"/>
  <c r="N91" i="45"/>
  <c r="O68" i="45"/>
  <c r="N68" i="45"/>
  <c r="O59" i="45"/>
  <c r="N59" i="45"/>
  <c r="L20" i="45"/>
  <c r="O23" i="45"/>
  <c r="N23" i="45"/>
  <c r="O73" i="45"/>
  <c r="N73" i="45"/>
  <c r="O24" i="45"/>
  <c r="N24" i="45"/>
  <c r="O115" i="45"/>
  <c r="N115" i="45"/>
  <c r="O58" i="45"/>
  <c r="N58" i="45"/>
  <c r="H96" i="45"/>
  <c r="H120" i="45" s="1"/>
  <c r="L86" i="45"/>
  <c r="O12" i="45"/>
  <c r="N12" i="45"/>
  <c r="O64" i="45"/>
  <c r="N64" i="45"/>
  <c r="O69" i="45"/>
  <c r="N69" i="45"/>
  <c r="O45" i="45"/>
  <c r="N45" i="45"/>
  <c r="O66" i="45"/>
  <c r="N66" i="45"/>
  <c r="K120" i="45"/>
  <c r="O11" i="45"/>
  <c r="N11" i="45"/>
  <c r="O90" i="45"/>
  <c r="N90" i="45"/>
  <c r="O92" i="45"/>
  <c r="N92" i="45"/>
  <c r="O46" i="45"/>
  <c r="N46" i="45"/>
  <c r="N80" i="45"/>
  <c r="L83" i="45"/>
  <c r="N83" i="45" s="1"/>
  <c r="L100" i="45"/>
  <c r="N100" i="45" s="1"/>
  <c r="N97" i="45"/>
  <c r="O43" i="45"/>
  <c r="N43" i="45"/>
  <c r="O55" i="45"/>
  <c r="N55" i="45"/>
  <c r="O28" i="45"/>
  <c r="N28" i="45"/>
  <c r="O60" i="45"/>
  <c r="N60" i="45"/>
  <c r="O16" i="45"/>
  <c r="N16" i="45"/>
  <c r="O65" i="45"/>
  <c r="N65" i="45"/>
  <c r="O38" i="45"/>
  <c r="N38" i="45"/>
  <c r="O44" i="45"/>
  <c r="N44" i="45"/>
  <c r="O82" i="45"/>
  <c r="N82" i="45"/>
  <c r="J120" i="45"/>
  <c r="O72" i="45"/>
  <c r="L70" i="45"/>
  <c r="N70" i="45" s="1"/>
  <c r="L116" i="45"/>
  <c r="O100" i="45"/>
  <c r="L29" i="45"/>
  <c r="O40" i="45"/>
  <c r="L47" i="45"/>
  <c r="L61" i="45"/>
  <c r="L39" i="45"/>
  <c r="O97" i="45"/>
  <c r="O80" i="45"/>
  <c r="I78" i="45"/>
  <c r="I120" i="45" s="1"/>
  <c r="O18" i="45"/>
  <c r="O48" i="45"/>
  <c r="L62" i="45"/>
  <c r="O63" i="45"/>
  <c r="O30" i="45"/>
  <c r="O6" i="45"/>
  <c r="O87" i="45"/>
  <c r="O21" i="45"/>
  <c r="O83" i="45" l="1"/>
  <c r="N20" i="45"/>
  <c r="N62" i="45"/>
  <c r="L78" i="45"/>
  <c r="N78" i="45" s="1"/>
  <c r="O47" i="45"/>
  <c r="N47" i="45"/>
  <c r="O29" i="45"/>
  <c r="N29" i="45"/>
  <c r="L96" i="45"/>
  <c r="N86" i="45"/>
  <c r="O39" i="45"/>
  <c r="N39" i="45"/>
  <c r="O61" i="45"/>
  <c r="N61" i="45"/>
  <c r="O70" i="45"/>
  <c r="O116" i="45"/>
  <c r="N116" i="45"/>
  <c r="O20" i="45"/>
  <c r="O62" i="45"/>
  <c r="L120" i="45" l="1"/>
  <c r="N121" i="45" s="1"/>
  <c r="O78" i="45"/>
  <c r="N96" i="45"/>
  <c r="N120" i="45" s="1"/>
  <c r="O96" i="45"/>
  <c r="H22" i="39"/>
  <c r="G22" i="39"/>
  <c r="F22" i="39"/>
  <c r="E22" i="39"/>
  <c r="H21" i="39"/>
  <c r="G21" i="39"/>
  <c r="F21" i="39"/>
  <c r="E21" i="39"/>
  <c r="H20" i="39"/>
  <c r="G20" i="39"/>
  <c r="F20" i="39"/>
  <c r="E20" i="39"/>
  <c r="H19" i="39"/>
  <c r="G19" i="39"/>
  <c r="F19" i="39"/>
  <c r="E19" i="39"/>
  <c r="H18" i="39"/>
  <c r="G18" i="39"/>
  <c r="F18" i="39"/>
  <c r="E18" i="39"/>
  <c r="H17" i="39"/>
  <c r="G17" i="39"/>
  <c r="F17" i="39"/>
  <c r="E17" i="39"/>
  <c r="H16" i="39"/>
  <c r="G16" i="39"/>
  <c r="F16" i="39"/>
  <c r="E16" i="39"/>
  <c r="H15" i="39"/>
  <c r="G15" i="39"/>
  <c r="F15" i="39"/>
  <c r="E15" i="39"/>
  <c r="H14" i="39"/>
  <c r="G14" i="39"/>
  <c r="F14" i="39"/>
  <c r="E14" i="39"/>
  <c r="H13" i="39"/>
  <c r="G13" i="39"/>
  <c r="F13" i="39"/>
  <c r="E13" i="39"/>
  <c r="H12" i="39"/>
  <c r="G12" i="39"/>
  <c r="F12" i="39"/>
  <c r="E12" i="39"/>
  <c r="H11" i="39"/>
  <c r="G11" i="39"/>
  <c r="F11" i="39"/>
  <c r="E11" i="39"/>
  <c r="H10" i="39"/>
  <c r="G10" i="39"/>
  <c r="F10" i="39"/>
  <c r="E10" i="39"/>
  <c r="H9" i="39"/>
  <c r="G9" i="39"/>
  <c r="F9" i="39"/>
  <c r="E9" i="39"/>
  <c r="H8" i="39"/>
  <c r="G8" i="39"/>
  <c r="F8" i="39"/>
  <c r="E8" i="39"/>
  <c r="H7" i="39"/>
  <c r="G7" i="39"/>
  <c r="F7" i="39"/>
  <c r="E7" i="39"/>
  <c r="H6" i="39"/>
  <c r="G6" i="39"/>
  <c r="F6" i="39"/>
  <c r="E6" i="39"/>
  <c r="G86" i="38"/>
  <c r="E148" i="38"/>
  <c r="H148" i="38" s="1"/>
  <c r="H149" i="38" s="1"/>
  <c r="J147" i="38"/>
  <c r="I145" i="38"/>
  <c r="H145" i="38"/>
  <c r="G145" i="38"/>
  <c r="F145" i="38"/>
  <c r="G144" i="38"/>
  <c r="F144" i="38"/>
  <c r="I143" i="38"/>
  <c r="H143" i="38"/>
  <c r="G143" i="38"/>
  <c r="F143" i="38"/>
  <c r="F141" i="38"/>
  <c r="G141" i="38" s="1"/>
  <c r="I139" i="38"/>
  <c r="H139" i="38"/>
  <c r="G139" i="38"/>
  <c r="F139" i="38"/>
  <c r="I138" i="38"/>
  <c r="H138" i="38"/>
  <c r="G138" i="38"/>
  <c r="F138" i="38"/>
  <c r="I137" i="38"/>
  <c r="H137" i="38"/>
  <c r="G137" i="38"/>
  <c r="F137" i="38"/>
  <c r="E135" i="38"/>
  <c r="I134" i="38"/>
  <c r="H134" i="38"/>
  <c r="G134" i="38"/>
  <c r="F134" i="38"/>
  <c r="I133" i="38"/>
  <c r="H133" i="38"/>
  <c r="G133" i="38"/>
  <c r="F133" i="38"/>
  <c r="E132" i="38"/>
  <c r="E131" i="38"/>
  <c r="G131" i="38" s="1"/>
  <c r="E130" i="38"/>
  <c r="E128" i="38"/>
  <c r="E126" i="38"/>
  <c r="H126" i="38" s="1"/>
  <c r="E125" i="38"/>
  <c r="I125" i="38" s="1"/>
  <c r="E124" i="38"/>
  <c r="I124" i="38" s="1"/>
  <c r="E123" i="38"/>
  <c r="I123" i="38" s="1"/>
  <c r="E121" i="38"/>
  <c r="I121" i="38" s="1"/>
  <c r="E119" i="38"/>
  <c r="E118" i="38"/>
  <c r="G118" i="38" s="1"/>
  <c r="E117" i="38"/>
  <c r="E116" i="38"/>
  <c r="G116" i="38" s="1"/>
  <c r="E114" i="38"/>
  <c r="G114" i="38" s="1"/>
  <c r="E113" i="38"/>
  <c r="H113" i="38" s="1"/>
  <c r="E112" i="38"/>
  <c r="I112" i="38" s="1"/>
  <c r="E111" i="38"/>
  <c r="I111" i="38" s="1"/>
  <c r="E110" i="38"/>
  <c r="I110" i="38" s="1"/>
  <c r="E106" i="38"/>
  <c r="H106" i="38" s="1"/>
  <c r="I104" i="38"/>
  <c r="H104" i="38"/>
  <c r="G104" i="38"/>
  <c r="E103" i="38"/>
  <c r="H103" i="38" s="1"/>
  <c r="E102" i="38"/>
  <c r="H102" i="38" s="1"/>
  <c r="E101" i="38"/>
  <c r="H101" i="38" s="1"/>
  <c r="E99" i="38"/>
  <c r="H99" i="38" s="1"/>
  <c r="J97" i="38"/>
  <c r="F96" i="38"/>
  <c r="J96" i="38" s="1"/>
  <c r="I95" i="38"/>
  <c r="H95" i="38"/>
  <c r="G95" i="38"/>
  <c r="E94" i="38"/>
  <c r="I94" i="38" s="1"/>
  <c r="E92" i="38"/>
  <c r="I92" i="38" s="1"/>
  <c r="E91" i="38"/>
  <c r="H91" i="38" s="1"/>
  <c r="E90" i="38"/>
  <c r="H90" i="38" s="1"/>
  <c r="E89" i="38"/>
  <c r="H89" i="38" s="1"/>
  <c r="I86" i="38"/>
  <c r="H86" i="38"/>
  <c r="J86" i="38" s="1"/>
  <c r="E85" i="38"/>
  <c r="I85" i="38" s="1"/>
  <c r="F83" i="38"/>
  <c r="F82" i="38" s="1"/>
  <c r="E83" i="38"/>
  <c r="H83" i="38" s="1"/>
  <c r="E81" i="38"/>
  <c r="H81" i="38" s="1"/>
  <c r="F80" i="38"/>
  <c r="E80" i="38"/>
  <c r="I80" i="38" s="1"/>
  <c r="E79" i="38"/>
  <c r="I79" i="38" s="1"/>
  <c r="E78" i="38"/>
  <c r="I78" i="38" s="1"/>
  <c r="J76" i="38"/>
  <c r="E76" i="38" s="1"/>
  <c r="E75" i="38"/>
  <c r="G75" i="38" s="1"/>
  <c r="I74" i="38"/>
  <c r="G74" i="38"/>
  <c r="F74" i="38"/>
  <c r="E74" i="38"/>
  <c r="I73" i="38"/>
  <c r="G73" i="38"/>
  <c r="F73" i="38"/>
  <c r="E73" i="38"/>
  <c r="I72" i="38"/>
  <c r="G72" i="38"/>
  <c r="F72" i="38"/>
  <c r="E72" i="38"/>
  <c r="I71" i="38"/>
  <c r="G71" i="38"/>
  <c r="F71" i="38"/>
  <c r="E71" i="38"/>
  <c r="E70" i="38" s="1"/>
  <c r="H70" i="38"/>
  <c r="E69" i="38"/>
  <c r="G69" i="38" s="1"/>
  <c r="E68" i="38"/>
  <c r="I68" i="38" s="1"/>
  <c r="E67" i="38"/>
  <c r="H67" i="38" s="1"/>
  <c r="E66" i="38"/>
  <c r="I66" i="38" s="1"/>
  <c r="E65" i="38"/>
  <c r="I65" i="38" s="1"/>
  <c r="E64" i="38"/>
  <c r="I64" i="38" s="1"/>
  <c r="E63" i="38"/>
  <c r="I63" i="38" s="1"/>
  <c r="E60" i="38"/>
  <c r="I60" i="38" s="1"/>
  <c r="E59" i="38"/>
  <c r="I59" i="38" s="1"/>
  <c r="E58" i="38"/>
  <c r="H58" i="38" s="1"/>
  <c r="E57" i="38"/>
  <c r="I57" i="38" s="1"/>
  <c r="E56" i="38"/>
  <c r="I56" i="38" s="1"/>
  <c r="E55" i="38"/>
  <c r="H55" i="38" s="1"/>
  <c r="E54" i="38"/>
  <c r="H54" i="38" s="1"/>
  <c r="I52" i="38"/>
  <c r="H52" i="38"/>
  <c r="G52" i="38"/>
  <c r="F52" i="38"/>
  <c r="I51" i="38"/>
  <c r="H51" i="38"/>
  <c r="G51" i="38"/>
  <c r="F51" i="38"/>
  <c r="I50" i="38"/>
  <c r="H50" i="38"/>
  <c r="G50" i="38"/>
  <c r="I49" i="38"/>
  <c r="H49" i="38"/>
  <c r="G49" i="38"/>
  <c r="F49" i="38"/>
  <c r="I48" i="38"/>
  <c r="H48" i="38"/>
  <c r="G48" i="38"/>
  <c r="F48" i="38"/>
  <c r="I47" i="38"/>
  <c r="H47" i="38"/>
  <c r="G47" i="38"/>
  <c r="F47" i="38"/>
  <c r="E45" i="38"/>
  <c r="H45" i="38" s="1"/>
  <c r="E44" i="38"/>
  <c r="H44" i="38" s="1"/>
  <c r="E43" i="38"/>
  <c r="H43" i="38" s="1"/>
  <c r="E42" i="38"/>
  <c r="I42" i="38" s="1"/>
  <c r="E41" i="38"/>
  <c r="I41" i="38" s="1"/>
  <c r="E40" i="38"/>
  <c r="I40" i="38" s="1"/>
  <c r="E39" i="38"/>
  <c r="I39" i="38" s="1"/>
  <c r="E37" i="38"/>
  <c r="I37" i="38" s="1"/>
  <c r="E36" i="38"/>
  <c r="I36" i="38" s="1"/>
  <c r="E35" i="38"/>
  <c r="H35" i="38" s="1"/>
  <c r="E34" i="38"/>
  <c r="I34" i="38" s="1"/>
  <c r="L33" i="38"/>
  <c r="E33" i="38"/>
  <c r="H33" i="38" s="1"/>
  <c r="E32" i="38"/>
  <c r="H32" i="38" s="1"/>
  <c r="E31" i="38"/>
  <c r="H31" i="38" s="1"/>
  <c r="E29" i="38"/>
  <c r="I29" i="38" s="1"/>
  <c r="E28" i="38"/>
  <c r="I28" i="38" s="1"/>
  <c r="I27" i="38"/>
  <c r="H27" i="38"/>
  <c r="G27" i="38"/>
  <c r="F27" i="38"/>
  <c r="E26" i="38"/>
  <c r="I26" i="38" s="1"/>
  <c r="E25" i="38"/>
  <c r="I25" i="38" s="1"/>
  <c r="E24" i="38"/>
  <c r="I24" i="38" s="1"/>
  <c r="E23" i="38"/>
  <c r="I23" i="38" s="1"/>
  <c r="E22" i="38"/>
  <c r="H22" i="38" s="1"/>
  <c r="E20" i="38"/>
  <c r="I20" i="38" s="1"/>
  <c r="E19" i="38"/>
  <c r="I19" i="38" s="1"/>
  <c r="I18" i="38"/>
  <c r="H18" i="38"/>
  <c r="G18" i="38"/>
  <c r="F18" i="38"/>
  <c r="E18" i="38"/>
  <c r="E17" i="38"/>
  <c r="I17" i="38" s="1"/>
  <c r="F16" i="38"/>
  <c r="G16" i="38" s="1"/>
  <c r="H15" i="38"/>
  <c r="E14" i="38"/>
  <c r="I14" i="38" s="1"/>
  <c r="E13" i="38"/>
  <c r="I13" i="38" s="1"/>
  <c r="E12" i="38"/>
  <c r="I12" i="38" s="1"/>
  <c r="E11" i="38"/>
  <c r="I11" i="38" s="1"/>
  <c r="E10" i="38"/>
  <c r="I10" i="38" s="1"/>
  <c r="E9" i="38"/>
  <c r="I9" i="38" s="1"/>
  <c r="E8" i="38"/>
  <c r="I8" i="38" s="1"/>
  <c r="E7" i="38"/>
  <c r="G7" i="38" s="1"/>
  <c r="E6" i="38"/>
  <c r="I6" i="38" s="1"/>
  <c r="J104" i="38" l="1"/>
  <c r="O120" i="45"/>
  <c r="N122" i="45"/>
  <c r="I113" i="38"/>
  <c r="F112" i="38"/>
  <c r="H112" i="38"/>
  <c r="E109" i="38"/>
  <c r="J133" i="38"/>
  <c r="J134" i="38"/>
  <c r="F111" i="38"/>
  <c r="G67" i="38"/>
  <c r="F110" i="38"/>
  <c r="H111" i="38"/>
  <c r="J18" i="38"/>
  <c r="I87" i="38"/>
  <c r="H110" i="38"/>
  <c r="G113" i="38"/>
  <c r="J113" i="38" s="1"/>
  <c r="G140" i="38"/>
  <c r="H53" i="38"/>
  <c r="E82" i="38"/>
  <c r="H82" i="38" s="1"/>
  <c r="I140" i="38"/>
  <c r="F36" i="38"/>
  <c r="I53" i="38"/>
  <c r="F85" i="38"/>
  <c r="F87" i="38" s="1"/>
  <c r="F125" i="38"/>
  <c r="F146" i="38"/>
  <c r="J51" i="38"/>
  <c r="E51" i="38" s="1"/>
  <c r="J52" i="38"/>
  <c r="E52" i="38" s="1"/>
  <c r="J137" i="38"/>
  <c r="G53" i="38"/>
  <c r="F65" i="38"/>
  <c r="G146" i="38"/>
  <c r="F123" i="38"/>
  <c r="J144" i="38"/>
  <c r="I146" i="38"/>
  <c r="H146" i="38"/>
  <c r="J145" i="38"/>
  <c r="E62" i="38"/>
  <c r="E88" i="38"/>
  <c r="F53" i="38"/>
  <c r="J48" i="38"/>
  <c r="E48" i="38" s="1"/>
  <c r="F63" i="38"/>
  <c r="J71" i="38"/>
  <c r="J72" i="38"/>
  <c r="J73" i="38"/>
  <c r="J74" i="38"/>
  <c r="H23" i="38"/>
  <c r="F24" i="38"/>
  <c r="H25" i="38"/>
  <c r="F26" i="38"/>
  <c r="H36" i="38"/>
  <c r="F37" i="38"/>
  <c r="J49" i="38"/>
  <c r="E49" i="38" s="1"/>
  <c r="F56" i="38"/>
  <c r="H57" i="38"/>
  <c r="G58" i="38"/>
  <c r="J58" i="38" s="1"/>
  <c r="H64" i="38"/>
  <c r="H66" i="38"/>
  <c r="F78" i="38"/>
  <c r="H94" i="38"/>
  <c r="E105" i="38"/>
  <c r="F105" i="38" s="1"/>
  <c r="E120" i="38"/>
  <c r="F120" i="38" s="1"/>
  <c r="F121" i="38"/>
  <c r="H123" i="38"/>
  <c r="F124" i="38"/>
  <c r="H125" i="38"/>
  <c r="G126" i="38"/>
  <c r="F140" i="38"/>
  <c r="H140" i="38"/>
  <c r="F142" i="38"/>
  <c r="F23" i="38"/>
  <c r="H24" i="38"/>
  <c r="F25" i="38"/>
  <c r="H26" i="38"/>
  <c r="H37" i="38"/>
  <c r="G43" i="38"/>
  <c r="H56" i="38"/>
  <c r="F57" i="38"/>
  <c r="I58" i="38"/>
  <c r="H63" i="38"/>
  <c r="F64" i="38"/>
  <c r="H65" i="38"/>
  <c r="F66" i="38"/>
  <c r="I67" i="38"/>
  <c r="J67" i="38" s="1"/>
  <c r="F70" i="38"/>
  <c r="H78" i="38"/>
  <c r="F79" i="38"/>
  <c r="H85" i="38"/>
  <c r="H87" i="38" s="1"/>
  <c r="E93" i="38"/>
  <c r="I93" i="38" s="1"/>
  <c r="F94" i="38"/>
  <c r="H121" i="38"/>
  <c r="H124" i="38"/>
  <c r="I126" i="38"/>
  <c r="J95" i="38"/>
  <c r="J27" i="38"/>
  <c r="J50" i="38"/>
  <c r="I7" i="38"/>
  <c r="F6" i="38"/>
  <c r="H6" i="38"/>
  <c r="F7" i="38"/>
  <c r="H7" i="38"/>
  <c r="F8" i="38"/>
  <c r="H8" i="38"/>
  <c r="F9" i="38"/>
  <c r="H9" i="38"/>
  <c r="F10" i="38"/>
  <c r="H10" i="38"/>
  <c r="F11" i="38"/>
  <c r="H11" i="38"/>
  <c r="F12" i="38"/>
  <c r="H12" i="38"/>
  <c r="F13" i="38"/>
  <c r="H13" i="38"/>
  <c r="F14" i="38"/>
  <c r="H14" i="38"/>
  <c r="I15" i="38"/>
  <c r="J15" i="38" s="1"/>
  <c r="H16" i="38"/>
  <c r="I16" i="38" s="1"/>
  <c r="F17" i="38"/>
  <c r="H17" i="38"/>
  <c r="F19" i="38"/>
  <c r="H19" i="38"/>
  <c r="F20" i="38"/>
  <c r="H20" i="38"/>
  <c r="G22" i="38"/>
  <c r="I22" i="38"/>
  <c r="I30" i="38" s="1"/>
  <c r="G23" i="38"/>
  <c r="J23" i="38" s="1"/>
  <c r="G24" i="38"/>
  <c r="G25" i="38"/>
  <c r="G26" i="38"/>
  <c r="F28" i="38"/>
  <c r="H28" i="38"/>
  <c r="F29" i="38"/>
  <c r="H29" i="38"/>
  <c r="G31" i="38"/>
  <c r="I31" i="38"/>
  <c r="G32" i="38"/>
  <c r="I32" i="38"/>
  <c r="G33" i="38"/>
  <c r="I33" i="38"/>
  <c r="F34" i="38"/>
  <c r="H34" i="38"/>
  <c r="G35" i="38"/>
  <c r="I35" i="38"/>
  <c r="G36" i="38"/>
  <c r="G37" i="38"/>
  <c r="F39" i="38"/>
  <c r="H39" i="38"/>
  <c r="F40" i="38"/>
  <c r="H40" i="38"/>
  <c r="F41" i="38"/>
  <c r="H41" i="38"/>
  <c r="F42" i="38"/>
  <c r="H42" i="38"/>
  <c r="I43" i="38"/>
  <c r="G44" i="38"/>
  <c r="I44" i="38"/>
  <c r="G45" i="38"/>
  <c r="I45" i="38"/>
  <c r="J47" i="38"/>
  <c r="G54" i="38"/>
  <c r="I54" i="38"/>
  <c r="G55" i="38"/>
  <c r="I55" i="38"/>
  <c r="G56" i="38"/>
  <c r="G57" i="38"/>
  <c r="F59" i="38"/>
  <c r="H59" i="38"/>
  <c r="F60" i="38"/>
  <c r="H60" i="38"/>
  <c r="G63" i="38"/>
  <c r="G64" i="38"/>
  <c r="G65" i="38"/>
  <c r="G66" i="38"/>
  <c r="F68" i="38"/>
  <c r="H68" i="38"/>
  <c r="G70" i="38"/>
  <c r="G6" i="38"/>
  <c r="G8" i="38"/>
  <c r="G9" i="38"/>
  <c r="G10" i="38"/>
  <c r="G11" i="38"/>
  <c r="G12" i="38"/>
  <c r="G13" i="38"/>
  <c r="G14" i="38"/>
  <c r="G17" i="38"/>
  <c r="G19" i="38"/>
  <c r="G20" i="38"/>
  <c r="F22" i="38"/>
  <c r="G28" i="38"/>
  <c r="G29" i="38"/>
  <c r="F31" i="38"/>
  <c r="F32" i="38"/>
  <c r="F33" i="38"/>
  <c r="G34" i="38"/>
  <c r="G39" i="38"/>
  <c r="G40" i="38"/>
  <c r="G41" i="38"/>
  <c r="G42" i="38"/>
  <c r="F44" i="38"/>
  <c r="F45" i="38"/>
  <c r="F54" i="38"/>
  <c r="F55" i="38"/>
  <c r="G59" i="38"/>
  <c r="G60" i="38"/>
  <c r="G68" i="38"/>
  <c r="H69" i="38"/>
  <c r="F69" i="38"/>
  <c r="I69" i="38"/>
  <c r="I75" i="38"/>
  <c r="I70" i="38" s="1"/>
  <c r="H79" i="38"/>
  <c r="H80" i="38"/>
  <c r="G81" i="38"/>
  <c r="I81" i="38"/>
  <c r="G83" i="38"/>
  <c r="I83" i="38"/>
  <c r="G89" i="38"/>
  <c r="I89" i="38"/>
  <c r="G90" i="38"/>
  <c r="I90" i="38"/>
  <c r="G91" i="38"/>
  <c r="I91" i="38"/>
  <c r="H92" i="38"/>
  <c r="G99" i="38"/>
  <c r="I99" i="38"/>
  <c r="G101" i="38"/>
  <c r="I101" i="38"/>
  <c r="G102" i="38"/>
  <c r="I102" i="38"/>
  <c r="G103" i="38"/>
  <c r="I103" i="38"/>
  <c r="G106" i="38"/>
  <c r="I106" i="38"/>
  <c r="H117" i="38"/>
  <c r="F117" i="38"/>
  <c r="I117" i="38"/>
  <c r="I119" i="38"/>
  <c r="G119" i="38"/>
  <c r="H128" i="38"/>
  <c r="F128" i="38"/>
  <c r="E122" i="38"/>
  <c r="I128" i="38"/>
  <c r="H130" i="38"/>
  <c r="F130" i="38"/>
  <c r="I130" i="38"/>
  <c r="H132" i="38"/>
  <c r="F132" i="38"/>
  <c r="I132" i="38"/>
  <c r="H135" i="38"/>
  <c r="F135" i="38"/>
  <c r="I135" i="38"/>
  <c r="J138" i="38"/>
  <c r="J143" i="38"/>
  <c r="G78" i="38"/>
  <c r="G79" i="38"/>
  <c r="J79" i="38" s="1"/>
  <c r="G80" i="38"/>
  <c r="G85" i="38"/>
  <c r="G87" i="38" s="1"/>
  <c r="F89" i="38"/>
  <c r="F90" i="38"/>
  <c r="F91" i="38"/>
  <c r="G92" i="38"/>
  <c r="G94" i="38"/>
  <c r="F95" i="38"/>
  <c r="F99" i="38"/>
  <c r="F101" i="38"/>
  <c r="F102" i="38"/>
  <c r="F103" i="38"/>
  <c r="F106" i="38"/>
  <c r="H114" i="38"/>
  <c r="F114" i="38"/>
  <c r="I114" i="38"/>
  <c r="I109" i="38" s="1"/>
  <c r="H116" i="38"/>
  <c r="F116" i="38"/>
  <c r="I116" i="38"/>
  <c r="G117" i="38"/>
  <c r="H118" i="38"/>
  <c r="F118" i="38"/>
  <c r="I118" i="38"/>
  <c r="H119" i="38"/>
  <c r="E127" i="38"/>
  <c r="G128" i="38"/>
  <c r="E129" i="38"/>
  <c r="G130" i="38"/>
  <c r="H131" i="38"/>
  <c r="F131" i="38"/>
  <c r="I131" i="38"/>
  <c r="G132" i="38"/>
  <c r="G135" i="38"/>
  <c r="J139" i="38"/>
  <c r="G142" i="38"/>
  <c r="H141" i="38"/>
  <c r="G148" i="38"/>
  <c r="G149" i="38" s="1"/>
  <c r="I148" i="38"/>
  <c r="I149" i="38" s="1"/>
  <c r="G110" i="38"/>
  <c r="G111" i="38"/>
  <c r="G112" i="38"/>
  <c r="G121" i="38"/>
  <c r="J121" i="38" s="1"/>
  <c r="G123" i="38"/>
  <c r="G124" i="38"/>
  <c r="G125" i="38"/>
  <c r="F148" i="38"/>
  <c r="J26" i="38" l="1"/>
  <c r="J111" i="38"/>
  <c r="J126" i="38"/>
  <c r="J112" i="38"/>
  <c r="H109" i="38"/>
  <c r="J43" i="38"/>
  <c r="J92" i="38"/>
  <c r="I62" i="38"/>
  <c r="I77" i="38" s="1"/>
  <c r="J66" i="38"/>
  <c r="J57" i="38"/>
  <c r="H38" i="38"/>
  <c r="J36" i="38"/>
  <c r="I82" i="38"/>
  <c r="I84" i="38" s="1"/>
  <c r="G82" i="38"/>
  <c r="G84" i="38" s="1"/>
  <c r="G93" i="38"/>
  <c r="G88" i="38" s="1"/>
  <c r="G98" i="38" s="1"/>
  <c r="J94" i="38"/>
  <c r="G105" i="38"/>
  <c r="J33" i="38"/>
  <c r="J37" i="38"/>
  <c r="J125" i="38"/>
  <c r="G120" i="38"/>
  <c r="G115" i="38" s="1"/>
  <c r="J80" i="38"/>
  <c r="J55" i="38"/>
  <c r="J90" i="38"/>
  <c r="I105" i="38"/>
  <c r="I100" i="38" s="1"/>
  <c r="I108" i="38" s="1"/>
  <c r="J124" i="38"/>
  <c r="J44" i="38"/>
  <c r="J64" i="38"/>
  <c r="J24" i="38"/>
  <c r="H93" i="38"/>
  <c r="H88" i="38" s="1"/>
  <c r="H98" i="38" s="1"/>
  <c r="J102" i="38"/>
  <c r="J131" i="38"/>
  <c r="J146" i="38"/>
  <c r="J20" i="39" s="1"/>
  <c r="J45" i="38"/>
  <c r="J32" i="38"/>
  <c r="J65" i="38"/>
  <c r="J56" i="38"/>
  <c r="J25" i="38"/>
  <c r="H120" i="38"/>
  <c r="H115" i="38" s="1"/>
  <c r="H105" i="38"/>
  <c r="H100" i="38" s="1"/>
  <c r="H108" i="38" s="1"/>
  <c r="E100" i="38"/>
  <c r="F84" i="38"/>
  <c r="F93" i="38"/>
  <c r="I120" i="38"/>
  <c r="I115" i="38" s="1"/>
  <c r="E115" i="38"/>
  <c r="J16" i="38"/>
  <c r="J83" i="38"/>
  <c r="H84" i="38"/>
  <c r="J7" i="38"/>
  <c r="J140" i="38"/>
  <c r="J18" i="39" s="1"/>
  <c r="I21" i="38"/>
  <c r="J106" i="38"/>
  <c r="J103" i="38"/>
  <c r="J91" i="38"/>
  <c r="J69" i="38"/>
  <c r="H62" i="38"/>
  <c r="H77" i="38" s="1"/>
  <c r="H61" i="38"/>
  <c r="H30" i="38"/>
  <c r="J148" i="38"/>
  <c r="J149" i="38" s="1"/>
  <c r="J21" i="39" s="1"/>
  <c r="F149" i="38"/>
  <c r="G109" i="38"/>
  <c r="H127" i="38"/>
  <c r="H122" i="38" s="1"/>
  <c r="F127" i="38"/>
  <c r="I127" i="38"/>
  <c r="I122" i="38" s="1"/>
  <c r="G127" i="38"/>
  <c r="G122" i="38" s="1"/>
  <c r="J118" i="38"/>
  <c r="J116" i="38"/>
  <c r="F115" i="38"/>
  <c r="J101" i="38"/>
  <c r="F100" i="38"/>
  <c r="F108" i="38" s="1"/>
  <c r="J89" i="38"/>
  <c r="J135" i="38"/>
  <c r="J130" i="38"/>
  <c r="F129" i="38"/>
  <c r="J128" i="38"/>
  <c r="J117" i="38"/>
  <c r="I88" i="38"/>
  <c r="I98" i="38" s="1"/>
  <c r="J85" i="38"/>
  <c r="J87" i="38" s="1"/>
  <c r="K87" i="38" s="1"/>
  <c r="J14" i="39" s="1"/>
  <c r="J81" i="38"/>
  <c r="F30" i="38"/>
  <c r="J22" i="38"/>
  <c r="J75" i="38"/>
  <c r="J70" i="38" s="1"/>
  <c r="F62" i="38"/>
  <c r="F77" i="38" s="1"/>
  <c r="J68" i="38"/>
  <c r="G62" i="38"/>
  <c r="G77" i="38" s="1"/>
  <c r="J60" i="38"/>
  <c r="J59" i="38"/>
  <c r="G61" i="38"/>
  <c r="J42" i="38"/>
  <c r="J41" i="38"/>
  <c r="J40" i="38"/>
  <c r="F46" i="38"/>
  <c r="J39" i="38"/>
  <c r="J35" i="38"/>
  <c r="J34" i="38"/>
  <c r="G38" i="38"/>
  <c r="J29" i="38"/>
  <c r="J28" i="38"/>
  <c r="G30" i="38"/>
  <c r="J20" i="38"/>
  <c r="J19" i="38"/>
  <c r="J17" i="38"/>
  <c r="H21" i="38"/>
  <c r="J63" i="38"/>
  <c r="I46" i="38"/>
  <c r="H142" i="38"/>
  <c r="I141" i="38"/>
  <c r="I142" i="38" s="1"/>
  <c r="G129" i="38"/>
  <c r="J114" i="38"/>
  <c r="F109" i="38"/>
  <c r="J99" i="38"/>
  <c r="J132" i="38"/>
  <c r="I129" i="38"/>
  <c r="H129" i="38"/>
  <c r="J119" i="38"/>
  <c r="J78" i="38"/>
  <c r="J110" i="38"/>
  <c r="F61" i="38"/>
  <c r="J54" i="38"/>
  <c r="G46" i="38"/>
  <c r="J31" i="38"/>
  <c r="F38" i="38"/>
  <c r="G21" i="38"/>
  <c r="J123" i="38"/>
  <c r="I61" i="38"/>
  <c r="J53" i="38"/>
  <c r="K53" i="38" s="1"/>
  <c r="J10" i="39" s="1"/>
  <c r="E47" i="38"/>
  <c r="H46" i="38"/>
  <c r="I38" i="38"/>
  <c r="J14" i="38"/>
  <c r="J13" i="38"/>
  <c r="J12" i="38"/>
  <c r="J11" i="38"/>
  <c r="J10" i="38"/>
  <c r="J9" i="38"/>
  <c r="J8" i="38"/>
  <c r="F21" i="38"/>
  <c r="J6" i="38"/>
  <c r="J109" i="38" l="1"/>
  <c r="J105" i="38"/>
  <c r="J100" i="38" s="1"/>
  <c r="J108" i="38" s="1"/>
  <c r="K108" i="38" s="1"/>
  <c r="J16" i="39" s="1"/>
  <c r="J82" i="38"/>
  <c r="G100" i="38"/>
  <c r="G108" i="38" s="1"/>
  <c r="J93" i="38"/>
  <c r="J88" i="38" s="1"/>
  <c r="J98" i="38" s="1"/>
  <c r="K98" i="38" s="1"/>
  <c r="J15" i="39" s="1"/>
  <c r="J141" i="38"/>
  <c r="J142" i="38" s="1"/>
  <c r="J19" i="39" s="1"/>
  <c r="J84" i="38"/>
  <c r="K84" i="38" s="1"/>
  <c r="J13" i="39" s="1"/>
  <c r="J38" i="38"/>
  <c r="K38" i="38" s="1"/>
  <c r="J8" i="39" s="1"/>
  <c r="F88" i="38"/>
  <c r="F98" i="38" s="1"/>
  <c r="J120" i="38"/>
  <c r="J115" i="38" s="1"/>
  <c r="J62" i="38"/>
  <c r="J77" i="38" s="1"/>
  <c r="K77" i="38" s="1"/>
  <c r="J12" i="39" s="1"/>
  <c r="J61" i="38"/>
  <c r="K61" i="38" s="1"/>
  <c r="J11" i="39" s="1"/>
  <c r="J21" i="38"/>
  <c r="K21" i="38" s="1"/>
  <c r="J6" i="39" s="1"/>
  <c r="I136" i="38"/>
  <c r="I150" i="38" s="1"/>
  <c r="H136" i="38"/>
  <c r="H150" i="38" s="1"/>
  <c r="J46" i="38"/>
  <c r="K46" i="38" s="1"/>
  <c r="J9" i="39" s="1"/>
  <c r="J30" i="38"/>
  <c r="K30" i="38" s="1"/>
  <c r="J7" i="39" s="1"/>
  <c r="J129" i="38"/>
  <c r="J127" i="38"/>
  <c r="J122" i="38" s="1"/>
  <c r="F122" i="38"/>
  <c r="F136" i="38" s="1"/>
  <c r="G136" i="38"/>
  <c r="F150" i="38" l="1"/>
  <c r="G150" i="38"/>
  <c r="J136" i="38"/>
  <c r="K136" i="38" s="1"/>
  <c r="J17" i="39" s="1"/>
  <c r="J22" i="39" s="1"/>
  <c r="J150" i="38" l="1"/>
  <c r="F159" i="38" s="1"/>
  <c r="I19" i="39" l="1"/>
  <c r="K19" i="39" s="1"/>
  <c r="L19" i="39" l="1"/>
  <c r="I20" i="39" l="1"/>
  <c r="L20" i="39" l="1"/>
  <c r="K20" i="39"/>
  <c r="E98" i="33" l="1"/>
  <c r="G98" i="33"/>
  <c r="H98" i="33"/>
  <c r="I98" i="33"/>
  <c r="E99" i="33"/>
  <c r="F99" i="33"/>
  <c r="G99" i="33"/>
  <c r="H99" i="33"/>
  <c r="I99" i="33"/>
  <c r="F98" i="33"/>
  <c r="F135" i="33"/>
  <c r="E135" i="33"/>
  <c r="E128" i="33"/>
  <c r="E121" i="33"/>
  <c r="E115" i="33"/>
  <c r="E106" i="33"/>
  <c r="I88" i="33"/>
  <c r="H88" i="33"/>
  <c r="G88" i="33"/>
  <c r="E69" i="33"/>
  <c r="E60" i="33"/>
  <c r="E45" i="33"/>
  <c r="E88" i="33"/>
  <c r="F88" i="33"/>
  <c r="E17" i="33"/>
  <c r="F17" i="33"/>
  <c r="G17" i="33"/>
  <c r="E18" i="33"/>
  <c r="H17" i="33"/>
  <c r="F18" i="33"/>
  <c r="E52" i="33"/>
  <c r="E29" i="33"/>
  <c r="J99" i="33" l="1"/>
  <c r="E83" i="33"/>
  <c r="E94" i="33"/>
  <c r="J88" i="33"/>
  <c r="E37" i="33"/>
  <c r="I17" i="33"/>
  <c r="J98" i="33" l="1"/>
  <c r="H18" i="33"/>
  <c r="I18" i="33"/>
  <c r="E146" i="33" l="1"/>
  <c r="E147" i="33"/>
  <c r="F146" i="33"/>
  <c r="G146" i="33"/>
  <c r="H146" i="33"/>
  <c r="I146" i="33"/>
  <c r="E152" i="33"/>
  <c r="E151" i="33"/>
  <c r="I149" i="33"/>
  <c r="H149" i="33"/>
  <c r="G149" i="33"/>
  <c r="F149" i="33"/>
  <c r="E149" i="33"/>
  <c r="E148" i="33"/>
  <c r="E145" i="33"/>
  <c r="E144" i="33"/>
  <c r="E143" i="33"/>
  <c r="E142" i="33"/>
  <c r="E141" i="33"/>
  <c r="E140" i="33"/>
  <c r="E139" i="33"/>
  <c r="E138" i="33"/>
  <c r="E110" i="33"/>
  <c r="J109" i="33"/>
  <c r="I109" i="33"/>
  <c r="H109" i="33"/>
  <c r="G109" i="33"/>
  <c r="F109" i="33"/>
  <c r="E109" i="33"/>
  <c r="E100" i="33"/>
  <c r="I97" i="33"/>
  <c r="H97" i="33"/>
  <c r="G97" i="33"/>
  <c r="E97" i="33"/>
  <c r="E89" i="33"/>
  <c r="E86" i="33"/>
  <c r="E79" i="33"/>
  <c r="I78" i="33"/>
  <c r="H78" i="33"/>
  <c r="G78" i="33"/>
  <c r="F78" i="33"/>
  <c r="H76" i="33"/>
  <c r="H75" i="33"/>
  <c r="H74" i="33"/>
  <c r="H73" i="33"/>
  <c r="E63" i="33"/>
  <c r="E55" i="33"/>
  <c r="E48" i="33"/>
  <c r="E40" i="33"/>
  <c r="E32" i="33"/>
  <c r="E23" i="33"/>
  <c r="F128" i="33" l="1"/>
  <c r="F83" i="33"/>
  <c r="F121" i="33"/>
  <c r="F115" i="33"/>
  <c r="F106" i="33"/>
  <c r="F94" i="33"/>
  <c r="F69" i="33"/>
  <c r="F45" i="33"/>
  <c r="F37" i="33"/>
  <c r="F60" i="33"/>
  <c r="G52" i="33"/>
  <c r="F52" i="33"/>
  <c r="F29" i="33"/>
  <c r="J146" i="33"/>
  <c r="G128" i="33" l="1"/>
  <c r="I128" i="33"/>
  <c r="H128" i="33"/>
  <c r="G121" i="33"/>
  <c r="I83" i="33"/>
  <c r="H83" i="33"/>
  <c r="G83" i="33"/>
  <c r="H121" i="33"/>
  <c r="I121" i="33"/>
  <c r="H115" i="33"/>
  <c r="G115" i="33"/>
  <c r="I115" i="33"/>
  <c r="H106" i="33"/>
  <c r="G106" i="33"/>
  <c r="I106" i="33"/>
  <c r="G94" i="33"/>
  <c r="H94" i="33"/>
  <c r="G18" i="33"/>
  <c r="J18" i="33"/>
  <c r="I94" i="33"/>
  <c r="I69" i="33"/>
  <c r="H69" i="33"/>
  <c r="G69" i="33"/>
  <c r="I45" i="33"/>
  <c r="H45" i="33"/>
  <c r="G45" i="33"/>
  <c r="H52" i="33"/>
  <c r="H37" i="33"/>
  <c r="H60" i="33"/>
  <c r="I52" i="33"/>
  <c r="G60" i="33"/>
  <c r="G37" i="33"/>
  <c r="I60" i="33"/>
  <c r="I37" i="33"/>
  <c r="I29" i="33"/>
  <c r="H29" i="33"/>
  <c r="G29" i="33"/>
  <c r="J17" i="33"/>
  <c r="J128" i="33" l="1"/>
  <c r="J83" i="33"/>
  <c r="J115" i="33"/>
  <c r="J106" i="33"/>
  <c r="J94" i="33"/>
  <c r="J69" i="33"/>
  <c r="J45" i="33"/>
  <c r="J37" i="33"/>
  <c r="J60" i="33"/>
  <c r="J52" i="33"/>
  <c r="J29" i="33"/>
  <c r="H72" i="33"/>
  <c r="F97" i="33" l="1"/>
  <c r="E70" i="33" l="1"/>
  <c r="H53" i="33"/>
  <c r="I54" i="33"/>
  <c r="F53" i="33"/>
  <c r="F70" i="33" l="1"/>
  <c r="E62" i="33"/>
  <c r="I70" i="33"/>
  <c r="G70" i="33"/>
  <c r="H70" i="33"/>
  <c r="G53" i="33"/>
  <c r="I53" i="33"/>
  <c r="G54" i="33"/>
  <c r="H54" i="33"/>
  <c r="I20" i="33" l="1"/>
  <c r="H20" i="33"/>
  <c r="G20" i="33"/>
  <c r="F20" i="33"/>
  <c r="E19" i="33"/>
  <c r="E20" i="33"/>
  <c r="J70" i="33" l="1"/>
  <c r="E25" i="33"/>
  <c r="F25" i="33"/>
  <c r="E30" i="33"/>
  <c r="I19" i="33"/>
  <c r="F19" i="33"/>
  <c r="G19" i="33"/>
  <c r="H19" i="33"/>
  <c r="J20" i="33" l="1"/>
  <c r="G31" i="33"/>
  <c r="G25" i="33"/>
  <c r="J19" i="33" l="1"/>
  <c r="F30" i="33"/>
  <c r="H31" i="33"/>
  <c r="I31" i="33"/>
  <c r="E31" i="33"/>
  <c r="F31" i="33"/>
  <c r="H25" i="33"/>
  <c r="I25" i="33" l="1"/>
  <c r="J31" i="33" l="1"/>
  <c r="E39" i="33"/>
  <c r="J25" i="33"/>
  <c r="E112" i="33" l="1"/>
  <c r="J78" i="33" l="1"/>
  <c r="E78" i="33"/>
  <c r="J97" i="33" l="1"/>
  <c r="I147" i="33" l="1"/>
  <c r="G147" i="33" l="1"/>
  <c r="H147" i="33"/>
  <c r="H141" i="33"/>
  <c r="I141" i="33" l="1"/>
  <c r="I139" i="33"/>
  <c r="F139" i="33"/>
  <c r="G139" i="33"/>
  <c r="H139" i="33"/>
  <c r="G141" i="33" l="1"/>
  <c r="J139" i="33"/>
  <c r="F141" i="33"/>
  <c r="G140" i="33" l="1"/>
  <c r="F140" i="33"/>
  <c r="F142" i="33"/>
  <c r="G142" i="33" l="1"/>
  <c r="H140" i="33"/>
  <c r="H142" i="33"/>
  <c r="K150" i="33" l="1"/>
  <c r="K143" i="33"/>
  <c r="K109" i="33"/>
  <c r="L109" i="33" s="1"/>
  <c r="M109" i="33" s="1"/>
  <c r="K97" i="33"/>
  <c r="L97" i="33" s="1"/>
  <c r="M97" i="33" s="1"/>
  <c r="K74" i="33"/>
  <c r="K75" i="33"/>
  <c r="K35" i="33" l="1"/>
  <c r="I140" i="33"/>
  <c r="I142" i="33"/>
  <c r="K34" i="33"/>
  <c r="K42" i="33"/>
  <c r="K57" i="33"/>
  <c r="K139" i="33"/>
  <c r="K140" i="33"/>
  <c r="K26" i="33"/>
  <c r="K141" i="33"/>
  <c r="K145" i="33"/>
  <c r="K43" i="33"/>
  <c r="K58" i="33"/>
  <c r="K146" i="33"/>
  <c r="L146" i="33" s="1"/>
  <c r="M146" i="33" s="1"/>
  <c r="K50" i="33" l="1"/>
  <c r="L139" i="33"/>
  <c r="M139" i="33" s="1"/>
  <c r="K142" i="33"/>
  <c r="K147" i="33"/>
  <c r="K148" i="33" s="1"/>
  <c r="K149" i="33"/>
  <c r="K151" i="33" s="1"/>
  <c r="K7" i="33"/>
  <c r="K12" i="33"/>
  <c r="K6" i="33"/>
  <c r="K81" i="33"/>
  <c r="K10" i="33"/>
  <c r="K8" i="33"/>
  <c r="K66" i="33"/>
  <c r="K68" i="33"/>
  <c r="K36" i="33"/>
  <c r="K24" i="33"/>
  <c r="K78" i="33"/>
  <c r="L78" i="33" s="1"/>
  <c r="M78" i="33" s="1"/>
  <c r="K9" i="33"/>
  <c r="K80" i="33"/>
  <c r="K44" i="33"/>
  <c r="K67" i="33"/>
  <c r="K25" i="33"/>
  <c r="L25" i="33" s="1"/>
  <c r="M25" i="33" s="1"/>
  <c r="K27" i="33"/>
  <c r="K51" i="33"/>
  <c r="K11" i="33" l="1"/>
  <c r="K23" i="33" s="1"/>
  <c r="K32" i="33"/>
  <c r="K59" i="33"/>
  <c r="K119" i="33"/>
  <c r="K144" i="33"/>
  <c r="K112" i="33"/>
  <c r="K82" i="33"/>
  <c r="K86" i="33" s="1"/>
  <c r="K103" i="33"/>
  <c r="K131" i="33"/>
  <c r="K65" i="33"/>
  <c r="K101" i="33"/>
  <c r="K56" i="33"/>
  <c r="K132" i="33"/>
  <c r="K118" i="33"/>
  <c r="K120" i="33"/>
  <c r="K91" i="33" l="1"/>
  <c r="K100" i="33" s="1"/>
  <c r="K63" i="33"/>
  <c r="K110" i="33"/>
  <c r="K41" i="33"/>
  <c r="K48" i="33" s="1"/>
  <c r="K33" i="33"/>
  <c r="K40" i="33" s="1"/>
  <c r="K49" i="33"/>
  <c r="K55" i="33" s="1"/>
  <c r="K138" i="33"/>
  <c r="K87" i="33"/>
  <c r="K73" i="33" l="1"/>
  <c r="K79" i="33" s="1"/>
  <c r="K89" i="33"/>
  <c r="E101" i="33" l="1"/>
  <c r="F145" i="33" l="1"/>
  <c r="F148" i="33"/>
  <c r="F147" i="33"/>
  <c r="G145" i="33"/>
  <c r="G143" i="33" l="1"/>
  <c r="F143" i="33"/>
  <c r="G148" i="33"/>
  <c r="H145" i="33"/>
  <c r="H148" i="33"/>
  <c r="J147" i="33"/>
  <c r="L147" i="33" s="1"/>
  <c r="M147" i="33" s="1"/>
  <c r="F144" i="33"/>
  <c r="H144" i="33"/>
  <c r="G144" i="33"/>
  <c r="H143" i="33" l="1"/>
  <c r="I145" i="33"/>
  <c r="I148" i="33"/>
  <c r="E150" i="33" l="1"/>
  <c r="H150" i="33"/>
  <c r="I150" i="33"/>
  <c r="F151" i="33"/>
  <c r="I143" i="33"/>
  <c r="I144" i="33"/>
  <c r="J149" i="33"/>
  <c r="L149" i="33" s="1"/>
  <c r="M149" i="33" s="1"/>
  <c r="J145" i="33"/>
  <c r="L145" i="33" s="1"/>
  <c r="M145" i="33" s="1"/>
  <c r="J148" i="33"/>
  <c r="F150" i="33" l="1"/>
  <c r="G150" i="33"/>
  <c r="H151" i="33"/>
  <c r="J143" i="33"/>
  <c r="L143" i="33" s="1"/>
  <c r="M143" i="33" s="1"/>
  <c r="J144" i="33"/>
  <c r="I151" i="33"/>
  <c r="H101" i="33"/>
  <c r="I101" i="33"/>
  <c r="G101" i="33"/>
  <c r="F101" i="33"/>
  <c r="L148" i="33"/>
  <c r="E7" i="33"/>
  <c r="G151" i="33" l="1"/>
  <c r="L144" i="33"/>
  <c r="J101" i="33"/>
  <c r="L101" i="33" s="1"/>
  <c r="M101" i="33" s="1"/>
  <c r="M148" i="33"/>
  <c r="H7" i="33"/>
  <c r="G7" i="33"/>
  <c r="F7" i="33"/>
  <c r="I7" i="33"/>
  <c r="J150" i="33" l="1"/>
  <c r="L150" i="33" s="1"/>
  <c r="M150" i="33" s="1"/>
  <c r="M144" i="33"/>
  <c r="J7" i="33" l="1"/>
  <c r="L7" i="33" s="1"/>
  <c r="M7" i="33" s="1"/>
  <c r="J151" i="33"/>
  <c r="L151" i="33" s="1"/>
  <c r="M151" i="33" s="1"/>
  <c r="I21" i="39"/>
  <c r="E116" i="33"/>
  <c r="E114" i="33"/>
  <c r="E67" i="33"/>
  <c r="L21" i="39" l="1"/>
  <c r="K21" i="39"/>
  <c r="E74" i="33"/>
  <c r="E111" i="33"/>
  <c r="E113" i="33"/>
  <c r="E66" i="33"/>
  <c r="G116" i="33"/>
  <c r="F116" i="33"/>
  <c r="I114" i="33"/>
  <c r="F114" i="33"/>
  <c r="G113" i="33"/>
  <c r="F113" i="33"/>
  <c r="H114" i="33"/>
  <c r="I113" i="33"/>
  <c r="G114" i="33"/>
  <c r="I116" i="33"/>
  <c r="H113" i="33"/>
  <c r="H116" i="33"/>
  <c r="F67" i="33"/>
  <c r="G67" i="33" l="1"/>
  <c r="F74" i="33"/>
  <c r="G76" i="33"/>
  <c r="I76" i="33"/>
  <c r="H71" i="33"/>
  <c r="E76" i="33"/>
  <c r="F76" i="33"/>
  <c r="I71" i="33"/>
  <c r="E71" i="33"/>
  <c r="G71" i="33"/>
  <c r="E68" i="33"/>
  <c r="F112" i="33"/>
  <c r="F111" i="33"/>
  <c r="F66" i="33"/>
  <c r="J113" i="33"/>
  <c r="J116" i="33"/>
  <c r="J114" i="33"/>
  <c r="H67" i="33" l="1"/>
  <c r="I74" i="33"/>
  <c r="G74" i="33"/>
  <c r="F75" i="33"/>
  <c r="G75" i="33"/>
  <c r="F71" i="33"/>
  <c r="E75" i="33"/>
  <c r="I75" i="33"/>
  <c r="E72" i="33"/>
  <c r="I73" i="33"/>
  <c r="E73" i="33"/>
  <c r="E64" i="33"/>
  <c r="E65" i="33"/>
  <c r="I68" i="33"/>
  <c r="G68" i="33"/>
  <c r="F68" i="33"/>
  <c r="H68" i="33"/>
  <c r="F72" i="33" l="1"/>
  <c r="I67" i="33"/>
  <c r="J71" i="33"/>
  <c r="J76" i="33"/>
  <c r="G72" i="33"/>
  <c r="I72" i="33"/>
  <c r="G73" i="33"/>
  <c r="F73" i="33"/>
  <c r="F65" i="33"/>
  <c r="E81" i="33"/>
  <c r="E80" i="33" l="1"/>
  <c r="F79" i="33"/>
  <c r="J67" i="33"/>
  <c r="L67" i="33" s="1"/>
  <c r="M67" i="33" s="1"/>
  <c r="J74" i="33"/>
  <c r="L74" i="33" s="1"/>
  <c r="M74" i="33" s="1"/>
  <c r="J68" i="33"/>
  <c r="L68" i="33" s="1"/>
  <c r="M68" i="33" s="1"/>
  <c r="J75" i="33"/>
  <c r="L75" i="33" s="1"/>
  <c r="M75" i="33" s="1"/>
  <c r="J72" i="33"/>
  <c r="J73" i="33"/>
  <c r="L73" i="33" s="1"/>
  <c r="M73" i="33" s="1"/>
  <c r="F64" i="33"/>
  <c r="F81" i="33"/>
  <c r="H81" i="33"/>
  <c r="G81" i="33"/>
  <c r="I81" i="33"/>
  <c r="F85" i="33"/>
  <c r="E82" i="33"/>
  <c r="F82" i="33"/>
  <c r="F80" i="33" l="1"/>
  <c r="G80" i="33"/>
  <c r="E91" i="33"/>
  <c r="E61" i="33"/>
  <c r="H61" i="33"/>
  <c r="G61" i="33"/>
  <c r="I61" i="33"/>
  <c r="F84" i="33"/>
  <c r="F54" i="33"/>
  <c r="E85" i="33"/>
  <c r="I82" i="33"/>
  <c r="H82" i="33"/>
  <c r="G82" i="33"/>
  <c r="F86" i="33" l="1"/>
  <c r="J81" i="33"/>
  <c r="L81" i="33" s="1"/>
  <c r="M81" i="33" s="1"/>
  <c r="E57" i="33"/>
  <c r="H51" i="33"/>
  <c r="G51" i="33"/>
  <c r="I51" i="33"/>
  <c r="E56" i="33"/>
  <c r="F61" i="33"/>
  <c r="E84" i="33"/>
  <c r="J54" i="33"/>
  <c r="G85" i="33"/>
  <c r="H85" i="33"/>
  <c r="I85" i="33"/>
  <c r="E41" i="33"/>
  <c r="J61" i="33" l="1"/>
  <c r="J82" i="33"/>
  <c r="L82" i="33" s="1"/>
  <c r="M82" i="33" s="1"/>
  <c r="F51" i="33"/>
  <c r="G84" i="33"/>
  <c r="H84" i="33"/>
  <c r="I84" i="33"/>
  <c r="E54" i="33"/>
  <c r="E27" i="33"/>
  <c r="E26" i="33"/>
  <c r="E24" i="33"/>
  <c r="E22" i="33"/>
  <c r="E16" i="33"/>
  <c r="E15" i="33"/>
  <c r="E14" i="33"/>
  <c r="E9" i="33"/>
  <c r="E8" i="33"/>
  <c r="E6" i="33"/>
  <c r="J85" i="33" l="1"/>
  <c r="F50" i="33"/>
  <c r="E13" i="33"/>
  <c r="E11" i="33" s="1"/>
  <c r="F13" i="33"/>
  <c r="E12" i="33"/>
  <c r="G86" i="33"/>
  <c r="J84" i="33"/>
  <c r="F9" i="33"/>
  <c r="F16" i="33"/>
  <c r="I15" i="33"/>
  <c r="H14" i="33"/>
  <c r="H22" i="33"/>
  <c r="H27" i="33"/>
  <c r="I26" i="33"/>
  <c r="F26" i="33"/>
  <c r="G26" i="33"/>
  <c r="H26" i="33"/>
  <c r="G21" i="33"/>
  <c r="F21" i="33"/>
  <c r="E43" i="33"/>
  <c r="F27" i="33"/>
  <c r="H21" i="33"/>
  <c r="G27" i="33"/>
  <c r="I27" i="33"/>
  <c r="G16" i="33"/>
  <c r="I16" i="33"/>
  <c r="H16" i="33"/>
  <c r="G14" i="33"/>
  <c r="G22" i="33"/>
  <c r="F22" i="33"/>
  <c r="I22" i="33"/>
  <c r="I21" i="33"/>
  <c r="G15" i="33"/>
  <c r="H15" i="33"/>
  <c r="F15" i="33"/>
  <c r="F14" i="33"/>
  <c r="I14" i="33"/>
  <c r="I50" i="33" l="1"/>
  <c r="H50" i="33"/>
  <c r="G13" i="33"/>
  <c r="G11" i="33" s="1"/>
  <c r="H55" i="33"/>
  <c r="F55" i="33"/>
  <c r="G55" i="33"/>
  <c r="I49" i="33"/>
  <c r="F49" i="33"/>
  <c r="G50" i="33"/>
  <c r="E47" i="33"/>
  <c r="I12" i="33"/>
  <c r="E49" i="33"/>
  <c r="E50" i="33"/>
  <c r="H49" i="33"/>
  <c r="G49" i="33"/>
  <c r="E46" i="33"/>
  <c r="G46" i="33"/>
  <c r="I46" i="33"/>
  <c r="H46" i="33"/>
  <c r="F24" i="33"/>
  <c r="F12" i="33"/>
  <c r="F11" i="33"/>
  <c r="H12" i="33"/>
  <c r="G12" i="33"/>
  <c r="I6" i="33"/>
  <c r="H6" i="33"/>
  <c r="F43" i="33"/>
  <c r="E123" i="33"/>
  <c r="E120" i="33"/>
  <c r="E119" i="33"/>
  <c r="E58" i="33"/>
  <c r="E59" i="33"/>
  <c r="E93" i="33"/>
  <c r="E92" i="33"/>
  <c r="E96" i="33"/>
  <c r="E42" i="33"/>
  <c r="I55" i="33" l="1"/>
  <c r="G43" i="33"/>
  <c r="E21" i="33"/>
  <c r="H13" i="33"/>
  <c r="H11" i="33" s="1"/>
  <c r="J14" i="33"/>
  <c r="J21" i="33"/>
  <c r="J26" i="33"/>
  <c r="L26" i="33" s="1"/>
  <c r="M26" i="33" s="1"/>
  <c r="J15" i="33"/>
  <c r="J16" i="33"/>
  <c r="J22" i="33"/>
  <c r="J27" i="33"/>
  <c r="L27" i="33" s="1"/>
  <c r="M27" i="33" s="1"/>
  <c r="J49" i="33"/>
  <c r="L49" i="33" s="1"/>
  <c r="M49" i="33" s="1"/>
  <c r="E104" i="33"/>
  <c r="G104" i="33"/>
  <c r="H104" i="33"/>
  <c r="I104" i="33"/>
  <c r="F46" i="33"/>
  <c r="E105" i="33"/>
  <c r="H105" i="33"/>
  <c r="G105" i="33"/>
  <c r="I105" i="33"/>
  <c r="E108" i="33"/>
  <c r="E102" i="33"/>
  <c r="G108" i="33"/>
  <c r="I108" i="33"/>
  <c r="H108" i="33"/>
  <c r="E118" i="33"/>
  <c r="F42" i="33"/>
  <c r="E95" i="33"/>
  <c r="E122" i="33"/>
  <c r="G42" i="33"/>
  <c r="I42" i="33"/>
  <c r="E44" i="33"/>
  <c r="G47" i="33"/>
  <c r="H42" i="33"/>
  <c r="E137" i="33"/>
  <c r="E134" i="33"/>
  <c r="H57" i="33"/>
  <c r="G57" i="33"/>
  <c r="F57" i="33"/>
  <c r="I57" i="33"/>
  <c r="F123" i="33"/>
  <c r="I123" i="33"/>
  <c r="H123" i="33"/>
  <c r="G123" i="33"/>
  <c r="F96" i="33"/>
  <c r="G96" i="33"/>
  <c r="H96" i="33"/>
  <c r="I96" i="33"/>
  <c r="I59" i="33"/>
  <c r="H59" i="33"/>
  <c r="G59" i="33"/>
  <c r="F59" i="33"/>
  <c r="I62" i="33"/>
  <c r="F62" i="33"/>
  <c r="H62" i="33"/>
  <c r="G62" i="33"/>
  <c r="F120" i="33"/>
  <c r="H120" i="33"/>
  <c r="G120" i="33"/>
  <c r="I120" i="33"/>
  <c r="E126" i="33"/>
  <c r="E130" i="33"/>
  <c r="E127" i="33"/>
  <c r="F93" i="33"/>
  <c r="G93" i="33"/>
  <c r="I93" i="33"/>
  <c r="H93" i="33"/>
  <c r="F58" i="33"/>
  <c r="F119" i="33"/>
  <c r="H119" i="33"/>
  <c r="I119" i="33"/>
  <c r="G119" i="33"/>
  <c r="I47" i="33"/>
  <c r="E38" i="33"/>
  <c r="E10" i="33"/>
  <c r="J12" i="33" l="1"/>
  <c r="L12" i="33" s="1"/>
  <c r="M12" i="33" s="1"/>
  <c r="J50" i="33"/>
  <c r="L50" i="33" s="1"/>
  <c r="M50" i="33" s="1"/>
  <c r="I10" i="39"/>
  <c r="L10" i="39" s="1"/>
  <c r="G58" i="33"/>
  <c r="H43" i="33"/>
  <c r="J46" i="33"/>
  <c r="I13" i="33"/>
  <c r="I11" i="33" s="1"/>
  <c r="E132" i="33"/>
  <c r="G92" i="33"/>
  <c r="I92" i="33"/>
  <c r="F92" i="33"/>
  <c r="H92" i="33"/>
  <c r="E117" i="33"/>
  <c r="F104" i="33"/>
  <c r="F108" i="33"/>
  <c r="F105" i="33"/>
  <c r="E107" i="33"/>
  <c r="G107" i="33"/>
  <c r="I107" i="33"/>
  <c r="H107" i="33"/>
  <c r="E103" i="33"/>
  <c r="F118" i="33"/>
  <c r="E133" i="33"/>
  <c r="E131" i="33"/>
  <c r="E125" i="33"/>
  <c r="H56" i="33"/>
  <c r="G56" i="33"/>
  <c r="F56" i="33"/>
  <c r="I56" i="33"/>
  <c r="I95" i="33"/>
  <c r="H95" i="33"/>
  <c r="F95" i="33"/>
  <c r="G95" i="33"/>
  <c r="H44" i="33"/>
  <c r="H122" i="33"/>
  <c r="I122" i="33"/>
  <c r="G122" i="33"/>
  <c r="E129" i="33"/>
  <c r="F10" i="33"/>
  <c r="F122" i="33"/>
  <c r="I44" i="33"/>
  <c r="G44" i="33"/>
  <c r="H47" i="33"/>
  <c r="F44" i="33"/>
  <c r="F47" i="33"/>
  <c r="G125" i="33"/>
  <c r="I125" i="33"/>
  <c r="H125" i="33"/>
  <c r="J120" i="33"/>
  <c r="L120" i="33" s="1"/>
  <c r="M120" i="33" s="1"/>
  <c r="J123" i="33"/>
  <c r="F126" i="33"/>
  <c r="G126" i="33"/>
  <c r="I126" i="33"/>
  <c r="H126" i="33"/>
  <c r="I137" i="33"/>
  <c r="G137" i="33"/>
  <c r="F137" i="33"/>
  <c r="H137" i="33"/>
  <c r="F130" i="33"/>
  <c r="I130" i="33"/>
  <c r="H130" i="33"/>
  <c r="G130" i="33"/>
  <c r="H134" i="33"/>
  <c r="I134" i="33"/>
  <c r="F134" i="33"/>
  <c r="G134" i="33"/>
  <c r="J119" i="33"/>
  <c r="L119" i="33" s="1"/>
  <c r="M119" i="33" s="1"/>
  <c r="F127" i="33"/>
  <c r="G127" i="33"/>
  <c r="I127" i="33"/>
  <c r="H127" i="33"/>
  <c r="F133" i="33"/>
  <c r="G133" i="33" l="1"/>
  <c r="I133" i="33"/>
  <c r="H133" i="33"/>
  <c r="J108" i="33"/>
  <c r="J105" i="33"/>
  <c r="J104" i="33"/>
  <c r="K10" i="39"/>
  <c r="H58" i="33"/>
  <c r="I43" i="33"/>
  <c r="J62" i="33"/>
  <c r="J96" i="33"/>
  <c r="J42" i="33"/>
  <c r="L42" i="33" s="1"/>
  <c r="M42" i="33" s="1"/>
  <c r="J59" i="33"/>
  <c r="L59" i="33" s="1"/>
  <c r="M59" i="33" s="1"/>
  <c r="J93" i="33"/>
  <c r="J57" i="33"/>
  <c r="L57" i="33" s="1"/>
  <c r="M57" i="33" s="1"/>
  <c r="J13" i="33"/>
  <c r="J11" i="33" s="1"/>
  <c r="L11" i="33" s="1"/>
  <c r="M11" i="33" s="1"/>
  <c r="E136" i="33"/>
  <c r="G136" i="33"/>
  <c r="I136" i="33"/>
  <c r="H136" i="33"/>
  <c r="J92" i="33"/>
  <c r="E33" i="33"/>
  <c r="G103" i="33"/>
  <c r="H103" i="33"/>
  <c r="I103" i="33"/>
  <c r="F107" i="33"/>
  <c r="F103" i="33"/>
  <c r="F125" i="33"/>
  <c r="E124" i="33"/>
  <c r="J56" i="33"/>
  <c r="L56" i="33" s="1"/>
  <c r="M56" i="33" s="1"/>
  <c r="H129" i="33"/>
  <c r="I129" i="33"/>
  <c r="F129" i="33"/>
  <c r="J122" i="33"/>
  <c r="G129" i="33"/>
  <c r="G38" i="33"/>
  <c r="F38" i="33"/>
  <c r="H38" i="33"/>
  <c r="I38" i="33"/>
  <c r="G39" i="33"/>
  <c r="F39" i="33"/>
  <c r="J130" i="33"/>
  <c r="J126" i="33"/>
  <c r="J127" i="33"/>
  <c r="E36" i="33"/>
  <c r="J107" i="33" l="1"/>
  <c r="I58" i="33"/>
  <c r="J43" i="33"/>
  <c r="L43" i="33" s="1"/>
  <c r="M43" i="33" s="1"/>
  <c r="J134" i="33"/>
  <c r="J137" i="33"/>
  <c r="J47" i="33"/>
  <c r="J95" i="33"/>
  <c r="J44" i="33"/>
  <c r="L44" i="33" s="1"/>
  <c r="M44" i="33" s="1"/>
  <c r="J133" i="33"/>
  <c r="F136" i="33"/>
  <c r="J136" i="33"/>
  <c r="E34" i="33"/>
  <c r="I34" i="33"/>
  <c r="F102" i="33"/>
  <c r="F110" i="33"/>
  <c r="G34" i="33"/>
  <c r="J103" i="33"/>
  <c r="L103" i="33" s="1"/>
  <c r="M103" i="33" s="1"/>
  <c r="I110" i="33"/>
  <c r="I102" i="33"/>
  <c r="G102" i="33"/>
  <c r="G110" i="33"/>
  <c r="H34" i="33"/>
  <c r="H102" i="33"/>
  <c r="H110" i="33"/>
  <c r="J125" i="33"/>
  <c r="F124" i="33"/>
  <c r="I135" i="33"/>
  <c r="G135" i="33"/>
  <c r="H135" i="33"/>
  <c r="J121" i="33"/>
  <c r="F117" i="33"/>
  <c r="H124" i="33"/>
  <c r="I124" i="33"/>
  <c r="G124" i="33"/>
  <c r="J129" i="33"/>
  <c r="H36" i="33"/>
  <c r="I36" i="33"/>
  <c r="G36" i="33"/>
  <c r="F36" i="33"/>
  <c r="F33" i="33"/>
  <c r="E28" i="33" l="1"/>
  <c r="J58" i="33"/>
  <c r="L58" i="33" s="1"/>
  <c r="M58" i="33" s="1"/>
  <c r="I11" i="39"/>
  <c r="J38" i="33"/>
  <c r="F34" i="33"/>
  <c r="J102" i="33"/>
  <c r="J124" i="33"/>
  <c r="J135" i="33"/>
  <c r="E35" i="33"/>
  <c r="H30" i="33"/>
  <c r="I30" i="33"/>
  <c r="K11" i="39" l="1"/>
  <c r="L11" i="39"/>
  <c r="J34" i="33"/>
  <c r="L34" i="33" s="1"/>
  <c r="M34" i="33" s="1"/>
  <c r="J36" i="33"/>
  <c r="L36" i="33" s="1"/>
  <c r="M36" i="33" s="1"/>
  <c r="G30" i="33"/>
  <c r="J110" i="33"/>
  <c r="L110" i="33" s="1"/>
  <c r="I16" i="39"/>
  <c r="F28" i="33"/>
  <c r="F32" i="33"/>
  <c r="F35" i="33"/>
  <c r="F40" i="33"/>
  <c r="G28" i="33" l="1"/>
  <c r="J30" i="33"/>
  <c r="L16" i="39"/>
  <c r="K16" i="39"/>
  <c r="M110" i="33"/>
  <c r="G33" i="33"/>
  <c r="H33" i="33"/>
  <c r="I33" i="33"/>
  <c r="H28" i="33" l="1"/>
  <c r="G41" i="33"/>
  <c r="I41" i="33"/>
  <c r="H41" i="33"/>
  <c r="F41" i="33"/>
  <c r="J33" i="33"/>
  <c r="L33" i="33" s="1"/>
  <c r="M33" i="33" s="1"/>
  <c r="F48" i="33"/>
  <c r="I39" i="33"/>
  <c r="I66" i="33"/>
  <c r="G66" i="33"/>
  <c r="H39" i="33"/>
  <c r="H66" i="33"/>
  <c r="I28" i="33" l="1"/>
  <c r="G40" i="33"/>
  <c r="I9" i="39"/>
  <c r="K9" i="39" s="1"/>
  <c r="I112" i="33"/>
  <c r="I118" i="33"/>
  <c r="H112" i="33"/>
  <c r="H118" i="33"/>
  <c r="G118" i="33"/>
  <c r="G112" i="33"/>
  <c r="J41" i="33"/>
  <c r="L41" i="33" s="1"/>
  <c r="M41" i="33" s="1"/>
  <c r="G35" i="33"/>
  <c r="G111" i="33"/>
  <c r="G65" i="33"/>
  <c r="H65" i="33"/>
  <c r="H132" i="33"/>
  <c r="G132" i="33"/>
  <c r="I132" i="33"/>
  <c r="J28" i="33" l="1"/>
  <c r="H40" i="33"/>
  <c r="H35" i="33"/>
  <c r="L9" i="39"/>
  <c r="J66" i="33"/>
  <c r="L66" i="33" s="1"/>
  <c r="M66" i="33" s="1"/>
  <c r="J39" i="33"/>
  <c r="I65" i="33"/>
  <c r="F132" i="33"/>
  <c r="J112" i="33"/>
  <c r="L112" i="33" s="1"/>
  <c r="M112" i="33" s="1"/>
  <c r="J118" i="33"/>
  <c r="L118" i="33" s="1"/>
  <c r="M118" i="33" s="1"/>
  <c r="H111" i="33"/>
  <c r="I111" i="33"/>
  <c r="I117" i="33"/>
  <c r="G117" i="33"/>
  <c r="H117" i="33"/>
  <c r="H63" i="33"/>
  <c r="G131" i="33"/>
  <c r="G63" i="33"/>
  <c r="I131" i="33"/>
  <c r="F63" i="33"/>
  <c r="H131" i="33"/>
  <c r="I63" i="33"/>
  <c r="I40" i="33" l="1"/>
  <c r="I35" i="33"/>
  <c r="I64" i="33"/>
  <c r="J141" i="33"/>
  <c r="L141" i="33" s="1"/>
  <c r="M141" i="33" s="1"/>
  <c r="G64" i="33"/>
  <c r="G79" i="33"/>
  <c r="H64" i="33"/>
  <c r="H79" i="33"/>
  <c r="I138" i="33"/>
  <c r="J132" i="33"/>
  <c r="L132" i="33" s="1"/>
  <c r="M132" i="33" s="1"/>
  <c r="G138" i="33"/>
  <c r="H138" i="33"/>
  <c r="J111" i="33"/>
  <c r="J65" i="33"/>
  <c r="L65" i="33" s="1"/>
  <c r="M65" i="33" s="1"/>
  <c r="I12" i="39"/>
  <c r="F131" i="33"/>
  <c r="F138" i="33"/>
  <c r="J117" i="33"/>
  <c r="I79" i="33"/>
  <c r="J63" i="33"/>
  <c r="J35" i="33" l="1"/>
  <c r="L35" i="33" s="1"/>
  <c r="M35" i="33" s="1"/>
  <c r="L12" i="39"/>
  <c r="K12" i="39"/>
  <c r="J138" i="33"/>
  <c r="J64" i="33"/>
  <c r="J79" i="33"/>
  <c r="L63" i="33"/>
  <c r="G10" i="33"/>
  <c r="I10" i="33"/>
  <c r="H10" i="33"/>
  <c r="J131" i="33" l="1"/>
  <c r="L131" i="33" s="1"/>
  <c r="M131" i="33" s="1"/>
  <c r="I17" i="39"/>
  <c r="L17" i="39" s="1"/>
  <c r="I8" i="39"/>
  <c r="J40" i="33"/>
  <c r="L40" i="33" s="1"/>
  <c r="M40" i="33" s="1"/>
  <c r="F6" i="33"/>
  <c r="L138" i="33"/>
  <c r="L79" i="33"/>
  <c r="M63" i="33"/>
  <c r="K17" i="39" l="1"/>
  <c r="L8" i="39"/>
  <c r="K8" i="39"/>
  <c r="J10" i="33"/>
  <c r="L10" i="33" s="1"/>
  <c r="M10" i="33" s="1"/>
  <c r="J140" i="33"/>
  <c r="L140" i="33" s="1"/>
  <c r="M140" i="33" s="1"/>
  <c r="G6" i="33"/>
  <c r="M138" i="33"/>
  <c r="M79" i="33"/>
  <c r="J142" i="33" l="1"/>
  <c r="L142" i="33" s="1"/>
  <c r="I18" i="39"/>
  <c r="J6" i="33"/>
  <c r="L6" i="33" s="1"/>
  <c r="M6" i="33" s="1"/>
  <c r="I9" i="33"/>
  <c r="L18" i="39" l="1"/>
  <c r="K18" i="39"/>
  <c r="I80" i="33"/>
  <c r="M142" i="33"/>
  <c r="I86" i="33"/>
  <c r="H9" i="33"/>
  <c r="G9" i="33"/>
  <c r="I24" i="33" l="1"/>
  <c r="I32" i="33"/>
  <c r="H24" i="33"/>
  <c r="H32" i="33"/>
  <c r="G24" i="33"/>
  <c r="G32" i="33"/>
  <c r="H80" i="33"/>
  <c r="H86" i="33"/>
  <c r="I13" i="39" l="1"/>
  <c r="L13" i="39" s="1"/>
  <c r="J9" i="33"/>
  <c r="L9" i="33" s="1"/>
  <c r="M9" i="33" s="1"/>
  <c r="I7" i="39"/>
  <c r="L7" i="39" s="1"/>
  <c r="J24" i="33"/>
  <c r="L24" i="33" s="1"/>
  <c r="M24" i="33" s="1"/>
  <c r="J80" i="33"/>
  <c r="L80" i="33" s="1"/>
  <c r="M80" i="33" s="1"/>
  <c r="H8" i="33"/>
  <c r="H23" i="33"/>
  <c r="I8" i="33"/>
  <c r="I23" i="33"/>
  <c r="G8" i="33"/>
  <c r="G23" i="33"/>
  <c r="F8" i="33"/>
  <c r="F23" i="33"/>
  <c r="K7" i="39" l="1"/>
  <c r="J32" i="33"/>
  <c r="L32" i="33" s="1"/>
  <c r="K13" i="39"/>
  <c r="I6" i="39"/>
  <c r="K6" i="39" s="1"/>
  <c r="J86" i="33"/>
  <c r="L86" i="33" s="1"/>
  <c r="J8" i="33"/>
  <c r="L8" i="33" s="1"/>
  <c r="M8" i="33" s="1"/>
  <c r="L6" i="39" l="1"/>
  <c r="J23" i="33"/>
  <c r="M86" i="33"/>
  <c r="M32" i="33"/>
  <c r="L23" i="33" l="1"/>
  <c r="M23" i="33" s="1"/>
  <c r="G48" i="33"/>
  <c r="H48" i="33" l="1"/>
  <c r="I48" i="33"/>
  <c r="J48" i="33" l="1"/>
  <c r="G87" i="33" l="1"/>
  <c r="H87" i="33"/>
  <c r="F87" i="33"/>
  <c r="I87" i="33"/>
  <c r="L48" i="33"/>
  <c r="E87" i="33" l="1"/>
  <c r="I89" i="33"/>
  <c r="H89" i="33"/>
  <c r="G89" i="33"/>
  <c r="F89" i="33"/>
  <c r="J87" i="33"/>
  <c r="L87" i="33" s="1"/>
  <c r="M87" i="33" s="1"/>
  <c r="M48" i="33"/>
  <c r="J89" i="33" l="1"/>
  <c r="L89" i="33" s="1"/>
  <c r="I14" i="39"/>
  <c r="E90" i="33"/>
  <c r="L14" i="39" l="1"/>
  <c r="K14" i="39"/>
  <c r="F91" i="33"/>
  <c r="I91" i="33"/>
  <c r="G91" i="33"/>
  <c r="H91" i="33"/>
  <c r="M89" i="33"/>
  <c r="I15" i="39" l="1"/>
  <c r="J91" i="33"/>
  <c r="L91" i="33" s="1"/>
  <c r="M91" i="33" s="1"/>
  <c r="G100" i="33"/>
  <c r="G90" i="33"/>
  <c r="F100" i="33"/>
  <c r="F90" i="33"/>
  <c r="H90" i="33"/>
  <c r="H100" i="33"/>
  <c r="I100" i="33"/>
  <c r="I90" i="33"/>
  <c r="L15" i="39" l="1"/>
  <c r="K15" i="39"/>
  <c r="K22" i="39" s="1"/>
  <c r="L22" i="39" s="1"/>
  <c r="I22" i="39"/>
  <c r="J100" i="33"/>
  <c r="J90" i="33"/>
  <c r="J51" i="33"/>
  <c r="L51" i="33" s="1"/>
  <c r="M51" i="33" s="1"/>
  <c r="E51" i="33"/>
  <c r="F152" i="33"/>
  <c r="G152" i="33"/>
  <c r="H152" i="33"/>
  <c r="I152" i="33"/>
  <c r="J53" i="33" l="1"/>
  <c r="E53" i="33"/>
  <c r="J55" i="33" l="1"/>
  <c r="J152" i="33"/>
  <c r="L55" i="33" l="1"/>
  <c r="M55" i="33" l="1"/>
  <c r="L100" i="33"/>
  <c r="M100" i="33" s="1"/>
  <c r="K152" i="33"/>
  <c r="L152" i="33" l="1"/>
  <c r="M152" i="33" l="1"/>
  <c r="J143" i="45" l="1"/>
  <c r="J145" i="45" s="1"/>
  <c r="J148" i="45" s="1"/>
  <c r="K143" i="45"/>
  <c r="K145" i="45" s="1"/>
  <c r="K148" i="45" s="1"/>
  <c r="I143" i="45"/>
  <c r="I145" i="45" s="1"/>
  <c r="I148" i="45" s="1"/>
  <c r="H143" i="45"/>
  <c r="H145" i="45" s="1"/>
  <c r="H148" i="45" s="1"/>
  <c r="L143" i="45" l="1"/>
  <c r="L145" i="45" l="1"/>
  <c r="N143" i="45"/>
  <c r="O143" i="45"/>
  <c r="N146" i="45" l="1"/>
  <c r="N145" i="45"/>
  <c r="L148" i="45"/>
  <c r="O148" i="45" s="1"/>
  <c r="O145" i="45"/>
</calcChain>
</file>

<file path=xl/sharedStrings.xml><?xml version="1.0" encoding="utf-8"?>
<sst xmlns="http://schemas.openxmlformats.org/spreadsheetml/2006/main" count="3426" uniqueCount="2036">
  <si>
    <t>Budget Item</t>
    <phoneticPr fontId="13" type="noConversion"/>
  </si>
  <si>
    <t>Explanation</t>
    <phoneticPr fontId="13" type="noConversion"/>
  </si>
  <si>
    <t xml:space="preserve">per month in RMB </t>
    <phoneticPr fontId="13" type="noConversion"/>
  </si>
  <si>
    <t>Q1</t>
    <phoneticPr fontId="13" type="noConversion"/>
  </si>
  <si>
    <t>Q2</t>
    <phoneticPr fontId="13" type="noConversion"/>
  </si>
  <si>
    <t>Q3</t>
    <phoneticPr fontId="13" type="noConversion"/>
  </si>
  <si>
    <t>Q4</t>
    <phoneticPr fontId="13" type="noConversion"/>
  </si>
  <si>
    <t>Remark</t>
    <phoneticPr fontId="4" type="noConversion"/>
  </si>
  <si>
    <t>Capex</t>
    <phoneticPr fontId="4" type="noConversion"/>
  </si>
  <si>
    <t>Expenses</t>
    <phoneticPr fontId="13" type="noConversion"/>
  </si>
  <si>
    <t>2</t>
  </si>
  <si>
    <t>3</t>
  </si>
  <si>
    <t>4</t>
  </si>
  <si>
    <t>5</t>
  </si>
  <si>
    <t>6</t>
  </si>
  <si>
    <t>7</t>
  </si>
  <si>
    <t>8</t>
  </si>
  <si>
    <t>9</t>
  </si>
  <si>
    <r>
      <t>Price</t>
    </r>
    <r>
      <rPr>
        <b/>
        <sz val="10"/>
        <rFont val="Arial Unicode MS"/>
        <family val="2"/>
        <charset val="134"/>
      </rPr>
      <t>（</t>
    </r>
    <r>
      <rPr>
        <b/>
        <sz val="10"/>
        <rFont val="Arial"/>
        <family val="2"/>
      </rPr>
      <t>ES</t>
    </r>
    <r>
      <rPr>
        <b/>
        <sz val="10"/>
        <rFont val="Arial Unicode MS"/>
        <family val="2"/>
        <charset val="134"/>
      </rPr>
      <t>）</t>
    </r>
    <phoneticPr fontId="13" type="noConversion"/>
  </si>
  <si>
    <r>
      <rPr>
        <sz val="10"/>
        <rFont val="Arial Unicode MS"/>
        <family val="2"/>
        <charset val="134"/>
      </rPr>
      <t>（</t>
    </r>
    <r>
      <rPr>
        <sz val="10"/>
        <rFont val="Arial"/>
        <family val="2"/>
      </rPr>
      <t>a</t>
    </r>
    <r>
      <rPr>
        <sz val="10"/>
        <rFont val="Arial Unicode MS"/>
        <family val="2"/>
        <charset val="134"/>
      </rPr>
      <t>）</t>
    </r>
    <phoneticPr fontId="13" type="noConversion"/>
  </si>
  <si>
    <r>
      <rPr>
        <sz val="10"/>
        <rFont val="Arial Unicode MS"/>
        <family val="2"/>
        <charset val="134"/>
      </rPr>
      <t>（</t>
    </r>
    <r>
      <rPr>
        <sz val="10"/>
        <rFont val="Arial"/>
        <family val="2"/>
      </rPr>
      <t>b</t>
    </r>
    <r>
      <rPr>
        <sz val="10"/>
        <rFont val="Arial Unicode MS"/>
        <family val="2"/>
        <charset val="134"/>
      </rPr>
      <t>）</t>
    </r>
    <r>
      <rPr>
        <sz val="10"/>
        <rFont val="Arial"/>
        <family val="2"/>
      </rPr>
      <t>=</t>
    </r>
    <r>
      <rPr>
        <sz val="10"/>
        <rFont val="Arial Unicode MS"/>
        <family val="2"/>
        <charset val="134"/>
      </rPr>
      <t>（</t>
    </r>
    <r>
      <rPr>
        <sz val="10"/>
        <rFont val="Arial"/>
        <family val="2"/>
      </rPr>
      <t>a</t>
    </r>
    <r>
      <rPr>
        <sz val="10"/>
        <rFont val="Arial Unicode MS"/>
        <family val="2"/>
        <charset val="134"/>
      </rPr>
      <t>）</t>
    </r>
    <r>
      <rPr>
        <sz val="10"/>
        <rFont val="Arial"/>
        <family val="2"/>
      </rPr>
      <t>*12</t>
    </r>
    <phoneticPr fontId="13" type="noConversion"/>
  </si>
  <si>
    <r>
      <rPr>
        <sz val="10"/>
        <rFont val="宋体"/>
        <family val="3"/>
        <charset val="134"/>
      </rPr>
      <t>搜狐网络大厦地毯清洗</t>
    </r>
    <r>
      <rPr>
        <sz val="10"/>
        <rFont val="Arial"/>
        <family val="2"/>
      </rPr>
      <t/>
    </r>
    <phoneticPr fontId="13" type="noConversion"/>
  </si>
  <si>
    <t>茶水间阿姨费用</t>
    <phoneticPr fontId="13" type="noConversion"/>
  </si>
  <si>
    <r>
      <rPr>
        <sz val="10"/>
        <rFont val="宋体"/>
        <family val="3"/>
        <charset val="134"/>
      </rPr>
      <t>◆</t>
    </r>
  </si>
  <si>
    <r>
      <rPr>
        <sz val="10"/>
        <rFont val="宋体"/>
        <family val="3"/>
        <charset val="134"/>
      </rPr>
      <t>★</t>
    </r>
  </si>
  <si>
    <r>
      <rPr>
        <sz val="10"/>
        <rFont val="宋体"/>
        <family val="3"/>
        <charset val="134"/>
      </rPr>
      <t>融科</t>
    </r>
    <r>
      <rPr>
        <sz val="10"/>
        <rFont val="Arial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层电费</t>
    </r>
    <phoneticPr fontId="13" type="noConversion"/>
  </si>
  <si>
    <t>华清嘉园租金</t>
    <phoneticPr fontId="13" type="noConversion"/>
  </si>
  <si>
    <r>
      <rPr>
        <sz val="10"/>
        <rFont val="宋体"/>
        <family val="3"/>
        <charset val="134"/>
      </rPr>
      <t>融科</t>
    </r>
    <r>
      <rPr>
        <sz val="10"/>
        <rFont val="Arial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层租金</t>
    </r>
    <phoneticPr fontId="13" type="noConversion"/>
  </si>
  <si>
    <r>
      <rPr>
        <sz val="10"/>
        <rFont val="宋体"/>
        <family val="3"/>
        <charset val="134"/>
      </rPr>
      <t>融科</t>
    </r>
    <r>
      <rPr>
        <sz val="10"/>
        <rFont val="Arial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层租金</t>
    </r>
    <phoneticPr fontId="13" type="noConversion"/>
  </si>
  <si>
    <r>
      <rPr>
        <sz val="10"/>
        <rFont val="宋体"/>
        <family val="3"/>
        <charset val="134"/>
      </rPr>
      <t>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层租金</t>
    </r>
    <phoneticPr fontId="13" type="noConversion"/>
  </si>
  <si>
    <r>
      <rPr>
        <sz val="10"/>
        <rFont val="宋体"/>
        <family val="3"/>
        <charset val="134"/>
      </rPr>
      <t>融科</t>
    </r>
    <r>
      <rPr>
        <sz val="10"/>
        <rFont val="Arial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层物业管理费</t>
    </r>
    <phoneticPr fontId="13" type="noConversion"/>
  </si>
  <si>
    <r>
      <rPr>
        <sz val="10"/>
        <rFont val="宋体"/>
        <family val="3"/>
        <charset val="134"/>
      </rPr>
      <t>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层物业管理费</t>
    </r>
    <phoneticPr fontId="13" type="noConversion"/>
  </si>
  <si>
    <r>
      <rPr>
        <sz val="10"/>
        <rFont val="宋体"/>
        <family val="3"/>
        <charset val="134"/>
      </rPr>
      <t>融科</t>
    </r>
    <r>
      <rPr>
        <sz val="10"/>
        <rFont val="Arial"/>
        <family val="2"/>
      </rPr>
      <t>A</t>
    </r>
    <r>
      <rPr>
        <sz val="10"/>
        <rFont val="宋体"/>
        <family val="3"/>
        <charset val="134"/>
      </rPr>
      <t>座地下停车费</t>
    </r>
    <phoneticPr fontId="13" type="noConversion"/>
  </si>
  <si>
    <r>
      <rPr>
        <sz val="10"/>
        <rFont val="宋体"/>
        <family val="3"/>
        <charset val="134"/>
      </rPr>
      <t>融科</t>
    </r>
    <r>
      <rPr>
        <sz val="10"/>
        <rFont val="Arial"/>
        <family val="2"/>
      </rPr>
      <t>C</t>
    </r>
    <r>
      <rPr>
        <sz val="10"/>
        <rFont val="宋体"/>
        <family val="3"/>
        <charset val="134"/>
      </rPr>
      <t>座地下停车费</t>
    </r>
    <phoneticPr fontId="13" type="noConversion"/>
  </si>
  <si>
    <t>Q1</t>
    <phoneticPr fontId="4" type="noConversion"/>
  </si>
  <si>
    <t>Q2</t>
    <phoneticPr fontId="4" type="noConversion"/>
  </si>
  <si>
    <t>Q3</t>
    <phoneticPr fontId="4" type="noConversion"/>
  </si>
  <si>
    <t>Q4</t>
    <phoneticPr fontId="4" type="noConversion"/>
  </si>
  <si>
    <t>华清及公寓植物租摆费</t>
    <phoneticPr fontId="13" type="noConversion"/>
  </si>
  <si>
    <r>
      <rPr>
        <sz val="10"/>
        <rFont val="宋体"/>
        <family val="3"/>
        <charset val="134"/>
      </rPr>
      <t>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层植物租摆费</t>
    </r>
    <phoneticPr fontId="13" type="noConversion"/>
  </si>
  <si>
    <t>Rental</t>
    <phoneticPr fontId="13" type="noConversion"/>
  </si>
  <si>
    <r>
      <rPr>
        <sz val="10"/>
        <rFont val="宋体"/>
        <family val="3"/>
        <charset val="134"/>
      </rPr>
      <t>岗位设置</t>
    </r>
  </si>
  <si>
    <r>
      <rPr>
        <sz val="10"/>
        <rFont val="宋体"/>
        <family val="3"/>
        <charset val="134"/>
      </rPr>
      <t>岗位数量</t>
    </r>
  </si>
  <si>
    <r>
      <rPr>
        <sz val="10"/>
        <rFont val="宋体"/>
        <family val="3"/>
        <charset val="134"/>
      </rPr>
      <t>岗位工时</t>
    </r>
  </si>
  <si>
    <t>Security Service</t>
    <phoneticPr fontId="13" type="noConversion"/>
  </si>
  <si>
    <r>
      <rPr>
        <sz val="10"/>
        <rFont val="宋体"/>
        <family val="3"/>
        <charset val="134"/>
      </rPr>
      <t>融科</t>
    </r>
    <r>
      <rPr>
        <sz val="10"/>
        <rFont val="Arial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层保安费</t>
    </r>
    <phoneticPr fontId="13" type="noConversion"/>
  </si>
  <si>
    <r>
      <rPr>
        <sz val="10"/>
        <rFont val="宋体"/>
        <family val="3"/>
        <charset val="134"/>
      </rPr>
      <t>融科</t>
    </r>
    <r>
      <rPr>
        <sz val="10"/>
        <rFont val="Arial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层保安费</t>
    </r>
    <phoneticPr fontId="13" type="noConversion"/>
  </si>
  <si>
    <r>
      <rPr>
        <sz val="10"/>
        <rFont val="宋体"/>
        <family val="3"/>
        <charset val="134"/>
      </rPr>
      <t>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层保安费</t>
    </r>
    <phoneticPr fontId="13" type="noConversion"/>
  </si>
  <si>
    <r>
      <t>2012</t>
    </r>
    <r>
      <rPr>
        <b/>
        <sz val="10"/>
        <rFont val="宋体"/>
        <family val="3"/>
        <charset val="134"/>
      </rPr>
      <t>年行政预算计算依据表</t>
    </r>
    <phoneticPr fontId="13" type="noConversion"/>
  </si>
  <si>
    <r>
      <rPr>
        <sz val="10"/>
        <rFont val="宋体"/>
        <family val="3"/>
        <charset val="134"/>
      </rPr>
      <t>融科</t>
    </r>
    <r>
      <rPr>
        <sz val="10"/>
        <rFont val="Arial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层茶水间阿姨费用</t>
    </r>
    <phoneticPr fontId="13" type="noConversion"/>
  </si>
  <si>
    <r>
      <rPr>
        <sz val="10"/>
        <rFont val="宋体"/>
        <family val="3"/>
        <charset val="134"/>
      </rPr>
      <t>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层茶水间阿姨费用</t>
    </r>
    <phoneticPr fontId="13" type="noConversion"/>
  </si>
  <si>
    <r>
      <rPr>
        <sz val="10"/>
        <rFont val="宋体"/>
        <family val="3"/>
        <charset val="134"/>
      </rPr>
      <t>融科</t>
    </r>
    <r>
      <rPr>
        <sz val="10"/>
        <rFont val="Arial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层茶水间阿姨费用</t>
    </r>
    <phoneticPr fontId="13" type="noConversion"/>
  </si>
  <si>
    <t xml:space="preserve">Pantry Service </t>
    <phoneticPr fontId="13" type="noConversion"/>
  </si>
  <si>
    <t>华清嘉园、皂君庙宿舍日常保洁费用</t>
    <phoneticPr fontId="13" type="noConversion"/>
  </si>
  <si>
    <r>
      <rPr>
        <sz val="10"/>
        <rFont val="宋体"/>
        <family val="3"/>
        <charset val="134"/>
      </rPr>
      <t>融科</t>
    </r>
    <r>
      <rPr>
        <sz val="10"/>
        <rFont val="Arial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层日常保洁费用</t>
    </r>
    <phoneticPr fontId="13" type="noConversion"/>
  </si>
  <si>
    <r>
      <rPr>
        <sz val="10"/>
        <rFont val="宋体"/>
        <family val="3"/>
        <charset val="134"/>
      </rPr>
      <t>融科</t>
    </r>
    <r>
      <rPr>
        <sz val="10"/>
        <rFont val="Arial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层日常保洁费用</t>
    </r>
    <phoneticPr fontId="13" type="noConversion"/>
  </si>
  <si>
    <r>
      <rPr>
        <sz val="10"/>
        <rFont val="宋体"/>
        <family val="3"/>
        <charset val="134"/>
      </rPr>
      <t>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层日常保洁费用</t>
    </r>
    <phoneticPr fontId="13" type="noConversion"/>
  </si>
  <si>
    <r>
      <rPr>
        <sz val="10"/>
        <rFont val="宋体"/>
        <family val="3"/>
        <charset val="134"/>
      </rPr>
      <t>融科</t>
    </r>
    <r>
      <rPr>
        <sz val="10"/>
        <rFont val="Arial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层地毯清洗</t>
    </r>
    <phoneticPr fontId="13" type="noConversion"/>
  </si>
  <si>
    <r>
      <rPr>
        <sz val="10"/>
        <rFont val="宋体"/>
        <family val="3"/>
        <charset val="134"/>
      </rPr>
      <t>融科</t>
    </r>
    <r>
      <rPr>
        <sz val="10"/>
        <rFont val="Arial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层地毯清洗</t>
    </r>
    <phoneticPr fontId="13" type="noConversion"/>
  </si>
  <si>
    <r>
      <rPr>
        <sz val="10"/>
        <rFont val="宋体"/>
        <family val="3"/>
        <charset val="134"/>
      </rPr>
      <t>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层地毯清洗</t>
    </r>
    <phoneticPr fontId="13" type="noConversion"/>
  </si>
  <si>
    <r>
      <rPr>
        <sz val="10"/>
        <rFont val="宋体"/>
        <family val="3"/>
        <charset val="134"/>
      </rPr>
      <t>※</t>
    </r>
    <phoneticPr fontId="13" type="noConversion"/>
  </si>
  <si>
    <t>搜狐网络大厦租金</t>
    <phoneticPr fontId="13" type="noConversion"/>
  </si>
  <si>
    <t>搜狐网络大厦物业管理费</t>
    <phoneticPr fontId="13" type="noConversion"/>
  </si>
  <si>
    <t>库房租金</t>
    <phoneticPr fontId="13" type="noConversion"/>
  </si>
  <si>
    <t>库房物业管理费</t>
    <phoneticPr fontId="13" type="noConversion"/>
  </si>
  <si>
    <r>
      <rPr>
        <sz val="10"/>
        <rFont val="宋体"/>
        <family val="3"/>
        <charset val="134"/>
      </rPr>
      <t>融科</t>
    </r>
    <r>
      <rPr>
        <sz val="10"/>
        <rFont val="Arial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层物业管理费</t>
    </r>
    <phoneticPr fontId="13" type="noConversion"/>
  </si>
  <si>
    <t>Electricity</t>
    <phoneticPr fontId="13" type="noConversion"/>
  </si>
  <si>
    <t>搜狐网络大厦电费</t>
    <phoneticPr fontId="13" type="noConversion"/>
  </si>
  <si>
    <t>华清嘉园电费</t>
    <phoneticPr fontId="13" type="noConversion"/>
  </si>
  <si>
    <r>
      <rPr>
        <sz val="10"/>
        <rFont val="宋体"/>
        <family val="3"/>
        <charset val="134"/>
      </rPr>
      <t>融科</t>
    </r>
    <r>
      <rPr>
        <sz val="10"/>
        <rFont val="Arial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层电费</t>
    </r>
    <phoneticPr fontId="13" type="noConversion"/>
  </si>
  <si>
    <r>
      <rPr>
        <sz val="10"/>
        <rFont val="宋体"/>
        <family val="3"/>
        <charset val="134"/>
      </rPr>
      <t>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层电费</t>
    </r>
    <phoneticPr fontId="13" type="noConversion"/>
  </si>
  <si>
    <t>搜狐网络大厦饮用水</t>
    <phoneticPr fontId="13" type="noConversion"/>
  </si>
  <si>
    <t>华清、宿舍及公寓饮用水</t>
    <phoneticPr fontId="13" type="noConversion"/>
  </si>
  <si>
    <r>
      <rPr>
        <sz val="10"/>
        <rFont val="宋体"/>
        <family val="3"/>
        <charset val="134"/>
      </rPr>
      <t>融科</t>
    </r>
    <r>
      <rPr>
        <sz val="10"/>
        <rFont val="Arial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层饮用水</t>
    </r>
    <phoneticPr fontId="13" type="noConversion"/>
  </si>
  <si>
    <r>
      <rPr>
        <sz val="10"/>
        <rFont val="宋体"/>
        <family val="3"/>
        <charset val="134"/>
      </rPr>
      <t>融科</t>
    </r>
    <r>
      <rPr>
        <sz val="10"/>
        <rFont val="Arial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层饮用水</t>
    </r>
    <phoneticPr fontId="13" type="noConversion"/>
  </si>
  <si>
    <r>
      <rPr>
        <sz val="10"/>
        <rFont val="宋体"/>
        <family val="3"/>
        <charset val="134"/>
      </rPr>
      <t>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层饮用水</t>
    </r>
    <phoneticPr fontId="13" type="noConversion"/>
  </si>
  <si>
    <t>搜狐网络大厦保安费</t>
    <phoneticPr fontId="13" type="noConversion"/>
  </si>
  <si>
    <t xml:space="preserve">Plant </t>
    <phoneticPr fontId="13" type="noConversion"/>
  </si>
  <si>
    <t>搜狐网络大厦植物租摆费</t>
    <phoneticPr fontId="13" type="noConversion"/>
  </si>
  <si>
    <r>
      <rPr>
        <sz val="10"/>
        <rFont val="宋体"/>
        <family val="3"/>
        <charset val="134"/>
      </rPr>
      <t>融科</t>
    </r>
    <r>
      <rPr>
        <sz val="10"/>
        <rFont val="Arial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层植物租摆费</t>
    </r>
    <phoneticPr fontId="13" type="noConversion"/>
  </si>
  <si>
    <r>
      <rPr>
        <sz val="10"/>
        <rFont val="宋体"/>
        <family val="3"/>
        <charset val="134"/>
      </rPr>
      <t>融科</t>
    </r>
    <r>
      <rPr>
        <sz val="10"/>
        <rFont val="Arial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层植物租摆费</t>
    </r>
    <phoneticPr fontId="13" type="noConversion"/>
  </si>
  <si>
    <t>Office Cleaning</t>
    <phoneticPr fontId="13" type="noConversion"/>
  </si>
  <si>
    <t>搜狐网络大厦日常保洁费用</t>
    <phoneticPr fontId="13" type="noConversion"/>
  </si>
  <si>
    <t>Shuttle Bus</t>
    <phoneticPr fontId="13" type="noConversion"/>
  </si>
  <si>
    <r>
      <rPr>
        <sz val="10"/>
        <rFont val="宋体"/>
        <family val="3"/>
        <charset val="134"/>
      </rPr>
      <t>班车</t>
    </r>
    <r>
      <rPr>
        <sz val="10"/>
        <rFont val="Arial"/>
        <family val="2"/>
      </rPr>
      <t>SOHU</t>
    </r>
    <r>
      <rPr>
        <sz val="10"/>
        <rFont val="宋体"/>
        <family val="3"/>
        <charset val="134"/>
      </rPr>
      <t>部分</t>
    </r>
    <phoneticPr fontId="13" type="noConversion"/>
  </si>
  <si>
    <t>Pantry Supplies:</t>
    <phoneticPr fontId="13" type="noConversion"/>
  </si>
  <si>
    <r>
      <rPr>
        <sz val="10"/>
        <rFont val="宋体"/>
        <family val="3"/>
        <charset val="134"/>
      </rPr>
      <t>融科</t>
    </r>
    <r>
      <rPr>
        <sz val="10"/>
        <rFont val="Arial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层茶水间费用</t>
    </r>
    <phoneticPr fontId="13" type="noConversion"/>
  </si>
  <si>
    <r>
      <rPr>
        <sz val="10"/>
        <rFont val="宋体"/>
        <family val="3"/>
        <charset val="134"/>
      </rPr>
      <t>融科</t>
    </r>
    <r>
      <rPr>
        <sz val="10"/>
        <rFont val="Arial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层茶水间费用</t>
    </r>
    <phoneticPr fontId="13" type="noConversion"/>
  </si>
  <si>
    <r>
      <rPr>
        <sz val="10"/>
        <rFont val="宋体"/>
        <family val="3"/>
        <charset val="134"/>
      </rPr>
      <t>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层茶水间费用</t>
    </r>
    <phoneticPr fontId="13" type="noConversion"/>
  </si>
  <si>
    <t>门卡、桌牌等</t>
    <phoneticPr fontId="13" type="noConversion"/>
  </si>
  <si>
    <r>
      <rPr>
        <sz val="10"/>
        <rFont val="宋体"/>
        <family val="3"/>
        <charset val="134"/>
      </rPr>
      <t>融科</t>
    </r>
    <r>
      <rPr>
        <sz val="10"/>
        <rFont val="Arial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层门卡、桌牌等费用</t>
    </r>
    <phoneticPr fontId="13" type="noConversion"/>
  </si>
  <si>
    <r>
      <rPr>
        <sz val="10"/>
        <rFont val="宋体"/>
        <family val="3"/>
        <charset val="134"/>
      </rPr>
      <t>融科</t>
    </r>
    <r>
      <rPr>
        <sz val="10"/>
        <rFont val="Arial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层门卡、桌牌等费用</t>
    </r>
    <phoneticPr fontId="13" type="noConversion"/>
  </si>
  <si>
    <r>
      <rPr>
        <sz val="10"/>
        <rFont val="宋体"/>
        <family val="3"/>
        <charset val="134"/>
      </rPr>
      <t>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层门卡、桌牌等费用</t>
    </r>
    <phoneticPr fontId="13" type="noConversion"/>
  </si>
  <si>
    <t>日常保洁</t>
    <phoneticPr fontId="13" type="noConversion"/>
  </si>
  <si>
    <t>地毯清洗</t>
    <phoneticPr fontId="13" type="noConversion"/>
  </si>
  <si>
    <t>茶水间费用</t>
    <phoneticPr fontId="13" type="noConversion"/>
  </si>
  <si>
    <t>搜狐网络大厦茶水间费用</t>
    <phoneticPr fontId="13" type="noConversion"/>
  </si>
  <si>
    <t>TOTAL</t>
  </si>
  <si>
    <t>Leasehold</t>
  </si>
  <si>
    <t>Budget Item</t>
    <phoneticPr fontId="4" type="noConversion"/>
  </si>
  <si>
    <t>Explanation</t>
    <phoneticPr fontId="4" type="noConversion"/>
  </si>
  <si>
    <t>Expenses</t>
    <phoneticPr fontId="4" type="noConversion"/>
  </si>
  <si>
    <t xml:space="preserve">per month in RMB </t>
    <phoneticPr fontId="4" type="noConversion"/>
  </si>
  <si>
    <t>year in RMB</t>
    <phoneticPr fontId="4" type="noConversion"/>
  </si>
  <si>
    <t>details</t>
    <phoneticPr fontId="4" type="noConversion"/>
  </si>
  <si>
    <t>※</t>
    <phoneticPr fontId="4" type="noConversion"/>
  </si>
  <si>
    <t>Rental</t>
    <phoneticPr fontId="4" type="noConversion"/>
  </si>
  <si>
    <t>库房租金</t>
    <phoneticPr fontId="4" type="noConversion"/>
  </si>
  <si>
    <t>库房物业管理费</t>
    <phoneticPr fontId="4" type="noConversion"/>
  </si>
  <si>
    <t>Parking</t>
    <phoneticPr fontId="4" type="noConversion"/>
  </si>
  <si>
    <t>Electricity</t>
    <phoneticPr fontId="4" type="noConversion"/>
  </si>
  <si>
    <t>搜狐网络大厦电费</t>
    <phoneticPr fontId="4" type="noConversion"/>
  </si>
  <si>
    <t>Drinking Water</t>
    <phoneticPr fontId="4" type="noConversion"/>
  </si>
  <si>
    <t>搜狐网络大厦饮用水</t>
    <phoneticPr fontId="4" type="noConversion"/>
  </si>
  <si>
    <t>Security Service</t>
    <phoneticPr fontId="4" type="noConversion"/>
  </si>
  <si>
    <t>搜狐网络大厦保安费</t>
    <phoneticPr fontId="4" type="noConversion"/>
  </si>
  <si>
    <t xml:space="preserve">Plant </t>
    <phoneticPr fontId="4" type="noConversion"/>
  </si>
  <si>
    <t>搜狐网络大厦植物租摆费</t>
    <phoneticPr fontId="4" type="noConversion"/>
  </si>
  <si>
    <t>Office Cleaning</t>
    <phoneticPr fontId="4" type="noConversion"/>
  </si>
  <si>
    <t xml:space="preserve">Pantry Service </t>
    <phoneticPr fontId="4" type="noConversion"/>
  </si>
  <si>
    <t>茶水间阿姨费用</t>
    <phoneticPr fontId="4" type="noConversion"/>
  </si>
  <si>
    <t>Shuttle Bus</t>
    <phoneticPr fontId="4" type="noConversion"/>
  </si>
  <si>
    <t>Pantry Supplies:</t>
    <phoneticPr fontId="4" type="noConversion"/>
  </si>
  <si>
    <t>门卡、桌牌等</t>
    <phoneticPr fontId="4" type="noConversion"/>
  </si>
  <si>
    <t>Office consumables</t>
    <phoneticPr fontId="4" type="noConversion"/>
  </si>
  <si>
    <r>
      <t>RFID</t>
    </r>
    <r>
      <rPr>
        <sz val="10"/>
        <rFont val="宋体"/>
        <family val="3"/>
        <charset val="134"/>
      </rPr>
      <t>标签</t>
    </r>
    <phoneticPr fontId="4" type="noConversion"/>
  </si>
  <si>
    <t>Facility Maintenance</t>
    <phoneticPr fontId="4" type="noConversion"/>
  </si>
  <si>
    <t>外包人员费用</t>
    <phoneticPr fontId="4" type="noConversion"/>
  </si>
  <si>
    <t>家具维修</t>
    <phoneticPr fontId="4" type="noConversion"/>
  </si>
  <si>
    <t>◆</t>
  </si>
  <si>
    <t xml:space="preserve">Office Maintenance </t>
    <phoneticPr fontId="4" type="noConversion"/>
  </si>
  <si>
    <t>★</t>
  </si>
  <si>
    <t>Insurance</t>
    <phoneticPr fontId="4" type="noConversion"/>
  </si>
  <si>
    <t>资产</t>
    <phoneticPr fontId="4" type="noConversion"/>
  </si>
  <si>
    <t>装修</t>
    <phoneticPr fontId="4" type="noConversion"/>
  </si>
  <si>
    <t>家具</t>
    <phoneticPr fontId="4" type="noConversion"/>
  </si>
  <si>
    <t>Company Vehicle</t>
    <phoneticPr fontId="4" type="noConversion"/>
  </si>
  <si>
    <t>搜狐车辆保险</t>
    <phoneticPr fontId="4" type="noConversion"/>
  </si>
  <si>
    <t>电费</t>
    <phoneticPr fontId="4" type="noConversion"/>
  </si>
  <si>
    <t>饮用水</t>
    <phoneticPr fontId="4" type="noConversion"/>
  </si>
  <si>
    <t>(12)</t>
  </si>
  <si>
    <r>
      <rPr>
        <sz val="10"/>
        <rFont val="宋体"/>
        <family val="3"/>
        <charset val="134"/>
      </rPr>
      <t>停车费（搜狐大厦</t>
    </r>
    <r>
      <rPr>
        <sz val="10"/>
        <rFont val="Arial"/>
        <family val="2"/>
      </rPr>
      <t>-SOHU</t>
    </r>
    <r>
      <rPr>
        <sz val="10"/>
        <rFont val="宋体"/>
        <family val="3"/>
        <charset val="134"/>
      </rPr>
      <t>）</t>
    </r>
    <phoneticPr fontId="13" type="noConversion"/>
  </si>
  <si>
    <r>
      <rPr>
        <sz val="10"/>
        <rFont val="宋体"/>
        <family val="3"/>
        <charset val="134"/>
      </rPr>
      <t>停车费（科技大厦</t>
    </r>
    <r>
      <rPr>
        <sz val="10"/>
        <rFont val="Arial"/>
        <family val="2"/>
      </rPr>
      <t>-SOHU</t>
    </r>
    <r>
      <rPr>
        <sz val="10"/>
        <rFont val="宋体"/>
        <family val="3"/>
        <charset val="134"/>
      </rPr>
      <t>）</t>
    </r>
    <phoneticPr fontId="13" type="noConversion"/>
  </si>
  <si>
    <t>Remark</t>
    <phoneticPr fontId="13" type="noConversion"/>
  </si>
  <si>
    <t>details</t>
    <phoneticPr fontId="13" type="noConversion"/>
  </si>
  <si>
    <t>year in RMB</t>
    <phoneticPr fontId="13" type="noConversion"/>
  </si>
  <si>
    <t>融科中科行健地面停车费</t>
    <phoneticPr fontId="13" type="noConversion"/>
  </si>
  <si>
    <t>Parking</t>
    <phoneticPr fontId="13" type="noConversion"/>
  </si>
  <si>
    <t>Drinking Water</t>
    <phoneticPr fontId="13" type="noConversion"/>
  </si>
  <si>
    <r>
      <t>RFID</t>
    </r>
    <r>
      <rPr>
        <sz val="10"/>
        <rFont val="宋体"/>
        <family val="3"/>
        <charset val="134"/>
      </rPr>
      <t>标签</t>
    </r>
    <phoneticPr fontId="13" type="noConversion"/>
  </si>
  <si>
    <r>
      <rPr>
        <sz val="10"/>
        <rFont val="宋体"/>
        <family val="3"/>
        <charset val="134"/>
      </rPr>
      <t>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层租金</t>
    </r>
    <phoneticPr fontId="13" type="noConversion"/>
  </si>
  <si>
    <r>
      <rPr>
        <sz val="10"/>
        <rFont val="宋体"/>
        <family val="3"/>
        <charset val="134"/>
      </rPr>
      <t>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层物业管理费</t>
    </r>
    <phoneticPr fontId="13" type="noConversion"/>
  </si>
  <si>
    <r>
      <rPr>
        <sz val="10"/>
        <rFont val="宋体"/>
        <family val="3"/>
        <charset val="134"/>
      </rPr>
      <t>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层电费</t>
    </r>
    <phoneticPr fontId="13" type="noConversion"/>
  </si>
  <si>
    <r>
      <rPr>
        <sz val="10"/>
        <rFont val="宋体"/>
        <family val="3"/>
        <charset val="134"/>
      </rPr>
      <t>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层饮用水</t>
    </r>
    <phoneticPr fontId="13" type="noConversion"/>
  </si>
  <si>
    <r>
      <rPr>
        <sz val="10"/>
        <rFont val="宋体"/>
        <family val="3"/>
        <charset val="134"/>
      </rPr>
      <t>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层保安费</t>
    </r>
    <phoneticPr fontId="13" type="noConversion"/>
  </si>
  <si>
    <r>
      <rPr>
        <sz val="10"/>
        <rFont val="宋体"/>
        <family val="3"/>
        <charset val="134"/>
      </rPr>
      <t>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层植物租摆费</t>
    </r>
    <phoneticPr fontId="13" type="noConversion"/>
  </si>
  <si>
    <r>
      <rPr>
        <sz val="10"/>
        <rFont val="宋体"/>
        <family val="3"/>
        <charset val="134"/>
      </rPr>
      <t>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层日常保洁费用</t>
    </r>
    <phoneticPr fontId="13" type="noConversion"/>
  </si>
  <si>
    <t>所有办公区杀虫除蟑</t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</si>
  <si>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层茶水间阿姨费用</t>
    </r>
    <phoneticPr fontId="13" type="noConversion"/>
  </si>
  <si>
    <r>
      <rPr>
        <sz val="10"/>
        <rFont val="宋体"/>
        <family val="3"/>
        <charset val="134"/>
      </rPr>
      <t>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层茶水间费用</t>
    </r>
    <phoneticPr fontId="13" type="noConversion"/>
  </si>
  <si>
    <r>
      <rPr>
        <sz val="10"/>
        <rFont val="宋体"/>
        <family val="3"/>
        <charset val="134"/>
      </rPr>
      <t>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层门卡、桌牌等费用</t>
    </r>
    <phoneticPr fontId="13" type="noConversion"/>
  </si>
  <si>
    <t>搜狐网络大厦门卡、桌牌等费用</t>
    <phoneticPr fontId="13" type="noConversion"/>
  </si>
  <si>
    <t>瓷杯制作</t>
    <phoneticPr fontId="13" type="noConversion"/>
  </si>
  <si>
    <r>
      <rPr>
        <sz val="10"/>
        <rFont val="宋体"/>
        <family val="3"/>
        <charset val="134"/>
      </rPr>
      <t>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层地下停车费</t>
    </r>
    <phoneticPr fontId="13" type="noConversion"/>
  </si>
  <si>
    <r>
      <rPr>
        <sz val="10"/>
        <rFont val="宋体"/>
        <family val="3"/>
        <charset val="134"/>
      </rPr>
      <t>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层地下停车费</t>
    </r>
    <phoneticPr fontId="13" type="noConversion"/>
  </si>
  <si>
    <t>Office consumables</t>
    <phoneticPr fontId="13" type="noConversion"/>
  </si>
  <si>
    <t>外包人员费用</t>
    <phoneticPr fontId="13" type="noConversion"/>
  </si>
  <si>
    <t>搜狐网络大厦外包人员费用</t>
    <phoneticPr fontId="13" type="noConversion"/>
  </si>
  <si>
    <r>
      <rPr>
        <sz val="10"/>
        <rFont val="宋体"/>
        <family val="3"/>
        <charset val="134"/>
      </rPr>
      <t>融科</t>
    </r>
    <r>
      <rPr>
        <sz val="10"/>
        <rFont val="Arial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层维修中心外包人员费用</t>
    </r>
    <phoneticPr fontId="13" type="noConversion"/>
  </si>
  <si>
    <r>
      <rPr>
        <sz val="10"/>
        <rFont val="宋体"/>
        <family val="3"/>
        <charset val="134"/>
      </rPr>
      <t>融科</t>
    </r>
    <r>
      <rPr>
        <sz val="10"/>
        <rFont val="Arial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层维修中心外包人员费用</t>
    </r>
    <phoneticPr fontId="13" type="noConversion"/>
  </si>
  <si>
    <r>
      <rPr>
        <sz val="10"/>
        <rFont val="宋体"/>
        <family val="3"/>
        <charset val="134"/>
      </rPr>
      <t>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层维修中心外包人员费用</t>
    </r>
    <phoneticPr fontId="13" type="noConversion"/>
  </si>
  <si>
    <r>
      <rPr>
        <sz val="10"/>
        <rFont val="宋体"/>
        <family val="3"/>
        <charset val="134"/>
      </rPr>
      <t>※</t>
    </r>
    <phoneticPr fontId="13" type="noConversion"/>
  </si>
  <si>
    <t>一体机打印、维护费用</t>
    <phoneticPr fontId="13" type="noConversion"/>
  </si>
  <si>
    <t>搜狐网络大厦一体机打印、维护费用</t>
    <phoneticPr fontId="13" type="noConversion"/>
  </si>
  <si>
    <r>
      <rPr>
        <sz val="10"/>
        <rFont val="宋体"/>
        <family val="3"/>
        <charset val="134"/>
      </rPr>
      <t>融科</t>
    </r>
    <r>
      <rPr>
        <sz val="10"/>
        <rFont val="Arial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层一体机打印、维护费用</t>
    </r>
    <phoneticPr fontId="13" type="noConversion"/>
  </si>
  <si>
    <r>
      <rPr>
        <sz val="10"/>
        <rFont val="宋体"/>
        <family val="3"/>
        <charset val="134"/>
      </rPr>
      <t>融科</t>
    </r>
    <r>
      <rPr>
        <sz val="10"/>
        <rFont val="Arial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层一体机打印、维护费用</t>
    </r>
    <phoneticPr fontId="13" type="noConversion"/>
  </si>
  <si>
    <r>
      <rPr>
        <sz val="10"/>
        <rFont val="宋体"/>
        <family val="3"/>
        <charset val="134"/>
      </rPr>
      <t>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层一体机打印、维护费用</t>
    </r>
    <phoneticPr fontId="13" type="noConversion"/>
  </si>
  <si>
    <r>
      <rPr>
        <sz val="10"/>
        <rFont val="宋体"/>
        <family val="3"/>
        <charset val="134"/>
      </rPr>
      <t>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层一体机打印、维护费用</t>
    </r>
    <phoneticPr fontId="13" type="noConversion"/>
  </si>
  <si>
    <t>设备维修费用</t>
    <phoneticPr fontId="13" type="noConversion"/>
  </si>
  <si>
    <t>搜狐网络大厦设备维修费用</t>
    <phoneticPr fontId="13" type="noConversion"/>
  </si>
  <si>
    <r>
      <rPr>
        <sz val="10"/>
        <rFont val="宋体"/>
        <family val="3"/>
        <charset val="134"/>
      </rPr>
      <t>融科</t>
    </r>
    <r>
      <rPr>
        <sz val="10"/>
        <rFont val="Arial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层设备维修费</t>
    </r>
    <phoneticPr fontId="13" type="noConversion"/>
  </si>
  <si>
    <r>
      <rPr>
        <sz val="10"/>
        <rFont val="宋体"/>
        <family val="3"/>
        <charset val="134"/>
      </rPr>
      <t>融科</t>
    </r>
    <r>
      <rPr>
        <sz val="10"/>
        <rFont val="Arial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层设备维修费</t>
    </r>
    <phoneticPr fontId="13" type="noConversion"/>
  </si>
  <si>
    <r>
      <rPr>
        <sz val="10"/>
        <rFont val="宋体"/>
        <family val="3"/>
        <charset val="134"/>
      </rPr>
      <t>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层设备维修费</t>
    </r>
    <phoneticPr fontId="13" type="noConversion"/>
  </si>
  <si>
    <r>
      <rPr>
        <sz val="10"/>
        <rFont val="宋体"/>
        <family val="3"/>
        <charset val="134"/>
      </rPr>
      <t>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层设备维修费</t>
    </r>
    <phoneticPr fontId="13" type="noConversion"/>
  </si>
  <si>
    <r>
      <rPr>
        <sz val="10"/>
        <rFont val="宋体"/>
        <family val="3"/>
        <charset val="134"/>
      </rPr>
      <t>※</t>
    </r>
    <phoneticPr fontId="13" type="noConversion"/>
  </si>
  <si>
    <t>家具维修</t>
    <phoneticPr fontId="13" type="noConversion"/>
  </si>
  <si>
    <t>搜狐网络大厦家具维修费</t>
    <phoneticPr fontId="13" type="noConversion"/>
  </si>
  <si>
    <r>
      <rPr>
        <sz val="10"/>
        <rFont val="宋体"/>
        <family val="3"/>
        <charset val="134"/>
      </rPr>
      <t>融科</t>
    </r>
    <r>
      <rPr>
        <sz val="10"/>
        <rFont val="Arial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层家具维修费</t>
    </r>
    <phoneticPr fontId="13" type="noConversion"/>
  </si>
  <si>
    <r>
      <rPr>
        <sz val="10"/>
        <rFont val="宋体"/>
        <family val="3"/>
        <charset val="134"/>
      </rPr>
      <t>融科</t>
    </r>
    <r>
      <rPr>
        <sz val="10"/>
        <rFont val="Arial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层家具维修费</t>
    </r>
    <phoneticPr fontId="13" type="noConversion"/>
  </si>
  <si>
    <r>
      <rPr>
        <sz val="10"/>
        <rFont val="宋体"/>
        <family val="3"/>
        <charset val="134"/>
      </rPr>
      <t>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层家具维修费</t>
    </r>
    <phoneticPr fontId="13" type="noConversion"/>
  </si>
  <si>
    <r>
      <rPr>
        <sz val="10"/>
        <rFont val="宋体"/>
        <family val="3"/>
        <charset val="134"/>
      </rPr>
      <t>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层家具维修费</t>
    </r>
    <phoneticPr fontId="13" type="noConversion"/>
  </si>
  <si>
    <t>Facility Maintenance</t>
    <phoneticPr fontId="13" type="noConversion"/>
  </si>
  <si>
    <r>
      <rPr>
        <sz val="10"/>
        <rFont val="Tahoma"/>
        <family val="2"/>
      </rPr>
      <t>卫星电视维护及使用费</t>
    </r>
    <phoneticPr fontId="13" type="noConversion"/>
  </si>
  <si>
    <t>各项维护合同费用</t>
    <phoneticPr fontId="13" type="noConversion"/>
  </si>
  <si>
    <t>日常维护费用</t>
    <phoneticPr fontId="13" type="noConversion"/>
  </si>
  <si>
    <t xml:space="preserve">Office Maintenance </t>
    <phoneticPr fontId="13" type="noConversion"/>
  </si>
  <si>
    <t>财产保险</t>
    <phoneticPr fontId="13" type="noConversion"/>
  </si>
  <si>
    <t>Insurance</t>
    <phoneticPr fontId="13" type="noConversion"/>
  </si>
  <si>
    <t>资产</t>
    <phoneticPr fontId="13" type="noConversion"/>
  </si>
  <si>
    <t>家具</t>
    <phoneticPr fontId="13" type="noConversion"/>
  </si>
  <si>
    <t>Capex</t>
    <phoneticPr fontId="13" type="noConversion"/>
  </si>
  <si>
    <t>搜狐车辆保险</t>
    <phoneticPr fontId="13" type="noConversion"/>
  </si>
  <si>
    <t>搜狐车辆维修保养</t>
    <phoneticPr fontId="13" type="noConversion"/>
  </si>
  <si>
    <r>
      <rPr>
        <sz val="10"/>
        <rFont val="宋体"/>
        <family val="3"/>
        <charset val="134"/>
      </rPr>
      <t>▲</t>
    </r>
    <phoneticPr fontId="13" type="noConversion"/>
  </si>
  <si>
    <t>Company Vehicle</t>
    <phoneticPr fontId="13" type="noConversion"/>
  </si>
  <si>
    <r>
      <rPr>
        <sz val="10"/>
        <rFont val="宋体"/>
        <family val="3"/>
        <charset val="134"/>
      </rPr>
      <t>注</t>
    </r>
    <phoneticPr fontId="13" type="noConversion"/>
  </si>
  <si>
    <r>
      <rPr>
        <sz val="10"/>
        <rFont val="宋体"/>
        <family val="3"/>
        <charset val="134"/>
      </rPr>
      <t>※物业租</t>
    </r>
    <phoneticPr fontId="13" type="noConversion"/>
  </si>
  <si>
    <r>
      <rPr>
        <sz val="10"/>
        <rFont val="宋体"/>
        <family val="3"/>
        <charset val="134"/>
      </rPr>
      <t>★资产组</t>
    </r>
    <phoneticPr fontId="13" type="noConversion"/>
  </si>
  <si>
    <r>
      <rPr>
        <sz val="10"/>
        <rFont val="宋体"/>
        <family val="3"/>
        <charset val="134"/>
      </rPr>
      <t>▲差旅前台组</t>
    </r>
    <phoneticPr fontId="13" type="noConversion"/>
  </si>
  <si>
    <r>
      <rPr>
        <sz val="10"/>
        <rFont val="宋体"/>
        <family val="3"/>
        <charset val="134"/>
      </rPr>
      <t>◆工程组</t>
    </r>
    <phoneticPr fontId="13" type="noConversion"/>
  </si>
  <si>
    <r>
      <rPr>
        <u/>
        <sz val="10"/>
        <rFont val="宋体"/>
        <family val="3"/>
        <charset val="134"/>
      </rPr>
      <t>按照四个季度均分</t>
    </r>
  </si>
  <si>
    <t>装修</t>
    <phoneticPr fontId="13" type="noConversion"/>
  </si>
  <si>
    <t>房租全年调涨8万</t>
    <phoneticPr fontId="1" type="noConversion"/>
  </si>
  <si>
    <t>2011年预算非全年</t>
    <phoneticPr fontId="1" type="noConversion"/>
  </si>
  <si>
    <t>物业费单价调涨5元/平米，2011年预算非全年</t>
    <phoneticPr fontId="1" type="noConversion"/>
  </si>
  <si>
    <t>分配给搜狗部分</t>
    <phoneticPr fontId="1" type="noConversion"/>
  </si>
  <si>
    <t>分配给搜狗部分，同时按照现有车位71个为基数，2011年按照可租赁最高数字105计算数据偏高</t>
    <phoneticPr fontId="1" type="noConversion"/>
  </si>
  <si>
    <t>按照实际可租赁数据调整</t>
    <phoneticPr fontId="1" type="noConversion"/>
  </si>
  <si>
    <t>搜狗工位数增长分摊增加</t>
    <phoneticPr fontId="1" type="noConversion"/>
  </si>
  <si>
    <r>
      <t>2011</t>
    </r>
    <r>
      <rPr>
        <sz val="10"/>
        <rFont val="宋体"/>
        <family val="3"/>
        <charset val="134"/>
      </rPr>
      <t>年预算偏高</t>
    </r>
    <phoneticPr fontId="1" type="noConversion"/>
  </si>
  <si>
    <r>
      <t>2011</t>
    </r>
    <r>
      <rPr>
        <sz val="10"/>
        <rFont val="宋体"/>
        <family val="3"/>
        <charset val="134"/>
      </rPr>
      <t>年为预估数，本次依据实际数据为基数调整</t>
    </r>
    <phoneticPr fontId="1" type="noConversion"/>
  </si>
  <si>
    <r>
      <t>2011</t>
    </r>
    <r>
      <rPr>
        <sz val="10"/>
        <rFont val="宋体"/>
        <family val="3"/>
        <charset val="134"/>
      </rPr>
      <t>年非全年预算</t>
    </r>
    <phoneticPr fontId="1" type="noConversion"/>
  </si>
  <si>
    <r>
      <t>2011</t>
    </r>
    <r>
      <rPr>
        <sz val="10"/>
        <rFont val="宋体"/>
        <family val="3"/>
        <charset val="134"/>
      </rPr>
      <t>年参考峰值为基数，</t>
    </r>
    <r>
      <rPr>
        <sz val="10"/>
        <rFont val="Arial"/>
        <family val="2"/>
      </rPr>
      <t>2012</t>
    </r>
    <r>
      <rPr>
        <sz val="10"/>
        <rFont val="宋体"/>
        <family val="3"/>
        <charset val="134"/>
      </rPr>
      <t>年参考平均数为基数</t>
    </r>
    <phoneticPr fontId="1" type="noConversion"/>
  </si>
  <si>
    <r>
      <t>2011</t>
    </r>
    <r>
      <rPr>
        <sz val="10"/>
        <rFont val="宋体"/>
        <family val="3"/>
        <charset val="134"/>
      </rPr>
      <t>非全年预算</t>
    </r>
    <phoneticPr fontId="1" type="noConversion"/>
  </si>
  <si>
    <r>
      <t>2011</t>
    </r>
    <r>
      <rPr>
        <sz val="10"/>
        <rFont val="宋体"/>
        <family val="3"/>
        <charset val="134"/>
      </rPr>
      <t>年估值较高，</t>
    </r>
    <r>
      <rPr>
        <sz val="10"/>
        <rFont val="Arial"/>
        <family val="2"/>
      </rPr>
      <t>2012</t>
    </r>
    <r>
      <rPr>
        <sz val="10"/>
        <rFont val="宋体"/>
        <family val="3"/>
        <charset val="134"/>
      </rPr>
      <t>年按实际发生计算</t>
    </r>
    <phoneticPr fontId="1" type="noConversion"/>
  </si>
  <si>
    <t>寻找新保安公司，并按照较高市场标准计算</t>
    <phoneticPr fontId="1" type="noConversion"/>
  </si>
  <si>
    <t>供应商调价</t>
    <phoneticPr fontId="1" type="noConversion"/>
  </si>
  <si>
    <t>按实际数据调整，2011年预算估值偏高</t>
    <phoneticPr fontId="1" type="noConversion"/>
  </si>
  <si>
    <t>增加洗杯服务、增加阿姨服务、并调整价格</t>
    <phoneticPr fontId="1" type="noConversion"/>
  </si>
  <si>
    <r>
      <t>2011</t>
    </r>
    <r>
      <rPr>
        <sz val="10"/>
        <rFont val="宋体"/>
        <family val="3"/>
        <charset val="134"/>
      </rPr>
      <t>年预计调价，</t>
    </r>
    <r>
      <rPr>
        <sz val="10"/>
        <rFont val="Arial"/>
        <family val="2"/>
      </rPr>
      <t>2012</t>
    </r>
    <r>
      <rPr>
        <sz val="10"/>
        <rFont val="宋体"/>
        <family val="3"/>
        <charset val="134"/>
      </rPr>
      <t>年未调价</t>
    </r>
    <phoneticPr fontId="1" type="noConversion"/>
  </si>
  <si>
    <t>非全年</t>
    <phoneticPr fontId="1" type="noConversion"/>
  </si>
  <si>
    <t>调整地毯清洗计算方式</t>
    <phoneticPr fontId="1" type="noConversion"/>
  </si>
  <si>
    <t>部分由保洁公司支付</t>
    <phoneticPr fontId="1" type="noConversion"/>
  </si>
  <si>
    <t>办公面积增加、增加洗杯服务、增加阿姨服务、价格调整</t>
    <phoneticPr fontId="1" type="noConversion"/>
  </si>
  <si>
    <t>人数增加、劳务方式变更</t>
    <phoneticPr fontId="1" type="noConversion"/>
  </si>
  <si>
    <r>
      <t>2011</t>
    </r>
    <r>
      <rPr>
        <sz val="10"/>
        <rFont val="宋体"/>
        <family val="3"/>
        <charset val="134"/>
      </rPr>
      <t>年预算若干小项未计，及人员增长</t>
    </r>
    <phoneticPr fontId="1" type="noConversion"/>
  </si>
  <si>
    <t>人数增长，劳务费上调</t>
    <phoneticPr fontId="1" type="noConversion"/>
  </si>
  <si>
    <t>将公共设备维修单列</t>
    <phoneticPr fontId="1" type="noConversion"/>
  </si>
  <si>
    <t>办公用品费用</t>
    <phoneticPr fontId="13" type="noConversion"/>
  </si>
  <si>
    <t>预估资产量随人员增长</t>
    <phoneticPr fontId="1" type="noConversion"/>
  </si>
  <si>
    <t>人员增长、资产增加</t>
    <phoneticPr fontId="1" type="noConversion"/>
  </si>
  <si>
    <t>天津停车费</t>
    <phoneticPr fontId="1" type="noConversion"/>
  </si>
  <si>
    <t>天津保安费</t>
    <phoneticPr fontId="1" type="noConversion"/>
  </si>
  <si>
    <t>天津电费</t>
    <phoneticPr fontId="1" type="noConversion"/>
  </si>
  <si>
    <t>天津租摆费</t>
    <phoneticPr fontId="1" type="noConversion"/>
  </si>
  <si>
    <t>天津饮用水费</t>
    <phoneticPr fontId="1" type="noConversion"/>
  </si>
  <si>
    <t>天津宝洁费</t>
    <phoneticPr fontId="1" type="noConversion"/>
  </si>
  <si>
    <t>天津茶间用品</t>
    <phoneticPr fontId="1" type="noConversion"/>
  </si>
  <si>
    <t>天津房租</t>
    <phoneticPr fontId="1" type="noConversion"/>
  </si>
  <si>
    <t>天津物业管理费</t>
    <phoneticPr fontId="1" type="noConversion"/>
  </si>
  <si>
    <t>天津门卡、桌牌费用</t>
    <phoneticPr fontId="1" type="noConversion"/>
  </si>
  <si>
    <t>天津外包人员费用</t>
    <phoneticPr fontId="1" type="noConversion"/>
  </si>
  <si>
    <t>天津一体机维护费用</t>
    <phoneticPr fontId="1" type="noConversion"/>
  </si>
  <si>
    <t>天津茶水间阿姨费用</t>
    <phoneticPr fontId="1" type="noConversion"/>
  </si>
  <si>
    <t>天津家具维修费</t>
    <phoneticPr fontId="1" type="noConversion"/>
  </si>
  <si>
    <t>天津设备维护费</t>
    <phoneticPr fontId="1" type="noConversion"/>
  </si>
  <si>
    <r>
      <rPr>
        <b/>
        <u/>
        <sz val="10"/>
        <color rgb="FFFF0066"/>
        <rFont val="宋体"/>
        <family val="3"/>
        <charset val="134"/>
      </rPr>
      <t>合计（含天津</t>
    </r>
    <r>
      <rPr>
        <b/>
        <u/>
        <sz val="10"/>
        <color rgb="FFFF0066"/>
        <rFont val="Arial"/>
        <family val="2"/>
      </rPr>
      <t>\</t>
    </r>
    <r>
      <rPr>
        <b/>
        <u/>
        <sz val="10"/>
        <color rgb="FFFF0066"/>
        <rFont val="宋体"/>
        <family val="3"/>
        <charset val="134"/>
      </rPr>
      <t>同方</t>
    </r>
    <r>
      <rPr>
        <b/>
        <u/>
        <sz val="10"/>
        <color rgb="FFFF0066"/>
        <rFont val="Arial"/>
        <family val="2"/>
      </rPr>
      <t>7</t>
    </r>
    <r>
      <rPr>
        <b/>
        <u/>
        <sz val="10"/>
        <color rgb="FFFF0066"/>
        <rFont val="宋体"/>
        <family val="3"/>
        <charset val="134"/>
      </rPr>
      <t>）</t>
    </r>
    <phoneticPr fontId="13" type="noConversion"/>
  </si>
  <si>
    <t>纸杯制作</t>
    <phoneticPr fontId="13" type="noConversion"/>
  </si>
  <si>
    <r>
      <rPr>
        <sz val="10"/>
        <rFont val="宋体"/>
        <family val="3"/>
        <charset val="134"/>
      </rPr>
      <t>参考前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个月实际费用计算月度基数，</t>
    </r>
    <r>
      <rPr>
        <sz val="10"/>
        <rFont val="Arial"/>
        <family val="2"/>
      </rPr>
      <t>2011</t>
    </r>
    <r>
      <rPr>
        <sz val="10"/>
        <rFont val="宋体"/>
        <family val="3"/>
        <charset val="134"/>
      </rPr>
      <t>年实际费率较预算费率降低</t>
    </r>
    <phoneticPr fontId="1" type="noConversion"/>
  </si>
  <si>
    <r>
      <rPr>
        <sz val="10"/>
        <rFont val="Arial"/>
        <family val="2"/>
      </rPr>
      <t>所有办公区杀虫除蟑</t>
    </r>
    <phoneticPr fontId="4" type="noConversion"/>
  </si>
  <si>
    <r>
      <rPr>
        <sz val="10"/>
        <rFont val="宋体"/>
        <family val="3"/>
        <charset val="134"/>
      </rPr>
      <t>保险政策优惠，保险成本降低</t>
    </r>
    <phoneticPr fontId="4" type="noConversion"/>
  </si>
  <si>
    <r>
      <rPr>
        <u/>
        <sz val="10"/>
        <rFont val="宋体"/>
        <family val="3"/>
        <charset val="134"/>
      </rPr>
      <t>按照四个季度均分</t>
    </r>
    <phoneticPr fontId="4" type="noConversion"/>
  </si>
  <si>
    <t>续险月份</t>
    <phoneticPr fontId="4" type="noConversion"/>
  </si>
  <si>
    <t>工程部分</t>
    <phoneticPr fontId="4" type="noConversion"/>
  </si>
  <si>
    <t>张红锁</t>
    <phoneticPr fontId="4" type="noConversion"/>
  </si>
  <si>
    <t>文具采购（sohu）</t>
  </si>
  <si>
    <t>月份</t>
  </si>
  <si>
    <t>ES费用支出项目</t>
  </si>
  <si>
    <t>金额</t>
  </si>
  <si>
    <t>Facility Maintenance</t>
  </si>
  <si>
    <t>月平均费用</t>
  </si>
  <si>
    <t>2013年预计年费用</t>
  </si>
  <si>
    <t>预计增长20%</t>
  </si>
  <si>
    <r>
      <t>2012</t>
    </r>
    <r>
      <rPr>
        <b/>
        <sz val="10"/>
        <rFont val="宋体"/>
        <family val="3"/>
        <charset val="134"/>
      </rPr>
      <t>年行政预算计算依据表</t>
    </r>
    <phoneticPr fontId="4" type="noConversion"/>
  </si>
  <si>
    <r>
      <t>Price</t>
    </r>
    <r>
      <rPr>
        <b/>
        <sz val="10"/>
        <rFont val="Arial Unicode MS"/>
        <family val="2"/>
        <charset val="134"/>
      </rPr>
      <t>（</t>
    </r>
    <r>
      <rPr>
        <b/>
        <sz val="10"/>
        <rFont val="Arial"/>
        <family val="2"/>
      </rPr>
      <t>ES</t>
    </r>
    <r>
      <rPr>
        <b/>
        <sz val="10"/>
        <rFont val="Arial Unicode MS"/>
        <family val="2"/>
        <charset val="134"/>
      </rPr>
      <t>）</t>
    </r>
    <phoneticPr fontId="4" type="noConversion"/>
  </si>
  <si>
    <t>details</t>
    <phoneticPr fontId="4" type="noConversion"/>
  </si>
  <si>
    <r>
      <rPr>
        <sz val="10"/>
        <rFont val="Arial Unicode MS"/>
        <family val="2"/>
        <charset val="134"/>
      </rPr>
      <t>（</t>
    </r>
    <r>
      <rPr>
        <sz val="10"/>
        <rFont val="Arial"/>
        <family val="2"/>
      </rPr>
      <t>a</t>
    </r>
    <r>
      <rPr>
        <sz val="10"/>
        <rFont val="Arial Unicode MS"/>
        <family val="2"/>
        <charset val="134"/>
      </rPr>
      <t>）</t>
    </r>
    <phoneticPr fontId="4" type="noConversion"/>
  </si>
  <si>
    <r>
      <rPr>
        <sz val="10"/>
        <rFont val="Arial Unicode MS"/>
        <family val="2"/>
        <charset val="134"/>
      </rPr>
      <t>（</t>
    </r>
    <r>
      <rPr>
        <sz val="10"/>
        <rFont val="Arial"/>
        <family val="2"/>
      </rPr>
      <t>b</t>
    </r>
    <r>
      <rPr>
        <sz val="10"/>
        <rFont val="Arial Unicode MS"/>
        <family val="2"/>
        <charset val="134"/>
      </rPr>
      <t>）</t>
    </r>
    <r>
      <rPr>
        <sz val="10"/>
        <rFont val="Arial"/>
        <family val="2"/>
      </rPr>
      <t>=</t>
    </r>
    <r>
      <rPr>
        <sz val="10"/>
        <rFont val="Arial Unicode MS"/>
        <family val="2"/>
        <charset val="134"/>
      </rPr>
      <t>（</t>
    </r>
    <r>
      <rPr>
        <sz val="10"/>
        <rFont val="Arial"/>
        <family val="2"/>
      </rPr>
      <t>a</t>
    </r>
    <r>
      <rPr>
        <sz val="10"/>
        <rFont val="Arial Unicode MS"/>
        <family val="2"/>
        <charset val="134"/>
      </rPr>
      <t>）</t>
    </r>
    <r>
      <rPr>
        <sz val="10"/>
        <rFont val="Arial"/>
        <family val="2"/>
      </rPr>
      <t>*12</t>
    </r>
    <phoneticPr fontId="4" type="noConversion"/>
  </si>
  <si>
    <r>
      <rPr>
        <sz val="10"/>
        <rFont val="宋体"/>
        <family val="3"/>
        <charset val="134"/>
      </rPr>
      <t>※</t>
    </r>
    <phoneticPr fontId="4" type="noConversion"/>
  </si>
  <si>
    <t>Rental</t>
    <phoneticPr fontId="4" type="noConversion"/>
  </si>
  <si>
    <t>搜狐网络大厦租金</t>
    <phoneticPr fontId="4" type="noConversion"/>
  </si>
  <si>
    <r>
      <rPr>
        <u/>
        <sz val="10"/>
        <rFont val="宋体"/>
        <family val="3"/>
        <charset val="134"/>
      </rPr>
      <t>搜狐网络大厦</t>
    </r>
    <r>
      <rPr>
        <u/>
        <sz val="10"/>
        <rFont val="Arial"/>
        <family val="2"/>
      </rPr>
      <t>3</t>
    </r>
    <r>
      <rPr>
        <u/>
        <sz val="10"/>
        <rFont val="宋体"/>
        <family val="3"/>
        <charset val="134"/>
      </rPr>
      <t>层，费用同</t>
    </r>
    <r>
      <rPr>
        <u/>
        <sz val="10"/>
        <rFont val="Arial"/>
        <family val="2"/>
      </rPr>
      <t>2011</t>
    </r>
    <r>
      <rPr>
        <u/>
        <sz val="10"/>
        <rFont val="宋体"/>
        <family val="3"/>
        <charset val="134"/>
      </rPr>
      <t>年</t>
    </r>
    <phoneticPr fontId="4" type="noConversion"/>
  </si>
  <si>
    <r>
      <rPr>
        <sz val="10"/>
        <rFont val="宋体"/>
        <family val="3"/>
        <charset val="134"/>
      </rPr>
      <t>搜狐网络大厦物业管理费</t>
    </r>
    <r>
      <rPr>
        <sz val="10"/>
        <rFont val="Arial"/>
        <family val="2"/>
      </rPr>
      <t/>
    </r>
    <phoneticPr fontId="4" type="noConversion"/>
  </si>
  <si>
    <r>
      <t>3</t>
    </r>
    <r>
      <rPr>
        <u/>
        <sz val="10"/>
        <rFont val="宋体"/>
        <family val="3"/>
        <charset val="134"/>
      </rPr>
      <t>层、</t>
    </r>
    <r>
      <rPr>
        <u/>
        <sz val="10"/>
        <rFont val="Arial"/>
        <family val="2"/>
      </rPr>
      <t>7-8</t>
    </r>
    <r>
      <rPr>
        <u/>
        <sz val="10"/>
        <rFont val="宋体"/>
        <family val="3"/>
        <charset val="134"/>
      </rPr>
      <t>、</t>
    </r>
    <r>
      <rPr>
        <u/>
        <sz val="10"/>
        <rFont val="Arial"/>
        <family val="2"/>
      </rPr>
      <t>10-15</t>
    </r>
    <r>
      <rPr>
        <u/>
        <sz val="10"/>
        <rFont val="宋体"/>
        <family val="3"/>
        <charset val="134"/>
      </rPr>
      <t>层</t>
    </r>
    <r>
      <rPr>
        <u/>
        <sz val="10"/>
        <rFont val="Arial"/>
        <family val="2"/>
      </rPr>
      <t>(</t>
    </r>
    <r>
      <rPr>
        <u/>
        <sz val="10"/>
        <rFont val="宋体"/>
        <family val="3"/>
        <charset val="134"/>
      </rPr>
      <t>不含</t>
    </r>
    <r>
      <rPr>
        <u/>
        <sz val="10"/>
        <rFont val="Arial"/>
        <family val="2"/>
      </rPr>
      <t>9</t>
    </r>
    <r>
      <rPr>
        <u/>
        <sz val="10"/>
        <rFont val="宋体"/>
        <family val="3"/>
        <charset val="134"/>
      </rPr>
      <t>层、</t>
    </r>
    <r>
      <rPr>
        <u/>
        <sz val="10"/>
        <rFont val="Arial"/>
        <family val="2"/>
      </rPr>
      <t>10</t>
    </r>
    <r>
      <rPr>
        <u/>
        <sz val="10"/>
        <rFont val="宋体"/>
        <family val="3"/>
        <charset val="134"/>
      </rPr>
      <t>层部分面积</t>
    </r>
    <r>
      <rPr>
        <u/>
        <sz val="10"/>
        <rFont val="Arial"/>
        <family val="2"/>
      </rPr>
      <t>)</t>
    </r>
    <r>
      <rPr>
        <u/>
        <sz val="10"/>
        <rFont val="宋体"/>
        <family val="3"/>
        <charset val="134"/>
      </rPr>
      <t>，费用同</t>
    </r>
    <r>
      <rPr>
        <u/>
        <sz val="10"/>
        <rFont val="Arial"/>
        <family val="2"/>
      </rPr>
      <t>2011</t>
    </r>
    <r>
      <rPr>
        <u/>
        <sz val="10"/>
        <rFont val="宋体"/>
        <family val="3"/>
        <charset val="134"/>
      </rPr>
      <t>年</t>
    </r>
    <phoneticPr fontId="4" type="noConversion"/>
  </si>
  <si>
    <r>
      <rPr>
        <u/>
        <sz val="10"/>
        <rFont val="宋体"/>
        <family val="3"/>
        <charset val="134"/>
      </rPr>
      <t>搜狐网络大厦地下库房</t>
    </r>
    <r>
      <rPr>
        <u/>
        <sz val="10"/>
        <rFont val="Arial"/>
        <family val="2"/>
      </rPr>
      <t>(</t>
    </r>
    <r>
      <rPr>
        <u/>
        <sz val="10"/>
        <rFont val="宋体"/>
        <family val="3"/>
        <charset val="134"/>
      </rPr>
      <t>含摄影棚</t>
    </r>
    <r>
      <rPr>
        <u/>
        <sz val="10"/>
        <rFont val="Arial"/>
        <family val="2"/>
      </rPr>
      <t>)</t>
    </r>
    <r>
      <rPr>
        <u/>
        <sz val="10"/>
        <rFont val="宋体"/>
        <family val="3"/>
        <charset val="134"/>
      </rPr>
      <t>，费用同</t>
    </r>
    <r>
      <rPr>
        <u/>
        <sz val="10"/>
        <rFont val="Arial"/>
        <family val="2"/>
      </rPr>
      <t>2011</t>
    </r>
    <r>
      <rPr>
        <u/>
        <sz val="10"/>
        <rFont val="宋体"/>
        <family val="3"/>
        <charset val="134"/>
      </rPr>
      <t>年</t>
    </r>
    <phoneticPr fontId="4" type="noConversion"/>
  </si>
  <si>
    <t>华清嘉园租金</t>
    <phoneticPr fontId="4" type="noConversion"/>
  </si>
  <si>
    <r>
      <rPr>
        <u/>
        <sz val="10"/>
        <rFont val="宋体"/>
        <family val="3"/>
        <charset val="134"/>
      </rPr>
      <t>租金中已包含物业管理费，费用较</t>
    </r>
    <r>
      <rPr>
        <u/>
        <sz val="10"/>
        <rFont val="Arial"/>
        <family val="2"/>
      </rPr>
      <t>2011</t>
    </r>
    <r>
      <rPr>
        <u/>
        <sz val="10"/>
        <rFont val="宋体"/>
        <family val="3"/>
        <charset val="134"/>
      </rPr>
      <t>年上涨</t>
    </r>
    <r>
      <rPr>
        <u/>
        <sz val="10"/>
        <rFont val="Arial"/>
        <family val="2"/>
      </rPr>
      <t>80000</t>
    </r>
    <r>
      <rPr>
        <u/>
        <sz val="10"/>
        <rFont val="宋体"/>
        <family val="3"/>
        <charset val="134"/>
      </rPr>
      <t>元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</si>
  <si>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Arial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层租金</t>
    </r>
    <phoneticPr fontId="4" type="noConversion"/>
  </si>
  <si>
    <r>
      <rPr>
        <u/>
        <sz val="10"/>
        <rFont val="宋体"/>
        <family val="3"/>
        <charset val="134"/>
      </rPr>
      <t>费用同</t>
    </r>
    <r>
      <rPr>
        <u/>
        <sz val="10"/>
        <rFont val="Arial"/>
        <family val="2"/>
      </rPr>
      <t>2011</t>
    </r>
    <r>
      <rPr>
        <u/>
        <sz val="10"/>
        <rFont val="宋体"/>
        <family val="3"/>
        <charset val="134"/>
      </rPr>
      <t>年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</si>
  <si>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Arial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层物业管理费</t>
    </r>
    <phoneticPr fontId="4" type="noConversion"/>
  </si>
  <si>
    <r>
      <rPr>
        <u/>
        <sz val="10"/>
        <rFont val="宋体"/>
        <family val="3"/>
        <charset val="134"/>
      </rPr>
      <t>融科物业通知：物业管理费计划从</t>
    </r>
    <r>
      <rPr>
        <u/>
        <sz val="10"/>
        <rFont val="Arial"/>
        <family val="2"/>
      </rPr>
      <t>2012</t>
    </r>
    <r>
      <rPr>
        <u/>
        <sz val="10"/>
        <rFont val="宋体"/>
        <family val="3"/>
        <charset val="134"/>
      </rPr>
      <t>年</t>
    </r>
    <r>
      <rPr>
        <u/>
        <sz val="10"/>
        <rFont val="Arial"/>
        <family val="2"/>
      </rPr>
      <t>1</t>
    </r>
    <r>
      <rPr>
        <u/>
        <sz val="10"/>
        <rFont val="宋体"/>
        <family val="3"/>
        <charset val="134"/>
      </rPr>
      <t>月起由现在的</t>
    </r>
    <r>
      <rPr>
        <u/>
        <sz val="10"/>
        <rFont val="Arial"/>
        <family val="2"/>
      </rPr>
      <t>25</t>
    </r>
    <r>
      <rPr>
        <u/>
        <sz val="10"/>
        <rFont val="宋体"/>
        <family val="3"/>
        <charset val="134"/>
      </rPr>
      <t>元</t>
    </r>
    <r>
      <rPr>
        <u/>
        <sz val="10"/>
        <rFont val="Arial"/>
        <family val="2"/>
      </rPr>
      <t>/m2/</t>
    </r>
    <r>
      <rPr>
        <u/>
        <sz val="10"/>
        <rFont val="宋体"/>
        <family val="3"/>
        <charset val="134"/>
      </rPr>
      <t>月上调至</t>
    </r>
    <r>
      <rPr>
        <u/>
        <sz val="10"/>
        <rFont val="Arial"/>
        <family val="2"/>
      </rPr>
      <t>30</t>
    </r>
    <r>
      <rPr>
        <u/>
        <sz val="10"/>
        <rFont val="宋体"/>
        <family val="3"/>
        <charset val="134"/>
      </rPr>
      <t>元</t>
    </r>
    <r>
      <rPr>
        <u/>
        <sz val="10"/>
        <rFont val="Arial"/>
        <family val="2"/>
      </rPr>
      <t>/m2/</t>
    </r>
    <r>
      <rPr>
        <u/>
        <sz val="10"/>
        <rFont val="宋体"/>
        <family val="3"/>
        <charset val="134"/>
      </rPr>
      <t>月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</si>
  <si>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Arial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层租金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</si>
  <si>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Arial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层物业管理费</t>
    </r>
    <phoneticPr fontId="4" type="noConversion"/>
  </si>
  <si>
    <r>
      <rPr>
        <u/>
        <sz val="10"/>
        <rFont val="宋体"/>
        <family val="3"/>
        <charset val="134"/>
      </rPr>
      <t>融科物业通知：物业管理费计划从</t>
    </r>
    <r>
      <rPr>
        <u/>
        <sz val="10"/>
        <rFont val="Arial"/>
        <family val="2"/>
      </rPr>
      <t>2012</t>
    </r>
    <r>
      <rPr>
        <u/>
        <sz val="10"/>
        <rFont val="宋体"/>
        <family val="3"/>
        <charset val="134"/>
      </rPr>
      <t>年</t>
    </r>
    <r>
      <rPr>
        <u/>
        <sz val="10"/>
        <rFont val="Arial"/>
        <family val="2"/>
      </rPr>
      <t>1</t>
    </r>
    <r>
      <rPr>
        <u/>
        <sz val="10"/>
        <rFont val="宋体"/>
        <family val="3"/>
        <charset val="134"/>
      </rPr>
      <t>月起由现在的</t>
    </r>
    <r>
      <rPr>
        <u/>
        <sz val="10"/>
        <rFont val="Arial"/>
        <family val="2"/>
      </rPr>
      <t>25</t>
    </r>
    <r>
      <rPr>
        <u/>
        <sz val="10"/>
        <rFont val="宋体"/>
        <family val="3"/>
        <charset val="134"/>
      </rPr>
      <t>元</t>
    </r>
    <r>
      <rPr>
        <u/>
        <sz val="10"/>
        <rFont val="Arial"/>
        <family val="2"/>
      </rPr>
      <t>/m2/</t>
    </r>
    <r>
      <rPr>
        <u/>
        <sz val="10"/>
        <rFont val="宋体"/>
        <family val="3"/>
        <charset val="134"/>
      </rPr>
      <t>月上调至</t>
    </r>
    <r>
      <rPr>
        <u/>
        <sz val="10"/>
        <rFont val="Arial"/>
        <family val="2"/>
      </rPr>
      <t>30</t>
    </r>
    <r>
      <rPr>
        <u/>
        <sz val="10"/>
        <rFont val="宋体"/>
        <family val="3"/>
        <charset val="134"/>
      </rPr>
      <t>元</t>
    </r>
    <r>
      <rPr>
        <u/>
        <sz val="10"/>
        <rFont val="Arial"/>
        <family val="2"/>
      </rPr>
      <t>/m2/</t>
    </r>
    <r>
      <rPr>
        <u/>
        <sz val="10"/>
        <rFont val="宋体"/>
        <family val="3"/>
        <charset val="134"/>
      </rPr>
      <t>月。物业管理费中包括</t>
    </r>
    <r>
      <rPr>
        <u/>
        <sz val="10"/>
        <rFont val="Arial"/>
        <family val="2"/>
      </rPr>
      <t>1500</t>
    </r>
    <r>
      <rPr>
        <u/>
        <sz val="10"/>
        <rFont val="宋体"/>
        <family val="3"/>
        <charset val="134"/>
      </rPr>
      <t>元</t>
    </r>
    <r>
      <rPr>
        <u/>
        <sz val="10"/>
        <rFont val="Arial"/>
        <family val="2"/>
      </rPr>
      <t>/</t>
    </r>
    <r>
      <rPr>
        <u/>
        <sz val="10"/>
        <rFont val="宋体"/>
        <family val="3"/>
        <charset val="134"/>
      </rPr>
      <t>月的空调冷却水费</t>
    </r>
    <phoneticPr fontId="4" type="noConversion"/>
  </si>
  <si>
    <t>天津房租</t>
    <phoneticPr fontId="4" type="noConversion"/>
  </si>
  <si>
    <r>
      <rPr>
        <sz val="10"/>
        <rFont val="宋体"/>
        <family val="3"/>
        <charset val="134"/>
      </rPr>
      <t>按照从</t>
    </r>
    <r>
      <rPr>
        <sz val="10"/>
        <rFont val="Arial"/>
        <family val="2"/>
      </rPr>
      <t>2012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日起交物业管理费、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日起交房租估算</t>
    </r>
    <phoneticPr fontId="4" type="noConversion"/>
  </si>
  <si>
    <t>天津物业</t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</si>
  <si>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层租金</t>
    </r>
    <phoneticPr fontId="4" type="noConversion"/>
  </si>
  <si>
    <t>2012年3月1日起付租金</t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</si>
  <si>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层物业管理费</t>
    </r>
    <phoneticPr fontId="4" type="noConversion"/>
  </si>
  <si>
    <t>2012年1月1日起付物业管理费，包括从3月1日起付的200个DID电话号码占号费</t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</si>
  <si>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层租金</t>
    </r>
    <phoneticPr fontId="4" type="noConversion"/>
  </si>
  <si>
    <r>
      <rPr>
        <u/>
        <sz val="10"/>
        <rFont val="宋体"/>
        <family val="3"/>
        <charset val="134"/>
      </rPr>
      <t>费用同</t>
    </r>
    <r>
      <rPr>
        <u/>
        <sz val="10"/>
        <rFont val="Arial"/>
        <family val="2"/>
      </rPr>
      <t>2011</t>
    </r>
    <r>
      <rPr>
        <u/>
        <sz val="10"/>
        <rFont val="宋体"/>
        <family val="3"/>
        <charset val="134"/>
      </rPr>
      <t>年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</si>
  <si>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层物业管理费</t>
    </r>
    <phoneticPr fontId="4" type="noConversion"/>
  </si>
  <si>
    <r>
      <rPr>
        <sz val="10"/>
        <rFont val="宋体"/>
        <family val="3"/>
        <charset val="134"/>
      </rPr>
      <t>※</t>
    </r>
    <phoneticPr fontId="4" type="noConversion"/>
  </si>
  <si>
    <t>Parking</t>
    <phoneticPr fontId="4" type="noConversion"/>
  </si>
  <si>
    <r>
      <rPr>
        <sz val="10"/>
        <rFont val="宋体"/>
        <family val="3"/>
        <charset val="134"/>
      </rPr>
      <t>停车费（搜狐大厦</t>
    </r>
    <r>
      <rPr>
        <sz val="10"/>
        <rFont val="Arial"/>
        <family val="2"/>
      </rPr>
      <t>-SOHU</t>
    </r>
    <r>
      <rPr>
        <sz val="10"/>
        <rFont val="宋体"/>
        <family val="3"/>
        <charset val="134"/>
      </rPr>
      <t>）</t>
    </r>
    <phoneticPr fontId="4" type="noConversion"/>
  </si>
  <si>
    <t>现有车位69个，不再新增(其中20个100元/月，49个为510元/月)。另增加每月3000元作为公司活动机动不定量车位费</t>
    <phoneticPr fontId="4" type="noConversion"/>
  </si>
  <si>
    <r>
      <rPr>
        <sz val="10"/>
        <rFont val="宋体"/>
        <family val="3"/>
        <charset val="134"/>
      </rPr>
      <t>停车费（科技大厦</t>
    </r>
    <r>
      <rPr>
        <sz val="10"/>
        <rFont val="Arial"/>
        <family val="2"/>
      </rPr>
      <t>-SOHU</t>
    </r>
    <r>
      <rPr>
        <sz val="10"/>
        <rFont val="宋体"/>
        <family val="3"/>
        <charset val="134"/>
      </rPr>
      <t>）</t>
    </r>
    <phoneticPr fontId="4" type="noConversion"/>
  </si>
  <si>
    <r>
      <rPr>
        <u/>
        <sz val="10"/>
        <rFont val="宋体"/>
        <family val="3"/>
        <charset val="134"/>
      </rPr>
      <t>现有车位</t>
    </r>
    <r>
      <rPr>
        <u/>
        <sz val="10"/>
        <rFont val="Arial"/>
        <family val="2"/>
      </rPr>
      <t>71</t>
    </r>
    <r>
      <rPr>
        <u/>
        <sz val="10"/>
        <rFont val="宋体"/>
        <family val="3"/>
        <charset val="134"/>
      </rPr>
      <t>个，</t>
    </r>
    <r>
      <rPr>
        <u/>
        <sz val="10"/>
        <rFont val="Arial"/>
        <family val="2"/>
      </rPr>
      <t>2012</t>
    </r>
    <r>
      <rPr>
        <u/>
        <sz val="10"/>
        <rFont val="宋体"/>
        <family val="3"/>
        <charset val="134"/>
      </rPr>
      <t>年按照</t>
    </r>
    <r>
      <rPr>
        <u/>
        <sz val="10"/>
        <rFont val="Arial"/>
        <family val="2"/>
      </rPr>
      <t>40%</t>
    </r>
    <r>
      <rPr>
        <u/>
        <sz val="10"/>
        <rFont val="宋体"/>
        <family val="3"/>
        <charset val="134"/>
      </rPr>
      <t>增长计算，即</t>
    </r>
    <r>
      <rPr>
        <u/>
        <sz val="10"/>
        <rFont val="Arial"/>
        <family val="2"/>
      </rPr>
      <t>71</t>
    </r>
    <r>
      <rPr>
        <u/>
        <sz val="10"/>
        <rFont val="宋体"/>
        <family val="3"/>
        <charset val="134"/>
      </rPr>
      <t>个</t>
    </r>
    <r>
      <rPr>
        <u/>
        <sz val="10"/>
        <rFont val="Arial"/>
        <family val="2"/>
      </rPr>
      <t>*140%=99</t>
    </r>
    <r>
      <rPr>
        <u/>
        <sz val="10"/>
        <rFont val="宋体"/>
        <family val="3"/>
        <charset val="134"/>
      </rPr>
      <t>个</t>
    </r>
    <r>
      <rPr>
        <u/>
        <sz val="10"/>
        <rFont val="Arial"/>
        <family val="2"/>
      </rPr>
      <t>(300</t>
    </r>
    <r>
      <rPr>
        <u/>
        <sz val="10"/>
        <rFont val="宋体"/>
        <family val="3"/>
        <charset val="134"/>
      </rPr>
      <t>元</t>
    </r>
    <r>
      <rPr>
        <u/>
        <sz val="10"/>
        <rFont val="Arial"/>
        <family val="2"/>
      </rPr>
      <t>/</t>
    </r>
    <r>
      <rPr>
        <u/>
        <sz val="10"/>
        <rFont val="宋体"/>
        <family val="3"/>
        <charset val="134"/>
      </rPr>
      <t>月</t>
    </r>
    <r>
      <rPr>
        <u/>
        <sz val="10"/>
        <rFont val="Arial"/>
        <family val="2"/>
      </rPr>
      <t>/</t>
    </r>
    <r>
      <rPr>
        <u/>
        <sz val="10"/>
        <rFont val="宋体"/>
        <family val="3"/>
        <charset val="134"/>
      </rPr>
      <t>个</t>
    </r>
    <r>
      <rPr>
        <u/>
        <sz val="10"/>
        <rFont val="Arial"/>
        <family val="2"/>
      </rPr>
      <t>)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</si>
  <si>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Arial"/>
        <family val="2"/>
      </rPr>
      <t>A</t>
    </r>
    <r>
      <rPr>
        <sz val="10"/>
        <rFont val="宋体"/>
        <family val="3"/>
        <charset val="134"/>
      </rPr>
      <t>座地下停车费</t>
    </r>
    <phoneticPr fontId="4" type="noConversion"/>
  </si>
  <si>
    <t>现有车位7个，不再新增</t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</si>
  <si>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Arial"/>
        <family val="2"/>
      </rPr>
      <t>C</t>
    </r>
    <r>
      <rPr>
        <sz val="10"/>
        <rFont val="宋体"/>
        <family val="3"/>
        <charset val="134"/>
      </rPr>
      <t>座地下停车费</t>
    </r>
    <phoneticPr fontId="4" type="noConversion"/>
  </si>
  <si>
    <t>现有车位15个，不再新增</t>
    <phoneticPr fontId="4" type="noConversion"/>
  </si>
  <si>
    <t>融科中科行健地面停车费</t>
    <phoneticPr fontId="4" type="noConversion"/>
  </si>
  <si>
    <r>
      <rPr>
        <u/>
        <sz val="10"/>
        <rFont val="宋体"/>
        <family val="3"/>
        <charset val="134"/>
      </rPr>
      <t>现有车位</t>
    </r>
    <r>
      <rPr>
        <u/>
        <sz val="10"/>
        <rFont val="Arial"/>
        <family val="2"/>
      </rPr>
      <t>20</t>
    </r>
    <r>
      <rPr>
        <u/>
        <sz val="10"/>
        <rFont val="宋体"/>
        <family val="3"/>
        <charset val="134"/>
      </rPr>
      <t>个，</t>
    </r>
    <r>
      <rPr>
        <u/>
        <sz val="10"/>
        <rFont val="Arial"/>
        <family val="2"/>
      </rPr>
      <t>2012</t>
    </r>
    <r>
      <rPr>
        <u/>
        <sz val="10"/>
        <rFont val="宋体"/>
        <family val="3"/>
        <charset val="134"/>
      </rPr>
      <t>年按照</t>
    </r>
    <r>
      <rPr>
        <u/>
        <sz val="10"/>
        <rFont val="Arial"/>
        <family val="2"/>
      </rPr>
      <t>40%</t>
    </r>
    <r>
      <rPr>
        <u/>
        <sz val="10"/>
        <rFont val="宋体"/>
        <family val="3"/>
        <charset val="134"/>
      </rPr>
      <t>增长计算，即</t>
    </r>
    <r>
      <rPr>
        <u/>
        <sz val="10"/>
        <rFont val="Arial"/>
        <family val="2"/>
      </rPr>
      <t>20*140%=28</t>
    </r>
    <r>
      <rPr>
        <u/>
        <sz val="10"/>
        <rFont val="宋体"/>
        <family val="3"/>
        <charset val="134"/>
      </rPr>
      <t>个</t>
    </r>
    <r>
      <rPr>
        <u/>
        <sz val="10"/>
        <rFont val="Arial"/>
        <family val="2"/>
      </rPr>
      <t>(500</t>
    </r>
    <r>
      <rPr>
        <u/>
        <sz val="10"/>
        <rFont val="宋体"/>
        <family val="3"/>
        <charset val="134"/>
      </rPr>
      <t>元</t>
    </r>
    <r>
      <rPr>
        <u/>
        <sz val="10"/>
        <rFont val="Arial"/>
        <family val="2"/>
      </rPr>
      <t>/</t>
    </r>
    <r>
      <rPr>
        <u/>
        <sz val="10"/>
        <rFont val="宋体"/>
        <family val="3"/>
        <charset val="134"/>
      </rPr>
      <t>月</t>
    </r>
    <r>
      <rPr>
        <u/>
        <sz val="10"/>
        <rFont val="Arial"/>
        <family val="2"/>
      </rPr>
      <t>/</t>
    </r>
    <r>
      <rPr>
        <u/>
        <sz val="10"/>
        <rFont val="宋体"/>
        <family val="3"/>
        <charset val="134"/>
      </rPr>
      <t>个</t>
    </r>
    <r>
      <rPr>
        <u/>
        <sz val="10"/>
        <rFont val="Arial"/>
        <family val="2"/>
      </rPr>
      <t>)</t>
    </r>
    <phoneticPr fontId="4" type="noConversion"/>
  </si>
  <si>
    <t>天津停车费</t>
    <phoneticPr fontId="4" type="noConversion"/>
  </si>
  <si>
    <r>
      <rPr>
        <sz val="10"/>
        <rFont val="宋体"/>
        <family val="3"/>
        <charset val="134"/>
      </rPr>
      <t>按照从</t>
    </r>
    <r>
      <rPr>
        <sz val="10"/>
        <rFont val="Arial"/>
        <family val="2"/>
      </rPr>
      <t>2012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日起交停车费估算，</t>
    </r>
    <r>
      <rPr>
        <sz val="10"/>
        <rFont val="Arial"/>
        <family val="2"/>
      </rPr>
      <t>800</t>
    </r>
    <r>
      <rPr>
        <sz val="10"/>
        <rFont val="宋体"/>
        <family val="3"/>
        <charset val="134"/>
      </rPr>
      <t>元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个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月，共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个车位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</si>
  <si>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层地下停车费</t>
    </r>
    <phoneticPr fontId="4" type="noConversion"/>
  </si>
  <si>
    <r>
      <rPr>
        <u/>
        <sz val="10"/>
        <rFont val="宋体"/>
        <family val="3"/>
        <charset val="134"/>
      </rPr>
      <t>同方</t>
    </r>
    <r>
      <rPr>
        <u/>
        <sz val="10"/>
        <rFont val="Arial"/>
        <family val="2"/>
      </rPr>
      <t>D</t>
    </r>
    <r>
      <rPr>
        <u/>
        <sz val="10"/>
        <rFont val="宋体"/>
        <family val="3"/>
        <charset val="134"/>
      </rPr>
      <t>座</t>
    </r>
    <r>
      <rPr>
        <u/>
        <sz val="10"/>
        <rFont val="Arial"/>
        <family val="2"/>
      </rPr>
      <t>7</t>
    </r>
    <r>
      <rPr>
        <u/>
        <sz val="10"/>
        <rFont val="宋体"/>
        <family val="3"/>
        <charset val="134"/>
      </rPr>
      <t>、</t>
    </r>
    <r>
      <rPr>
        <u/>
        <sz val="10"/>
        <rFont val="Arial"/>
        <family val="2"/>
      </rPr>
      <t>8</t>
    </r>
    <r>
      <rPr>
        <u/>
        <sz val="10"/>
        <rFont val="宋体"/>
        <family val="3"/>
        <charset val="134"/>
      </rPr>
      <t>两层现共有车位</t>
    </r>
    <r>
      <rPr>
        <u/>
        <sz val="10"/>
        <rFont val="Arial"/>
        <family val="2"/>
      </rPr>
      <t>32</t>
    </r>
    <r>
      <rPr>
        <u/>
        <sz val="10"/>
        <rFont val="宋体"/>
        <family val="3"/>
        <charset val="134"/>
      </rPr>
      <t>个</t>
    </r>
    <r>
      <rPr>
        <u/>
        <sz val="10"/>
        <rFont val="Arial"/>
        <family val="2"/>
      </rPr>
      <t>(</t>
    </r>
    <r>
      <rPr>
        <u/>
        <sz val="10"/>
        <rFont val="宋体"/>
        <family val="3"/>
        <charset val="134"/>
      </rPr>
      <t>其中</t>
    </r>
    <r>
      <rPr>
        <u/>
        <sz val="10"/>
        <rFont val="Arial"/>
        <family val="2"/>
      </rPr>
      <t>20</t>
    </r>
    <r>
      <rPr>
        <u/>
        <sz val="10"/>
        <rFont val="宋体"/>
        <family val="3"/>
        <charset val="134"/>
      </rPr>
      <t>个</t>
    </r>
    <r>
      <rPr>
        <u/>
        <sz val="10"/>
        <rFont val="Arial"/>
        <family val="2"/>
      </rPr>
      <t>1000</t>
    </r>
    <r>
      <rPr>
        <u/>
        <sz val="10"/>
        <rFont val="宋体"/>
        <family val="3"/>
        <charset val="134"/>
      </rPr>
      <t>元</t>
    </r>
    <r>
      <rPr>
        <u/>
        <sz val="10"/>
        <rFont val="Arial"/>
        <family val="2"/>
      </rPr>
      <t>/</t>
    </r>
    <r>
      <rPr>
        <u/>
        <sz val="10"/>
        <rFont val="宋体"/>
        <family val="3"/>
        <charset val="134"/>
      </rPr>
      <t>月，</t>
    </r>
    <r>
      <rPr>
        <u/>
        <sz val="10"/>
        <rFont val="Arial"/>
        <family val="2"/>
      </rPr>
      <t>12</t>
    </r>
    <r>
      <rPr>
        <u/>
        <sz val="10"/>
        <rFont val="宋体"/>
        <family val="3"/>
        <charset val="134"/>
      </rPr>
      <t>个</t>
    </r>
    <r>
      <rPr>
        <u/>
        <sz val="10"/>
        <rFont val="Arial"/>
        <family val="2"/>
      </rPr>
      <t>800</t>
    </r>
    <r>
      <rPr>
        <u/>
        <sz val="10"/>
        <rFont val="宋体"/>
        <family val="3"/>
        <charset val="134"/>
      </rPr>
      <t>元</t>
    </r>
    <r>
      <rPr>
        <u/>
        <sz val="10"/>
        <rFont val="Arial"/>
        <family val="2"/>
      </rPr>
      <t>/</t>
    </r>
    <r>
      <rPr>
        <u/>
        <sz val="10"/>
        <rFont val="宋体"/>
        <family val="3"/>
        <charset val="134"/>
      </rPr>
      <t>月</t>
    </r>
    <r>
      <rPr>
        <u/>
        <sz val="10"/>
        <rFont val="Arial"/>
        <family val="2"/>
      </rPr>
      <t>)</t>
    </r>
    <r>
      <rPr>
        <u/>
        <sz val="10"/>
        <rFont val="宋体"/>
        <family val="3"/>
        <charset val="134"/>
      </rPr>
      <t>，</t>
    </r>
    <r>
      <rPr>
        <u/>
        <sz val="10"/>
        <rFont val="Arial"/>
        <family val="2"/>
      </rPr>
      <t>2012</t>
    </r>
    <r>
      <rPr>
        <u/>
        <sz val="10"/>
        <rFont val="宋体"/>
        <family val="3"/>
        <charset val="134"/>
      </rPr>
      <t>年按照</t>
    </r>
    <r>
      <rPr>
        <u/>
        <sz val="10"/>
        <rFont val="Arial"/>
        <family val="2"/>
      </rPr>
      <t>40%</t>
    </r>
    <r>
      <rPr>
        <u/>
        <sz val="10"/>
        <rFont val="宋体"/>
        <family val="3"/>
        <charset val="134"/>
      </rPr>
      <t>增长计算，即</t>
    </r>
    <r>
      <rPr>
        <u/>
        <sz val="10"/>
        <rFont val="Arial"/>
        <family val="2"/>
      </rPr>
      <t>32</t>
    </r>
    <r>
      <rPr>
        <u/>
        <sz val="10"/>
        <rFont val="宋体"/>
        <family val="3"/>
        <charset val="134"/>
      </rPr>
      <t>个</t>
    </r>
    <r>
      <rPr>
        <u/>
        <sz val="10"/>
        <rFont val="Arial"/>
        <family val="2"/>
      </rPr>
      <t>*140%=44</t>
    </r>
    <r>
      <rPr>
        <u/>
        <sz val="10"/>
        <rFont val="宋体"/>
        <family val="3"/>
        <charset val="134"/>
      </rPr>
      <t>个</t>
    </r>
    <r>
      <rPr>
        <sz val="10"/>
        <rFont val="宋体"/>
        <family val="3"/>
        <charset val="134"/>
      </rPr>
      <t/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</si>
  <si>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层地下停车费</t>
    </r>
    <phoneticPr fontId="4" type="noConversion"/>
  </si>
  <si>
    <r>
      <t>11</t>
    </r>
    <r>
      <rPr>
        <u/>
        <sz val="10"/>
        <rFont val="宋体"/>
        <family val="3"/>
        <charset val="134"/>
      </rPr>
      <t>年月均用电量</t>
    </r>
    <r>
      <rPr>
        <u/>
        <sz val="10"/>
        <rFont val="Arial"/>
        <family val="2"/>
      </rPr>
      <t>333822</t>
    </r>
    <r>
      <rPr>
        <u/>
        <sz val="10"/>
        <rFont val="宋体"/>
        <family val="3"/>
        <charset val="134"/>
      </rPr>
      <t>元，</t>
    </r>
    <r>
      <rPr>
        <u/>
        <sz val="10"/>
        <rFont val="Arial"/>
        <family val="2"/>
      </rPr>
      <t>2012</t>
    </r>
    <r>
      <rPr>
        <u/>
        <sz val="10"/>
        <rFont val="宋体"/>
        <family val="3"/>
        <charset val="134"/>
      </rPr>
      <t>年电费由现在的</t>
    </r>
    <r>
      <rPr>
        <u/>
        <sz val="10"/>
        <rFont val="Arial"/>
        <family val="2"/>
      </rPr>
      <t>0.9175</t>
    </r>
    <r>
      <rPr>
        <u/>
        <sz val="10"/>
        <rFont val="宋体"/>
        <family val="3"/>
        <charset val="134"/>
      </rPr>
      <t>元</t>
    </r>
    <r>
      <rPr>
        <u/>
        <sz val="10"/>
        <rFont val="Arial"/>
        <family val="2"/>
      </rPr>
      <t>/</t>
    </r>
    <r>
      <rPr>
        <u/>
        <sz val="10"/>
        <rFont val="宋体"/>
        <family val="3"/>
        <charset val="134"/>
      </rPr>
      <t>度上调至</t>
    </r>
    <r>
      <rPr>
        <u/>
        <sz val="10"/>
        <rFont val="Arial"/>
        <family val="2"/>
      </rPr>
      <t>0.95</t>
    </r>
    <r>
      <rPr>
        <u/>
        <sz val="10"/>
        <rFont val="宋体"/>
        <family val="3"/>
        <charset val="134"/>
      </rPr>
      <t>元</t>
    </r>
    <r>
      <rPr>
        <u/>
        <sz val="10"/>
        <rFont val="Arial"/>
        <family val="2"/>
      </rPr>
      <t>/</t>
    </r>
    <r>
      <rPr>
        <u/>
        <sz val="10"/>
        <rFont val="宋体"/>
        <family val="3"/>
        <charset val="134"/>
      </rPr>
      <t>度，按照</t>
    </r>
    <r>
      <rPr>
        <u/>
        <sz val="10"/>
        <rFont val="Arial"/>
        <family val="2"/>
      </rPr>
      <t>2012</t>
    </r>
    <r>
      <rPr>
        <u/>
        <sz val="10"/>
        <rFont val="宋体"/>
        <family val="3"/>
        <charset val="134"/>
      </rPr>
      <t>年用电量增长</t>
    </r>
    <r>
      <rPr>
        <u/>
        <sz val="10"/>
        <rFont val="Arial"/>
        <family val="2"/>
      </rPr>
      <t>10%</t>
    </r>
    <r>
      <rPr>
        <u/>
        <sz val="10"/>
        <rFont val="宋体"/>
        <family val="3"/>
        <charset val="134"/>
      </rPr>
      <t>估算，即</t>
    </r>
    <r>
      <rPr>
        <u/>
        <sz val="10"/>
        <rFont val="Arial"/>
        <family val="2"/>
      </rPr>
      <t>333822</t>
    </r>
    <r>
      <rPr>
        <u/>
        <sz val="10"/>
        <rFont val="宋体"/>
        <family val="3"/>
        <charset val="134"/>
      </rPr>
      <t>度</t>
    </r>
    <r>
      <rPr>
        <u/>
        <sz val="10"/>
        <rFont val="Arial"/>
        <family val="2"/>
      </rPr>
      <t>/</t>
    </r>
    <r>
      <rPr>
        <u/>
        <sz val="10"/>
        <rFont val="宋体"/>
        <family val="3"/>
        <charset val="134"/>
      </rPr>
      <t>月</t>
    </r>
    <r>
      <rPr>
        <u/>
        <sz val="10"/>
        <rFont val="Arial"/>
        <family val="2"/>
      </rPr>
      <t>*110%*0.95</t>
    </r>
    <r>
      <rPr>
        <u/>
        <sz val="10"/>
        <rFont val="宋体"/>
        <family val="3"/>
        <charset val="134"/>
      </rPr>
      <t>元</t>
    </r>
    <r>
      <rPr>
        <u/>
        <sz val="10"/>
        <rFont val="Arial"/>
        <family val="2"/>
      </rPr>
      <t>/</t>
    </r>
    <r>
      <rPr>
        <u/>
        <sz val="10"/>
        <rFont val="宋体"/>
        <family val="3"/>
        <charset val="134"/>
      </rPr>
      <t>度</t>
    </r>
    <r>
      <rPr>
        <u/>
        <sz val="10"/>
        <rFont val="Arial"/>
        <family val="2"/>
      </rPr>
      <t>=348844</t>
    </r>
    <r>
      <rPr>
        <u/>
        <sz val="10"/>
        <rFont val="宋体"/>
        <family val="3"/>
        <charset val="134"/>
      </rPr>
      <t>元</t>
    </r>
    <r>
      <rPr>
        <u/>
        <sz val="10"/>
        <rFont val="Arial"/>
        <family val="2"/>
      </rPr>
      <t>/</t>
    </r>
    <r>
      <rPr>
        <u/>
        <sz val="10"/>
        <rFont val="宋体"/>
        <family val="3"/>
        <charset val="134"/>
      </rPr>
      <t>月。其中搜狐按工位比例承担</t>
    </r>
    <r>
      <rPr>
        <u/>
        <sz val="10"/>
        <rFont val="Arial"/>
        <family val="2"/>
      </rPr>
      <t>74%</t>
    </r>
    <r>
      <rPr>
        <u/>
        <sz val="10"/>
        <rFont val="宋体"/>
        <family val="3"/>
        <charset val="134"/>
      </rPr>
      <t>，即</t>
    </r>
    <r>
      <rPr>
        <u/>
        <sz val="10"/>
        <rFont val="Arial"/>
        <family val="2"/>
      </rPr>
      <t>258145</t>
    </r>
    <r>
      <rPr>
        <u/>
        <sz val="10"/>
        <rFont val="宋体"/>
        <family val="3"/>
        <charset val="134"/>
      </rPr>
      <t>元。（</t>
    </r>
    <r>
      <rPr>
        <u/>
        <sz val="10"/>
        <rFont val="Arial"/>
        <family val="2"/>
      </rPr>
      <t>3</t>
    </r>
    <r>
      <rPr>
        <u/>
        <sz val="10"/>
        <rFont val="宋体"/>
        <family val="3"/>
        <charset val="134"/>
      </rPr>
      <t>层、</t>
    </r>
    <r>
      <rPr>
        <u/>
        <sz val="10"/>
        <rFont val="Arial"/>
        <family val="2"/>
      </rPr>
      <t>7-8</t>
    </r>
    <r>
      <rPr>
        <u/>
        <sz val="10"/>
        <rFont val="宋体"/>
        <family val="3"/>
        <charset val="134"/>
      </rPr>
      <t>、</t>
    </r>
    <r>
      <rPr>
        <u/>
        <sz val="10"/>
        <rFont val="Arial"/>
        <family val="2"/>
      </rPr>
      <t>10-15</t>
    </r>
    <r>
      <rPr>
        <u/>
        <sz val="10"/>
        <rFont val="宋体"/>
        <family val="3"/>
        <charset val="134"/>
      </rPr>
      <t>层</t>
    </r>
    <r>
      <rPr>
        <u/>
        <sz val="10"/>
        <rFont val="Arial"/>
        <family val="2"/>
      </rPr>
      <t>(</t>
    </r>
    <r>
      <rPr>
        <u/>
        <sz val="10"/>
        <rFont val="宋体"/>
        <family val="3"/>
        <charset val="134"/>
      </rPr>
      <t>不含搜狗</t>
    </r>
    <r>
      <rPr>
        <u/>
        <sz val="10"/>
        <rFont val="Arial"/>
        <family val="2"/>
      </rPr>
      <t>7</t>
    </r>
    <r>
      <rPr>
        <u/>
        <sz val="10"/>
        <rFont val="宋体"/>
        <family val="3"/>
        <charset val="134"/>
      </rPr>
      <t>层</t>
    </r>
    <r>
      <rPr>
        <u/>
        <sz val="10"/>
        <rFont val="Arial"/>
        <family val="2"/>
      </rPr>
      <t>12</t>
    </r>
    <r>
      <rPr>
        <u/>
        <sz val="10"/>
        <rFont val="宋体"/>
        <family val="3"/>
        <charset val="134"/>
      </rPr>
      <t>个工位、</t>
    </r>
    <r>
      <rPr>
        <u/>
        <sz val="10"/>
        <rFont val="Arial"/>
        <family val="2"/>
      </rPr>
      <t>8</t>
    </r>
    <r>
      <rPr>
        <u/>
        <sz val="10"/>
        <rFont val="宋体"/>
        <family val="3"/>
        <charset val="134"/>
      </rPr>
      <t>层</t>
    </r>
    <r>
      <rPr>
        <u/>
        <sz val="10"/>
        <rFont val="Arial"/>
        <family val="2"/>
      </rPr>
      <t>258</t>
    </r>
    <r>
      <rPr>
        <u/>
        <sz val="10"/>
        <rFont val="宋体"/>
        <family val="3"/>
        <charset val="134"/>
      </rPr>
      <t>个工位、</t>
    </r>
    <r>
      <rPr>
        <u/>
        <sz val="10"/>
        <rFont val="Arial"/>
        <family val="2"/>
      </rPr>
      <t>9</t>
    </r>
    <r>
      <rPr>
        <u/>
        <sz val="10"/>
        <rFont val="宋体"/>
        <family val="3"/>
        <charset val="134"/>
      </rPr>
      <t>层</t>
    </r>
    <r>
      <rPr>
        <u/>
        <sz val="10"/>
        <rFont val="Arial"/>
        <family val="2"/>
      </rPr>
      <t>372</t>
    </r>
    <r>
      <rPr>
        <u/>
        <sz val="10"/>
        <rFont val="宋体"/>
        <family val="3"/>
        <charset val="134"/>
      </rPr>
      <t>个工位、</t>
    </r>
    <r>
      <rPr>
        <u/>
        <sz val="10"/>
        <rFont val="Arial"/>
        <family val="2"/>
      </rPr>
      <t>10</t>
    </r>
    <r>
      <rPr>
        <u/>
        <sz val="10"/>
        <rFont val="宋体"/>
        <family val="3"/>
        <charset val="134"/>
      </rPr>
      <t>层</t>
    </r>
    <r>
      <rPr>
        <u/>
        <sz val="10"/>
        <rFont val="Arial"/>
        <family val="2"/>
      </rPr>
      <t>76</t>
    </r>
    <r>
      <rPr>
        <u/>
        <sz val="10"/>
        <rFont val="宋体"/>
        <family val="3"/>
        <charset val="134"/>
      </rPr>
      <t>个工位</t>
    </r>
    <r>
      <rPr>
        <u/>
        <sz val="10"/>
        <rFont val="Arial"/>
        <family val="2"/>
      </rPr>
      <t>)</t>
    </r>
    <r>
      <rPr>
        <u/>
        <sz val="10"/>
        <rFont val="宋体"/>
        <family val="3"/>
        <charset val="134"/>
      </rPr>
      <t>）</t>
    </r>
    <phoneticPr fontId="4" type="noConversion"/>
  </si>
  <si>
    <t>华清嘉园电费</t>
    <phoneticPr fontId="4" type="noConversion"/>
  </si>
  <si>
    <r>
      <t>11</t>
    </r>
    <r>
      <rPr>
        <u/>
        <sz val="10"/>
        <rFont val="宋体"/>
        <family val="3"/>
        <charset val="134"/>
      </rPr>
      <t>年月均均用电量</t>
    </r>
    <r>
      <rPr>
        <u/>
        <sz val="10"/>
        <rFont val="Arial"/>
        <family val="2"/>
      </rPr>
      <t>3063</t>
    </r>
    <r>
      <rPr>
        <u/>
        <sz val="10"/>
        <rFont val="宋体"/>
        <family val="3"/>
        <charset val="134"/>
      </rPr>
      <t>度，</t>
    </r>
    <r>
      <rPr>
        <u/>
        <sz val="10"/>
        <rFont val="Arial"/>
        <family val="2"/>
      </rPr>
      <t>2012</t>
    </r>
    <r>
      <rPr>
        <u/>
        <sz val="10"/>
        <rFont val="宋体"/>
        <family val="3"/>
        <charset val="134"/>
      </rPr>
      <t>年电费由现在的</t>
    </r>
    <r>
      <rPr>
        <u/>
        <sz val="10"/>
        <rFont val="Arial"/>
        <family val="2"/>
      </rPr>
      <t>0.48</t>
    </r>
    <r>
      <rPr>
        <u/>
        <sz val="10"/>
        <rFont val="宋体"/>
        <family val="3"/>
        <charset val="134"/>
      </rPr>
      <t>元</t>
    </r>
    <r>
      <rPr>
        <u/>
        <sz val="10"/>
        <rFont val="Arial"/>
        <family val="2"/>
      </rPr>
      <t>/</t>
    </r>
    <r>
      <rPr>
        <u/>
        <sz val="10"/>
        <rFont val="宋体"/>
        <family val="3"/>
        <charset val="134"/>
      </rPr>
      <t>度上调至</t>
    </r>
    <r>
      <rPr>
        <u/>
        <sz val="10"/>
        <rFont val="Arial"/>
        <family val="2"/>
      </rPr>
      <t>0.51</t>
    </r>
    <r>
      <rPr>
        <u/>
        <sz val="10"/>
        <rFont val="宋体"/>
        <family val="3"/>
        <charset val="134"/>
      </rPr>
      <t>元</t>
    </r>
    <r>
      <rPr>
        <u/>
        <sz val="10"/>
        <rFont val="Arial"/>
        <family val="2"/>
      </rPr>
      <t>/</t>
    </r>
    <r>
      <rPr>
        <u/>
        <sz val="10"/>
        <rFont val="宋体"/>
        <family val="3"/>
        <charset val="134"/>
      </rPr>
      <t>度，按照</t>
    </r>
    <r>
      <rPr>
        <u/>
        <sz val="10"/>
        <rFont val="Arial"/>
        <family val="2"/>
      </rPr>
      <t>2012</t>
    </r>
    <r>
      <rPr>
        <u/>
        <sz val="10"/>
        <rFont val="宋体"/>
        <family val="3"/>
        <charset val="134"/>
      </rPr>
      <t>年用电量增长</t>
    </r>
    <r>
      <rPr>
        <u/>
        <sz val="10"/>
        <rFont val="Arial"/>
        <family val="2"/>
      </rPr>
      <t>10%</t>
    </r>
    <r>
      <rPr>
        <u/>
        <sz val="10"/>
        <rFont val="宋体"/>
        <family val="3"/>
        <charset val="134"/>
      </rPr>
      <t>估算，即</t>
    </r>
    <r>
      <rPr>
        <u/>
        <sz val="10"/>
        <rFont val="Arial"/>
        <family val="2"/>
      </rPr>
      <t>3063</t>
    </r>
    <r>
      <rPr>
        <u/>
        <sz val="10"/>
        <rFont val="宋体"/>
        <family val="3"/>
        <charset val="134"/>
      </rPr>
      <t>度</t>
    </r>
    <r>
      <rPr>
        <u/>
        <sz val="10"/>
        <rFont val="Arial"/>
        <family val="2"/>
      </rPr>
      <t>/</t>
    </r>
    <r>
      <rPr>
        <u/>
        <sz val="10"/>
        <rFont val="宋体"/>
        <family val="3"/>
        <charset val="134"/>
      </rPr>
      <t>月</t>
    </r>
    <r>
      <rPr>
        <u/>
        <sz val="10"/>
        <rFont val="Arial"/>
        <family val="2"/>
      </rPr>
      <t>*110%*0.51</t>
    </r>
    <r>
      <rPr>
        <u/>
        <sz val="10"/>
        <rFont val="宋体"/>
        <family val="3"/>
        <charset val="134"/>
      </rPr>
      <t>元</t>
    </r>
    <r>
      <rPr>
        <u/>
        <sz val="10"/>
        <rFont val="Arial"/>
        <family val="2"/>
      </rPr>
      <t>/</t>
    </r>
    <r>
      <rPr>
        <u/>
        <sz val="10"/>
        <rFont val="宋体"/>
        <family val="3"/>
        <charset val="134"/>
      </rPr>
      <t>度</t>
    </r>
    <r>
      <rPr>
        <u/>
        <sz val="10"/>
        <rFont val="Arial"/>
        <family val="2"/>
      </rPr>
      <t>=1718</t>
    </r>
    <r>
      <rPr>
        <u/>
        <sz val="10"/>
        <rFont val="宋体"/>
        <family val="3"/>
        <charset val="134"/>
      </rPr>
      <t>元</t>
    </r>
    <r>
      <rPr>
        <u/>
        <sz val="10"/>
        <rFont val="Arial"/>
        <family val="2"/>
      </rPr>
      <t>/</t>
    </r>
    <r>
      <rPr>
        <u/>
        <sz val="10"/>
        <rFont val="宋体"/>
        <family val="3"/>
        <charset val="134"/>
      </rPr>
      <t>月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</si>
  <si>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Arial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层电费</t>
    </r>
    <phoneticPr fontId="4" type="noConversion"/>
  </si>
  <si>
    <r>
      <t>11</t>
    </r>
    <r>
      <rPr>
        <u/>
        <sz val="10"/>
        <rFont val="宋体"/>
        <family val="3"/>
        <charset val="134"/>
      </rPr>
      <t>年月均实际费用</t>
    </r>
    <r>
      <rPr>
        <u/>
        <sz val="10"/>
        <rFont val="Arial"/>
        <family val="2"/>
      </rPr>
      <t>12147</t>
    </r>
    <r>
      <rPr>
        <u/>
        <sz val="10"/>
        <rFont val="宋体"/>
        <family val="3"/>
        <charset val="134"/>
      </rPr>
      <t>元，按照</t>
    </r>
    <r>
      <rPr>
        <u/>
        <sz val="10"/>
        <rFont val="Arial"/>
        <family val="2"/>
      </rPr>
      <t>2012</t>
    </r>
    <r>
      <rPr>
        <u/>
        <sz val="10"/>
        <rFont val="宋体"/>
        <family val="3"/>
        <charset val="134"/>
      </rPr>
      <t>年用电量及电费增长</t>
    </r>
    <r>
      <rPr>
        <u/>
        <sz val="10"/>
        <rFont val="Arial"/>
        <family val="2"/>
      </rPr>
      <t>10%</t>
    </r>
    <r>
      <rPr>
        <u/>
        <sz val="10"/>
        <rFont val="宋体"/>
        <family val="3"/>
        <charset val="134"/>
      </rPr>
      <t>估算，即</t>
    </r>
    <r>
      <rPr>
        <u/>
        <sz val="10"/>
        <rFont val="Arial"/>
        <family val="2"/>
      </rPr>
      <t>12147</t>
    </r>
    <r>
      <rPr>
        <u/>
        <sz val="10"/>
        <rFont val="宋体"/>
        <family val="3"/>
        <charset val="134"/>
      </rPr>
      <t>元</t>
    </r>
    <r>
      <rPr>
        <u/>
        <sz val="10"/>
        <rFont val="Arial"/>
        <family val="2"/>
      </rPr>
      <t>*110%=13300</t>
    </r>
    <r>
      <rPr>
        <u/>
        <sz val="10"/>
        <rFont val="宋体"/>
        <family val="3"/>
        <charset val="134"/>
      </rPr>
      <t>元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</si>
  <si>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Arial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层电费</t>
    </r>
    <phoneticPr fontId="4" type="noConversion"/>
  </si>
  <si>
    <r>
      <t>11</t>
    </r>
    <r>
      <rPr>
        <u/>
        <sz val="10"/>
        <rFont val="宋体"/>
        <family val="3"/>
        <charset val="134"/>
      </rPr>
      <t>年月均实际费用</t>
    </r>
    <r>
      <rPr>
        <u/>
        <sz val="10"/>
        <rFont val="Arial"/>
        <family val="2"/>
      </rPr>
      <t>31428</t>
    </r>
    <r>
      <rPr>
        <u/>
        <sz val="10"/>
        <rFont val="宋体"/>
        <family val="3"/>
        <charset val="134"/>
      </rPr>
      <t>元，按照</t>
    </r>
    <r>
      <rPr>
        <u/>
        <sz val="10"/>
        <rFont val="Arial"/>
        <family val="2"/>
      </rPr>
      <t>2012</t>
    </r>
    <r>
      <rPr>
        <u/>
        <sz val="10"/>
        <rFont val="宋体"/>
        <family val="3"/>
        <charset val="134"/>
      </rPr>
      <t>年用电量及电费增长</t>
    </r>
    <r>
      <rPr>
        <u/>
        <sz val="10"/>
        <rFont val="Arial"/>
        <family val="2"/>
      </rPr>
      <t>10%</t>
    </r>
    <r>
      <rPr>
        <u/>
        <sz val="10"/>
        <rFont val="宋体"/>
        <family val="3"/>
        <charset val="134"/>
      </rPr>
      <t>估算，即</t>
    </r>
    <r>
      <rPr>
        <u/>
        <sz val="10"/>
        <rFont val="Arial"/>
        <family val="2"/>
      </rPr>
      <t>31428</t>
    </r>
    <r>
      <rPr>
        <u/>
        <sz val="10"/>
        <rFont val="宋体"/>
        <family val="3"/>
        <charset val="134"/>
      </rPr>
      <t>元</t>
    </r>
    <r>
      <rPr>
        <u/>
        <sz val="10"/>
        <rFont val="Arial"/>
        <family val="2"/>
      </rPr>
      <t>*110%=34500</t>
    </r>
    <r>
      <rPr>
        <u/>
        <sz val="10"/>
        <rFont val="宋体"/>
        <family val="3"/>
        <charset val="134"/>
      </rPr>
      <t>元</t>
    </r>
    <phoneticPr fontId="4" type="noConversion"/>
  </si>
  <si>
    <t>天津电费</t>
    <phoneticPr fontId="4" type="noConversion"/>
  </si>
  <si>
    <r>
      <rPr>
        <sz val="10"/>
        <rFont val="宋体"/>
        <family val="3"/>
        <charset val="134"/>
      </rPr>
      <t>按照从</t>
    </r>
    <r>
      <rPr>
        <sz val="10"/>
        <rFont val="Arial"/>
        <family val="2"/>
      </rPr>
      <t>2012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日起交电费，同方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层月均用电量</t>
    </r>
    <r>
      <rPr>
        <sz val="10"/>
        <rFont val="Arial"/>
        <family val="2"/>
      </rPr>
      <t>40000</t>
    </r>
    <r>
      <rPr>
        <sz val="10"/>
        <rFont val="宋体"/>
        <family val="3"/>
        <charset val="134"/>
      </rPr>
      <t>度，结合天津</t>
    </r>
    <r>
      <rPr>
        <sz val="10"/>
        <rFont val="Arial"/>
        <family val="2"/>
      </rPr>
      <t>MSD</t>
    </r>
    <r>
      <rPr>
        <sz val="10"/>
        <rFont val="宋体"/>
        <family val="3"/>
        <charset val="134"/>
      </rPr>
      <t>和同方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层的工位差额比例估算，天津</t>
    </r>
    <r>
      <rPr>
        <sz val="10"/>
        <rFont val="Arial"/>
        <family val="2"/>
      </rPr>
      <t>MSD1.3</t>
    </r>
    <r>
      <rPr>
        <sz val="10"/>
        <rFont val="宋体"/>
        <family val="3"/>
        <charset val="134"/>
      </rPr>
      <t>元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度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</si>
  <si>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层电费</t>
    </r>
    <phoneticPr fontId="4" type="noConversion"/>
  </si>
  <si>
    <r>
      <rPr>
        <u/>
        <sz val="10"/>
        <rFont val="宋体"/>
        <family val="3"/>
        <charset val="134"/>
      </rPr>
      <t>根据</t>
    </r>
    <r>
      <rPr>
        <u/>
        <sz val="10"/>
        <rFont val="Arial"/>
        <family val="2"/>
      </rPr>
      <t>11</t>
    </r>
    <r>
      <rPr>
        <u/>
        <sz val="10"/>
        <rFont val="宋体"/>
        <family val="3"/>
        <charset val="134"/>
      </rPr>
      <t>年同方</t>
    </r>
    <r>
      <rPr>
        <u/>
        <sz val="10"/>
        <rFont val="Arial"/>
        <family val="2"/>
      </rPr>
      <t>D</t>
    </r>
    <r>
      <rPr>
        <u/>
        <sz val="10"/>
        <rFont val="宋体"/>
        <family val="3"/>
        <charset val="134"/>
      </rPr>
      <t>座</t>
    </r>
    <r>
      <rPr>
        <u/>
        <sz val="10"/>
        <rFont val="Arial"/>
        <family val="2"/>
      </rPr>
      <t>8</t>
    </r>
    <r>
      <rPr>
        <u/>
        <sz val="10"/>
        <rFont val="宋体"/>
        <family val="3"/>
        <charset val="134"/>
      </rPr>
      <t>层月均实际用电</t>
    </r>
    <r>
      <rPr>
        <u/>
        <sz val="10"/>
        <rFont val="Arial"/>
        <family val="2"/>
      </rPr>
      <t>40000</t>
    </r>
    <r>
      <rPr>
        <u/>
        <sz val="10"/>
        <rFont val="宋体"/>
        <family val="3"/>
        <charset val="134"/>
      </rPr>
      <t>度，结合</t>
    </r>
    <r>
      <rPr>
        <u/>
        <sz val="10"/>
        <rFont val="Arial"/>
        <family val="2"/>
      </rPr>
      <t>7</t>
    </r>
    <r>
      <rPr>
        <u/>
        <sz val="10"/>
        <rFont val="宋体"/>
        <family val="3"/>
        <charset val="134"/>
      </rPr>
      <t>、</t>
    </r>
    <r>
      <rPr>
        <u/>
        <sz val="10"/>
        <rFont val="Arial"/>
        <family val="2"/>
      </rPr>
      <t>8</t>
    </r>
    <r>
      <rPr>
        <u/>
        <sz val="10"/>
        <rFont val="宋体"/>
        <family val="3"/>
        <charset val="134"/>
      </rPr>
      <t>两层工位差异比例估算。同方电费按物业要求，</t>
    </r>
    <r>
      <rPr>
        <u/>
        <sz val="10"/>
        <rFont val="Arial"/>
        <family val="2"/>
      </rPr>
      <t>2012</t>
    </r>
    <r>
      <rPr>
        <u/>
        <sz val="10"/>
        <rFont val="宋体"/>
        <family val="3"/>
        <charset val="134"/>
      </rPr>
      <t>年由现在的</t>
    </r>
    <r>
      <rPr>
        <u/>
        <sz val="10"/>
        <rFont val="Arial"/>
        <family val="2"/>
      </rPr>
      <t>1.14</t>
    </r>
    <r>
      <rPr>
        <u/>
        <sz val="10"/>
        <rFont val="宋体"/>
        <family val="3"/>
        <charset val="134"/>
      </rPr>
      <t>元</t>
    </r>
    <r>
      <rPr>
        <u/>
        <sz val="10"/>
        <rFont val="Arial"/>
        <family val="2"/>
      </rPr>
      <t>/</t>
    </r>
    <r>
      <rPr>
        <u/>
        <sz val="10"/>
        <rFont val="宋体"/>
        <family val="3"/>
        <charset val="134"/>
      </rPr>
      <t>度上调至</t>
    </r>
    <r>
      <rPr>
        <u/>
        <sz val="10"/>
        <rFont val="Arial"/>
        <family val="2"/>
      </rPr>
      <t>1.17</t>
    </r>
    <r>
      <rPr>
        <u/>
        <sz val="10"/>
        <rFont val="宋体"/>
        <family val="3"/>
        <charset val="134"/>
      </rPr>
      <t>元</t>
    </r>
    <r>
      <rPr>
        <u/>
        <sz val="10"/>
        <rFont val="Arial"/>
        <family val="2"/>
      </rPr>
      <t>/</t>
    </r>
    <r>
      <rPr>
        <u/>
        <sz val="10"/>
        <rFont val="宋体"/>
        <family val="3"/>
        <charset val="134"/>
      </rPr>
      <t>度，即</t>
    </r>
    <r>
      <rPr>
        <u/>
        <sz val="10"/>
        <rFont val="Arial"/>
        <family val="2"/>
      </rPr>
      <t>40000</t>
    </r>
    <r>
      <rPr>
        <u/>
        <sz val="10"/>
        <rFont val="宋体"/>
        <family val="3"/>
        <charset val="134"/>
      </rPr>
      <t>度</t>
    </r>
    <r>
      <rPr>
        <u/>
        <sz val="10"/>
        <rFont val="Arial"/>
        <family val="2"/>
      </rPr>
      <t>/413</t>
    </r>
    <r>
      <rPr>
        <u/>
        <sz val="10"/>
        <rFont val="宋体"/>
        <family val="3"/>
        <charset val="134"/>
      </rPr>
      <t>个工位</t>
    </r>
    <r>
      <rPr>
        <u/>
        <sz val="10"/>
        <rFont val="Arial"/>
        <family val="2"/>
      </rPr>
      <t>(8</t>
    </r>
    <r>
      <rPr>
        <u/>
        <sz val="10"/>
        <rFont val="宋体"/>
        <family val="3"/>
        <charset val="134"/>
      </rPr>
      <t>层</t>
    </r>
    <r>
      <rPr>
        <u/>
        <sz val="10"/>
        <rFont val="Arial"/>
        <family val="2"/>
      </rPr>
      <t>)*350</t>
    </r>
    <r>
      <rPr>
        <u/>
        <sz val="10"/>
        <rFont val="宋体"/>
        <family val="3"/>
        <charset val="134"/>
      </rPr>
      <t>个工位</t>
    </r>
    <r>
      <rPr>
        <u/>
        <sz val="10"/>
        <rFont val="Arial"/>
        <family val="2"/>
      </rPr>
      <t>(7</t>
    </r>
    <r>
      <rPr>
        <u/>
        <sz val="10"/>
        <rFont val="宋体"/>
        <family val="3"/>
        <charset val="134"/>
      </rPr>
      <t>层</t>
    </r>
    <r>
      <rPr>
        <u/>
        <sz val="10"/>
        <rFont val="Arial"/>
        <family val="2"/>
      </rPr>
      <t>)*1.17</t>
    </r>
    <r>
      <rPr>
        <u/>
        <sz val="10"/>
        <rFont val="宋体"/>
        <family val="3"/>
        <charset val="134"/>
      </rPr>
      <t>元</t>
    </r>
    <r>
      <rPr>
        <u/>
        <sz val="10"/>
        <rFont val="Arial"/>
        <family val="2"/>
      </rPr>
      <t>/</t>
    </r>
    <r>
      <rPr>
        <u/>
        <sz val="10"/>
        <rFont val="宋体"/>
        <family val="3"/>
        <charset val="134"/>
      </rPr>
      <t>度</t>
    </r>
    <r>
      <rPr>
        <u/>
        <sz val="10"/>
        <rFont val="Arial"/>
        <family val="2"/>
      </rPr>
      <t>=39663</t>
    </r>
    <r>
      <rPr>
        <u/>
        <sz val="10"/>
        <rFont val="宋体"/>
        <family val="3"/>
        <charset val="134"/>
      </rPr>
      <t>元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</si>
  <si>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层电费</t>
    </r>
    <phoneticPr fontId="4" type="noConversion"/>
  </si>
  <si>
    <r>
      <t>11</t>
    </r>
    <r>
      <rPr>
        <u/>
        <sz val="10"/>
        <rFont val="宋体"/>
        <family val="3"/>
        <charset val="134"/>
      </rPr>
      <t>年月均实际用电</t>
    </r>
    <r>
      <rPr>
        <u/>
        <sz val="10"/>
        <rFont val="Arial"/>
        <family val="2"/>
      </rPr>
      <t>40000</t>
    </r>
    <r>
      <rPr>
        <u/>
        <sz val="10"/>
        <rFont val="宋体"/>
        <family val="3"/>
        <charset val="134"/>
      </rPr>
      <t>度，按照</t>
    </r>
    <r>
      <rPr>
        <u/>
        <sz val="10"/>
        <rFont val="Arial"/>
        <family val="2"/>
      </rPr>
      <t>2012</t>
    </r>
    <r>
      <rPr>
        <u/>
        <sz val="10"/>
        <rFont val="宋体"/>
        <family val="3"/>
        <charset val="134"/>
      </rPr>
      <t>年用电量增长</t>
    </r>
    <r>
      <rPr>
        <u/>
        <sz val="10"/>
        <rFont val="Arial"/>
        <family val="2"/>
      </rPr>
      <t>10%</t>
    </r>
    <r>
      <rPr>
        <u/>
        <sz val="10"/>
        <rFont val="宋体"/>
        <family val="3"/>
        <charset val="134"/>
      </rPr>
      <t>估算。同方电费按物业要求，</t>
    </r>
    <r>
      <rPr>
        <u/>
        <sz val="10"/>
        <rFont val="Arial"/>
        <family val="2"/>
      </rPr>
      <t>2012</t>
    </r>
    <r>
      <rPr>
        <u/>
        <sz val="10"/>
        <rFont val="宋体"/>
        <family val="3"/>
        <charset val="134"/>
      </rPr>
      <t>年由现在的</t>
    </r>
    <r>
      <rPr>
        <u/>
        <sz val="10"/>
        <rFont val="Arial"/>
        <family val="2"/>
      </rPr>
      <t>1.14</t>
    </r>
    <r>
      <rPr>
        <u/>
        <sz val="10"/>
        <rFont val="宋体"/>
        <family val="3"/>
        <charset val="134"/>
      </rPr>
      <t>元</t>
    </r>
    <r>
      <rPr>
        <u/>
        <sz val="10"/>
        <rFont val="Arial"/>
        <family val="2"/>
      </rPr>
      <t>/</t>
    </r>
    <r>
      <rPr>
        <u/>
        <sz val="10"/>
        <rFont val="宋体"/>
        <family val="3"/>
        <charset val="134"/>
      </rPr>
      <t>度上调至</t>
    </r>
    <r>
      <rPr>
        <u/>
        <sz val="10"/>
        <rFont val="Arial"/>
        <family val="2"/>
      </rPr>
      <t>1.17</t>
    </r>
    <r>
      <rPr>
        <u/>
        <sz val="10"/>
        <rFont val="宋体"/>
        <family val="3"/>
        <charset val="134"/>
      </rPr>
      <t>元</t>
    </r>
    <r>
      <rPr>
        <u/>
        <sz val="10"/>
        <rFont val="Arial"/>
        <family val="2"/>
      </rPr>
      <t>/</t>
    </r>
    <r>
      <rPr>
        <u/>
        <sz val="10"/>
        <rFont val="宋体"/>
        <family val="3"/>
        <charset val="134"/>
      </rPr>
      <t>度，即</t>
    </r>
    <r>
      <rPr>
        <u/>
        <sz val="10"/>
        <rFont val="Arial"/>
        <family val="2"/>
      </rPr>
      <t>40000</t>
    </r>
    <r>
      <rPr>
        <u/>
        <sz val="10"/>
        <rFont val="宋体"/>
        <family val="3"/>
        <charset val="134"/>
      </rPr>
      <t>元</t>
    </r>
    <r>
      <rPr>
        <u/>
        <sz val="10"/>
        <rFont val="Arial"/>
        <family val="2"/>
      </rPr>
      <t>*110%*1.17</t>
    </r>
    <r>
      <rPr>
        <u/>
        <sz val="10"/>
        <rFont val="宋体"/>
        <family val="3"/>
        <charset val="134"/>
      </rPr>
      <t>元</t>
    </r>
    <r>
      <rPr>
        <u/>
        <sz val="10"/>
        <rFont val="Arial"/>
        <family val="2"/>
      </rPr>
      <t>/</t>
    </r>
    <r>
      <rPr>
        <u/>
        <sz val="10"/>
        <rFont val="宋体"/>
        <family val="3"/>
        <charset val="134"/>
      </rPr>
      <t>度</t>
    </r>
    <r>
      <rPr>
        <u/>
        <sz val="10"/>
        <rFont val="Arial"/>
        <family val="2"/>
      </rPr>
      <t>=51480</t>
    </r>
    <r>
      <rPr>
        <u/>
        <sz val="10"/>
        <rFont val="宋体"/>
        <family val="3"/>
        <charset val="134"/>
      </rPr>
      <t>元</t>
    </r>
    <phoneticPr fontId="4" type="noConversion"/>
  </si>
  <si>
    <r>
      <t>2011</t>
    </r>
    <r>
      <rPr>
        <u/>
        <sz val="10"/>
        <rFont val="宋体"/>
        <family val="3"/>
        <charset val="134"/>
      </rPr>
      <t>年月均实际费用</t>
    </r>
    <r>
      <rPr>
        <u/>
        <sz val="10"/>
        <rFont val="Arial"/>
        <family val="2"/>
      </rPr>
      <t>3.56</t>
    </r>
    <r>
      <rPr>
        <u/>
        <sz val="10"/>
        <rFont val="宋体"/>
        <family val="3"/>
        <charset val="134"/>
      </rPr>
      <t>万元，按照</t>
    </r>
    <r>
      <rPr>
        <u/>
        <sz val="10"/>
        <rFont val="Arial"/>
        <family val="2"/>
      </rPr>
      <t>2012</t>
    </r>
    <r>
      <rPr>
        <u/>
        <sz val="10"/>
        <rFont val="宋体"/>
        <family val="3"/>
        <charset val="134"/>
      </rPr>
      <t>年现空余工位满负荷使用估算，即约</t>
    </r>
    <r>
      <rPr>
        <u/>
        <sz val="10"/>
        <rFont val="Arial"/>
        <family val="2"/>
      </rPr>
      <t>3.56</t>
    </r>
    <r>
      <rPr>
        <u/>
        <sz val="10"/>
        <rFont val="宋体"/>
        <family val="3"/>
        <charset val="134"/>
      </rPr>
      <t>万元</t>
    </r>
    <r>
      <rPr>
        <u/>
        <sz val="10"/>
        <rFont val="Arial"/>
        <family val="2"/>
      </rPr>
      <t>*105%=37410</t>
    </r>
    <r>
      <rPr>
        <u/>
        <sz val="10"/>
        <rFont val="宋体"/>
        <family val="3"/>
        <charset val="134"/>
      </rPr>
      <t>元。其中搜狐按工位比例承担</t>
    </r>
    <r>
      <rPr>
        <u/>
        <sz val="10"/>
        <rFont val="Arial"/>
        <family val="2"/>
      </rPr>
      <t>74%</t>
    </r>
    <r>
      <rPr>
        <u/>
        <sz val="10"/>
        <rFont val="宋体"/>
        <family val="3"/>
        <charset val="134"/>
      </rPr>
      <t>，即</t>
    </r>
    <r>
      <rPr>
        <u/>
        <sz val="10"/>
        <rFont val="Arial"/>
        <family val="2"/>
      </rPr>
      <t>27683</t>
    </r>
    <r>
      <rPr>
        <u/>
        <sz val="10"/>
        <rFont val="宋体"/>
        <family val="3"/>
        <charset val="134"/>
      </rPr>
      <t>元</t>
    </r>
    <phoneticPr fontId="4" type="noConversion"/>
  </si>
  <si>
    <t>华清、宿舍及公寓饮用水</t>
    <phoneticPr fontId="4" type="noConversion"/>
  </si>
  <si>
    <r>
      <t>2011</t>
    </r>
    <r>
      <rPr>
        <u/>
        <sz val="10"/>
        <rFont val="宋体"/>
        <family val="3"/>
        <charset val="134"/>
      </rPr>
      <t>年月均费用</t>
    </r>
    <r>
      <rPr>
        <u/>
        <sz val="10"/>
        <rFont val="Arial"/>
        <family val="2"/>
      </rPr>
      <t>510</t>
    </r>
    <r>
      <rPr>
        <u/>
        <sz val="10"/>
        <rFont val="宋体"/>
        <family val="3"/>
        <charset val="134"/>
      </rPr>
      <t>元，按照</t>
    </r>
    <r>
      <rPr>
        <u/>
        <sz val="10"/>
        <rFont val="Arial"/>
        <family val="2"/>
      </rPr>
      <t>2012</t>
    </r>
    <r>
      <rPr>
        <u/>
        <sz val="10"/>
        <rFont val="宋体"/>
        <family val="3"/>
        <charset val="134"/>
      </rPr>
      <t>年现空余工位满负荷使用估算，</t>
    </r>
    <r>
      <rPr>
        <u/>
        <sz val="10"/>
        <rFont val="Arial"/>
        <family val="2"/>
      </rPr>
      <t>510</t>
    </r>
    <r>
      <rPr>
        <u/>
        <sz val="10"/>
        <rFont val="宋体"/>
        <family val="3"/>
        <charset val="134"/>
      </rPr>
      <t>元</t>
    </r>
    <r>
      <rPr>
        <u/>
        <sz val="10"/>
        <rFont val="Arial"/>
        <family val="2"/>
      </rPr>
      <t>*169%=860</t>
    </r>
    <r>
      <rPr>
        <u/>
        <sz val="10"/>
        <rFont val="宋体"/>
        <family val="3"/>
        <charset val="134"/>
      </rPr>
      <t>元。宿舍和公寓费用同</t>
    </r>
    <r>
      <rPr>
        <u/>
        <sz val="10"/>
        <rFont val="Arial"/>
        <family val="2"/>
      </rPr>
      <t>2011</t>
    </r>
    <r>
      <rPr>
        <u/>
        <sz val="10"/>
        <rFont val="宋体"/>
        <family val="3"/>
        <charset val="134"/>
      </rPr>
      <t>年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</si>
  <si>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Arial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层饮用水</t>
    </r>
    <phoneticPr fontId="4" type="noConversion"/>
  </si>
  <si>
    <r>
      <t>2011</t>
    </r>
    <r>
      <rPr>
        <u/>
        <sz val="10"/>
        <rFont val="宋体"/>
        <family val="3"/>
        <charset val="134"/>
      </rPr>
      <t>年月均费用</t>
    </r>
    <r>
      <rPr>
        <u/>
        <sz val="10"/>
        <rFont val="Arial"/>
        <family val="2"/>
      </rPr>
      <t>1690</t>
    </r>
    <r>
      <rPr>
        <u/>
        <sz val="10"/>
        <rFont val="宋体"/>
        <family val="3"/>
        <charset val="134"/>
      </rPr>
      <t>元，按照</t>
    </r>
    <r>
      <rPr>
        <u/>
        <sz val="10"/>
        <rFont val="Arial"/>
        <family val="2"/>
      </rPr>
      <t>2012</t>
    </r>
    <r>
      <rPr>
        <u/>
        <sz val="10"/>
        <rFont val="宋体"/>
        <family val="3"/>
        <charset val="134"/>
      </rPr>
      <t>年现空余工位满负荷使用估算，即</t>
    </r>
    <r>
      <rPr>
        <u/>
        <sz val="10"/>
        <rFont val="Arial"/>
        <family val="2"/>
      </rPr>
      <t>1690</t>
    </r>
    <r>
      <rPr>
        <u/>
        <sz val="10"/>
        <rFont val="宋体"/>
        <family val="3"/>
        <charset val="134"/>
      </rPr>
      <t>元</t>
    </r>
    <r>
      <rPr>
        <u/>
        <sz val="10"/>
        <rFont val="Arial"/>
        <family val="2"/>
      </rPr>
      <t>*134%=2265</t>
    </r>
    <r>
      <rPr>
        <u/>
        <sz val="10"/>
        <rFont val="宋体"/>
        <family val="3"/>
        <charset val="134"/>
      </rPr>
      <t>元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</si>
  <si>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Arial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层饮用水</t>
    </r>
    <phoneticPr fontId="4" type="noConversion"/>
  </si>
  <si>
    <r>
      <t>2011</t>
    </r>
    <r>
      <rPr>
        <u/>
        <sz val="10"/>
        <rFont val="宋体"/>
        <family val="3"/>
        <charset val="134"/>
      </rPr>
      <t>年月均费用</t>
    </r>
    <r>
      <rPr>
        <u/>
        <sz val="10"/>
        <rFont val="Arial"/>
        <family val="2"/>
      </rPr>
      <t>4900</t>
    </r>
    <r>
      <rPr>
        <u/>
        <sz val="10"/>
        <rFont val="宋体"/>
        <family val="3"/>
        <charset val="134"/>
      </rPr>
      <t>元，按照</t>
    </r>
    <r>
      <rPr>
        <u/>
        <sz val="10"/>
        <rFont val="Arial"/>
        <family val="2"/>
      </rPr>
      <t>2012</t>
    </r>
    <r>
      <rPr>
        <u/>
        <sz val="10"/>
        <rFont val="宋体"/>
        <family val="3"/>
        <charset val="134"/>
      </rPr>
      <t>年现空余工位满负荷使用估算，即</t>
    </r>
    <r>
      <rPr>
        <u/>
        <sz val="10"/>
        <rFont val="Arial"/>
        <family val="2"/>
      </rPr>
      <t>4900</t>
    </r>
    <r>
      <rPr>
        <u/>
        <sz val="10"/>
        <rFont val="宋体"/>
        <family val="3"/>
        <charset val="134"/>
      </rPr>
      <t>元</t>
    </r>
    <r>
      <rPr>
        <u/>
        <sz val="10"/>
        <rFont val="Arial"/>
        <family val="2"/>
      </rPr>
      <t>*117%=5733</t>
    </r>
    <r>
      <rPr>
        <u/>
        <sz val="10"/>
        <rFont val="宋体"/>
        <family val="3"/>
        <charset val="134"/>
      </rPr>
      <t>元</t>
    </r>
    <phoneticPr fontId="4" type="noConversion"/>
  </si>
  <si>
    <t>天津饮用水</t>
    <phoneticPr fontId="4" type="noConversion"/>
  </si>
  <si>
    <r>
      <rPr>
        <sz val="10"/>
        <rFont val="宋体"/>
        <family val="3"/>
        <charset val="134"/>
      </rPr>
      <t>按照从</t>
    </r>
    <r>
      <rPr>
        <sz val="10"/>
        <rFont val="Arial"/>
        <family val="2"/>
      </rPr>
      <t>2012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日起使用饮用水负费，同方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层月均使用量</t>
    </r>
    <r>
      <rPr>
        <sz val="10"/>
        <rFont val="Arial"/>
        <family val="2"/>
      </rPr>
      <t>300</t>
    </r>
    <r>
      <rPr>
        <sz val="10"/>
        <rFont val="宋体"/>
        <family val="3"/>
        <charset val="134"/>
      </rPr>
      <t>桶，结合天津</t>
    </r>
    <r>
      <rPr>
        <sz val="10"/>
        <rFont val="Arial"/>
        <family val="2"/>
      </rPr>
      <t>MSD</t>
    </r>
    <r>
      <rPr>
        <sz val="10"/>
        <rFont val="宋体"/>
        <family val="3"/>
        <charset val="134"/>
      </rPr>
      <t>和同方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层工位差额比例估算，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元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桶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</si>
  <si>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层饮用水</t>
    </r>
    <phoneticPr fontId="4" type="noConversion"/>
  </si>
  <si>
    <t>根据同方D座7层和融科C座的工位差额比例，按照融科C座费用的63%估算，即4900元*63%=3087元</t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</si>
  <si>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层饮用水</t>
    </r>
    <phoneticPr fontId="4" type="noConversion"/>
  </si>
  <si>
    <r>
      <rPr>
        <u/>
        <sz val="10"/>
        <rFont val="宋体"/>
        <family val="3"/>
        <charset val="134"/>
      </rPr>
      <t>根据同方</t>
    </r>
    <r>
      <rPr>
        <u/>
        <sz val="10"/>
        <rFont val="Arial"/>
        <family val="2"/>
      </rPr>
      <t>D</t>
    </r>
    <r>
      <rPr>
        <u/>
        <sz val="10"/>
        <rFont val="宋体"/>
        <family val="3"/>
        <charset val="134"/>
      </rPr>
      <t>座</t>
    </r>
    <r>
      <rPr>
        <u/>
        <sz val="10"/>
        <rFont val="Arial"/>
        <family val="2"/>
      </rPr>
      <t>8</t>
    </r>
    <r>
      <rPr>
        <u/>
        <sz val="10"/>
        <rFont val="宋体"/>
        <family val="3"/>
        <charset val="134"/>
      </rPr>
      <t>层和融科</t>
    </r>
    <r>
      <rPr>
        <u/>
        <sz val="10"/>
        <rFont val="Arial"/>
        <family val="2"/>
      </rPr>
      <t>C</t>
    </r>
    <r>
      <rPr>
        <u/>
        <sz val="10"/>
        <rFont val="宋体"/>
        <family val="3"/>
        <charset val="134"/>
      </rPr>
      <t>座的工位差额比例，按照融科</t>
    </r>
    <r>
      <rPr>
        <u/>
        <sz val="10"/>
        <rFont val="Arial"/>
        <family val="2"/>
      </rPr>
      <t>C</t>
    </r>
    <r>
      <rPr>
        <u/>
        <sz val="10"/>
        <rFont val="宋体"/>
        <family val="3"/>
        <charset val="134"/>
      </rPr>
      <t>座费用的</t>
    </r>
    <r>
      <rPr>
        <u/>
        <sz val="10"/>
        <rFont val="Arial"/>
        <family val="2"/>
      </rPr>
      <t>75%</t>
    </r>
    <r>
      <rPr>
        <u/>
        <sz val="10"/>
        <rFont val="宋体"/>
        <family val="3"/>
        <charset val="134"/>
      </rPr>
      <t>，并且</t>
    </r>
    <r>
      <rPr>
        <u/>
        <sz val="10"/>
        <rFont val="Arial"/>
        <family val="2"/>
      </rPr>
      <t>2012</t>
    </r>
    <r>
      <rPr>
        <u/>
        <sz val="10"/>
        <rFont val="宋体"/>
        <family val="3"/>
        <charset val="134"/>
      </rPr>
      <t>年现空余工位满负荷使用估算，即</t>
    </r>
    <r>
      <rPr>
        <u/>
        <sz val="10"/>
        <rFont val="Arial"/>
        <family val="2"/>
      </rPr>
      <t>4900</t>
    </r>
    <r>
      <rPr>
        <u/>
        <sz val="10"/>
        <rFont val="宋体"/>
        <family val="3"/>
        <charset val="134"/>
      </rPr>
      <t>元</t>
    </r>
    <r>
      <rPr>
        <u/>
        <sz val="10"/>
        <rFont val="Arial"/>
        <family val="2"/>
      </rPr>
      <t>*75%*110%=4043</t>
    </r>
    <r>
      <rPr>
        <u/>
        <sz val="10"/>
        <rFont val="宋体"/>
        <family val="3"/>
        <charset val="134"/>
      </rPr>
      <t>元</t>
    </r>
    <phoneticPr fontId="4" type="noConversion"/>
  </si>
  <si>
    <r>
      <t>Q1</t>
    </r>
    <r>
      <rPr>
        <u/>
        <sz val="10"/>
        <rFont val="宋体"/>
        <family val="3"/>
        <charset val="134"/>
      </rPr>
      <t>应供应商申请，服务费由原</t>
    </r>
    <r>
      <rPr>
        <u/>
        <sz val="10"/>
        <rFont val="Arial"/>
        <family val="2"/>
      </rPr>
      <t>2200</t>
    </r>
    <r>
      <rPr>
        <u/>
        <sz val="10"/>
        <rFont val="宋体"/>
        <family val="3"/>
        <charset val="134"/>
      </rPr>
      <t>元</t>
    </r>
    <r>
      <rPr>
        <u/>
        <sz val="10"/>
        <rFont val="Arial"/>
        <family val="2"/>
      </rPr>
      <t>/</t>
    </r>
    <r>
      <rPr>
        <u/>
        <sz val="10"/>
        <rFont val="宋体"/>
        <family val="3"/>
        <charset val="134"/>
      </rPr>
      <t>人</t>
    </r>
    <r>
      <rPr>
        <u/>
        <sz val="10"/>
        <rFont val="Arial"/>
        <family val="2"/>
      </rPr>
      <t>/</t>
    </r>
    <r>
      <rPr>
        <u/>
        <sz val="10"/>
        <rFont val="宋体"/>
        <family val="3"/>
        <charset val="134"/>
      </rPr>
      <t>月上调至</t>
    </r>
    <r>
      <rPr>
        <u/>
        <sz val="10"/>
        <rFont val="Arial"/>
        <family val="2"/>
      </rPr>
      <t>2975</t>
    </r>
    <r>
      <rPr>
        <u/>
        <sz val="10"/>
        <rFont val="宋体"/>
        <family val="3"/>
        <charset val="134"/>
      </rPr>
      <t>元</t>
    </r>
    <r>
      <rPr>
        <u/>
        <sz val="10"/>
        <rFont val="Arial"/>
        <family val="2"/>
      </rPr>
      <t>/</t>
    </r>
    <r>
      <rPr>
        <u/>
        <sz val="10"/>
        <rFont val="宋体"/>
        <family val="3"/>
        <charset val="134"/>
      </rPr>
      <t>人</t>
    </r>
    <r>
      <rPr>
        <u/>
        <sz val="10"/>
        <rFont val="Arial"/>
        <family val="2"/>
      </rPr>
      <t>/</t>
    </r>
    <r>
      <rPr>
        <u/>
        <sz val="10"/>
        <rFont val="宋体"/>
        <family val="3"/>
        <charset val="134"/>
      </rPr>
      <t>月，</t>
    </r>
    <r>
      <rPr>
        <u/>
        <sz val="10"/>
        <rFont val="Arial"/>
        <family val="2"/>
      </rPr>
      <t>Q2</t>
    </r>
    <r>
      <rPr>
        <u/>
        <sz val="10"/>
        <rFont val="宋体"/>
        <family val="3"/>
        <charset val="134"/>
      </rPr>
      <t>起更换新保安公司，服务费按照</t>
    </r>
    <r>
      <rPr>
        <u/>
        <sz val="10"/>
        <rFont val="Arial"/>
        <family val="2"/>
      </rPr>
      <t>4000</t>
    </r>
    <r>
      <rPr>
        <u/>
        <sz val="10"/>
        <rFont val="宋体"/>
        <family val="3"/>
        <charset val="134"/>
      </rPr>
      <t>元</t>
    </r>
    <r>
      <rPr>
        <u/>
        <sz val="10"/>
        <rFont val="Arial"/>
        <family val="2"/>
      </rPr>
      <t>/</t>
    </r>
    <r>
      <rPr>
        <u/>
        <sz val="10"/>
        <rFont val="宋体"/>
        <family val="3"/>
        <charset val="134"/>
      </rPr>
      <t>人</t>
    </r>
    <r>
      <rPr>
        <u/>
        <sz val="10"/>
        <rFont val="Arial"/>
        <family val="2"/>
      </rPr>
      <t>/</t>
    </r>
    <r>
      <rPr>
        <u/>
        <sz val="10"/>
        <rFont val="宋体"/>
        <family val="3"/>
        <charset val="134"/>
      </rPr>
      <t>月，</t>
    </r>
    <r>
      <rPr>
        <u/>
        <sz val="10"/>
        <rFont val="Arial"/>
        <family val="2"/>
      </rPr>
      <t>58</t>
    </r>
    <r>
      <rPr>
        <u/>
        <sz val="10"/>
        <rFont val="宋体"/>
        <family val="3"/>
        <charset val="134"/>
      </rPr>
      <t>人估算（</t>
    </r>
    <r>
      <rPr>
        <u/>
        <sz val="10"/>
        <rFont val="Arial"/>
        <family val="2"/>
      </rPr>
      <t>3</t>
    </r>
    <r>
      <rPr>
        <u/>
        <sz val="10"/>
        <rFont val="宋体"/>
        <family val="3"/>
        <charset val="134"/>
      </rPr>
      <t>层、</t>
    </r>
    <r>
      <rPr>
        <u/>
        <sz val="10"/>
        <rFont val="Arial"/>
        <family val="2"/>
      </rPr>
      <t>7-8</t>
    </r>
    <r>
      <rPr>
        <u/>
        <sz val="10"/>
        <rFont val="宋体"/>
        <family val="3"/>
        <charset val="134"/>
      </rPr>
      <t>、</t>
    </r>
    <r>
      <rPr>
        <u/>
        <sz val="10"/>
        <rFont val="Arial"/>
        <family val="2"/>
      </rPr>
      <t>10-15</t>
    </r>
    <r>
      <rPr>
        <u/>
        <sz val="10"/>
        <rFont val="宋体"/>
        <family val="3"/>
        <charset val="134"/>
      </rPr>
      <t>层</t>
    </r>
    <r>
      <rPr>
        <u/>
        <sz val="10"/>
        <rFont val="Arial"/>
        <family val="2"/>
      </rPr>
      <t>(</t>
    </r>
    <r>
      <rPr>
        <u/>
        <sz val="10"/>
        <rFont val="宋体"/>
        <family val="3"/>
        <charset val="134"/>
      </rPr>
      <t>不含搜狗</t>
    </r>
    <r>
      <rPr>
        <u/>
        <sz val="10"/>
        <rFont val="Arial"/>
        <family val="2"/>
      </rPr>
      <t>9</t>
    </r>
    <r>
      <rPr>
        <u/>
        <sz val="10"/>
        <rFont val="宋体"/>
        <family val="3"/>
        <charset val="134"/>
      </rPr>
      <t>层、</t>
    </r>
    <r>
      <rPr>
        <u/>
        <sz val="10"/>
        <rFont val="Arial"/>
        <family val="2"/>
      </rPr>
      <t>8</t>
    </r>
    <r>
      <rPr>
        <u/>
        <sz val="10"/>
        <rFont val="宋体"/>
        <family val="3"/>
        <charset val="134"/>
      </rPr>
      <t>层</t>
    </r>
    <r>
      <rPr>
        <u/>
        <sz val="10"/>
        <rFont val="Arial"/>
        <family val="2"/>
      </rPr>
      <t>1</t>
    </r>
    <r>
      <rPr>
        <u/>
        <sz val="10"/>
        <rFont val="宋体"/>
        <family val="3"/>
        <charset val="134"/>
      </rPr>
      <t>个岗</t>
    </r>
    <r>
      <rPr>
        <u/>
        <sz val="10"/>
        <rFont val="Arial"/>
        <family val="2"/>
      </rPr>
      <t>)</t>
    </r>
    <r>
      <rPr>
        <u/>
        <sz val="10"/>
        <rFont val="宋体"/>
        <family val="3"/>
        <charset val="134"/>
      </rPr>
      <t>）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</si>
  <si>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Arial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层保安费</t>
    </r>
    <phoneticPr fontId="4" type="noConversion"/>
  </si>
  <si>
    <t>Q1应供应商申请，服务费由原2200元/人/月上调至2975元/人/月，Q2起更换新保安公司，服务费按照4000元/人/月，58人估算</t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</si>
  <si>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Arial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层保安费</t>
    </r>
    <phoneticPr fontId="4" type="noConversion"/>
  </si>
  <si>
    <t>天津保安费</t>
    <phoneticPr fontId="4" type="noConversion"/>
  </si>
  <si>
    <r>
      <rPr>
        <sz val="10"/>
        <rFont val="宋体"/>
        <family val="3"/>
        <charset val="134"/>
      </rPr>
      <t>按照从</t>
    </r>
    <r>
      <rPr>
        <sz val="10"/>
        <rFont val="Arial"/>
        <family val="2"/>
      </rPr>
      <t>2012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月中旬起保安进场负费，</t>
    </r>
    <r>
      <rPr>
        <sz val="10"/>
        <rFont val="Arial"/>
        <family val="2"/>
      </rPr>
      <t>4000</t>
    </r>
    <r>
      <rPr>
        <sz val="10"/>
        <rFont val="宋体"/>
        <family val="3"/>
        <charset val="134"/>
      </rPr>
      <t>元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人月、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人估算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</si>
  <si>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层保安费</t>
    </r>
    <phoneticPr fontId="4" type="noConversion"/>
  </si>
  <si>
    <t>按照同方D座8层费用估算</t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</si>
  <si>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层保安费</t>
    </r>
    <phoneticPr fontId="4" type="noConversion"/>
  </si>
  <si>
    <r>
      <t>2011</t>
    </r>
    <r>
      <rPr>
        <u/>
        <sz val="10"/>
        <rFont val="宋体"/>
        <family val="3"/>
        <charset val="134"/>
      </rPr>
      <t>年月均实际费用</t>
    </r>
    <r>
      <rPr>
        <u/>
        <sz val="10"/>
        <rFont val="Arial"/>
        <family val="2"/>
      </rPr>
      <t>20214</t>
    </r>
    <r>
      <rPr>
        <u/>
        <sz val="10"/>
        <rFont val="宋体"/>
        <family val="3"/>
        <charset val="134"/>
      </rPr>
      <t>元，考虑价格上涨因素，比</t>
    </r>
    <r>
      <rPr>
        <u/>
        <sz val="10"/>
        <rFont val="Arial"/>
        <family val="2"/>
      </rPr>
      <t>2011</t>
    </r>
    <r>
      <rPr>
        <u/>
        <sz val="10"/>
        <rFont val="宋体"/>
        <family val="3"/>
        <charset val="134"/>
      </rPr>
      <t>年预增</t>
    </r>
    <r>
      <rPr>
        <u/>
        <sz val="10"/>
        <rFont val="Arial"/>
        <family val="2"/>
      </rPr>
      <t>15%</t>
    </r>
    <r>
      <rPr>
        <u/>
        <sz val="10"/>
        <rFont val="宋体"/>
        <family val="3"/>
        <charset val="134"/>
      </rPr>
      <t>，即</t>
    </r>
    <r>
      <rPr>
        <u/>
        <sz val="10"/>
        <rFont val="Arial"/>
        <family val="2"/>
      </rPr>
      <t>2.02</t>
    </r>
    <r>
      <rPr>
        <u/>
        <sz val="10"/>
        <rFont val="宋体"/>
        <family val="3"/>
        <charset val="134"/>
      </rPr>
      <t>万元</t>
    </r>
    <r>
      <rPr>
        <u/>
        <sz val="10"/>
        <rFont val="Arial"/>
        <family val="2"/>
      </rPr>
      <t>*115%=23230</t>
    </r>
    <r>
      <rPr>
        <u/>
        <sz val="10"/>
        <rFont val="宋体"/>
        <family val="3"/>
        <charset val="134"/>
      </rPr>
      <t>元。其中搜狐按工位比例承担</t>
    </r>
    <r>
      <rPr>
        <u/>
        <sz val="10"/>
        <rFont val="Arial"/>
        <family val="2"/>
      </rPr>
      <t>74%</t>
    </r>
    <r>
      <rPr>
        <u/>
        <sz val="10"/>
        <rFont val="宋体"/>
        <family val="3"/>
        <charset val="134"/>
      </rPr>
      <t>，即</t>
    </r>
    <r>
      <rPr>
        <u/>
        <sz val="10"/>
        <rFont val="Arial"/>
        <family val="2"/>
      </rPr>
      <t>17190</t>
    </r>
    <r>
      <rPr>
        <u/>
        <sz val="10"/>
        <rFont val="宋体"/>
        <family val="3"/>
        <charset val="134"/>
      </rPr>
      <t>元</t>
    </r>
    <phoneticPr fontId="4" type="noConversion"/>
  </si>
  <si>
    <t>华清及公寓植物租摆费</t>
    <phoneticPr fontId="4" type="noConversion"/>
  </si>
  <si>
    <r>
      <t>11</t>
    </r>
    <r>
      <rPr>
        <u/>
        <sz val="10"/>
        <rFont val="宋体"/>
        <family val="3"/>
        <charset val="134"/>
      </rPr>
      <t>年月均费用</t>
    </r>
    <r>
      <rPr>
        <u/>
        <sz val="10"/>
        <rFont val="Arial"/>
        <family val="2"/>
      </rPr>
      <t>1990</t>
    </r>
    <r>
      <rPr>
        <u/>
        <sz val="10"/>
        <rFont val="宋体"/>
        <family val="3"/>
        <charset val="134"/>
      </rPr>
      <t>元，考虑价格上涨因素，比</t>
    </r>
    <r>
      <rPr>
        <u/>
        <sz val="10"/>
        <rFont val="Arial"/>
        <family val="2"/>
      </rPr>
      <t>2011</t>
    </r>
    <r>
      <rPr>
        <u/>
        <sz val="10"/>
        <rFont val="宋体"/>
        <family val="3"/>
        <charset val="134"/>
      </rPr>
      <t>年预增</t>
    </r>
    <r>
      <rPr>
        <u/>
        <sz val="10"/>
        <rFont val="Arial"/>
        <family val="2"/>
      </rPr>
      <t>15%</t>
    </r>
    <r>
      <rPr>
        <u/>
        <sz val="10"/>
        <rFont val="宋体"/>
        <family val="3"/>
        <charset val="134"/>
      </rPr>
      <t>，即</t>
    </r>
    <r>
      <rPr>
        <u/>
        <sz val="10"/>
        <rFont val="Arial"/>
        <family val="2"/>
      </rPr>
      <t>1990</t>
    </r>
    <r>
      <rPr>
        <u/>
        <sz val="10"/>
        <rFont val="宋体"/>
        <family val="3"/>
        <charset val="134"/>
      </rPr>
      <t>元</t>
    </r>
    <r>
      <rPr>
        <u/>
        <sz val="10"/>
        <rFont val="Arial"/>
        <family val="2"/>
      </rPr>
      <t>*115%=2289</t>
    </r>
    <r>
      <rPr>
        <u/>
        <sz val="10"/>
        <rFont val="宋体"/>
        <family val="3"/>
        <charset val="134"/>
      </rPr>
      <t>元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</si>
  <si>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Arial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层植物租摆费</t>
    </r>
    <phoneticPr fontId="4" type="noConversion"/>
  </si>
  <si>
    <r>
      <t>11</t>
    </r>
    <r>
      <rPr>
        <u/>
        <sz val="10"/>
        <rFont val="宋体"/>
        <family val="3"/>
        <charset val="134"/>
      </rPr>
      <t>年月均费用</t>
    </r>
    <r>
      <rPr>
        <u/>
        <sz val="10"/>
        <rFont val="Arial"/>
        <family val="2"/>
      </rPr>
      <t>1167</t>
    </r>
    <r>
      <rPr>
        <u/>
        <sz val="10"/>
        <rFont val="宋体"/>
        <family val="3"/>
        <charset val="134"/>
      </rPr>
      <t>元，考虑价格上涨因素，比</t>
    </r>
    <r>
      <rPr>
        <u/>
        <sz val="10"/>
        <rFont val="Arial"/>
        <family val="2"/>
      </rPr>
      <t>2011</t>
    </r>
    <r>
      <rPr>
        <u/>
        <sz val="10"/>
        <rFont val="宋体"/>
        <family val="3"/>
        <charset val="134"/>
      </rPr>
      <t>年预增</t>
    </r>
    <r>
      <rPr>
        <u/>
        <sz val="10"/>
        <rFont val="Arial"/>
        <family val="2"/>
      </rPr>
      <t>15%</t>
    </r>
    <r>
      <rPr>
        <u/>
        <sz val="10"/>
        <rFont val="宋体"/>
        <family val="3"/>
        <charset val="134"/>
      </rPr>
      <t>，即</t>
    </r>
    <r>
      <rPr>
        <u/>
        <sz val="10"/>
        <rFont val="Arial"/>
        <family val="2"/>
      </rPr>
      <t>1167</t>
    </r>
    <r>
      <rPr>
        <u/>
        <sz val="10"/>
        <rFont val="宋体"/>
        <family val="3"/>
        <charset val="134"/>
      </rPr>
      <t>元</t>
    </r>
    <r>
      <rPr>
        <u/>
        <sz val="10"/>
        <rFont val="Arial"/>
        <family val="2"/>
      </rPr>
      <t>*115%=1342</t>
    </r>
    <r>
      <rPr>
        <u/>
        <sz val="10"/>
        <rFont val="宋体"/>
        <family val="3"/>
        <charset val="134"/>
      </rPr>
      <t>元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</si>
  <si>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Arial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层植物租摆费</t>
    </r>
    <phoneticPr fontId="4" type="noConversion"/>
  </si>
  <si>
    <r>
      <t>11</t>
    </r>
    <r>
      <rPr>
        <u/>
        <sz val="10"/>
        <rFont val="宋体"/>
        <family val="3"/>
        <charset val="134"/>
      </rPr>
      <t>年月均费用</t>
    </r>
    <r>
      <rPr>
        <u/>
        <sz val="10"/>
        <rFont val="Arial"/>
        <family val="2"/>
      </rPr>
      <t>3104</t>
    </r>
    <r>
      <rPr>
        <u/>
        <sz val="10"/>
        <rFont val="宋体"/>
        <family val="3"/>
        <charset val="134"/>
      </rPr>
      <t>元，考虑价格上涨因素，比</t>
    </r>
    <r>
      <rPr>
        <u/>
        <sz val="10"/>
        <rFont val="Arial"/>
        <family val="2"/>
      </rPr>
      <t>2011</t>
    </r>
    <r>
      <rPr>
        <u/>
        <sz val="10"/>
        <rFont val="宋体"/>
        <family val="3"/>
        <charset val="134"/>
      </rPr>
      <t>年预增</t>
    </r>
    <r>
      <rPr>
        <u/>
        <sz val="10"/>
        <rFont val="Arial"/>
        <family val="2"/>
      </rPr>
      <t>15%</t>
    </r>
    <r>
      <rPr>
        <u/>
        <sz val="10"/>
        <rFont val="宋体"/>
        <family val="3"/>
        <charset val="134"/>
      </rPr>
      <t>，即</t>
    </r>
    <r>
      <rPr>
        <u/>
        <sz val="10"/>
        <rFont val="Arial"/>
        <family val="2"/>
      </rPr>
      <t>3104</t>
    </r>
    <r>
      <rPr>
        <u/>
        <sz val="10"/>
        <rFont val="宋体"/>
        <family val="3"/>
        <charset val="134"/>
      </rPr>
      <t>元</t>
    </r>
    <r>
      <rPr>
        <u/>
        <sz val="10"/>
        <rFont val="Arial"/>
        <family val="2"/>
      </rPr>
      <t>*115%=3570</t>
    </r>
    <r>
      <rPr>
        <u/>
        <sz val="10"/>
        <rFont val="宋体"/>
        <family val="3"/>
        <charset val="134"/>
      </rPr>
      <t>元</t>
    </r>
    <phoneticPr fontId="4" type="noConversion"/>
  </si>
  <si>
    <t>天津植物租摆</t>
    <phoneticPr fontId="4" type="noConversion"/>
  </si>
  <si>
    <r>
      <rPr>
        <sz val="10"/>
        <rFont val="宋体"/>
        <family val="3"/>
        <charset val="134"/>
      </rPr>
      <t>按照从</t>
    </r>
    <r>
      <rPr>
        <sz val="10"/>
        <rFont val="Arial"/>
        <family val="2"/>
      </rPr>
      <t>2012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月中旬起绿植负费，同方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层</t>
    </r>
    <r>
      <rPr>
        <sz val="10"/>
        <rFont val="Arial"/>
        <family val="2"/>
      </rPr>
      <t>3900</t>
    </r>
    <r>
      <rPr>
        <sz val="10"/>
        <rFont val="宋体"/>
        <family val="3"/>
        <charset val="134"/>
      </rPr>
      <t>元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月，结合天津</t>
    </r>
    <r>
      <rPr>
        <sz val="10"/>
        <rFont val="Arial"/>
        <family val="2"/>
      </rPr>
      <t>MSD</t>
    </r>
    <r>
      <rPr>
        <sz val="10"/>
        <rFont val="宋体"/>
        <family val="3"/>
        <charset val="134"/>
      </rPr>
      <t>和同方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层的面积差额比例估算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</si>
  <si>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层植物租摆费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</si>
  <si>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层植物租摆费</t>
    </r>
    <phoneticPr fontId="4" type="noConversion"/>
  </si>
  <si>
    <r>
      <t>11</t>
    </r>
    <r>
      <rPr>
        <u/>
        <sz val="10"/>
        <rFont val="宋体"/>
        <family val="3"/>
        <charset val="134"/>
      </rPr>
      <t>年</t>
    </r>
    <r>
      <rPr>
        <u/>
        <sz val="10"/>
        <rFont val="Arial"/>
        <family val="2"/>
      </rPr>
      <t>9</t>
    </r>
    <r>
      <rPr>
        <u/>
        <sz val="10"/>
        <rFont val="宋体"/>
        <family val="3"/>
        <charset val="134"/>
      </rPr>
      <t>月入驻时费用</t>
    </r>
    <r>
      <rPr>
        <u/>
        <sz val="10"/>
        <rFont val="Arial"/>
        <family val="2"/>
      </rPr>
      <t>3900</t>
    </r>
    <r>
      <rPr>
        <u/>
        <sz val="10"/>
        <rFont val="宋体"/>
        <family val="3"/>
        <charset val="134"/>
      </rPr>
      <t>元，考虑价格上涨因素，比</t>
    </r>
    <r>
      <rPr>
        <u/>
        <sz val="10"/>
        <rFont val="Arial"/>
        <family val="2"/>
      </rPr>
      <t>2011</t>
    </r>
    <r>
      <rPr>
        <u/>
        <sz val="10"/>
        <rFont val="宋体"/>
        <family val="3"/>
        <charset val="134"/>
      </rPr>
      <t>年预增</t>
    </r>
    <r>
      <rPr>
        <u/>
        <sz val="10"/>
        <rFont val="Arial"/>
        <family val="2"/>
      </rPr>
      <t>15%</t>
    </r>
    <r>
      <rPr>
        <u/>
        <sz val="10"/>
        <rFont val="宋体"/>
        <family val="3"/>
        <charset val="134"/>
      </rPr>
      <t>，即</t>
    </r>
    <r>
      <rPr>
        <u/>
        <sz val="10"/>
        <rFont val="Arial"/>
        <family val="2"/>
      </rPr>
      <t>3900</t>
    </r>
    <r>
      <rPr>
        <u/>
        <sz val="10"/>
        <rFont val="宋体"/>
        <family val="3"/>
        <charset val="134"/>
      </rPr>
      <t>元</t>
    </r>
    <r>
      <rPr>
        <u/>
        <sz val="10"/>
        <rFont val="Arial"/>
        <family val="2"/>
      </rPr>
      <t>*115%=4485</t>
    </r>
    <r>
      <rPr>
        <u/>
        <sz val="10"/>
        <rFont val="宋体"/>
        <family val="3"/>
        <charset val="134"/>
      </rPr>
      <t>元</t>
    </r>
    <phoneticPr fontId="4" type="noConversion"/>
  </si>
  <si>
    <r>
      <rPr>
        <sz val="10"/>
        <rFont val="宋体"/>
        <family val="3"/>
        <charset val="134"/>
      </rPr>
      <t>※</t>
    </r>
    <phoneticPr fontId="4" type="noConversion"/>
  </si>
  <si>
    <t>Office Cleaning</t>
    <phoneticPr fontId="4" type="noConversion"/>
  </si>
  <si>
    <t>日常保洁</t>
    <phoneticPr fontId="4" type="noConversion"/>
  </si>
  <si>
    <r>
      <rPr>
        <sz val="10"/>
        <color rgb="FFFF0066"/>
        <rFont val="宋体"/>
        <family val="3"/>
        <charset val="134"/>
      </rPr>
      <t>费用同</t>
    </r>
    <r>
      <rPr>
        <sz val="10"/>
        <color rgb="FFFF0066"/>
        <rFont val="Arial"/>
        <family val="2"/>
      </rPr>
      <t>2011</t>
    </r>
    <r>
      <rPr>
        <sz val="10"/>
        <color rgb="FFFF0066"/>
        <rFont val="宋体"/>
        <family val="3"/>
        <charset val="134"/>
      </rPr>
      <t>年</t>
    </r>
    <phoneticPr fontId="4" type="noConversion"/>
  </si>
  <si>
    <t>搜狐网络大厦日常保洁费用</t>
    <phoneticPr fontId="4" type="noConversion"/>
  </si>
  <si>
    <r>
      <rPr>
        <u/>
        <sz val="10"/>
        <rFont val="宋体"/>
        <family val="3"/>
        <charset val="134"/>
      </rPr>
      <t>包括</t>
    </r>
    <r>
      <rPr>
        <u/>
        <sz val="10"/>
        <rFont val="Arial"/>
        <family val="2"/>
      </rPr>
      <t>3</t>
    </r>
    <r>
      <rPr>
        <u/>
        <sz val="10"/>
        <rFont val="宋体"/>
        <family val="3"/>
        <charset val="134"/>
      </rPr>
      <t>、</t>
    </r>
    <r>
      <rPr>
        <u/>
        <sz val="10"/>
        <rFont val="Arial"/>
        <family val="2"/>
      </rPr>
      <t>7-8</t>
    </r>
    <r>
      <rPr>
        <u/>
        <sz val="10"/>
        <rFont val="宋体"/>
        <family val="3"/>
        <charset val="134"/>
      </rPr>
      <t>、</t>
    </r>
    <r>
      <rPr>
        <u/>
        <sz val="10"/>
        <rFont val="Arial"/>
        <family val="2"/>
      </rPr>
      <t>10-15</t>
    </r>
    <r>
      <rPr>
        <u/>
        <sz val="10"/>
        <rFont val="宋体"/>
        <family val="3"/>
        <charset val="134"/>
      </rPr>
      <t>层日常保洁费、</t>
    </r>
    <r>
      <rPr>
        <u/>
        <sz val="10"/>
        <rFont val="Arial"/>
        <family val="2"/>
      </rPr>
      <t>7</t>
    </r>
    <r>
      <rPr>
        <u/>
        <sz val="10"/>
        <rFont val="宋体"/>
        <family val="3"/>
        <charset val="134"/>
      </rPr>
      <t>层茶水间阿姨、</t>
    </r>
    <r>
      <rPr>
        <u/>
        <sz val="10"/>
        <rFont val="Arial"/>
        <family val="2"/>
      </rPr>
      <t>10</t>
    </r>
    <r>
      <rPr>
        <u/>
        <sz val="10"/>
        <rFont val="宋体"/>
        <family val="3"/>
        <charset val="134"/>
      </rPr>
      <t>层洗杯间阿姨服务费，应供应商申请，</t>
    </r>
    <r>
      <rPr>
        <u/>
        <sz val="10"/>
        <rFont val="Arial"/>
        <family val="2"/>
      </rPr>
      <t>3</t>
    </r>
    <r>
      <rPr>
        <u/>
        <sz val="10"/>
        <rFont val="宋体"/>
        <family val="3"/>
        <charset val="134"/>
      </rPr>
      <t>层保洁费由现在的</t>
    </r>
    <r>
      <rPr>
        <u/>
        <sz val="10"/>
        <rFont val="Arial"/>
        <family val="2"/>
      </rPr>
      <t>4000</t>
    </r>
    <r>
      <rPr>
        <u/>
        <sz val="10"/>
        <rFont val="宋体"/>
        <family val="3"/>
        <charset val="134"/>
      </rPr>
      <t>元</t>
    </r>
    <r>
      <rPr>
        <u/>
        <sz val="10"/>
        <rFont val="Arial"/>
        <family val="2"/>
      </rPr>
      <t>/</t>
    </r>
    <r>
      <rPr>
        <u/>
        <sz val="10"/>
        <rFont val="宋体"/>
        <family val="3"/>
        <charset val="134"/>
      </rPr>
      <t>月上调至</t>
    </r>
    <r>
      <rPr>
        <u/>
        <sz val="10"/>
        <rFont val="Arial"/>
        <family val="2"/>
      </rPr>
      <t>5400</t>
    </r>
    <r>
      <rPr>
        <u/>
        <sz val="10"/>
        <rFont val="宋体"/>
        <family val="3"/>
        <charset val="134"/>
      </rPr>
      <t>元</t>
    </r>
    <r>
      <rPr>
        <u/>
        <sz val="10"/>
        <rFont val="Arial"/>
        <family val="2"/>
      </rPr>
      <t>/</t>
    </r>
    <r>
      <rPr>
        <u/>
        <sz val="10"/>
        <rFont val="宋体"/>
        <family val="3"/>
        <charset val="134"/>
      </rPr>
      <t>月；</t>
    </r>
    <r>
      <rPr>
        <u/>
        <sz val="10"/>
        <rFont val="Arial"/>
        <family val="2"/>
      </rPr>
      <t>7</t>
    </r>
    <r>
      <rPr>
        <u/>
        <sz val="10"/>
        <rFont val="宋体"/>
        <family val="3"/>
        <charset val="134"/>
      </rPr>
      <t>、</t>
    </r>
    <r>
      <rPr>
        <u/>
        <sz val="10"/>
        <rFont val="Arial"/>
        <family val="2"/>
      </rPr>
      <t>8</t>
    </r>
    <r>
      <rPr>
        <u/>
        <sz val="10"/>
        <rFont val="宋体"/>
        <family val="3"/>
        <charset val="134"/>
      </rPr>
      <t>、</t>
    </r>
    <r>
      <rPr>
        <u/>
        <sz val="10"/>
        <rFont val="Arial"/>
        <family val="2"/>
      </rPr>
      <t>15</t>
    </r>
    <r>
      <rPr>
        <u/>
        <sz val="10"/>
        <rFont val="宋体"/>
        <family val="3"/>
        <charset val="134"/>
      </rPr>
      <t>层由现在的</t>
    </r>
    <r>
      <rPr>
        <u/>
        <sz val="10"/>
        <rFont val="Arial"/>
        <family val="2"/>
      </rPr>
      <t>4500</t>
    </r>
    <r>
      <rPr>
        <u/>
        <sz val="10"/>
        <rFont val="宋体"/>
        <family val="3"/>
        <charset val="134"/>
      </rPr>
      <t>元</t>
    </r>
    <r>
      <rPr>
        <u/>
        <sz val="10"/>
        <rFont val="Arial"/>
        <family val="2"/>
      </rPr>
      <t>/</t>
    </r>
    <r>
      <rPr>
        <u/>
        <sz val="10"/>
        <rFont val="宋体"/>
        <family val="3"/>
        <charset val="134"/>
      </rPr>
      <t>月上调至</t>
    </r>
    <r>
      <rPr>
        <u/>
        <sz val="10"/>
        <rFont val="Arial"/>
        <family val="2"/>
      </rPr>
      <t>7200</t>
    </r>
    <r>
      <rPr>
        <u/>
        <sz val="10"/>
        <rFont val="宋体"/>
        <family val="3"/>
        <charset val="134"/>
      </rPr>
      <t>元</t>
    </r>
    <r>
      <rPr>
        <u/>
        <sz val="10"/>
        <rFont val="Arial"/>
        <family val="2"/>
      </rPr>
      <t>/</t>
    </r>
    <r>
      <rPr>
        <u/>
        <sz val="10"/>
        <rFont val="宋体"/>
        <family val="3"/>
        <charset val="134"/>
      </rPr>
      <t>月；</t>
    </r>
    <r>
      <rPr>
        <u/>
        <sz val="10"/>
        <rFont val="Arial"/>
        <family val="2"/>
      </rPr>
      <t>10</t>
    </r>
    <r>
      <rPr>
        <u/>
        <sz val="10"/>
        <rFont val="宋体"/>
        <family val="3"/>
        <charset val="134"/>
      </rPr>
      <t>、</t>
    </r>
    <r>
      <rPr>
        <u/>
        <sz val="10"/>
        <rFont val="Arial"/>
        <family val="2"/>
      </rPr>
      <t>11</t>
    </r>
    <r>
      <rPr>
        <u/>
        <sz val="10"/>
        <rFont val="宋体"/>
        <family val="3"/>
        <charset val="134"/>
      </rPr>
      <t>层由现在的</t>
    </r>
    <r>
      <rPr>
        <u/>
        <sz val="10"/>
        <rFont val="Arial"/>
        <family val="2"/>
      </rPr>
      <t>4020</t>
    </r>
    <r>
      <rPr>
        <u/>
        <sz val="10"/>
        <rFont val="宋体"/>
        <family val="3"/>
        <charset val="134"/>
      </rPr>
      <t>元</t>
    </r>
    <r>
      <rPr>
        <u/>
        <sz val="10"/>
        <rFont val="Arial"/>
        <family val="2"/>
      </rPr>
      <t>/</t>
    </r>
    <r>
      <rPr>
        <u/>
        <sz val="10"/>
        <rFont val="宋体"/>
        <family val="3"/>
        <charset val="134"/>
      </rPr>
      <t>月上调至</t>
    </r>
    <r>
      <rPr>
        <u/>
        <sz val="10"/>
        <rFont val="Arial"/>
        <family val="2"/>
      </rPr>
      <t>5400</t>
    </r>
    <r>
      <rPr>
        <u/>
        <sz val="10"/>
        <rFont val="宋体"/>
        <family val="3"/>
        <charset val="134"/>
      </rPr>
      <t>元</t>
    </r>
    <r>
      <rPr>
        <u/>
        <sz val="10"/>
        <rFont val="Arial"/>
        <family val="2"/>
      </rPr>
      <t>/</t>
    </r>
    <r>
      <rPr>
        <u/>
        <sz val="10"/>
        <rFont val="宋体"/>
        <family val="3"/>
        <charset val="134"/>
      </rPr>
      <t>月；</t>
    </r>
    <r>
      <rPr>
        <u/>
        <sz val="10"/>
        <rFont val="Arial"/>
        <family val="2"/>
      </rPr>
      <t>12</t>
    </r>
    <r>
      <rPr>
        <u/>
        <sz val="10"/>
        <rFont val="宋体"/>
        <family val="3"/>
        <charset val="134"/>
      </rPr>
      <t>层由现在的</t>
    </r>
    <r>
      <rPr>
        <u/>
        <sz val="10"/>
        <rFont val="Arial"/>
        <family val="2"/>
      </rPr>
      <t>4020</t>
    </r>
    <r>
      <rPr>
        <u/>
        <sz val="10"/>
        <rFont val="宋体"/>
        <family val="3"/>
        <charset val="134"/>
      </rPr>
      <t>元</t>
    </r>
    <r>
      <rPr>
        <u/>
        <sz val="10"/>
        <rFont val="Arial"/>
        <family val="2"/>
      </rPr>
      <t>/</t>
    </r>
    <r>
      <rPr>
        <u/>
        <sz val="10"/>
        <rFont val="宋体"/>
        <family val="3"/>
        <charset val="134"/>
      </rPr>
      <t>月上调至</t>
    </r>
    <r>
      <rPr>
        <u/>
        <sz val="10"/>
        <rFont val="Arial"/>
        <family val="2"/>
      </rPr>
      <t>6500</t>
    </r>
    <r>
      <rPr>
        <u/>
        <sz val="10"/>
        <rFont val="宋体"/>
        <family val="3"/>
        <charset val="134"/>
      </rPr>
      <t>元</t>
    </r>
    <r>
      <rPr>
        <u/>
        <sz val="10"/>
        <rFont val="Arial"/>
        <family val="2"/>
      </rPr>
      <t>/</t>
    </r>
    <r>
      <rPr>
        <u/>
        <sz val="10"/>
        <rFont val="宋体"/>
        <family val="3"/>
        <charset val="134"/>
      </rPr>
      <t>月</t>
    </r>
    <phoneticPr fontId="4" type="noConversion"/>
  </si>
  <si>
    <t>华清嘉园、皂君庙宿舍日常保洁费用</t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</si>
  <si>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Arial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层日常保洁费用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</si>
  <si>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Arial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层日常保洁费用</t>
    </r>
    <phoneticPr fontId="4" type="noConversion"/>
  </si>
  <si>
    <r>
      <rPr>
        <u/>
        <sz val="10"/>
        <rFont val="宋体"/>
        <family val="3"/>
        <charset val="134"/>
      </rPr>
      <t>包括融科</t>
    </r>
    <r>
      <rPr>
        <u/>
        <sz val="10"/>
        <rFont val="Arial"/>
        <family val="2"/>
      </rPr>
      <t>C</t>
    </r>
    <r>
      <rPr>
        <u/>
        <sz val="10"/>
        <rFont val="宋体"/>
        <family val="3"/>
        <charset val="134"/>
      </rPr>
      <t>座</t>
    </r>
    <r>
      <rPr>
        <u/>
        <sz val="10"/>
        <rFont val="Arial"/>
        <family val="2"/>
      </rPr>
      <t>19</t>
    </r>
    <r>
      <rPr>
        <u/>
        <sz val="10"/>
        <rFont val="宋体"/>
        <family val="3"/>
        <charset val="134"/>
      </rPr>
      <t>、</t>
    </r>
    <r>
      <rPr>
        <u/>
        <sz val="10"/>
        <rFont val="Arial"/>
        <family val="2"/>
      </rPr>
      <t>20</t>
    </r>
    <r>
      <rPr>
        <u/>
        <sz val="10"/>
        <rFont val="宋体"/>
        <family val="3"/>
        <charset val="134"/>
      </rPr>
      <t>层日常保洁费、</t>
    </r>
    <r>
      <rPr>
        <u/>
        <sz val="10"/>
        <rFont val="Arial"/>
        <family val="2"/>
      </rPr>
      <t>20</t>
    </r>
    <r>
      <rPr>
        <u/>
        <sz val="10"/>
        <rFont val="宋体"/>
        <family val="3"/>
        <charset val="134"/>
      </rPr>
      <t>层茶水间阿姨服务费，费用同</t>
    </r>
    <r>
      <rPr>
        <u/>
        <sz val="10"/>
        <rFont val="Arial"/>
        <family val="2"/>
      </rPr>
      <t>2011</t>
    </r>
    <r>
      <rPr>
        <u/>
        <sz val="10"/>
        <rFont val="宋体"/>
        <family val="3"/>
        <charset val="134"/>
      </rPr>
      <t>年</t>
    </r>
    <phoneticPr fontId="4" type="noConversion"/>
  </si>
  <si>
    <t>天津保洁</t>
    <phoneticPr fontId="4" type="noConversion"/>
  </si>
  <si>
    <r>
      <rPr>
        <sz val="10"/>
        <rFont val="宋体"/>
        <family val="3"/>
        <charset val="134"/>
      </rPr>
      <t>按照从</t>
    </r>
    <r>
      <rPr>
        <sz val="10"/>
        <rFont val="Arial"/>
        <family val="2"/>
      </rPr>
      <t>2012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月中旬起保洁进场负费，</t>
    </r>
    <r>
      <rPr>
        <sz val="10"/>
        <rFont val="Arial"/>
        <family val="2"/>
      </rPr>
      <t>1800</t>
    </r>
    <r>
      <rPr>
        <sz val="10"/>
        <rFont val="宋体"/>
        <family val="3"/>
        <charset val="134"/>
      </rPr>
      <t>元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人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月、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人估算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</si>
  <si>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层日常保洁费用</t>
    </r>
    <phoneticPr fontId="4" type="noConversion"/>
  </si>
  <si>
    <r>
      <rPr>
        <u/>
        <sz val="10"/>
        <rFont val="宋体"/>
        <family val="3"/>
        <charset val="134"/>
      </rPr>
      <t>按照同方</t>
    </r>
    <r>
      <rPr>
        <u/>
        <sz val="10"/>
        <rFont val="Arial"/>
        <family val="2"/>
      </rPr>
      <t>D</t>
    </r>
    <r>
      <rPr>
        <u/>
        <sz val="10"/>
        <rFont val="宋体"/>
        <family val="3"/>
        <charset val="134"/>
      </rPr>
      <t>座</t>
    </r>
    <r>
      <rPr>
        <u/>
        <sz val="10"/>
        <rFont val="Arial"/>
        <family val="2"/>
      </rPr>
      <t>8</t>
    </r>
    <r>
      <rPr>
        <u/>
        <sz val="10"/>
        <rFont val="宋体"/>
        <family val="3"/>
        <charset val="134"/>
      </rPr>
      <t>层费用估算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</si>
  <si>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层日常保洁费用</t>
    </r>
    <phoneticPr fontId="4" type="noConversion"/>
  </si>
  <si>
    <t>地毯清洗</t>
    <phoneticPr fontId="4" type="noConversion"/>
  </si>
  <si>
    <r>
      <rPr>
        <sz val="10"/>
        <color rgb="FFFF0066"/>
        <rFont val="宋体"/>
        <family val="3"/>
        <charset val="134"/>
      </rPr>
      <t>每年计划分别在</t>
    </r>
    <r>
      <rPr>
        <sz val="10"/>
        <color rgb="FFFF0066"/>
        <rFont val="Arial"/>
        <family val="2"/>
      </rPr>
      <t>Q1(</t>
    </r>
    <r>
      <rPr>
        <sz val="10"/>
        <color rgb="FFFF0066"/>
        <rFont val="宋体"/>
        <family val="3"/>
        <charset val="134"/>
      </rPr>
      <t>春节</t>
    </r>
    <r>
      <rPr>
        <sz val="10"/>
        <color rgb="FFFF0066"/>
        <rFont val="Arial"/>
        <family val="2"/>
      </rPr>
      <t>)</t>
    </r>
    <r>
      <rPr>
        <sz val="10"/>
        <color rgb="FFFF0066"/>
        <rFont val="宋体"/>
        <family val="3"/>
        <charset val="134"/>
      </rPr>
      <t>、</t>
    </r>
    <r>
      <rPr>
        <sz val="10"/>
        <color rgb="FFFF0066"/>
        <rFont val="Arial"/>
        <family val="2"/>
      </rPr>
      <t>Q2(</t>
    </r>
    <r>
      <rPr>
        <sz val="10"/>
        <color rgb="FFFF0066"/>
        <rFont val="宋体"/>
        <family val="3"/>
        <charset val="134"/>
      </rPr>
      <t>劳动节</t>
    </r>
    <r>
      <rPr>
        <sz val="10"/>
        <color rgb="FFFF0066"/>
        <rFont val="Arial"/>
        <family val="2"/>
      </rPr>
      <t>)</t>
    </r>
    <r>
      <rPr>
        <sz val="10"/>
        <color rgb="FFFF0066"/>
        <rFont val="宋体"/>
        <family val="3"/>
        <charset val="134"/>
      </rPr>
      <t>、</t>
    </r>
    <r>
      <rPr>
        <sz val="10"/>
        <color rgb="FFFF0066"/>
        <rFont val="Arial"/>
        <family val="2"/>
      </rPr>
      <t>Q4(</t>
    </r>
    <r>
      <rPr>
        <sz val="10"/>
        <color rgb="FFFF0066"/>
        <rFont val="宋体"/>
        <family val="3"/>
        <charset val="134"/>
      </rPr>
      <t>国庆节</t>
    </r>
    <r>
      <rPr>
        <sz val="10"/>
        <color rgb="FFFF0066"/>
        <rFont val="Arial"/>
        <family val="2"/>
      </rPr>
      <t>)</t>
    </r>
    <r>
      <rPr>
        <sz val="10"/>
        <color rgb="FFFF0066"/>
        <rFont val="宋体"/>
        <family val="3"/>
        <charset val="134"/>
      </rPr>
      <t>各清洗</t>
    </r>
    <r>
      <rPr>
        <sz val="10"/>
        <color rgb="FFFF0066"/>
        <rFont val="Arial"/>
        <family val="2"/>
      </rPr>
      <t>1</t>
    </r>
    <r>
      <rPr>
        <sz val="10"/>
        <color rgb="FFFF0066"/>
        <rFont val="宋体"/>
        <family val="3"/>
        <charset val="134"/>
      </rPr>
      <t>次。考虑物价因素，预计费用比</t>
    </r>
    <r>
      <rPr>
        <sz val="10"/>
        <color rgb="FFFF0066"/>
        <rFont val="Arial"/>
        <family val="2"/>
      </rPr>
      <t>2011</t>
    </r>
    <r>
      <rPr>
        <sz val="10"/>
        <color rgb="FFFF0066"/>
        <rFont val="宋体"/>
        <family val="3"/>
        <charset val="134"/>
      </rPr>
      <t>年增长</t>
    </r>
    <r>
      <rPr>
        <sz val="10"/>
        <color rgb="FFFF0066"/>
        <rFont val="Arial"/>
        <family val="2"/>
      </rPr>
      <t>10%</t>
    </r>
    <phoneticPr fontId="4" type="noConversion"/>
  </si>
  <si>
    <r>
      <rPr>
        <sz val="10"/>
        <rFont val="宋体"/>
        <family val="3"/>
        <charset val="134"/>
      </rPr>
      <t>地毯清洗</t>
    </r>
    <r>
      <rPr>
        <sz val="10"/>
        <rFont val="Arial"/>
        <family val="2"/>
      </rPr>
      <t>SOHU</t>
    </r>
    <r>
      <rPr>
        <sz val="10"/>
        <rFont val="宋体"/>
        <family val="3"/>
        <charset val="134"/>
      </rPr>
      <t>部分</t>
    </r>
    <phoneticPr fontId="4" type="noConversion"/>
  </si>
  <si>
    <r>
      <t>3</t>
    </r>
    <r>
      <rPr>
        <u/>
        <sz val="10"/>
        <rFont val="宋体"/>
        <family val="3"/>
        <charset val="134"/>
      </rPr>
      <t>、</t>
    </r>
    <r>
      <rPr>
        <u/>
        <sz val="10"/>
        <rFont val="Arial"/>
        <family val="2"/>
      </rPr>
      <t>7-8</t>
    </r>
    <r>
      <rPr>
        <u/>
        <sz val="10"/>
        <rFont val="宋体"/>
        <family val="3"/>
        <charset val="134"/>
      </rPr>
      <t>、</t>
    </r>
    <r>
      <rPr>
        <u/>
        <sz val="10"/>
        <rFont val="Arial"/>
        <family val="2"/>
      </rPr>
      <t>10-15</t>
    </r>
    <r>
      <rPr>
        <u/>
        <sz val="10"/>
        <rFont val="宋体"/>
        <family val="3"/>
        <charset val="134"/>
      </rPr>
      <t>层地毯清洗费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</si>
  <si>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Arial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层地毯清洗</t>
    </r>
    <phoneticPr fontId="4" type="noConversion"/>
  </si>
  <si>
    <t>详见“保洁服务费”</t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</si>
  <si>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Arial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层地毯清洗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</si>
  <si>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层地毯清洗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</si>
  <si>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层地毯清洗</t>
    </r>
    <phoneticPr fontId="4" type="noConversion"/>
  </si>
  <si>
    <r>
      <rPr>
        <u/>
        <sz val="10"/>
        <rFont val="宋体"/>
        <family val="3"/>
        <charset val="134"/>
      </rPr>
      <t>不计入</t>
    </r>
    <r>
      <rPr>
        <u/>
        <sz val="10"/>
        <rFont val="Arial"/>
        <family val="2"/>
      </rPr>
      <t>ES</t>
    </r>
    <r>
      <rPr>
        <u/>
        <sz val="10"/>
        <rFont val="宋体"/>
        <family val="3"/>
        <charset val="134"/>
      </rPr>
      <t>费用，包括</t>
    </r>
    <r>
      <rPr>
        <u/>
        <sz val="10"/>
        <rFont val="Arial"/>
        <family val="2"/>
      </rPr>
      <t>3</t>
    </r>
    <r>
      <rPr>
        <u/>
        <sz val="10"/>
        <rFont val="宋体"/>
        <family val="3"/>
        <charset val="134"/>
      </rPr>
      <t>、</t>
    </r>
    <r>
      <rPr>
        <u/>
        <sz val="10"/>
        <rFont val="Arial"/>
        <family val="2"/>
      </rPr>
      <t>7-8</t>
    </r>
    <r>
      <rPr>
        <u/>
        <sz val="10"/>
        <rFont val="宋体"/>
        <family val="3"/>
        <charset val="134"/>
      </rPr>
      <t>、</t>
    </r>
    <r>
      <rPr>
        <u/>
        <sz val="10"/>
        <rFont val="Arial"/>
        <family val="2"/>
      </rPr>
      <t>10-15</t>
    </r>
    <r>
      <rPr>
        <u/>
        <sz val="10"/>
        <rFont val="宋体"/>
        <family val="3"/>
        <charset val="134"/>
      </rPr>
      <t>层茶水间、收发室、华清嘉园、老板公寓阿姨费用。为规避用工风险，</t>
    </r>
    <r>
      <rPr>
        <u/>
        <sz val="10"/>
        <rFont val="Arial"/>
        <family val="2"/>
      </rPr>
      <t>2012</t>
    </r>
    <r>
      <rPr>
        <u/>
        <sz val="10"/>
        <rFont val="宋体"/>
        <family val="3"/>
        <charset val="134"/>
      </rPr>
      <t>年计划改变用工形式，采用劳务外包方式。比</t>
    </r>
    <r>
      <rPr>
        <u/>
        <sz val="10"/>
        <rFont val="Arial"/>
        <family val="2"/>
      </rPr>
      <t>2011</t>
    </r>
    <r>
      <rPr>
        <u/>
        <sz val="10"/>
        <rFont val="宋体"/>
        <family val="3"/>
        <charset val="134"/>
      </rPr>
      <t>年将会增加劳务服务费、未退休人员社保费。详见</t>
    </r>
    <r>
      <rPr>
        <u/>
        <sz val="10"/>
        <rFont val="Arial"/>
        <family val="2"/>
      </rPr>
      <t>“</t>
    </r>
    <r>
      <rPr>
        <u/>
        <sz val="10"/>
        <rFont val="宋体"/>
        <family val="3"/>
        <charset val="134"/>
      </rPr>
      <t>阿姨工资奖金</t>
    </r>
    <r>
      <rPr>
        <u/>
        <sz val="10"/>
        <rFont val="Arial"/>
        <family val="2"/>
      </rPr>
      <t>”</t>
    </r>
    <r>
      <rPr>
        <u/>
        <sz val="10"/>
        <rFont val="宋体"/>
        <family val="3"/>
        <charset val="134"/>
      </rPr>
      <t>。</t>
    </r>
    <r>
      <rPr>
        <u/>
        <sz val="10"/>
        <rFont val="Arial"/>
        <family val="2"/>
      </rPr>
      <t>Q1</t>
    </r>
    <r>
      <rPr>
        <u/>
        <sz val="10"/>
        <rFont val="宋体"/>
        <family val="3"/>
        <charset val="134"/>
      </rPr>
      <t>包括奖金和一次性支付的意外保险费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</si>
  <si>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Arial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层茶水间阿姨费用</t>
    </r>
    <phoneticPr fontId="4" type="noConversion"/>
  </si>
  <si>
    <r>
      <rPr>
        <u/>
        <sz val="10"/>
        <rFont val="宋体"/>
        <family val="3"/>
        <charset val="134"/>
      </rPr>
      <t>详见</t>
    </r>
    <r>
      <rPr>
        <u/>
        <sz val="10"/>
        <rFont val="Arial"/>
        <family val="2"/>
      </rPr>
      <t>“</t>
    </r>
    <r>
      <rPr>
        <u/>
        <sz val="10"/>
        <rFont val="宋体"/>
        <family val="3"/>
        <charset val="134"/>
      </rPr>
      <t>阿姨工资奖金</t>
    </r>
    <r>
      <rPr>
        <u/>
        <sz val="10"/>
        <rFont val="Arial"/>
        <family val="2"/>
      </rPr>
      <t>”</t>
    </r>
    <r>
      <rPr>
        <u/>
        <sz val="10"/>
        <rFont val="宋体"/>
        <family val="3"/>
        <charset val="134"/>
      </rPr>
      <t>。</t>
    </r>
    <r>
      <rPr>
        <u/>
        <sz val="10"/>
        <rFont val="Arial"/>
        <family val="2"/>
      </rPr>
      <t>Q1</t>
    </r>
    <r>
      <rPr>
        <u/>
        <sz val="10"/>
        <rFont val="宋体"/>
        <family val="3"/>
        <charset val="134"/>
      </rPr>
      <t>包括奖金和一次性支付的意外保险费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</si>
  <si>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Arial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层茶水间阿姨费用</t>
    </r>
    <phoneticPr fontId="4" type="noConversion"/>
  </si>
  <si>
    <r>
      <rPr>
        <u/>
        <sz val="10"/>
        <rFont val="宋体"/>
        <family val="3"/>
        <charset val="134"/>
      </rPr>
      <t>仅包括</t>
    </r>
    <r>
      <rPr>
        <u/>
        <sz val="10"/>
        <rFont val="Arial"/>
        <family val="2"/>
      </rPr>
      <t>C</t>
    </r>
    <r>
      <rPr>
        <u/>
        <sz val="10"/>
        <rFont val="宋体"/>
        <family val="3"/>
        <charset val="134"/>
      </rPr>
      <t>座</t>
    </r>
    <r>
      <rPr>
        <u/>
        <sz val="10"/>
        <rFont val="Arial"/>
        <family val="2"/>
      </rPr>
      <t>19</t>
    </r>
    <r>
      <rPr>
        <u/>
        <sz val="10"/>
        <rFont val="宋体"/>
        <family val="3"/>
        <charset val="134"/>
      </rPr>
      <t>层阿姨费用，</t>
    </r>
    <r>
      <rPr>
        <u/>
        <sz val="10"/>
        <rFont val="Arial"/>
        <family val="2"/>
      </rPr>
      <t>C</t>
    </r>
    <r>
      <rPr>
        <u/>
        <sz val="10"/>
        <rFont val="宋体"/>
        <family val="3"/>
        <charset val="134"/>
      </rPr>
      <t>座</t>
    </r>
    <r>
      <rPr>
        <u/>
        <sz val="10"/>
        <rFont val="Arial"/>
        <family val="2"/>
      </rPr>
      <t>20</t>
    </r>
    <r>
      <rPr>
        <u/>
        <sz val="10"/>
        <rFont val="宋体"/>
        <family val="3"/>
        <charset val="134"/>
      </rPr>
      <t>层阿姨属于保洁公司外派，费用包含在</t>
    </r>
    <r>
      <rPr>
        <u/>
        <sz val="10"/>
        <rFont val="Arial"/>
        <family val="2"/>
      </rPr>
      <t>Office Cleaning</t>
    </r>
    <r>
      <rPr>
        <u/>
        <sz val="10"/>
        <rFont val="宋体"/>
        <family val="3"/>
        <charset val="134"/>
      </rPr>
      <t>里。详见</t>
    </r>
    <r>
      <rPr>
        <u/>
        <sz val="10"/>
        <rFont val="Arial"/>
        <family val="2"/>
      </rPr>
      <t>“</t>
    </r>
    <r>
      <rPr>
        <u/>
        <sz val="10"/>
        <rFont val="宋体"/>
        <family val="3"/>
        <charset val="134"/>
      </rPr>
      <t>阿姨工资奖金</t>
    </r>
    <r>
      <rPr>
        <u/>
        <sz val="10"/>
        <rFont val="Arial"/>
        <family val="2"/>
      </rPr>
      <t>”</t>
    </r>
    <r>
      <rPr>
        <u/>
        <sz val="10"/>
        <rFont val="宋体"/>
        <family val="3"/>
        <charset val="134"/>
      </rPr>
      <t>。</t>
    </r>
    <r>
      <rPr>
        <u/>
        <sz val="10"/>
        <rFont val="Arial"/>
        <family val="2"/>
      </rPr>
      <t>Q1</t>
    </r>
    <r>
      <rPr>
        <u/>
        <sz val="10"/>
        <rFont val="宋体"/>
        <family val="3"/>
        <charset val="134"/>
      </rPr>
      <t>包括奖金和一次性支付的意外保险费</t>
    </r>
    <phoneticPr fontId="4" type="noConversion"/>
  </si>
  <si>
    <t>天津茶水间阿姨</t>
    <phoneticPr fontId="4" type="noConversion"/>
  </si>
  <si>
    <r>
      <rPr>
        <sz val="10"/>
        <rFont val="宋体"/>
        <family val="3"/>
        <charset val="134"/>
      </rPr>
      <t>按照从</t>
    </r>
    <r>
      <rPr>
        <sz val="10"/>
        <rFont val="Arial"/>
        <family val="2"/>
      </rPr>
      <t>2012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月下旬起阿姨进场负费，</t>
    </r>
    <r>
      <rPr>
        <sz val="10"/>
        <rFont val="Arial"/>
        <family val="2"/>
      </rPr>
      <t>1700</t>
    </r>
    <r>
      <rPr>
        <sz val="10"/>
        <rFont val="宋体"/>
        <family val="3"/>
        <charset val="134"/>
      </rPr>
      <t>元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人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月、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人估算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</si>
  <si>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层茶水间阿姨费用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</si>
  <si>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层茶水间阿姨费用</t>
    </r>
    <phoneticPr fontId="4" type="noConversion"/>
  </si>
  <si>
    <t>北京班车费用</t>
    <phoneticPr fontId="4" type="noConversion"/>
  </si>
  <si>
    <r>
      <rPr>
        <u/>
        <sz val="10"/>
        <rFont val="宋体"/>
        <family val="3"/>
        <charset val="134"/>
      </rPr>
      <t>预计因</t>
    </r>
    <r>
      <rPr>
        <u/>
        <sz val="10"/>
        <rFont val="Arial"/>
        <family val="2"/>
      </rPr>
      <t>2012</t>
    </r>
    <r>
      <rPr>
        <u/>
        <sz val="10"/>
        <rFont val="宋体"/>
        <family val="3"/>
        <charset val="134"/>
      </rPr>
      <t>年燃油费、车位费上涨等因素，每辆车月费预计增涨</t>
    </r>
    <r>
      <rPr>
        <u/>
        <sz val="10"/>
        <rFont val="Arial"/>
        <family val="2"/>
      </rPr>
      <t>1000</t>
    </r>
    <r>
      <rPr>
        <u/>
        <sz val="10"/>
        <rFont val="宋体"/>
        <family val="3"/>
        <charset val="134"/>
      </rPr>
      <t>元。即大车月费用为</t>
    </r>
    <r>
      <rPr>
        <u/>
        <sz val="10"/>
        <rFont val="Arial"/>
        <family val="2"/>
      </rPr>
      <t>18000</t>
    </r>
    <r>
      <rPr>
        <u/>
        <sz val="10"/>
        <rFont val="宋体"/>
        <family val="3"/>
        <charset val="134"/>
      </rPr>
      <t>元，小车月费用上涨为</t>
    </r>
    <r>
      <rPr>
        <u/>
        <sz val="10"/>
        <rFont val="Arial"/>
        <family val="2"/>
      </rPr>
      <t>12750</t>
    </r>
    <r>
      <rPr>
        <u/>
        <sz val="10"/>
        <rFont val="宋体"/>
        <family val="3"/>
        <charset val="134"/>
      </rPr>
      <t>元。</t>
    </r>
    <r>
      <rPr>
        <u/>
        <sz val="10"/>
        <rFont val="Arial"/>
        <family val="2"/>
      </rPr>
      <t>2012</t>
    </r>
    <r>
      <rPr>
        <u/>
        <sz val="10"/>
        <rFont val="宋体"/>
        <family val="3"/>
        <charset val="134"/>
      </rPr>
      <t>年建议增加大班车</t>
    </r>
    <r>
      <rPr>
        <u/>
        <sz val="10"/>
        <rFont val="Arial"/>
        <family val="2"/>
      </rPr>
      <t>3</t>
    </r>
    <r>
      <rPr>
        <u/>
        <sz val="10"/>
        <rFont val="宋体"/>
        <family val="3"/>
        <charset val="134"/>
      </rPr>
      <t>辆，对应增加车位费</t>
    </r>
    <r>
      <rPr>
        <u/>
        <sz val="10"/>
        <rFont val="Arial"/>
        <family val="2"/>
      </rPr>
      <t>3</t>
    </r>
    <r>
      <rPr>
        <u/>
        <sz val="10"/>
        <rFont val="宋体"/>
        <family val="3"/>
        <charset val="134"/>
      </rPr>
      <t>个</t>
    </r>
    <phoneticPr fontId="4" type="noConversion"/>
  </si>
  <si>
    <t>天津班车费用</t>
    <phoneticPr fontId="4" type="noConversion"/>
  </si>
  <si>
    <t>茶水间费用</t>
    <phoneticPr fontId="4" type="noConversion"/>
  </si>
  <si>
    <t>包括茶水间饮品、器具、清洁用品</t>
    <phoneticPr fontId="4" type="noConversion"/>
  </si>
  <si>
    <t>搜狐网络大厦茶水间费用</t>
    <phoneticPr fontId="4" type="noConversion"/>
  </si>
  <si>
    <r>
      <t>2011</t>
    </r>
    <r>
      <rPr>
        <u/>
        <sz val="10"/>
        <rFont val="宋体"/>
        <family val="3"/>
        <charset val="134"/>
      </rPr>
      <t>年月均实际费用</t>
    </r>
    <r>
      <rPr>
        <u/>
        <sz val="10"/>
        <rFont val="Arial"/>
        <family val="2"/>
      </rPr>
      <t>19909</t>
    </r>
    <r>
      <rPr>
        <u/>
        <sz val="10"/>
        <rFont val="宋体"/>
        <family val="3"/>
        <charset val="134"/>
      </rPr>
      <t>元，</t>
    </r>
    <r>
      <rPr>
        <u/>
        <sz val="10"/>
        <rFont val="Arial"/>
        <family val="2"/>
      </rPr>
      <t>2012</t>
    </r>
    <r>
      <rPr>
        <u/>
        <sz val="10"/>
        <rFont val="宋体"/>
        <family val="3"/>
        <charset val="134"/>
      </rPr>
      <t>年按照现空余工位满负荷使用估算，即约</t>
    </r>
    <r>
      <rPr>
        <u/>
        <sz val="10"/>
        <rFont val="Arial"/>
        <family val="2"/>
      </rPr>
      <t>19909</t>
    </r>
    <r>
      <rPr>
        <u/>
        <sz val="10"/>
        <rFont val="宋体"/>
        <family val="3"/>
        <charset val="134"/>
      </rPr>
      <t>元</t>
    </r>
    <r>
      <rPr>
        <u/>
        <sz val="10"/>
        <rFont val="Arial"/>
        <family val="2"/>
      </rPr>
      <t>*105%=20904</t>
    </r>
    <r>
      <rPr>
        <u/>
        <sz val="10"/>
        <rFont val="宋体"/>
        <family val="3"/>
        <charset val="134"/>
      </rPr>
      <t>元。其中搜狐按工位比例承担</t>
    </r>
    <r>
      <rPr>
        <u/>
        <sz val="10"/>
        <rFont val="Arial"/>
        <family val="2"/>
      </rPr>
      <t>74%</t>
    </r>
    <r>
      <rPr>
        <u/>
        <sz val="10"/>
        <rFont val="宋体"/>
        <family val="3"/>
        <charset val="134"/>
      </rPr>
      <t>，即</t>
    </r>
    <r>
      <rPr>
        <u/>
        <sz val="10"/>
        <rFont val="Arial"/>
        <family val="2"/>
      </rPr>
      <t>15469</t>
    </r>
    <r>
      <rPr>
        <u/>
        <sz val="10"/>
        <rFont val="宋体"/>
        <family val="3"/>
        <charset val="134"/>
      </rPr>
      <t>元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</si>
  <si>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Arial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层茶水间费用</t>
    </r>
    <phoneticPr fontId="4" type="noConversion"/>
  </si>
  <si>
    <r>
      <t>2011</t>
    </r>
    <r>
      <rPr>
        <u/>
        <sz val="10"/>
        <rFont val="宋体"/>
        <family val="3"/>
        <charset val="134"/>
      </rPr>
      <t>年月均费用</t>
    </r>
    <r>
      <rPr>
        <u/>
        <sz val="10"/>
        <rFont val="Arial"/>
        <family val="2"/>
      </rPr>
      <t>1955</t>
    </r>
    <r>
      <rPr>
        <u/>
        <sz val="10"/>
        <rFont val="宋体"/>
        <family val="3"/>
        <charset val="134"/>
      </rPr>
      <t>元，</t>
    </r>
    <r>
      <rPr>
        <u/>
        <sz val="10"/>
        <rFont val="Arial"/>
        <family val="2"/>
      </rPr>
      <t>2012</t>
    </r>
    <r>
      <rPr>
        <u/>
        <sz val="10"/>
        <rFont val="宋体"/>
        <family val="3"/>
        <charset val="134"/>
      </rPr>
      <t>年按照现空余工位满负荷使用估算，即</t>
    </r>
    <r>
      <rPr>
        <u/>
        <sz val="10"/>
        <rFont val="Arial"/>
        <family val="2"/>
      </rPr>
      <t>1955</t>
    </r>
    <r>
      <rPr>
        <u/>
        <sz val="10"/>
        <rFont val="宋体"/>
        <family val="3"/>
        <charset val="134"/>
      </rPr>
      <t>元</t>
    </r>
    <r>
      <rPr>
        <u/>
        <sz val="10"/>
        <rFont val="Arial"/>
        <family val="2"/>
      </rPr>
      <t>*134%=2620</t>
    </r>
    <r>
      <rPr>
        <u/>
        <sz val="10"/>
        <rFont val="宋体"/>
        <family val="3"/>
        <charset val="134"/>
      </rPr>
      <t>元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</si>
  <si>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Arial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层茶水间费用</t>
    </r>
    <phoneticPr fontId="4" type="noConversion"/>
  </si>
  <si>
    <r>
      <t>2011</t>
    </r>
    <r>
      <rPr>
        <u/>
        <sz val="10"/>
        <rFont val="宋体"/>
        <family val="3"/>
        <charset val="134"/>
      </rPr>
      <t>年月均费用</t>
    </r>
    <r>
      <rPr>
        <u/>
        <sz val="10"/>
        <rFont val="Arial"/>
        <family val="2"/>
      </rPr>
      <t>4632</t>
    </r>
    <r>
      <rPr>
        <u/>
        <sz val="10"/>
        <rFont val="宋体"/>
        <family val="3"/>
        <charset val="134"/>
      </rPr>
      <t>元，</t>
    </r>
    <r>
      <rPr>
        <u/>
        <sz val="10"/>
        <rFont val="Arial"/>
        <family val="2"/>
      </rPr>
      <t>2012</t>
    </r>
    <r>
      <rPr>
        <u/>
        <sz val="10"/>
        <rFont val="宋体"/>
        <family val="3"/>
        <charset val="134"/>
      </rPr>
      <t>年按照现空余工位满负荷使用估算，即</t>
    </r>
    <r>
      <rPr>
        <u/>
        <sz val="10"/>
        <rFont val="Arial"/>
        <family val="2"/>
      </rPr>
      <t>4632</t>
    </r>
    <r>
      <rPr>
        <u/>
        <sz val="10"/>
        <rFont val="宋体"/>
        <family val="3"/>
        <charset val="134"/>
      </rPr>
      <t>元</t>
    </r>
    <r>
      <rPr>
        <u/>
        <sz val="10"/>
        <rFont val="Arial"/>
        <family val="2"/>
      </rPr>
      <t>*117%=5419</t>
    </r>
    <r>
      <rPr>
        <u/>
        <sz val="10"/>
        <rFont val="宋体"/>
        <family val="3"/>
        <charset val="134"/>
      </rPr>
      <t>元</t>
    </r>
    <phoneticPr fontId="4" type="noConversion"/>
  </si>
  <si>
    <t>天津茶间饮品</t>
    <phoneticPr fontId="4" type="noConversion"/>
  </si>
  <si>
    <r>
      <rPr>
        <sz val="10"/>
        <rFont val="宋体"/>
        <family val="3"/>
        <charset val="134"/>
      </rPr>
      <t>按照从</t>
    </r>
    <r>
      <rPr>
        <sz val="10"/>
        <rFont val="Arial"/>
        <family val="2"/>
      </rPr>
      <t>2012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日起使用，同方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层月均</t>
    </r>
    <r>
      <rPr>
        <sz val="10"/>
        <rFont val="Arial"/>
        <family val="2"/>
      </rPr>
      <t>11000</t>
    </r>
    <r>
      <rPr>
        <sz val="10"/>
        <rFont val="宋体"/>
        <family val="3"/>
        <charset val="134"/>
      </rPr>
      <t>元，结合天津</t>
    </r>
    <r>
      <rPr>
        <sz val="10"/>
        <rFont val="Arial"/>
        <family val="2"/>
      </rPr>
      <t>MSD</t>
    </r>
    <r>
      <rPr>
        <sz val="10"/>
        <rFont val="宋体"/>
        <family val="3"/>
        <charset val="134"/>
      </rPr>
      <t>和同方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层工位差额比例估算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</si>
  <si>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层茶水间费用</t>
    </r>
    <phoneticPr fontId="4" type="noConversion"/>
  </si>
  <si>
    <r>
      <rPr>
        <u/>
        <sz val="10"/>
        <rFont val="宋体"/>
        <family val="3"/>
        <charset val="134"/>
      </rPr>
      <t>按照同方</t>
    </r>
    <r>
      <rPr>
        <u/>
        <sz val="10"/>
        <rFont val="Arial"/>
        <family val="2"/>
      </rPr>
      <t>D</t>
    </r>
    <r>
      <rPr>
        <u/>
        <sz val="10"/>
        <rFont val="宋体"/>
        <family val="3"/>
        <charset val="134"/>
      </rPr>
      <t>座</t>
    </r>
    <r>
      <rPr>
        <u/>
        <sz val="10"/>
        <rFont val="Arial"/>
        <family val="2"/>
      </rPr>
      <t>8</t>
    </r>
    <r>
      <rPr>
        <u/>
        <sz val="10"/>
        <rFont val="宋体"/>
        <family val="3"/>
        <charset val="134"/>
      </rPr>
      <t>层的费用，结合</t>
    </r>
    <r>
      <rPr>
        <u/>
        <sz val="10"/>
        <rFont val="Arial"/>
        <family val="2"/>
      </rPr>
      <t>7</t>
    </r>
    <r>
      <rPr>
        <u/>
        <sz val="10"/>
        <rFont val="宋体"/>
        <family val="3"/>
        <charset val="134"/>
      </rPr>
      <t>、</t>
    </r>
    <r>
      <rPr>
        <u/>
        <sz val="10"/>
        <rFont val="Arial"/>
        <family val="2"/>
      </rPr>
      <t>8</t>
    </r>
    <r>
      <rPr>
        <u/>
        <sz val="10"/>
        <rFont val="宋体"/>
        <family val="3"/>
        <charset val="134"/>
      </rPr>
      <t>两层的工位差额比例估算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</si>
  <si>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层茶水间费用</t>
    </r>
    <phoneticPr fontId="4" type="noConversion"/>
  </si>
  <si>
    <r>
      <t>2011</t>
    </r>
    <r>
      <rPr>
        <u/>
        <sz val="10"/>
        <rFont val="宋体"/>
        <family val="3"/>
        <charset val="134"/>
      </rPr>
      <t>年</t>
    </r>
    <r>
      <rPr>
        <u/>
        <sz val="10"/>
        <rFont val="Arial"/>
        <family val="2"/>
      </rPr>
      <t>9</t>
    </r>
    <r>
      <rPr>
        <u/>
        <sz val="10"/>
        <rFont val="宋体"/>
        <family val="3"/>
        <charset val="134"/>
      </rPr>
      <t>月入驻时费用</t>
    </r>
    <r>
      <rPr>
        <u/>
        <sz val="10"/>
        <rFont val="Arial"/>
        <family val="2"/>
      </rPr>
      <t>7218</t>
    </r>
    <r>
      <rPr>
        <u/>
        <sz val="10"/>
        <rFont val="宋体"/>
        <family val="3"/>
        <charset val="134"/>
      </rPr>
      <t>元，</t>
    </r>
    <r>
      <rPr>
        <u/>
        <sz val="10"/>
        <rFont val="Arial"/>
        <family val="2"/>
      </rPr>
      <t>2012</t>
    </r>
    <r>
      <rPr>
        <u/>
        <sz val="10"/>
        <rFont val="宋体"/>
        <family val="3"/>
        <charset val="134"/>
      </rPr>
      <t>年按照现空余工位满负荷使用估算，，即</t>
    </r>
    <r>
      <rPr>
        <u/>
        <sz val="10"/>
        <rFont val="Arial"/>
        <family val="2"/>
      </rPr>
      <t>7218</t>
    </r>
    <r>
      <rPr>
        <u/>
        <sz val="10"/>
        <rFont val="宋体"/>
        <family val="3"/>
        <charset val="134"/>
      </rPr>
      <t>元</t>
    </r>
    <r>
      <rPr>
        <u/>
        <sz val="10"/>
        <rFont val="Arial"/>
        <family val="2"/>
      </rPr>
      <t>*110%=7940</t>
    </r>
    <r>
      <rPr>
        <u/>
        <sz val="10"/>
        <rFont val="宋体"/>
        <family val="3"/>
        <charset val="134"/>
      </rPr>
      <t>元</t>
    </r>
    <phoneticPr fontId="4" type="noConversion"/>
  </si>
  <si>
    <t>瓷杯制作</t>
    <phoneticPr fontId="4" type="noConversion"/>
  </si>
  <si>
    <r>
      <rPr>
        <sz val="10"/>
        <color rgb="FFFF33CC"/>
        <rFont val="宋体"/>
        <family val="3"/>
        <charset val="134"/>
      </rPr>
      <t>计划</t>
    </r>
    <r>
      <rPr>
        <sz val="10"/>
        <color rgb="FFFF33CC"/>
        <rFont val="Arial"/>
        <family val="2"/>
      </rPr>
      <t>2012</t>
    </r>
    <r>
      <rPr>
        <sz val="10"/>
        <color rgb="FFFF33CC"/>
        <rFont val="宋体"/>
        <family val="3"/>
        <charset val="134"/>
      </rPr>
      <t>年制作马克杯</t>
    </r>
    <r>
      <rPr>
        <sz val="10"/>
        <color rgb="FFFF33CC"/>
        <rFont val="Arial"/>
        <family val="2"/>
      </rPr>
      <t>1800</t>
    </r>
    <r>
      <rPr>
        <sz val="10"/>
        <color rgb="FFFF33CC"/>
        <rFont val="宋体"/>
        <family val="3"/>
        <charset val="134"/>
      </rPr>
      <t>只，</t>
    </r>
    <r>
      <rPr>
        <sz val="10"/>
        <color rgb="FFFF33CC"/>
        <rFont val="Arial"/>
        <family val="2"/>
      </rPr>
      <t>15</t>
    </r>
    <r>
      <rPr>
        <sz val="10"/>
        <color rgb="FFFF33CC"/>
        <rFont val="宋体"/>
        <family val="3"/>
        <charset val="134"/>
      </rPr>
      <t>元</t>
    </r>
    <r>
      <rPr>
        <sz val="10"/>
        <color rgb="FFFF33CC"/>
        <rFont val="Arial"/>
        <family val="2"/>
      </rPr>
      <t>/</t>
    </r>
    <r>
      <rPr>
        <sz val="10"/>
        <color rgb="FFFF33CC"/>
        <rFont val="宋体"/>
        <family val="3"/>
        <charset val="134"/>
      </rPr>
      <t>只；</t>
    </r>
    <r>
      <rPr>
        <sz val="10"/>
        <color rgb="FFFF33CC"/>
        <rFont val="Arial"/>
        <family val="2"/>
      </rPr>
      <t>VP</t>
    </r>
    <r>
      <rPr>
        <sz val="10"/>
        <color rgb="FFFF33CC"/>
        <rFont val="宋体"/>
        <family val="3"/>
        <charset val="134"/>
      </rPr>
      <t>级领导使用的咖啡杯</t>
    </r>
    <r>
      <rPr>
        <sz val="10"/>
        <color rgb="FFFF33CC"/>
        <rFont val="Arial"/>
        <family val="2"/>
      </rPr>
      <t>20</t>
    </r>
    <r>
      <rPr>
        <sz val="10"/>
        <color rgb="FFFF33CC"/>
        <rFont val="宋体"/>
        <family val="3"/>
        <charset val="134"/>
      </rPr>
      <t>套，</t>
    </r>
    <r>
      <rPr>
        <sz val="10"/>
        <color rgb="FFFF33CC"/>
        <rFont val="Arial"/>
        <family val="2"/>
      </rPr>
      <t>80</t>
    </r>
    <r>
      <rPr>
        <sz val="10"/>
        <color rgb="FFFF33CC"/>
        <rFont val="宋体"/>
        <family val="3"/>
        <charset val="134"/>
      </rPr>
      <t>元</t>
    </r>
    <r>
      <rPr>
        <sz val="10"/>
        <color rgb="FFFF33CC"/>
        <rFont val="Arial"/>
        <family val="2"/>
      </rPr>
      <t>/</t>
    </r>
    <r>
      <rPr>
        <sz val="10"/>
        <color rgb="FFFF33CC"/>
        <rFont val="宋体"/>
        <family val="3"/>
        <charset val="134"/>
      </rPr>
      <t>套；配合领导房间专用消毒柜</t>
    </r>
    <r>
      <rPr>
        <sz val="10"/>
        <color rgb="FFFF33CC"/>
        <rFont val="Arial"/>
        <family val="2"/>
      </rPr>
      <t>6</t>
    </r>
    <r>
      <rPr>
        <sz val="10"/>
        <color rgb="FFFF33CC"/>
        <rFont val="宋体"/>
        <family val="3"/>
        <charset val="134"/>
      </rPr>
      <t>台，</t>
    </r>
    <r>
      <rPr>
        <sz val="10"/>
        <color rgb="FFFF33CC"/>
        <rFont val="Arial"/>
        <family val="2"/>
      </rPr>
      <t>500</t>
    </r>
    <r>
      <rPr>
        <sz val="10"/>
        <color rgb="FFFF33CC"/>
        <rFont val="宋体"/>
        <family val="3"/>
        <charset val="134"/>
      </rPr>
      <t>元</t>
    </r>
    <r>
      <rPr>
        <sz val="10"/>
        <color rgb="FFFF33CC"/>
        <rFont val="Arial"/>
        <family val="2"/>
      </rPr>
      <t>/</t>
    </r>
    <r>
      <rPr>
        <sz val="10"/>
        <color rgb="FFFF33CC"/>
        <rFont val="宋体"/>
        <family val="3"/>
        <charset val="134"/>
      </rPr>
      <t>台</t>
    </r>
    <phoneticPr fontId="4" type="noConversion"/>
  </si>
  <si>
    <t>纸杯制作</t>
    <phoneticPr fontId="4" type="noConversion"/>
  </si>
  <si>
    <t>Office consumables</t>
    <phoneticPr fontId="4" type="noConversion"/>
  </si>
  <si>
    <t>办公用品费用</t>
    <phoneticPr fontId="4" type="noConversion"/>
  </si>
  <si>
    <r>
      <rPr>
        <u/>
        <sz val="10"/>
        <rFont val="宋体"/>
        <family val="3"/>
        <charset val="134"/>
      </rPr>
      <t>按照增长</t>
    </r>
    <r>
      <rPr>
        <u/>
        <sz val="10"/>
        <rFont val="Arial"/>
        <family val="2"/>
      </rPr>
      <t>30%</t>
    </r>
    <r>
      <rPr>
        <u/>
        <sz val="10"/>
        <rFont val="宋体"/>
        <family val="3"/>
        <charset val="134"/>
      </rPr>
      <t>计算</t>
    </r>
  </si>
  <si>
    <t>搜狐网络大厦门卡、桌牌等费用</t>
    <phoneticPr fontId="4" type="noConversion"/>
  </si>
  <si>
    <r>
      <t>2011</t>
    </r>
    <r>
      <rPr>
        <u/>
        <sz val="10"/>
        <rFont val="宋体"/>
        <family val="3"/>
        <charset val="134"/>
      </rPr>
      <t>年月均费用</t>
    </r>
    <r>
      <rPr>
        <u/>
        <sz val="10"/>
        <rFont val="Arial"/>
        <family val="2"/>
      </rPr>
      <t>5885</t>
    </r>
    <r>
      <rPr>
        <u/>
        <sz val="10"/>
        <rFont val="宋体"/>
        <family val="3"/>
        <charset val="134"/>
      </rPr>
      <t>元，</t>
    </r>
    <r>
      <rPr>
        <u/>
        <sz val="10"/>
        <rFont val="Arial"/>
        <family val="2"/>
      </rPr>
      <t>2012</t>
    </r>
    <r>
      <rPr>
        <u/>
        <sz val="10"/>
        <rFont val="宋体"/>
        <family val="3"/>
        <charset val="134"/>
      </rPr>
      <t>年考虑价格上涨因素，并按照现空余工位满负荷使用、</t>
    </r>
    <r>
      <rPr>
        <u/>
        <sz val="10"/>
        <rFont val="Arial"/>
        <family val="2"/>
      </rPr>
      <t>HC</t>
    </r>
    <r>
      <rPr>
        <u/>
        <sz val="10"/>
        <rFont val="宋体"/>
        <family val="3"/>
        <charset val="134"/>
      </rPr>
      <t>增长率同比增长，即</t>
    </r>
    <r>
      <rPr>
        <u/>
        <sz val="10"/>
        <rFont val="Arial"/>
        <family val="2"/>
      </rPr>
      <t>5885</t>
    </r>
    <r>
      <rPr>
        <u/>
        <sz val="10"/>
        <rFont val="宋体"/>
        <family val="3"/>
        <charset val="134"/>
      </rPr>
      <t>元</t>
    </r>
    <r>
      <rPr>
        <u/>
        <sz val="10"/>
        <rFont val="Arial"/>
        <family val="2"/>
      </rPr>
      <t>*(1+30%)*(1+25%+5%)=9962</t>
    </r>
    <r>
      <rPr>
        <u/>
        <sz val="10"/>
        <rFont val="宋体"/>
        <family val="3"/>
        <charset val="134"/>
      </rPr>
      <t>元。其中搜狐按工位比例承担</t>
    </r>
    <r>
      <rPr>
        <u/>
        <sz val="10"/>
        <rFont val="Arial"/>
        <family val="2"/>
      </rPr>
      <t>74%</t>
    </r>
    <r>
      <rPr>
        <u/>
        <sz val="10"/>
        <rFont val="宋体"/>
        <family val="3"/>
        <charset val="134"/>
      </rPr>
      <t>，即</t>
    </r>
    <r>
      <rPr>
        <u/>
        <sz val="10"/>
        <rFont val="Arial"/>
        <family val="2"/>
      </rPr>
      <t>7372</t>
    </r>
    <r>
      <rPr>
        <u/>
        <sz val="10"/>
        <rFont val="宋体"/>
        <family val="3"/>
        <charset val="134"/>
      </rPr>
      <t>元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</si>
  <si>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Arial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层门卡、桌牌等费用</t>
    </r>
    <phoneticPr fontId="4" type="noConversion"/>
  </si>
  <si>
    <r>
      <t>2011</t>
    </r>
    <r>
      <rPr>
        <u/>
        <sz val="10"/>
        <rFont val="宋体"/>
        <family val="3"/>
        <charset val="134"/>
      </rPr>
      <t>年月均费用</t>
    </r>
    <r>
      <rPr>
        <u/>
        <sz val="10"/>
        <rFont val="Arial"/>
        <family val="2"/>
      </rPr>
      <t>478</t>
    </r>
    <r>
      <rPr>
        <u/>
        <sz val="10"/>
        <rFont val="宋体"/>
        <family val="3"/>
        <charset val="134"/>
      </rPr>
      <t>元，</t>
    </r>
    <r>
      <rPr>
        <u/>
        <sz val="10"/>
        <rFont val="Arial"/>
        <family val="2"/>
      </rPr>
      <t>2012</t>
    </r>
    <r>
      <rPr>
        <u/>
        <sz val="10"/>
        <rFont val="宋体"/>
        <family val="3"/>
        <charset val="134"/>
      </rPr>
      <t>年考虑价格上涨因素，并按照现空余工位满负荷使用、</t>
    </r>
    <r>
      <rPr>
        <u/>
        <sz val="10"/>
        <rFont val="Arial"/>
        <family val="2"/>
      </rPr>
      <t>HC</t>
    </r>
    <r>
      <rPr>
        <u/>
        <sz val="10"/>
        <rFont val="宋体"/>
        <family val="3"/>
        <charset val="134"/>
      </rPr>
      <t>增长率同比增长，即</t>
    </r>
    <r>
      <rPr>
        <u/>
        <sz val="10"/>
        <rFont val="Arial"/>
        <family val="2"/>
      </rPr>
      <t>478</t>
    </r>
    <r>
      <rPr>
        <u/>
        <sz val="10"/>
        <rFont val="宋体"/>
        <family val="3"/>
        <charset val="134"/>
      </rPr>
      <t>元</t>
    </r>
    <r>
      <rPr>
        <u/>
        <sz val="10"/>
        <rFont val="Arial"/>
        <family val="2"/>
      </rPr>
      <t>*(1+30%)*(1+25%+34%)=990</t>
    </r>
    <r>
      <rPr>
        <u/>
        <sz val="10"/>
        <rFont val="宋体"/>
        <family val="3"/>
        <charset val="134"/>
      </rPr>
      <t>元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</si>
  <si>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Arial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层门卡、桌牌等费用</t>
    </r>
    <phoneticPr fontId="4" type="noConversion"/>
  </si>
  <si>
    <r>
      <t>11</t>
    </r>
    <r>
      <rPr>
        <u/>
        <sz val="10"/>
        <rFont val="宋体"/>
        <family val="3"/>
        <charset val="134"/>
      </rPr>
      <t>年月均费用</t>
    </r>
    <r>
      <rPr>
        <u/>
        <sz val="10"/>
        <rFont val="Arial"/>
        <family val="2"/>
      </rPr>
      <t>536</t>
    </r>
    <r>
      <rPr>
        <u/>
        <sz val="10"/>
        <rFont val="宋体"/>
        <family val="3"/>
        <charset val="134"/>
      </rPr>
      <t>元，</t>
    </r>
    <r>
      <rPr>
        <u/>
        <sz val="10"/>
        <rFont val="Arial"/>
        <family val="2"/>
      </rPr>
      <t>2012</t>
    </r>
    <r>
      <rPr>
        <u/>
        <sz val="10"/>
        <rFont val="宋体"/>
        <family val="3"/>
        <charset val="134"/>
      </rPr>
      <t>年考虑价格上涨因素，并按照现空余工位满负荷使用、</t>
    </r>
    <r>
      <rPr>
        <u/>
        <sz val="10"/>
        <rFont val="Arial"/>
        <family val="2"/>
      </rPr>
      <t>HC</t>
    </r>
    <r>
      <rPr>
        <u/>
        <sz val="10"/>
        <rFont val="宋体"/>
        <family val="3"/>
        <charset val="134"/>
      </rPr>
      <t>增长率同比增长，即</t>
    </r>
    <r>
      <rPr>
        <u/>
        <sz val="10"/>
        <rFont val="Arial"/>
        <family val="2"/>
      </rPr>
      <t>536</t>
    </r>
    <r>
      <rPr>
        <u/>
        <sz val="10"/>
        <rFont val="宋体"/>
        <family val="3"/>
        <charset val="134"/>
      </rPr>
      <t>元</t>
    </r>
    <r>
      <rPr>
        <u/>
        <sz val="10"/>
        <rFont val="Arial"/>
        <family val="2"/>
      </rPr>
      <t>*(1+30%)*(1+25%+17%)=990</t>
    </r>
    <r>
      <rPr>
        <u/>
        <sz val="10"/>
        <rFont val="宋体"/>
        <family val="3"/>
        <charset val="134"/>
      </rPr>
      <t>元</t>
    </r>
    <phoneticPr fontId="4" type="noConversion"/>
  </si>
  <si>
    <t>天津门牌桌牌</t>
    <phoneticPr fontId="4" type="noConversion"/>
  </si>
  <si>
    <r>
      <rPr>
        <sz val="10"/>
        <rFont val="宋体"/>
        <family val="3"/>
        <charset val="134"/>
      </rPr>
      <t>按照从</t>
    </r>
    <r>
      <rPr>
        <sz val="10"/>
        <rFont val="Arial"/>
        <family val="2"/>
      </rPr>
      <t>2012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日起使用，同方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层月均</t>
    </r>
    <r>
      <rPr>
        <sz val="10"/>
        <rFont val="Arial"/>
        <family val="2"/>
      </rPr>
      <t>1397</t>
    </r>
    <r>
      <rPr>
        <sz val="10"/>
        <rFont val="宋体"/>
        <family val="3"/>
        <charset val="134"/>
      </rPr>
      <t>元，结合天津</t>
    </r>
    <r>
      <rPr>
        <sz val="10"/>
        <rFont val="Arial"/>
        <family val="2"/>
      </rPr>
      <t>MSD</t>
    </r>
    <r>
      <rPr>
        <sz val="10"/>
        <rFont val="宋体"/>
        <family val="3"/>
        <charset val="134"/>
      </rPr>
      <t>和同方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层工位差额比例估算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</si>
  <si>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层门卡、桌牌等费用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</si>
  <si>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层门卡、桌牌等费用</t>
    </r>
    <phoneticPr fontId="4" type="noConversion"/>
  </si>
  <si>
    <r>
      <t>11</t>
    </r>
    <r>
      <rPr>
        <u/>
        <sz val="10"/>
        <rFont val="宋体"/>
        <family val="3"/>
        <charset val="134"/>
      </rPr>
      <t>年月均费用</t>
    </r>
    <r>
      <rPr>
        <u/>
        <sz val="10"/>
        <rFont val="Arial"/>
        <family val="2"/>
      </rPr>
      <t>796</t>
    </r>
    <r>
      <rPr>
        <u/>
        <sz val="10"/>
        <rFont val="宋体"/>
        <family val="3"/>
        <charset val="134"/>
      </rPr>
      <t>元，</t>
    </r>
    <r>
      <rPr>
        <u/>
        <sz val="10"/>
        <rFont val="Arial"/>
        <family val="2"/>
      </rPr>
      <t>2012</t>
    </r>
    <r>
      <rPr>
        <u/>
        <sz val="10"/>
        <rFont val="宋体"/>
        <family val="3"/>
        <charset val="134"/>
      </rPr>
      <t>年考虑价格上涨因素，并按照现空余工位满负荷使用、</t>
    </r>
    <r>
      <rPr>
        <u/>
        <sz val="10"/>
        <rFont val="Arial"/>
        <family val="2"/>
      </rPr>
      <t>HC</t>
    </r>
    <r>
      <rPr>
        <u/>
        <sz val="10"/>
        <rFont val="宋体"/>
        <family val="3"/>
        <charset val="134"/>
      </rPr>
      <t>增长率同比增长，</t>
    </r>
    <r>
      <rPr>
        <u/>
        <sz val="10"/>
        <rFont val="Arial"/>
        <family val="2"/>
      </rPr>
      <t>796</t>
    </r>
    <r>
      <rPr>
        <u/>
        <sz val="10"/>
        <rFont val="宋体"/>
        <family val="3"/>
        <charset val="134"/>
      </rPr>
      <t>元</t>
    </r>
    <r>
      <rPr>
        <u/>
        <sz val="10"/>
        <rFont val="Arial"/>
        <family val="2"/>
      </rPr>
      <t>*(1+30%)*(1+25%+10%)=1397</t>
    </r>
    <r>
      <rPr>
        <u/>
        <sz val="10"/>
        <rFont val="宋体"/>
        <family val="3"/>
        <charset val="134"/>
      </rPr>
      <t>元</t>
    </r>
    <phoneticPr fontId="4" type="noConversion"/>
  </si>
  <si>
    <r>
      <rPr>
        <sz val="10"/>
        <rFont val="宋体"/>
        <family val="3"/>
        <charset val="134"/>
      </rPr>
      <t>预计</t>
    </r>
    <r>
      <rPr>
        <sz val="10"/>
        <rFont val="Arial"/>
        <family val="2"/>
      </rPr>
      <t>2011</t>
    </r>
    <r>
      <rPr>
        <sz val="10"/>
        <rFont val="宋体"/>
        <family val="3"/>
        <charset val="134"/>
      </rPr>
      <t>年需要横版</t>
    </r>
    <r>
      <rPr>
        <sz val="10"/>
        <rFont val="Arial"/>
        <family val="2"/>
      </rPr>
      <t>RFID 3000</t>
    </r>
    <r>
      <rPr>
        <sz val="10"/>
        <rFont val="宋体"/>
        <family val="3"/>
        <charset val="134"/>
      </rPr>
      <t>个，竖版</t>
    </r>
    <r>
      <rPr>
        <sz val="10"/>
        <rFont val="Arial"/>
        <family val="2"/>
      </rPr>
      <t>3000</t>
    </r>
    <r>
      <rPr>
        <sz val="10"/>
        <rFont val="宋体"/>
        <family val="3"/>
        <charset val="134"/>
      </rPr>
      <t>个，共计</t>
    </r>
    <r>
      <rPr>
        <sz val="10"/>
        <rFont val="Arial"/>
        <family val="2"/>
      </rPr>
      <t>6000</t>
    </r>
    <r>
      <rPr>
        <sz val="10"/>
        <rFont val="宋体"/>
        <family val="3"/>
        <charset val="134"/>
      </rPr>
      <t>个，费用</t>
    </r>
    <r>
      <rPr>
        <sz val="10"/>
        <rFont val="Arial"/>
        <family val="2"/>
      </rPr>
      <t>67800</t>
    </r>
    <r>
      <rPr>
        <sz val="10"/>
        <rFont val="宋体"/>
        <family val="3"/>
        <charset val="134"/>
      </rPr>
      <t>，预计发生在</t>
    </r>
    <r>
      <rPr>
        <sz val="10"/>
        <rFont val="Arial"/>
        <family val="2"/>
      </rPr>
      <t>Q2</t>
    </r>
  </si>
  <si>
    <t>搜狐网络大厦外包人员费用</t>
    <phoneticPr fontId="4" type="noConversion"/>
  </si>
  <si>
    <r>
      <t>2011</t>
    </r>
    <r>
      <rPr>
        <sz val="10"/>
        <rFont val="宋体"/>
        <family val="3"/>
        <charset val="134"/>
      </rPr>
      <t>年使用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人，服务费</t>
    </r>
    <r>
      <rPr>
        <sz val="10"/>
        <rFont val="Arial"/>
        <family val="2"/>
      </rPr>
      <t>5500</t>
    </r>
    <r>
      <rPr>
        <sz val="10"/>
        <rFont val="宋体"/>
        <family val="3"/>
        <charset val="134"/>
      </rPr>
      <t>元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人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月，另有</t>
    </r>
    <r>
      <rPr>
        <sz val="10"/>
        <rFont val="Arial"/>
        <family val="2"/>
      </rPr>
      <t>1800</t>
    </r>
    <r>
      <rPr>
        <sz val="10"/>
        <rFont val="宋体"/>
        <family val="3"/>
        <charset val="134"/>
      </rPr>
      <t>元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月的</t>
    </r>
    <r>
      <rPr>
        <sz val="10"/>
        <rFont val="Arial"/>
        <family val="2"/>
      </rPr>
      <t>OT</t>
    </r>
    <r>
      <rPr>
        <sz val="10"/>
        <rFont val="宋体"/>
        <family val="3"/>
        <charset val="134"/>
      </rPr>
      <t>检修费。按照</t>
    </r>
    <r>
      <rPr>
        <sz val="10"/>
        <rFont val="Arial"/>
        <family val="2"/>
      </rPr>
      <t>2012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HC</t>
    </r>
    <r>
      <rPr>
        <sz val="10"/>
        <rFont val="宋体"/>
        <family val="3"/>
        <charset val="134"/>
      </rPr>
      <t>增长率同比增长，</t>
    </r>
    <r>
      <rPr>
        <sz val="10"/>
        <rFont val="Arial"/>
        <family val="2"/>
      </rPr>
      <t>HC</t>
    </r>
    <r>
      <rPr>
        <sz val="10"/>
        <rFont val="宋体"/>
        <family val="3"/>
        <charset val="134"/>
      </rPr>
      <t>预增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人。同时考虑人工增长因素，服务费预增</t>
    </r>
    <r>
      <rPr>
        <sz val="10"/>
        <rFont val="Arial"/>
        <family val="2"/>
      </rPr>
      <t>10%</t>
    </r>
    <r>
      <rPr>
        <sz val="10"/>
        <rFont val="宋体"/>
        <family val="3"/>
        <charset val="134"/>
      </rPr>
      <t>。暂不和搜狗分摊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</si>
  <si>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Arial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层维修中心外包人员费用</t>
    </r>
    <phoneticPr fontId="4" type="noConversion"/>
  </si>
  <si>
    <r>
      <t>11</t>
    </r>
    <r>
      <rPr>
        <sz val="10"/>
        <rFont val="宋体"/>
        <family val="3"/>
        <charset val="134"/>
      </rPr>
      <t>年使用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人，服务费</t>
    </r>
    <r>
      <rPr>
        <sz val="10"/>
        <rFont val="Arial"/>
        <family val="2"/>
      </rPr>
      <t>5500</t>
    </r>
    <r>
      <rPr>
        <sz val="10"/>
        <rFont val="宋体"/>
        <family val="3"/>
        <charset val="134"/>
      </rPr>
      <t>元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人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月。考虑人工增长因素，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年服务费预增</t>
    </r>
    <r>
      <rPr>
        <sz val="10"/>
        <rFont val="Arial"/>
        <family val="2"/>
      </rPr>
      <t>10%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</si>
  <si>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Arial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层维修中心外包人员费用</t>
    </r>
    <phoneticPr fontId="4" type="noConversion"/>
  </si>
  <si>
    <t>天津外包人员</t>
    <phoneticPr fontId="4" type="noConversion"/>
  </si>
  <si>
    <r>
      <rPr>
        <sz val="10"/>
        <rFont val="宋体"/>
        <family val="3"/>
        <charset val="134"/>
      </rPr>
      <t>按照从</t>
    </r>
    <r>
      <rPr>
        <sz val="10"/>
        <rFont val="Arial"/>
        <family val="2"/>
      </rPr>
      <t>2012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日起外包人员进场负费，</t>
    </r>
    <r>
      <rPr>
        <sz val="10"/>
        <rFont val="Arial"/>
        <family val="2"/>
      </rPr>
      <t>6000</t>
    </r>
    <r>
      <rPr>
        <sz val="10"/>
        <rFont val="宋体"/>
        <family val="3"/>
        <charset val="134"/>
      </rPr>
      <t>元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人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月、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人估算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</si>
  <si>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层维修中心外包人员费用</t>
    </r>
    <phoneticPr fontId="4" type="noConversion"/>
  </si>
  <si>
    <t>一体机打印、维护费用</t>
    <phoneticPr fontId="4" type="noConversion"/>
  </si>
  <si>
    <r>
      <rPr>
        <sz val="10"/>
        <rFont val="宋体"/>
        <family val="3"/>
        <charset val="134"/>
      </rPr>
      <t>单价同</t>
    </r>
    <r>
      <rPr>
        <sz val="10"/>
        <rFont val="Arial"/>
        <family val="2"/>
      </rPr>
      <t>2011</t>
    </r>
    <r>
      <rPr>
        <sz val="10"/>
        <rFont val="宋体"/>
        <family val="3"/>
        <charset val="134"/>
      </rPr>
      <t>年</t>
    </r>
    <phoneticPr fontId="4" type="noConversion"/>
  </si>
  <si>
    <t>搜狐网络大厦一体机打印、维护费用</t>
    <phoneticPr fontId="4" type="noConversion"/>
  </si>
  <si>
    <r>
      <t>2011</t>
    </r>
    <r>
      <rPr>
        <u/>
        <sz val="10"/>
        <rFont val="宋体"/>
        <family val="3"/>
        <charset val="134"/>
      </rPr>
      <t>年月均费用</t>
    </r>
    <r>
      <rPr>
        <u/>
        <sz val="10"/>
        <rFont val="Arial"/>
        <family val="2"/>
      </rPr>
      <t>7079</t>
    </r>
    <r>
      <rPr>
        <u/>
        <sz val="10"/>
        <rFont val="宋体"/>
        <family val="3"/>
        <charset val="134"/>
      </rPr>
      <t>元，按照</t>
    </r>
    <r>
      <rPr>
        <u/>
        <sz val="10"/>
        <rFont val="Arial"/>
        <family val="2"/>
      </rPr>
      <t>2012</t>
    </r>
    <r>
      <rPr>
        <u/>
        <sz val="10"/>
        <rFont val="宋体"/>
        <family val="3"/>
        <charset val="134"/>
      </rPr>
      <t>年</t>
    </r>
    <r>
      <rPr>
        <u/>
        <sz val="10"/>
        <rFont val="Arial"/>
        <family val="2"/>
      </rPr>
      <t>HC</t>
    </r>
    <r>
      <rPr>
        <u/>
        <sz val="10"/>
        <rFont val="宋体"/>
        <family val="3"/>
        <charset val="134"/>
      </rPr>
      <t>增长率同比增长，即</t>
    </r>
    <r>
      <rPr>
        <u/>
        <sz val="10"/>
        <rFont val="Arial"/>
        <family val="2"/>
      </rPr>
      <t>7079</t>
    </r>
    <r>
      <rPr>
        <u/>
        <sz val="10"/>
        <rFont val="宋体"/>
        <family val="3"/>
        <charset val="134"/>
      </rPr>
      <t>元</t>
    </r>
    <r>
      <rPr>
        <u/>
        <sz val="10"/>
        <rFont val="Arial"/>
        <family val="2"/>
      </rPr>
      <t>*125%=8850</t>
    </r>
    <r>
      <rPr>
        <u/>
        <sz val="10"/>
        <rFont val="宋体"/>
        <family val="3"/>
        <charset val="134"/>
      </rPr>
      <t>元。根据搜狗财务意见，一体机费用暂不和搜狗分摊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</si>
  <si>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Arial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层一体机打印、维护费用</t>
    </r>
    <phoneticPr fontId="4" type="noConversion"/>
  </si>
  <si>
    <r>
      <t>2011</t>
    </r>
    <r>
      <rPr>
        <u/>
        <sz val="10"/>
        <rFont val="宋体"/>
        <family val="3"/>
        <charset val="134"/>
      </rPr>
      <t>年月均费用</t>
    </r>
    <r>
      <rPr>
        <u/>
        <sz val="10"/>
        <rFont val="Arial"/>
        <family val="2"/>
      </rPr>
      <t>315</t>
    </r>
    <r>
      <rPr>
        <u/>
        <sz val="10"/>
        <rFont val="宋体"/>
        <family val="3"/>
        <charset val="134"/>
      </rPr>
      <t>元，按照</t>
    </r>
    <r>
      <rPr>
        <u/>
        <sz val="10"/>
        <rFont val="Arial"/>
        <family val="2"/>
      </rPr>
      <t>2012</t>
    </r>
    <r>
      <rPr>
        <u/>
        <sz val="10"/>
        <rFont val="宋体"/>
        <family val="3"/>
        <charset val="134"/>
      </rPr>
      <t>年</t>
    </r>
    <r>
      <rPr>
        <u/>
        <sz val="10"/>
        <rFont val="Arial"/>
        <family val="2"/>
      </rPr>
      <t>HC</t>
    </r>
    <r>
      <rPr>
        <u/>
        <sz val="10"/>
        <rFont val="宋体"/>
        <family val="3"/>
        <charset val="134"/>
      </rPr>
      <t>增长率同比增长，即</t>
    </r>
    <r>
      <rPr>
        <u/>
        <sz val="10"/>
        <rFont val="Arial"/>
        <family val="2"/>
      </rPr>
      <t>315</t>
    </r>
    <r>
      <rPr>
        <u/>
        <sz val="10"/>
        <rFont val="宋体"/>
        <family val="3"/>
        <charset val="134"/>
      </rPr>
      <t>元</t>
    </r>
    <r>
      <rPr>
        <u/>
        <sz val="10"/>
        <rFont val="Arial"/>
        <family val="2"/>
      </rPr>
      <t>*125%=390</t>
    </r>
    <r>
      <rPr>
        <u/>
        <sz val="10"/>
        <rFont val="宋体"/>
        <family val="3"/>
        <charset val="134"/>
      </rPr>
      <t>元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</si>
  <si>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Arial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层一体机打印、维护费用</t>
    </r>
    <phoneticPr fontId="4" type="noConversion"/>
  </si>
  <si>
    <r>
      <t>2011</t>
    </r>
    <r>
      <rPr>
        <u/>
        <sz val="10"/>
        <rFont val="宋体"/>
        <family val="3"/>
        <charset val="134"/>
      </rPr>
      <t>年月均费用</t>
    </r>
    <r>
      <rPr>
        <u/>
        <sz val="10"/>
        <rFont val="Arial"/>
        <family val="2"/>
      </rPr>
      <t>2345</t>
    </r>
    <r>
      <rPr>
        <u/>
        <sz val="10"/>
        <rFont val="宋体"/>
        <family val="3"/>
        <charset val="134"/>
      </rPr>
      <t>元，按照</t>
    </r>
    <r>
      <rPr>
        <u/>
        <sz val="10"/>
        <rFont val="Arial"/>
        <family val="2"/>
      </rPr>
      <t>2012</t>
    </r>
    <r>
      <rPr>
        <u/>
        <sz val="10"/>
        <rFont val="宋体"/>
        <family val="3"/>
        <charset val="134"/>
      </rPr>
      <t>年</t>
    </r>
    <r>
      <rPr>
        <u/>
        <sz val="10"/>
        <rFont val="Arial"/>
        <family val="2"/>
      </rPr>
      <t>HC</t>
    </r>
    <r>
      <rPr>
        <u/>
        <sz val="10"/>
        <rFont val="宋体"/>
        <family val="3"/>
        <charset val="134"/>
      </rPr>
      <t>增长率同比增长，即</t>
    </r>
    <r>
      <rPr>
        <u/>
        <sz val="10"/>
        <rFont val="Arial"/>
        <family val="2"/>
      </rPr>
      <t>2345</t>
    </r>
    <r>
      <rPr>
        <u/>
        <sz val="10"/>
        <rFont val="宋体"/>
        <family val="3"/>
        <charset val="134"/>
      </rPr>
      <t>元</t>
    </r>
    <r>
      <rPr>
        <u/>
        <sz val="10"/>
        <rFont val="Arial"/>
        <family val="2"/>
      </rPr>
      <t>*125%=2930</t>
    </r>
    <r>
      <rPr>
        <u/>
        <sz val="10"/>
        <rFont val="宋体"/>
        <family val="3"/>
        <charset val="134"/>
      </rPr>
      <t>元</t>
    </r>
    <phoneticPr fontId="4" type="noConversion"/>
  </si>
  <si>
    <t>天津打印机维护</t>
    <phoneticPr fontId="4" type="noConversion"/>
  </si>
  <si>
    <r>
      <rPr>
        <sz val="10"/>
        <rFont val="宋体"/>
        <family val="3"/>
        <charset val="134"/>
      </rPr>
      <t>按照从</t>
    </r>
    <r>
      <rPr>
        <sz val="10"/>
        <rFont val="Arial"/>
        <family val="2"/>
      </rPr>
      <t>2012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日起发生费用，结合天津</t>
    </r>
    <r>
      <rPr>
        <sz val="10"/>
        <rFont val="Arial"/>
        <family val="2"/>
      </rPr>
      <t>MSD</t>
    </r>
    <r>
      <rPr>
        <sz val="10"/>
        <rFont val="宋体"/>
        <family val="3"/>
        <charset val="134"/>
      </rPr>
      <t>和同方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层工位差额比例估算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</si>
  <si>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层一体机打印、维护费用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</si>
  <si>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层一体机打印、维护费用</t>
    </r>
    <phoneticPr fontId="4" type="noConversion"/>
  </si>
  <si>
    <r>
      <rPr>
        <u/>
        <sz val="10"/>
        <rFont val="宋体"/>
        <family val="3"/>
        <charset val="134"/>
      </rPr>
      <t>根据融科</t>
    </r>
    <r>
      <rPr>
        <u/>
        <sz val="10"/>
        <rFont val="Arial"/>
        <family val="2"/>
      </rPr>
      <t>C</t>
    </r>
    <r>
      <rPr>
        <u/>
        <sz val="10"/>
        <rFont val="宋体"/>
        <family val="3"/>
        <charset val="134"/>
      </rPr>
      <t>座</t>
    </r>
    <r>
      <rPr>
        <u/>
        <sz val="10"/>
        <rFont val="Arial"/>
        <family val="2"/>
      </rPr>
      <t>19</t>
    </r>
    <r>
      <rPr>
        <u/>
        <sz val="10"/>
        <rFont val="宋体"/>
        <family val="3"/>
        <charset val="134"/>
      </rPr>
      <t>层费用估算，按照</t>
    </r>
    <r>
      <rPr>
        <u/>
        <sz val="10"/>
        <rFont val="Arial"/>
        <family val="2"/>
      </rPr>
      <t>2012</t>
    </r>
    <r>
      <rPr>
        <u/>
        <sz val="10"/>
        <rFont val="宋体"/>
        <family val="3"/>
        <charset val="134"/>
      </rPr>
      <t>年</t>
    </r>
    <r>
      <rPr>
        <u/>
        <sz val="10"/>
        <rFont val="Arial"/>
        <family val="2"/>
      </rPr>
      <t>HC</t>
    </r>
    <r>
      <rPr>
        <u/>
        <sz val="10"/>
        <rFont val="宋体"/>
        <family val="3"/>
        <charset val="134"/>
      </rPr>
      <t>增长同比增长，即</t>
    </r>
    <r>
      <rPr>
        <u/>
        <sz val="10"/>
        <rFont val="Arial"/>
        <family val="2"/>
      </rPr>
      <t>2819</t>
    </r>
    <r>
      <rPr>
        <u/>
        <sz val="10"/>
        <rFont val="宋体"/>
        <family val="3"/>
        <charset val="134"/>
      </rPr>
      <t>元</t>
    </r>
    <r>
      <rPr>
        <u/>
        <sz val="10"/>
        <rFont val="Arial"/>
        <family val="2"/>
      </rPr>
      <t>*125%=3520</t>
    </r>
    <r>
      <rPr>
        <u/>
        <sz val="10"/>
        <rFont val="宋体"/>
        <family val="3"/>
        <charset val="134"/>
      </rPr>
      <t>元</t>
    </r>
    <phoneticPr fontId="4" type="noConversion"/>
  </si>
  <si>
    <t>设备维修费用</t>
    <phoneticPr fontId="4" type="noConversion"/>
  </si>
  <si>
    <t>搜狐网络大厦设备维修费用</t>
    <phoneticPr fontId="4" type="noConversion"/>
  </si>
  <si>
    <r>
      <rPr>
        <u/>
        <sz val="10"/>
        <rFont val="宋体"/>
        <family val="3"/>
        <charset val="134"/>
      </rPr>
      <t>包括各部门电脑、公共办公设备维修费用，公共设备费暂不和</t>
    </r>
    <r>
      <rPr>
        <u/>
        <sz val="10"/>
        <rFont val="Arial"/>
        <family val="2"/>
      </rPr>
      <t>Sogou</t>
    </r>
    <r>
      <rPr>
        <u/>
        <sz val="10"/>
        <rFont val="宋体"/>
        <family val="3"/>
        <charset val="134"/>
      </rPr>
      <t>分摊。</t>
    </r>
    <r>
      <rPr>
        <u/>
        <sz val="10"/>
        <rFont val="Arial"/>
        <family val="2"/>
      </rPr>
      <t>11</t>
    </r>
    <r>
      <rPr>
        <u/>
        <sz val="10"/>
        <rFont val="宋体"/>
        <family val="3"/>
        <charset val="134"/>
      </rPr>
      <t>年月均费用</t>
    </r>
    <r>
      <rPr>
        <u/>
        <sz val="10"/>
        <rFont val="Arial"/>
        <family val="2"/>
      </rPr>
      <t>86337</t>
    </r>
    <r>
      <rPr>
        <u/>
        <sz val="10"/>
        <rFont val="宋体"/>
        <family val="3"/>
        <charset val="134"/>
      </rPr>
      <t>元，按照</t>
    </r>
    <r>
      <rPr>
        <u/>
        <sz val="10"/>
        <rFont val="Arial"/>
        <family val="2"/>
      </rPr>
      <t>2012</t>
    </r>
    <r>
      <rPr>
        <u/>
        <sz val="10"/>
        <rFont val="宋体"/>
        <family val="3"/>
        <charset val="134"/>
      </rPr>
      <t>年</t>
    </r>
    <r>
      <rPr>
        <u/>
        <sz val="10"/>
        <rFont val="Arial"/>
        <family val="2"/>
      </rPr>
      <t>HC</t>
    </r>
    <r>
      <rPr>
        <u/>
        <sz val="10"/>
        <rFont val="宋体"/>
        <family val="3"/>
        <charset val="134"/>
      </rPr>
      <t>增长率同比增长，即</t>
    </r>
    <r>
      <rPr>
        <u/>
        <sz val="10"/>
        <rFont val="Arial"/>
        <family val="2"/>
      </rPr>
      <t>21063</t>
    </r>
    <r>
      <rPr>
        <u/>
        <sz val="10"/>
        <rFont val="宋体"/>
        <family val="3"/>
        <charset val="134"/>
      </rPr>
      <t>元</t>
    </r>
    <r>
      <rPr>
        <u/>
        <sz val="10"/>
        <rFont val="Arial"/>
        <family val="2"/>
      </rPr>
      <t>*125%=26330</t>
    </r>
    <r>
      <rPr>
        <u/>
        <sz val="10"/>
        <rFont val="宋体"/>
        <family val="3"/>
        <charset val="134"/>
      </rPr>
      <t>元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</si>
  <si>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Arial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层设备维修费</t>
    </r>
    <phoneticPr fontId="4" type="noConversion"/>
  </si>
  <si>
    <r>
      <rPr>
        <u/>
        <sz val="10"/>
        <rFont val="宋体"/>
        <family val="3"/>
        <charset val="134"/>
      </rPr>
      <t>包括各部门电脑、公共办公设备维修费用。</t>
    </r>
    <r>
      <rPr>
        <u/>
        <sz val="10"/>
        <rFont val="Arial"/>
        <family val="2"/>
      </rPr>
      <t>11</t>
    </r>
    <r>
      <rPr>
        <u/>
        <sz val="10"/>
        <rFont val="宋体"/>
        <family val="3"/>
        <charset val="134"/>
      </rPr>
      <t>年月均电脑维修费用</t>
    </r>
    <r>
      <rPr>
        <u/>
        <sz val="10"/>
        <rFont val="Arial"/>
        <family val="2"/>
      </rPr>
      <t>1276</t>
    </r>
    <r>
      <rPr>
        <u/>
        <sz val="10"/>
        <rFont val="宋体"/>
        <family val="3"/>
        <charset val="134"/>
      </rPr>
      <t>元，按照</t>
    </r>
    <r>
      <rPr>
        <u/>
        <sz val="10"/>
        <rFont val="Arial"/>
        <family val="2"/>
      </rPr>
      <t>2012</t>
    </r>
    <r>
      <rPr>
        <u/>
        <sz val="10"/>
        <rFont val="宋体"/>
        <family val="3"/>
        <charset val="134"/>
      </rPr>
      <t>年</t>
    </r>
    <r>
      <rPr>
        <u/>
        <sz val="10"/>
        <rFont val="Arial"/>
        <family val="2"/>
      </rPr>
      <t>HC</t>
    </r>
    <r>
      <rPr>
        <u/>
        <sz val="10"/>
        <rFont val="宋体"/>
        <family val="3"/>
        <charset val="134"/>
      </rPr>
      <t>增长率同比增长，即</t>
    </r>
    <r>
      <rPr>
        <u/>
        <sz val="10"/>
        <rFont val="Arial"/>
        <family val="2"/>
      </rPr>
      <t>1276</t>
    </r>
    <r>
      <rPr>
        <u/>
        <sz val="10"/>
        <rFont val="宋体"/>
        <family val="3"/>
        <charset val="134"/>
      </rPr>
      <t>元</t>
    </r>
    <r>
      <rPr>
        <u/>
        <sz val="10"/>
        <rFont val="Arial"/>
        <family val="2"/>
      </rPr>
      <t>*125%=1595</t>
    </r>
    <r>
      <rPr>
        <u/>
        <sz val="10"/>
        <rFont val="宋体"/>
        <family val="3"/>
        <charset val="134"/>
      </rPr>
      <t>元。公共设备维修费参照搜狐大厦单层月均费用结合</t>
    </r>
    <r>
      <rPr>
        <u/>
        <sz val="10"/>
        <rFont val="Arial"/>
        <family val="2"/>
      </rPr>
      <t>HC</t>
    </r>
    <r>
      <rPr>
        <u/>
        <sz val="10"/>
        <rFont val="宋体"/>
        <family val="3"/>
        <charset val="134"/>
      </rPr>
      <t>增长率同比增长预估</t>
    </r>
    <r>
      <rPr>
        <u/>
        <sz val="10"/>
        <rFont val="Arial"/>
        <family val="2"/>
      </rPr>
      <t>11470</t>
    </r>
    <r>
      <rPr>
        <u/>
        <sz val="10"/>
        <rFont val="宋体"/>
        <family val="3"/>
        <charset val="134"/>
      </rPr>
      <t>元</t>
    </r>
    <r>
      <rPr>
        <u/>
        <sz val="10"/>
        <rFont val="Arial"/>
        <family val="2"/>
      </rPr>
      <t>/7.5</t>
    </r>
    <r>
      <rPr>
        <u/>
        <sz val="10"/>
        <rFont val="宋体"/>
        <family val="3"/>
        <charset val="134"/>
      </rPr>
      <t>层</t>
    </r>
    <r>
      <rPr>
        <u/>
        <sz val="10"/>
        <rFont val="Arial"/>
        <family val="2"/>
      </rPr>
      <t>*125%=1912</t>
    </r>
    <r>
      <rPr>
        <u/>
        <sz val="10"/>
        <rFont val="宋体"/>
        <family val="3"/>
        <charset val="134"/>
      </rPr>
      <t>元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</si>
  <si>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Arial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层设备维修费</t>
    </r>
    <phoneticPr fontId="4" type="noConversion"/>
  </si>
  <si>
    <r>
      <rPr>
        <u/>
        <sz val="10"/>
        <rFont val="宋体"/>
        <family val="3"/>
        <charset val="134"/>
      </rPr>
      <t>包括各部门电脑、公共办公设备维修费用。</t>
    </r>
    <r>
      <rPr>
        <u/>
        <sz val="10"/>
        <rFont val="Arial"/>
        <family val="2"/>
      </rPr>
      <t>11</t>
    </r>
    <r>
      <rPr>
        <u/>
        <sz val="10"/>
        <rFont val="宋体"/>
        <family val="3"/>
        <charset val="134"/>
      </rPr>
      <t>年月均电脑维修费用</t>
    </r>
    <r>
      <rPr>
        <u/>
        <sz val="10"/>
        <rFont val="Arial"/>
        <family val="2"/>
      </rPr>
      <t>4535</t>
    </r>
    <r>
      <rPr>
        <u/>
        <sz val="10"/>
        <rFont val="宋体"/>
        <family val="3"/>
        <charset val="134"/>
      </rPr>
      <t>元，按照</t>
    </r>
    <r>
      <rPr>
        <u/>
        <sz val="10"/>
        <rFont val="Arial"/>
        <family val="2"/>
      </rPr>
      <t>2012</t>
    </r>
    <r>
      <rPr>
        <u/>
        <sz val="10"/>
        <rFont val="宋体"/>
        <family val="3"/>
        <charset val="134"/>
      </rPr>
      <t>年</t>
    </r>
    <r>
      <rPr>
        <u/>
        <sz val="10"/>
        <rFont val="Arial"/>
        <family val="2"/>
      </rPr>
      <t>HC</t>
    </r>
    <r>
      <rPr>
        <u/>
        <sz val="10"/>
        <rFont val="宋体"/>
        <family val="3"/>
        <charset val="134"/>
      </rPr>
      <t>增长率同比增长，即</t>
    </r>
    <r>
      <rPr>
        <u/>
        <sz val="10"/>
        <rFont val="Arial"/>
        <family val="2"/>
      </rPr>
      <t>4535</t>
    </r>
    <r>
      <rPr>
        <u/>
        <sz val="10"/>
        <rFont val="宋体"/>
        <family val="3"/>
        <charset val="134"/>
      </rPr>
      <t>元</t>
    </r>
    <r>
      <rPr>
        <u/>
        <sz val="10"/>
        <rFont val="Arial"/>
        <family val="2"/>
      </rPr>
      <t>*125%=5669</t>
    </r>
    <r>
      <rPr>
        <u/>
        <sz val="10"/>
        <rFont val="宋体"/>
        <family val="3"/>
        <charset val="134"/>
      </rPr>
      <t>元。公共设备维修费参照搜狐大厦单层月均费用结合</t>
    </r>
    <r>
      <rPr>
        <u/>
        <sz val="10"/>
        <rFont val="Arial"/>
        <family val="2"/>
      </rPr>
      <t>HC</t>
    </r>
    <r>
      <rPr>
        <u/>
        <sz val="10"/>
        <rFont val="宋体"/>
        <family val="3"/>
        <charset val="134"/>
      </rPr>
      <t>增长率同比增长预估</t>
    </r>
    <r>
      <rPr>
        <u/>
        <sz val="10"/>
        <rFont val="Arial"/>
        <family val="2"/>
      </rPr>
      <t>11470</t>
    </r>
    <r>
      <rPr>
        <u/>
        <sz val="10"/>
        <rFont val="宋体"/>
        <family val="3"/>
        <charset val="134"/>
      </rPr>
      <t>元</t>
    </r>
    <r>
      <rPr>
        <u/>
        <sz val="10"/>
        <rFont val="Arial"/>
        <family val="2"/>
      </rPr>
      <t>/7.5</t>
    </r>
    <r>
      <rPr>
        <u/>
        <sz val="10"/>
        <rFont val="宋体"/>
        <family val="3"/>
        <charset val="134"/>
      </rPr>
      <t>层</t>
    </r>
    <r>
      <rPr>
        <u/>
        <sz val="10"/>
        <rFont val="Arial"/>
        <family val="2"/>
      </rPr>
      <t>*2</t>
    </r>
    <r>
      <rPr>
        <u/>
        <sz val="10"/>
        <rFont val="宋体"/>
        <family val="3"/>
        <charset val="134"/>
      </rPr>
      <t>层</t>
    </r>
    <r>
      <rPr>
        <u/>
        <sz val="10"/>
        <rFont val="Arial"/>
        <family val="2"/>
      </rPr>
      <t>*125%=3823</t>
    </r>
    <r>
      <rPr>
        <u/>
        <sz val="10"/>
        <rFont val="宋体"/>
        <family val="3"/>
        <charset val="134"/>
      </rPr>
      <t>元</t>
    </r>
    <phoneticPr fontId="4" type="noConversion"/>
  </si>
  <si>
    <t>天津设备维修</t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</si>
  <si>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层设备维修费</t>
    </r>
    <phoneticPr fontId="4" type="noConversion"/>
  </si>
  <si>
    <r>
      <rPr>
        <u/>
        <sz val="10"/>
        <rFont val="宋体"/>
        <family val="3"/>
        <charset val="134"/>
      </rPr>
      <t>包括各部门电脑、公共办公设备维修费用。按照同方</t>
    </r>
    <r>
      <rPr>
        <u/>
        <sz val="10"/>
        <rFont val="Arial"/>
        <family val="2"/>
      </rPr>
      <t>D</t>
    </r>
    <r>
      <rPr>
        <u/>
        <sz val="10"/>
        <rFont val="宋体"/>
        <family val="3"/>
        <charset val="134"/>
      </rPr>
      <t>座</t>
    </r>
    <r>
      <rPr>
        <u/>
        <sz val="10"/>
        <rFont val="Arial"/>
        <family val="2"/>
      </rPr>
      <t>8</t>
    </r>
    <r>
      <rPr>
        <u/>
        <sz val="10"/>
        <rFont val="宋体"/>
        <family val="3"/>
        <charset val="134"/>
      </rPr>
      <t>层费用，结合</t>
    </r>
    <r>
      <rPr>
        <u/>
        <sz val="10"/>
        <rFont val="Arial"/>
        <family val="2"/>
      </rPr>
      <t>7</t>
    </r>
    <r>
      <rPr>
        <u/>
        <sz val="10"/>
        <rFont val="宋体"/>
        <family val="3"/>
        <charset val="134"/>
      </rPr>
      <t>、</t>
    </r>
    <r>
      <rPr>
        <u/>
        <sz val="10"/>
        <rFont val="Arial"/>
        <family val="2"/>
      </rPr>
      <t>8</t>
    </r>
    <r>
      <rPr>
        <u/>
        <sz val="10"/>
        <rFont val="宋体"/>
        <family val="3"/>
        <charset val="134"/>
      </rPr>
      <t>两层工位差额比例估算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</si>
  <si>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层设备维修费</t>
    </r>
    <phoneticPr fontId="4" type="noConversion"/>
  </si>
  <si>
    <r>
      <rPr>
        <u/>
        <sz val="10"/>
        <rFont val="宋体"/>
        <family val="3"/>
        <charset val="134"/>
      </rPr>
      <t>包括各部门电脑、公共办公设备维修费用。</t>
    </r>
    <r>
      <rPr>
        <u/>
        <sz val="10"/>
        <rFont val="Arial"/>
        <family val="2"/>
      </rPr>
      <t>11</t>
    </r>
    <r>
      <rPr>
        <u/>
        <sz val="10"/>
        <rFont val="宋体"/>
        <family val="3"/>
        <charset val="134"/>
      </rPr>
      <t>年月均电脑维修费用</t>
    </r>
    <r>
      <rPr>
        <u/>
        <sz val="10"/>
        <rFont val="Arial"/>
        <family val="2"/>
      </rPr>
      <t>1425</t>
    </r>
    <r>
      <rPr>
        <u/>
        <sz val="10"/>
        <rFont val="宋体"/>
        <family val="3"/>
        <charset val="134"/>
      </rPr>
      <t>元，按照</t>
    </r>
    <r>
      <rPr>
        <u/>
        <sz val="10"/>
        <rFont val="Arial"/>
        <family val="2"/>
      </rPr>
      <t>2012</t>
    </r>
    <r>
      <rPr>
        <u/>
        <sz val="10"/>
        <rFont val="宋体"/>
        <family val="3"/>
        <charset val="134"/>
      </rPr>
      <t>年</t>
    </r>
    <r>
      <rPr>
        <u/>
        <sz val="10"/>
        <rFont val="Arial"/>
        <family val="2"/>
      </rPr>
      <t>HC</t>
    </r>
    <r>
      <rPr>
        <u/>
        <sz val="10"/>
        <rFont val="宋体"/>
        <family val="3"/>
        <charset val="134"/>
      </rPr>
      <t>增长率同比增长，即</t>
    </r>
    <r>
      <rPr>
        <u/>
        <sz val="10"/>
        <rFont val="Arial"/>
        <family val="2"/>
      </rPr>
      <t>1425</t>
    </r>
    <r>
      <rPr>
        <u/>
        <sz val="10"/>
        <rFont val="宋体"/>
        <family val="3"/>
        <charset val="134"/>
      </rPr>
      <t>元</t>
    </r>
    <r>
      <rPr>
        <u/>
        <sz val="10"/>
        <rFont val="Arial"/>
        <family val="2"/>
      </rPr>
      <t>*125%=1781</t>
    </r>
    <r>
      <rPr>
        <u/>
        <sz val="10"/>
        <rFont val="宋体"/>
        <family val="3"/>
        <charset val="134"/>
      </rPr>
      <t>元。公共设备维修费参照搜狐大厦单层月均费用结合</t>
    </r>
    <r>
      <rPr>
        <u/>
        <sz val="10"/>
        <rFont val="Arial"/>
        <family val="2"/>
      </rPr>
      <t>HC</t>
    </r>
    <r>
      <rPr>
        <u/>
        <sz val="10"/>
        <rFont val="宋体"/>
        <family val="3"/>
        <charset val="134"/>
      </rPr>
      <t>增长率同比增长预估</t>
    </r>
    <r>
      <rPr>
        <u/>
        <sz val="10"/>
        <rFont val="Arial"/>
        <family val="2"/>
      </rPr>
      <t>11470</t>
    </r>
    <r>
      <rPr>
        <u/>
        <sz val="10"/>
        <rFont val="宋体"/>
        <family val="3"/>
        <charset val="134"/>
      </rPr>
      <t>元</t>
    </r>
    <r>
      <rPr>
        <u/>
        <sz val="10"/>
        <rFont val="Arial"/>
        <family val="2"/>
      </rPr>
      <t>/7.5</t>
    </r>
    <r>
      <rPr>
        <u/>
        <sz val="10"/>
        <rFont val="宋体"/>
        <family val="3"/>
        <charset val="134"/>
      </rPr>
      <t>层</t>
    </r>
    <r>
      <rPr>
        <u/>
        <sz val="10"/>
        <rFont val="Arial"/>
        <family val="2"/>
      </rPr>
      <t>*125%=1912</t>
    </r>
    <r>
      <rPr>
        <u/>
        <sz val="10"/>
        <rFont val="宋体"/>
        <family val="3"/>
        <charset val="134"/>
      </rPr>
      <t>元</t>
    </r>
    <phoneticPr fontId="4" type="noConversion"/>
  </si>
  <si>
    <t>搜狐网络大厦家具维修费</t>
    <phoneticPr fontId="4" type="noConversion"/>
  </si>
  <si>
    <r>
      <rPr>
        <u/>
        <sz val="10"/>
        <rFont val="宋体"/>
        <family val="3"/>
        <charset val="134"/>
      </rPr>
      <t>根据</t>
    </r>
    <r>
      <rPr>
        <u/>
        <sz val="10"/>
        <rFont val="Arial"/>
        <family val="2"/>
      </rPr>
      <t>2011</t>
    </r>
    <r>
      <rPr>
        <u/>
        <sz val="10"/>
        <rFont val="宋体"/>
        <family val="3"/>
        <charset val="134"/>
      </rPr>
      <t>年月均实际费用</t>
    </r>
    <r>
      <rPr>
        <u/>
        <sz val="10"/>
        <rFont val="Arial"/>
        <family val="2"/>
      </rPr>
      <t>1749</t>
    </r>
    <r>
      <rPr>
        <u/>
        <sz val="10"/>
        <rFont val="宋体"/>
        <family val="3"/>
        <charset val="134"/>
      </rPr>
      <t>元，按照</t>
    </r>
    <r>
      <rPr>
        <u/>
        <sz val="10"/>
        <rFont val="Arial"/>
        <family val="2"/>
      </rPr>
      <t>2012</t>
    </r>
    <r>
      <rPr>
        <u/>
        <sz val="10"/>
        <rFont val="宋体"/>
        <family val="3"/>
        <charset val="134"/>
      </rPr>
      <t>年</t>
    </r>
    <r>
      <rPr>
        <u/>
        <sz val="10"/>
        <rFont val="Arial"/>
        <family val="2"/>
      </rPr>
      <t>HC</t>
    </r>
    <r>
      <rPr>
        <u/>
        <sz val="10"/>
        <rFont val="宋体"/>
        <family val="3"/>
        <charset val="134"/>
      </rPr>
      <t>增长率同比增长，且随着家具老化，维修费预</t>
    </r>
    <r>
      <rPr>
        <u/>
        <sz val="10"/>
        <rFont val="Arial"/>
        <family val="2"/>
      </rPr>
      <t>A</t>
    </r>
    <r>
      <rPr>
        <u/>
        <sz val="10"/>
        <rFont val="宋体"/>
        <family val="3"/>
        <charset val="134"/>
      </rPr>
      <t>增</t>
    </r>
    <r>
      <rPr>
        <u/>
        <sz val="10"/>
        <rFont val="Arial"/>
        <family val="2"/>
      </rPr>
      <t>20%</t>
    </r>
    <r>
      <rPr>
        <u/>
        <sz val="10"/>
        <rFont val="宋体"/>
        <family val="3"/>
        <charset val="134"/>
      </rPr>
      <t>，即</t>
    </r>
    <r>
      <rPr>
        <u/>
        <sz val="10"/>
        <rFont val="Arial"/>
        <family val="2"/>
      </rPr>
      <t>1750</t>
    </r>
    <r>
      <rPr>
        <u/>
        <sz val="10"/>
        <rFont val="宋体"/>
        <family val="3"/>
        <charset val="134"/>
      </rPr>
      <t>元</t>
    </r>
    <r>
      <rPr>
        <u/>
        <sz val="10"/>
        <rFont val="Arial"/>
        <family val="2"/>
      </rPr>
      <t>*157%*120%=3295</t>
    </r>
    <r>
      <rPr>
        <u/>
        <sz val="10"/>
        <rFont val="宋体"/>
        <family val="3"/>
        <charset val="134"/>
      </rPr>
      <t>元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</si>
  <si>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Arial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层家具维修费</t>
    </r>
    <phoneticPr fontId="4" type="noConversion"/>
  </si>
  <si>
    <r>
      <rPr>
        <sz val="10"/>
        <rFont val="宋体"/>
        <family val="3"/>
        <charset val="134"/>
      </rPr>
      <t>参照</t>
    </r>
    <r>
      <rPr>
        <sz val="10"/>
        <rFont val="Arial"/>
        <family val="2"/>
      </rPr>
      <t>2012</t>
    </r>
    <r>
      <rPr>
        <sz val="10"/>
        <rFont val="宋体"/>
        <family val="3"/>
        <charset val="134"/>
      </rPr>
      <t>年搜狐大厦单层月均费用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</si>
  <si>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Arial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层家具维修费</t>
    </r>
    <phoneticPr fontId="4" type="noConversion"/>
  </si>
  <si>
    <t>天津家具维修</t>
    <phoneticPr fontId="4" type="noConversion"/>
  </si>
  <si>
    <r>
      <t>2012</t>
    </r>
    <r>
      <rPr>
        <sz val="10"/>
        <rFont val="宋体"/>
        <family val="3"/>
        <charset val="134"/>
      </rPr>
      <t>年天津</t>
    </r>
    <r>
      <rPr>
        <sz val="10"/>
        <rFont val="Arial"/>
        <family val="2"/>
      </rPr>
      <t>MSD</t>
    </r>
    <r>
      <rPr>
        <sz val="10"/>
        <rFont val="宋体"/>
        <family val="3"/>
        <charset val="134"/>
      </rPr>
      <t>新投入使用，暂不会产生家具维修费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</si>
  <si>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层家具维修费</t>
    </r>
    <phoneticPr fontId="4" type="noConversion"/>
  </si>
  <si>
    <t>同方D座7层新投入使用，暂不计家具维修费</t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</si>
  <si>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层家具维修费</t>
    </r>
    <phoneticPr fontId="4" type="noConversion"/>
  </si>
  <si>
    <r>
      <rPr>
        <sz val="10"/>
        <rFont val="宋体"/>
        <family val="3"/>
        <charset val="134"/>
      </rPr>
      <t>参照</t>
    </r>
    <r>
      <rPr>
        <sz val="10"/>
        <rFont val="Arial"/>
        <family val="2"/>
      </rPr>
      <t>2012</t>
    </r>
    <r>
      <rPr>
        <sz val="10"/>
        <rFont val="宋体"/>
        <family val="3"/>
        <charset val="134"/>
      </rPr>
      <t>年搜狐大厦单层月均费用</t>
    </r>
    <phoneticPr fontId="4" type="noConversion"/>
  </si>
  <si>
    <t xml:space="preserve">Office Maintenance </t>
    <phoneticPr fontId="4" type="noConversion"/>
  </si>
  <si>
    <r>
      <rPr>
        <sz val="10"/>
        <rFont val="Tahoma"/>
        <family val="2"/>
      </rPr>
      <t>卫星电视维护及使用费</t>
    </r>
    <phoneticPr fontId="4" type="noConversion"/>
  </si>
  <si>
    <r>
      <rPr>
        <u/>
        <sz val="10"/>
        <rFont val="宋体"/>
        <family val="3"/>
        <charset val="134"/>
      </rPr>
      <t>参考</t>
    </r>
    <r>
      <rPr>
        <u/>
        <sz val="10"/>
        <rFont val="Arial"/>
        <family val="2"/>
      </rPr>
      <t>2011</t>
    </r>
    <r>
      <rPr>
        <u/>
        <sz val="10"/>
        <rFont val="宋体"/>
        <family val="3"/>
        <charset val="134"/>
      </rPr>
      <t>年各项维护费用，境外收视费有所上调</t>
    </r>
    <phoneticPr fontId="4" type="noConversion"/>
  </si>
  <si>
    <t>各项维护合同费用</t>
    <phoneticPr fontId="4" type="noConversion"/>
  </si>
  <si>
    <r>
      <rPr>
        <u/>
        <sz val="10"/>
        <rFont val="宋体"/>
        <family val="3"/>
        <charset val="134"/>
      </rPr>
      <t>参考</t>
    </r>
    <r>
      <rPr>
        <u/>
        <sz val="10"/>
        <rFont val="Arial"/>
        <family val="2"/>
      </rPr>
      <t>2011</t>
    </r>
    <r>
      <rPr>
        <u/>
        <sz val="10"/>
        <rFont val="宋体"/>
        <family val="3"/>
        <charset val="134"/>
      </rPr>
      <t>年各项维护费用</t>
    </r>
    <phoneticPr fontId="4" type="noConversion"/>
  </si>
  <si>
    <t>日常维护费用</t>
    <phoneticPr fontId="4" type="noConversion"/>
  </si>
  <si>
    <t>Insurance</t>
    <phoneticPr fontId="4" type="noConversion"/>
  </si>
  <si>
    <t>财产保险</t>
    <phoneticPr fontId="4" type="noConversion"/>
  </si>
  <si>
    <r>
      <rPr>
        <u/>
        <sz val="10"/>
        <rFont val="宋体"/>
        <family val="3"/>
        <charset val="134"/>
      </rPr>
      <t>资产增长</t>
    </r>
    <r>
      <rPr>
        <u/>
        <sz val="10"/>
        <rFont val="Arial"/>
        <family val="2"/>
      </rPr>
      <t>30%</t>
    </r>
    <r>
      <rPr>
        <u/>
        <sz val="10"/>
        <rFont val="宋体"/>
        <family val="3"/>
        <charset val="134"/>
      </rPr>
      <t>计算</t>
    </r>
  </si>
  <si>
    <r>
      <t>HC</t>
    </r>
    <r>
      <rPr>
        <u/>
        <sz val="10"/>
        <rFont val="宋体"/>
        <family val="3"/>
        <charset val="134"/>
      </rPr>
      <t>增加因素及业务线特需增加见，</t>
    </r>
    <r>
      <rPr>
        <u/>
        <sz val="10"/>
        <rFont val="Arial"/>
        <family val="2"/>
      </rPr>
      <t>2012</t>
    </r>
    <r>
      <rPr>
        <u/>
        <sz val="10"/>
        <rFont val="宋体"/>
        <family val="3"/>
        <charset val="134"/>
      </rPr>
      <t>年</t>
    </r>
    <r>
      <rPr>
        <u/>
        <sz val="10"/>
        <rFont val="Arial"/>
        <family val="2"/>
      </rPr>
      <t>Capex</t>
    </r>
    <phoneticPr fontId="4" type="noConversion"/>
  </si>
  <si>
    <t>详见Capex</t>
    <phoneticPr fontId="4" type="noConversion"/>
  </si>
  <si>
    <r>
      <rPr>
        <u/>
        <sz val="10"/>
        <rFont val="宋体"/>
        <family val="3"/>
        <charset val="134"/>
      </rPr>
      <t>计划年更换椅子</t>
    </r>
    <r>
      <rPr>
        <u/>
        <sz val="10"/>
        <rFont val="Arial"/>
        <family val="2"/>
      </rPr>
      <t>160</t>
    </r>
    <r>
      <rPr>
        <u/>
        <sz val="10"/>
        <rFont val="宋体"/>
        <family val="3"/>
        <charset val="134"/>
      </rPr>
      <t>把，日常采购办公家具文件柜</t>
    </r>
    <r>
      <rPr>
        <u/>
        <sz val="10"/>
        <rFont val="Arial"/>
        <family val="2"/>
      </rPr>
      <t>16</t>
    </r>
    <r>
      <rPr>
        <u/>
        <sz val="10"/>
        <rFont val="宋体"/>
        <family val="3"/>
        <charset val="134"/>
      </rPr>
      <t>个</t>
    </r>
    <r>
      <rPr>
        <u/>
        <sz val="10"/>
        <rFont val="Arial"/>
        <family val="2"/>
      </rPr>
      <t>,</t>
    </r>
    <r>
      <rPr>
        <u/>
        <sz val="10"/>
        <rFont val="宋体"/>
        <family val="3"/>
        <charset val="134"/>
      </rPr>
      <t>班台</t>
    </r>
    <r>
      <rPr>
        <u/>
        <sz val="10"/>
        <rFont val="Arial"/>
        <family val="2"/>
      </rPr>
      <t>2</t>
    </r>
    <r>
      <rPr>
        <u/>
        <sz val="10"/>
        <rFont val="宋体"/>
        <family val="3"/>
        <charset val="134"/>
      </rPr>
      <t>个</t>
    </r>
    <phoneticPr fontId="4" type="noConversion"/>
  </si>
  <si>
    <r>
      <rPr>
        <sz val="10"/>
        <rFont val="宋体"/>
        <family val="3"/>
        <charset val="134"/>
      </rPr>
      <t>▲</t>
    </r>
    <phoneticPr fontId="4" type="noConversion"/>
  </si>
  <si>
    <r>
      <rPr>
        <u/>
        <sz val="10"/>
        <rFont val="宋体"/>
        <family val="3"/>
        <charset val="134"/>
      </rPr>
      <t>明细见</t>
    </r>
    <r>
      <rPr>
        <u/>
        <sz val="10"/>
        <rFont val="Arial"/>
        <family val="2"/>
      </rPr>
      <t>2012</t>
    </r>
    <r>
      <rPr>
        <u/>
        <sz val="10"/>
        <rFont val="宋体"/>
        <family val="3"/>
        <charset val="134"/>
      </rPr>
      <t>公车保险及养护</t>
    </r>
  </si>
  <si>
    <r>
      <rPr>
        <u/>
        <sz val="10"/>
        <rFont val="宋体"/>
        <family val="3"/>
        <charset val="134"/>
      </rPr>
      <t>明细见</t>
    </r>
    <r>
      <rPr>
        <u/>
        <sz val="10"/>
        <rFont val="Arial"/>
        <family val="2"/>
      </rPr>
      <t>2012</t>
    </r>
    <r>
      <rPr>
        <u/>
        <sz val="10"/>
        <rFont val="宋体"/>
        <family val="3"/>
        <charset val="134"/>
      </rPr>
      <t>公车保险及养护</t>
    </r>
    <phoneticPr fontId="4" type="noConversion"/>
  </si>
  <si>
    <t>搜狐车辆维修保养</t>
    <phoneticPr fontId="4" type="noConversion"/>
  </si>
  <si>
    <r>
      <rPr>
        <b/>
        <u/>
        <sz val="10"/>
        <color rgb="FFFF0066"/>
        <rFont val="宋体"/>
        <family val="3"/>
        <charset val="134"/>
      </rPr>
      <t>合计（含天津</t>
    </r>
    <r>
      <rPr>
        <b/>
        <u/>
        <sz val="10"/>
        <color rgb="FFFF0066"/>
        <rFont val="Arial"/>
        <family val="2"/>
      </rPr>
      <t>/</t>
    </r>
    <r>
      <rPr>
        <b/>
        <u/>
        <sz val="10"/>
        <color rgb="FFFF0066"/>
        <rFont val="宋体"/>
        <family val="3"/>
        <charset val="134"/>
      </rPr>
      <t>同方</t>
    </r>
    <r>
      <rPr>
        <b/>
        <u/>
        <sz val="10"/>
        <color rgb="FFFF0066"/>
        <rFont val="Arial"/>
        <family val="2"/>
      </rPr>
      <t>7</t>
    </r>
    <r>
      <rPr>
        <b/>
        <u/>
        <sz val="10"/>
        <color rgb="FFFF0066"/>
        <rFont val="宋体"/>
        <family val="3"/>
        <charset val="134"/>
      </rPr>
      <t>）</t>
    </r>
    <phoneticPr fontId="4" type="noConversion"/>
  </si>
  <si>
    <r>
      <rPr>
        <sz val="10"/>
        <rFont val="宋体"/>
        <family val="3"/>
        <charset val="134"/>
      </rPr>
      <t>注</t>
    </r>
    <phoneticPr fontId="4" type="noConversion"/>
  </si>
  <si>
    <r>
      <rPr>
        <sz val="10"/>
        <rFont val="宋体"/>
        <family val="3"/>
        <charset val="134"/>
      </rPr>
      <t>※物业租</t>
    </r>
    <phoneticPr fontId="4" type="noConversion"/>
  </si>
  <si>
    <r>
      <rPr>
        <sz val="10"/>
        <rFont val="宋体"/>
        <family val="3"/>
        <charset val="134"/>
      </rPr>
      <t>★资产组</t>
    </r>
    <phoneticPr fontId="4" type="noConversion"/>
  </si>
  <si>
    <r>
      <rPr>
        <sz val="10"/>
        <rFont val="宋体"/>
        <family val="3"/>
        <charset val="134"/>
      </rPr>
      <t>▲差旅前台组</t>
    </r>
    <phoneticPr fontId="4" type="noConversion"/>
  </si>
  <si>
    <r>
      <rPr>
        <sz val="10"/>
        <rFont val="宋体"/>
        <family val="3"/>
        <charset val="134"/>
      </rPr>
      <t>◆工程组</t>
    </r>
    <phoneticPr fontId="4" type="noConversion"/>
  </si>
  <si>
    <t>天津</t>
    <phoneticPr fontId="1" type="noConversion"/>
  </si>
  <si>
    <t>预算项目</t>
    <phoneticPr fontId="4" type="noConversion"/>
  </si>
  <si>
    <t>项目内容</t>
    <phoneticPr fontId="4" type="noConversion"/>
  </si>
  <si>
    <t>净增</t>
    <phoneticPr fontId="4" type="noConversion"/>
  </si>
  <si>
    <t>增幅</t>
    <phoneticPr fontId="4" type="noConversion"/>
  </si>
  <si>
    <t>备注说明</t>
    <phoneticPr fontId="4" type="noConversion"/>
  </si>
  <si>
    <t>房屋租金</t>
    <phoneticPr fontId="4" type="noConversion"/>
  </si>
  <si>
    <t>停车位租金</t>
    <phoneticPr fontId="4" type="noConversion"/>
  </si>
  <si>
    <t>保安服务</t>
    <phoneticPr fontId="4" type="noConversion"/>
  </si>
  <si>
    <t>绿植租摆</t>
    <phoneticPr fontId="4" type="noConversion"/>
  </si>
  <si>
    <t>Office Cleaning</t>
    <phoneticPr fontId="4" type="noConversion"/>
  </si>
  <si>
    <t>办公区保洁（含部分阿姨外包、地毯清洗）</t>
    <phoneticPr fontId="4" type="noConversion"/>
  </si>
  <si>
    <t xml:space="preserve">Pantry Service </t>
    <phoneticPr fontId="4" type="noConversion"/>
  </si>
  <si>
    <t>阿姨费用</t>
    <phoneticPr fontId="4" type="noConversion"/>
  </si>
  <si>
    <t>Shuttle Bus</t>
    <phoneticPr fontId="4" type="noConversion"/>
  </si>
  <si>
    <t>班车</t>
    <phoneticPr fontId="4" type="noConversion"/>
  </si>
  <si>
    <t>Pantry Supplies:</t>
    <phoneticPr fontId="4" type="noConversion"/>
  </si>
  <si>
    <t>Office consumables</t>
    <phoneticPr fontId="4" type="noConversion"/>
  </si>
  <si>
    <t>办公用品、门卡、桌牌、资产标签</t>
    <phoneticPr fontId="4" type="noConversion"/>
  </si>
  <si>
    <t>Facility Maintenance</t>
    <phoneticPr fontId="4" type="noConversion"/>
  </si>
  <si>
    <t xml:space="preserve">Office Maintenance </t>
    <phoneticPr fontId="4" type="noConversion"/>
  </si>
  <si>
    <t>办公室装修维护</t>
    <phoneticPr fontId="4" type="noConversion"/>
  </si>
  <si>
    <t>Insurance</t>
    <phoneticPr fontId="4" type="noConversion"/>
  </si>
  <si>
    <t>财产保险</t>
    <phoneticPr fontId="4" type="noConversion"/>
  </si>
  <si>
    <t>Capex</t>
    <phoneticPr fontId="4" type="noConversion"/>
  </si>
  <si>
    <t>资产采购、新办公区建设、新办公区家具</t>
    <phoneticPr fontId="4" type="noConversion"/>
  </si>
  <si>
    <t>Company Vehicle</t>
    <phoneticPr fontId="4" type="noConversion"/>
  </si>
  <si>
    <t>车辆维修保养及保险</t>
    <phoneticPr fontId="4" type="noConversion"/>
  </si>
  <si>
    <r>
      <t>2013</t>
    </r>
    <r>
      <rPr>
        <b/>
        <sz val="10"/>
        <rFont val="宋体"/>
        <family val="3"/>
        <charset val="134"/>
      </rPr>
      <t>年行政预算与</t>
    </r>
    <r>
      <rPr>
        <b/>
        <sz val="10"/>
        <rFont val="Arial"/>
        <family val="2"/>
      </rPr>
      <t>2012</t>
    </r>
    <r>
      <rPr>
        <b/>
        <sz val="10"/>
        <rFont val="宋体"/>
        <family val="3"/>
        <charset val="134"/>
      </rPr>
      <t>年对比</t>
    </r>
    <phoneticPr fontId="4" type="noConversion"/>
  </si>
  <si>
    <r>
      <t>2013</t>
    </r>
    <r>
      <rPr>
        <b/>
        <sz val="10"/>
        <rFont val="宋体"/>
        <family val="3"/>
        <charset val="134"/>
      </rPr>
      <t>年预算</t>
    </r>
    <phoneticPr fontId="4" type="noConversion"/>
  </si>
  <si>
    <r>
      <t>2012</t>
    </r>
    <r>
      <rPr>
        <b/>
        <sz val="10"/>
        <rFont val="宋体"/>
        <family val="3"/>
        <charset val="134"/>
      </rPr>
      <t>年预算</t>
    </r>
    <phoneticPr fontId="4" type="noConversion"/>
  </si>
  <si>
    <t>茶水间饮品及瓷杯制作</t>
    <phoneticPr fontId="4" type="noConversion"/>
  </si>
  <si>
    <t>合计</t>
    <phoneticPr fontId="4" type="noConversion"/>
  </si>
  <si>
    <t>3层租金上调30%，地下摄影棚租金上调10%</t>
    <phoneticPr fontId="1" type="noConversion"/>
  </si>
  <si>
    <t>2012年同方车位费预估较高</t>
    <phoneticPr fontId="1" type="noConversion"/>
  </si>
  <si>
    <t>2013年同方电费预估较高</t>
    <phoneticPr fontId="1" type="noConversion"/>
  </si>
  <si>
    <t>融科A的租赁到2013半年预估</t>
    <phoneticPr fontId="1" type="noConversion"/>
  </si>
  <si>
    <t>融科A按2013年租赁半年预估，同方2012年预估较高，华清部分费用降低</t>
    <phoneticPr fontId="1" type="noConversion"/>
  </si>
  <si>
    <r>
      <rPr>
        <sz val="10"/>
        <rFont val="宋体"/>
        <family val="3"/>
        <charset val="134"/>
      </rPr>
      <t>市场价格上涨因素，同方及融科</t>
    </r>
    <r>
      <rPr>
        <sz val="10"/>
        <rFont val="Arial"/>
        <family val="2"/>
      </rPr>
      <t>A</t>
    </r>
    <r>
      <rPr>
        <sz val="10"/>
        <rFont val="宋体"/>
        <family val="3"/>
        <charset val="134"/>
      </rPr>
      <t>非全年预估</t>
    </r>
    <phoneticPr fontId="1" type="noConversion"/>
  </si>
  <si>
    <r>
      <rPr>
        <sz val="10"/>
        <rFont val="宋体"/>
        <family val="3"/>
        <charset val="134"/>
      </rPr>
      <t>比</t>
    </r>
    <r>
      <rPr>
        <sz val="10"/>
        <rFont val="Arial"/>
        <family val="2"/>
      </rPr>
      <t>2012</t>
    </r>
    <r>
      <rPr>
        <sz val="10"/>
        <rFont val="宋体"/>
        <family val="3"/>
        <charset val="134"/>
      </rPr>
      <t>年少了同方</t>
    </r>
    <r>
      <rPr>
        <sz val="10"/>
        <rFont val="Arial"/>
        <family val="2"/>
      </rPr>
      <t>D7</t>
    </r>
    <r>
      <rPr>
        <sz val="10"/>
        <rFont val="宋体"/>
        <family val="3"/>
        <charset val="134"/>
      </rPr>
      <t>的费用</t>
    </r>
    <phoneticPr fontId="1" type="noConversion"/>
  </si>
  <si>
    <t>考虑因员工人数增加，预增加班车数量</t>
    <phoneticPr fontId="1" type="noConversion"/>
  </si>
  <si>
    <t>融科A 同方D8未按2013全年预算，另2012同方预估金额较高</t>
    <phoneticPr fontId="1" type="noConversion"/>
  </si>
  <si>
    <t>融科A 同方D8未按2013全年预算</t>
    <phoneticPr fontId="1" type="noConversion"/>
  </si>
  <si>
    <t>家具维修</t>
    <phoneticPr fontId="4" type="noConversion"/>
  </si>
  <si>
    <t>境外电视收视费上调，办公区维护费增加</t>
    <phoneticPr fontId="1" type="noConversion"/>
  </si>
  <si>
    <t>保险政策优惠，成本降低</t>
    <phoneticPr fontId="1" type="noConversion"/>
  </si>
  <si>
    <t>少了装修部分的预算</t>
    <phoneticPr fontId="1" type="noConversion"/>
  </si>
  <si>
    <t>2012年有出险的车辆2013年保险费会高于2012年；ES名下车辆转至业务线5辆，故2013年维修保养费低于2012年。</t>
    <phoneticPr fontId="1" type="noConversion"/>
  </si>
  <si>
    <t>人工服务费用上调，地毯清洗对于新租部分增加清洗，同方D及融科A均非全年预估</t>
    <phoneticPr fontId="1" type="noConversion"/>
  </si>
  <si>
    <t>去掉外包人员及设备维修维护费用预算，比2012年减少维修，设备，外包人员预算费用约137.8万</t>
    <phoneticPr fontId="1" type="noConversion"/>
  </si>
  <si>
    <t>班车服务费</t>
    <phoneticPr fontId="4" type="noConversion"/>
  </si>
  <si>
    <r>
      <t>2013</t>
    </r>
    <r>
      <rPr>
        <b/>
        <sz val="10"/>
        <rFont val="宋体"/>
        <family val="3"/>
        <charset val="134"/>
      </rPr>
      <t>年行政预算计算依据表</t>
    </r>
    <phoneticPr fontId="4" type="noConversion"/>
  </si>
  <si>
    <r>
      <t>Price</t>
    </r>
    <r>
      <rPr>
        <b/>
        <sz val="10"/>
        <rFont val="Arial Unicode MS"/>
        <family val="2"/>
        <charset val="134"/>
      </rPr>
      <t>（</t>
    </r>
    <r>
      <rPr>
        <b/>
        <sz val="10"/>
        <rFont val="Calibri"/>
        <family val="2"/>
      </rPr>
      <t>ES</t>
    </r>
    <r>
      <rPr>
        <b/>
        <sz val="10"/>
        <rFont val="Arial Unicode MS"/>
        <family val="2"/>
        <charset val="134"/>
      </rPr>
      <t>）</t>
    </r>
    <phoneticPr fontId="4" type="noConversion"/>
  </si>
  <si>
    <r>
      <t>2012</t>
    </r>
    <r>
      <rPr>
        <b/>
        <sz val="10"/>
        <rFont val="宋体"/>
        <family val="3"/>
        <charset val="134"/>
      </rPr>
      <t>预算</t>
    </r>
    <phoneticPr fontId="4" type="noConversion"/>
  </si>
  <si>
    <t>变化比例</t>
    <phoneticPr fontId="4" type="noConversion"/>
  </si>
  <si>
    <r>
      <rPr>
        <sz val="10"/>
        <rFont val="Arial Unicode MS"/>
        <family val="2"/>
        <charset val="134"/>
      </rPr>
      <t>（</t>
    </r>
    <r>
      <rPr>
        <sz val="10"/>
        <rFont val="Calibri"/>
        <family val="2"/>
      </rPr>
      <t>a</t>
    </r>
    <r>
      <rPr>
        <sz val="10"/>
        <rFont val="Arial Unicode MS"/>
        <family val="2"/>
        <charset val="134"/>
      </rPr>
      <t>）</t>
    </r>
    <phoneticPr fontId="4" type="noConversion"/>
  </si>
  <si>
    <r>
      <rPr>
        <sz val="10"/>
        <rFont val="Arial Unicode MS"/>
        <family val="2"/>
        <charset val="134"/>
      </rPr>
      <t>（</t>
    </r>
    <r>
      <rPr>
        <sz val="10"/>
        <rFont val="Calibri"/>
        <family val="2"/>
      </rPr>
      <t>b</t>
    </r>
    <r>
      <rPr>
        <sz val="10"/>
        <rFont val="Arial Unicode MS"/>
        <family val="2"/>
        <charset val="134"/>
      </rPr>
      <t>）</t>
    </r>
    <r>
      <rPr>
        <sz val="10"/>
        <rFont val="Calibri"/>
        <family val="2"/>
      </rPr>
      <t>=</t>
    </r>
    <r>
      <rPr>
        <sz val="10"/>
        <rFont val="Arial Unicode MS"/>
        <family val="2"/>
        <charset val="134"/>
      </rPr>
      <t>（</t>
    </r>
    <r>
      <rPr>
        <sz val="10"/>
        <rFont val="Calibri"/>
        <family val="2"/>
      </rPr>
      <t>a</t>
    </r>
    <r>
      <rPr>
        <sz val="10"/>
        <rFont val="Arial Unicode MS"/>
        <family val="2"/>
        <charset val="134"/>
      </rPr>
      <t>）</t>
    </r>
    <r>
      <rPr>
        <sz val="10"/>
        <rFont val="Calibri"/>
        <family val="2"/>
      </rPr>
      <t>*12</t>
    </r>
    <phoneticPr fontId="4" type="noConversion"/>
  </si>
  <si>
    <r>
      <rPr>
        <sz val="10"/>
        <rFont val="Arial"/>
        <family val="2"/>
      </rPr>
      <t>搜狐网络大厦租金</t>
    </r>
    <phoneticPr fontId="4" type="noConversion"/>
  </si>
  <si>
    <r>
      <rPr>
        <sz val="10"/>
        <rFont val="Arial"/>
        <family val="2"/>
      </rPr>
      <t>库房租金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</si>
  <si>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4</t>
    </r>
    <r>
      <rPr>
        <sz val="10"/>
        <rFont val="宋体"/>
        <family val="3"/>
        <charset val="134"/>
      </rPr>
      <t>层物业管理费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</si>
  <si>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20</t>
    </r>
    <r>
      <rPr>
        <sz val="10"/>
        <rFont val="宋体"/>
        <family val="3"/>
        <charset val="134"/>
      </rPr>
      <t>层租金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</si>
  <si>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20</t>
    </r>
    <r>
      <rPr>
        <sz val="10"/>
        <rFont val="宋体"/>
        <family val="3"/>
        <charset val="134"/>
      </rPr>
      <t>层物业管理费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</si>
  <si>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A</t>
    </r>
    <r>
      <rPr>
        <sz val="10"/>
        <rFont val="宋体"/>
        <family val="3"/>
        <charset val="134"/>
      </rPr>
      <t>座地下停车费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</si>
  <si>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4</t>
    </r>
    <r>
      <rPr>
        <sz val="10"/>
        <rFont val="宋体"/>
        <family val="3"/>
        <charset val="134"/>
      </rPr>
      <t>层电费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</si>
  <si>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4</t>
    </r>
    <r>
      <rPr>
        <sz val="10"/>
        <rFont val="宋体"/>
        <family val="3"/>
        <charset val="134"/>
      </rPr>
      <t>层饮用水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</si>
  <si>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8</t>
    </r>
    <r>
      <rPr>
        <sz val="10"/>
        <rFont val="宋体"/>
        <family val="3"/>
        <charset val="134"/>
      </rPr>
      <t>层饮用水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</si>
  <si>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8</t>
    </r>
    <r>
      <rPr>
        <sz val="10"/>
        <rFont val="宋体"/>
        <family val="3"/>
        <charset val="134"/>
      </rPr>
      <t>层保安费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</si>
  <si>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4</t>
    </r>
    <r>
      <rPr>
        <sz val="10"/>
        <rFont val="宋体"/>
        <family val="3"/>
        <charset val="134"/>
      </rPr>
      <t>层植物租摆费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</si>
  <si>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4</t>
    </r>
    <r>
      <rPr>
        <sz val="10"/>
        <rFont val="宋体"/>
        <family val="3"/>
        <charset val="134"/>
      </rPr>
      <t>层日常保洁费用</t>
    </r>
    <phoneticPr fontId="4" type="noConversion"/>
  </si>
  <si>
    <t>说明</t>
    <phoneticPr fontId="4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</si>
  <si>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</si>
  <si>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</si>
  <si>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</si>
  <si>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合计</t>
    <phoneticPr fontId="1" type="noConversion"/>
  </si>
  <si>
    <r>
      <rPr>
        <sz val="10"/>
        <rFont val="Arial"/>
        <family val="2"/>
      </rPr>
      <t>财产保险</t>
    </r>
    <phoneticPr fontId="4" type="noConversion"/>
  </si>
  <si>
    <t>Insurance</t>
  </si>
  <si>
    <t>财产保险</t>
  </si>
  <si>
    <t>Capex</t>
  </si>
  <si>
    <t>资产</t>
  </si>
  <si>
    <t>家具</t>
  </si>
  <si>
    <t>Subscription fee</t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</si>
  <si>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A4</t>
    </r>
    <phoneticPr fontId="4" type="noConversion"/>
  </si>
  <si>
    <t>物业费</t>
    <phoneticPr fontId="4" type="noConversion"/>
  </si>
  <si>
    <t>10</t>
  </si>
  <si>
    <t>11</t>
  </si>
  <si>
    <t>媒体大厦电费</t>
    <phoneticPr fontId="4" type="noConversion"/>
  </si>
  <si>
    <t>媒体大厦水费</t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</si>
  <si>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7</t>
    </r>
    <r>
      <rPr>
        <sz val="10"/>
        <rFont val="宋体"/>
        <family val="3"/>
        <charset val="134"/>
      </rPr>
      <t>层电费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</si>
  <si>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8</t>
    </r>
    <r>
      <rPr>
        <sz val="10"/>
        <rFont val="宋体"/>
        <family val="3"/>
        <charset val="134"/>
      </rPr>
      <t>层电费</t>
    </r>
    <phoneticPr fontId="4" type="noConversion"/>
  </si>
  <si>
    <t>媒体大厦供暖费</t>
    <phoneticPr fontId="4" type="noConversion"/>
  </si>
  <si>
    <t>媒体大厦生活热水费</t>
    <phoneticPr fontId="4" type="noConversion"/>
  </si>
  <si>
    <r>
      <rPr>
        <sz val="10"/>
        <rFont val="Arial"/>
        <family val="2"/>
      </rPr>
      <t>日常维护费用</t>
    </r>
    <phoneticPr fontId="4" type="noConversion"/>
  </si>
  <si>
    <t>各项维护合同费用</t>
  </si>
  <si>
    <t>5F</t>
  </si>
  <si>
    <t>6F</t>
  </si>
  <si>
    <t>7F</t>
  </si>
  <si>
    <t>8F</t>
  </si>
  <si>
    <t>9F</t>
  </si>
  <si>
    <t>10F</t>
  </si>
  <si>
    <t>11F</t>
  </si>
  <si>
    <t>12F</t>
  </si>
  <si>
    <t>15F</t>
  </si>
  <si>
    <t>16F</t>
  </si>
  <si>
    <t>17F</t>
  </si>
  <si>
    <t>18F</t>
  </si>
  <si>
    <t>公寓植物租摆费</t>
    <phoneticPr fontId="4" type="noConversion"/>
  </si>
  <si>
    <t>皂君庙宿舍日常保洁费用</t>
    <phoneticPr fontId="4" type="noConversion"/>
  </si>
  <si>
    <t>搜狐网络大厦茶水间、收发室阿姨费用</t>
    <phoneticPr fontId="4" type="noConversion"/>
  </si>
  <si>
    <r>
      <rPr>
        <sz val="10"/>
        <rFont val="Arial"/>
        <family val="2"/>
      </rPr>
      <t>库房物业管理费</t>
    </r>
    <phoneticPr fontId="4" type="noConversion"/>
  </si>
  <si>
    <r>
      <rPr>
        <sz val="10"/>
        <rFont val="Arial"/>
        <family val="2"/>
      </rPr>
      <t>华清嘉园租金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</si>
  <si>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4</t>
    </r>
    <r>
      <rPr>
        <sz val="10"/>
        <rFont val="宋体"/>
        <family val="3"/>
        <charset val="134"/>
      </rPr>
      <t>层租金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</si>
  <si>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4</t>
    </r>
    <r>
      <rPr>
        <sz val="10"/>
        <rFont val="宋体"/>
        <family val="3"/>
        <charset val="134"/>
      </rPr>
      <t>层物业管理费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</si>
  <si>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20</t>
    </r>
    <r>
      <rPr>
        <sz val="10"/>
        <rFont val="宋体"/>
        <family val="3"/>
        <charset val="134"/>
      </rPr>
      <t>层租金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</si>
  <si>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20</t>
    </r>
    <r>
      <rPr>
        <sz val="10"/>
        <rFont val="宋体"/>
        <family val="3"/>
        <charset val="134"/>
      </rPr>
      <t>层物业管理费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</si>
  <si>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7</t>
    </r>
    <r>
      <rPr>
        <sz val="10"/>
        <rFont val="宋体"/>
        <family val="3"/>
        <charset val="134"/>
      </rPr>
      <t>层租金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</si>
  <si>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7</t>
    </r>
    <r>
      <rPr>
        <sz val="10"/>
        <rFont val="宋体"/>
        <family val="3"/>
        <charset val="134"/>
      </rPr>
      <t>层物业管理费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</si>
  <si>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8</t>
    </r>
    <r>
      <rPr>
        <sz val="10"/>
        <rFont val="宋体"/>
        <family val="3"/>
        <charset val="134"/>
      </rPr>
      <t>层租金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</si>
  <si>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8</t>
    </r>
    <r>
      <rPr>
        <sz val="10"/>
        <rFont val="宋体"/>
        <family val="3"/>
        <charset val="134"/>
      </rPr>
      <t>层物业管理费</t>
    </r>
    <phoneticPr fontId="4" type="noConversion"/>
  </si>
  <si>
    <r>
      <rPr>
        <sz val="10"/>
        <rFont val="宋体"/>
        <family val="3"/>
        <charset val="134"/>
      </rPr>
      <t>停车费（搜狐大厦</t>
    </r>
    <r>
      <rPr>
        <sz val="10"/>
        <rFont val="Calibri"/>
        <family val="2"/>
      </rPr>
      <t>-SOHU</t>
    </r>
    <r>
      <rPr>
        <sz val="10"/>
        <rFont val="宋体"/>
        <family val="3"/>
        <charset val="134"/>
      </rPr>
      <t>）</t>
    </r>
    <phoneticPr fontId="4" type="noConversion"/>
  </si>
  <si>
    <r>
      <rPr>
        <sz val="10"/>
        <rFont val="宋体"/>
        <family val="3"/>
        <charset val="134"/>
      </rPr>
      <t>停车费（科技大厦</t>
    </r>
    <r>
      <rPr>
        <sz val="10"/>
        <rFont val="Calibri"/>
        <family val="2"/>
      </rPr>
      <t>-SOHU</t>
    </r>
    <r>
      <rPr>
        <sz val="10"/>
        <rFont val="宋体"/>
        <family val="3"/>
        <charset val="134"/>
      </rPr>
      <t>）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</si>
  <si>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A</t>
    </r>
    <r>
      <rPr>
        <sz val="10"/>
        <rFont val="宋体"/>
        <family val="3"/>
        <charset val="134"/>
      </rPr>
      <t>座地下停车费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</si>
  <si>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座地下停车费</t>
    </r>
    <phoneticPr fontId="4" type="noConversion"/>
  </si>
  <si>
    <r>
      <rPr>
        <sz val="10"/>
        <rFont val="Arial"/>
        <family val="2"/>
      </rPr>
      <t>融科中科行健地面停车费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</si>
  <si>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7</t>
    </r>
    <r>
      <rPr>
        <sz val="10"/>
        <rFont val="宋体"/>
        <family val="3"/>
        <charset val="134"/>
      </rPr>
      <t>层地下停车费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</si>
  <si>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8</t>
    </r>
    <r>
      <rPr>
        <sz val="10"/>
        <rFont val="宋体"/>
        <family val="3"/>
        <charset val="134"/>
      </rPr>
      <t>层地下停车费</t>
    </r>
    <phoneticPr fontId="4" type="noConversion"/>
  </si>
  <si>
    <r>
      <rPr>
        <sz val="10"/>
        <rFont val="Arial"/>
        <family val="2"/>
      </rPr>
      <t>搜狐网络大厦电费</t>
    </r>
    <phoneticPr fontId="4" type="noConversion"/>
  </si>
  <si>
    <r>
      <rPr>
        <sz val="10"/>
        <rFont val="Arial"/>
        <family val="2"/>
      </rPr>
      <t>华清嘉园电费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</si>
  <si>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4</t>
    </r>
    <r>
      <rPr>
        <sz val="10"/>
        <rFont val="宋体"/>
        <family val="3"/>
        <charset val="134"/>
      </rPr>
      <t>层电费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</si>
  <si>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20</t>
    </r>
    <r>
      <rPr>
        <sz val="10"/>
        <rFont val="宋体"/>
        <family val="3"/>
        <charset val="134"/>
      </rPr>
      <t>层电费</t>
    </r>
    <phoneticPr fontId="4" type="noConversion"/>
  </si>
  <si>
    <r>
      <rPr>
        <sz val="10"/>
        <rFont val="Arial"/>
        <family val="2"/>
      </rPr>
      <t>搜狐网络大厦饮用水</t>
    </r>
    <phoneticPr fontId="4" type="noConversion"/>
  </si>
  <si>
    <r>
      <rPr>
        <sz val="10"/>
        <rFont val="Arial"/>
        <family val="2"/>
      </rPr>
      <t>华清、宿舍及公寓饮用水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</si>
  <si>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4</t>
    </r>
    <r>
      <rPr>
        <sz val="10"/>
        <rFont val="宋体"/>
        <family val="3"/>
        <charset val="134"/>
      </rPr>
      <t>层饮用水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</si>
  <si>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20</t>
    </r>
    <r>
      <rPr>
        <sz val="10"/>
        <rFont val="宋体"/>
        <family val="3"/>
        <charset val="134"/>
      </rPr>
      <t>层饮用水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</si>
  <si>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7</t>
    </r>
    <r>
      <rPr>
        <sz val="10"/>
        <rFont val="宋体"/>
        <family val="3"/>
        <charset val="134"/>
      </rPr>
      <t>层饮用水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</si>
  <si>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8</t>
    </r>
    <r>
      <rPr>
        <sz val="10"/>
        <rFont val="宋体"/>
        <family val="3"/>
        <charset val="134"/>
      </rPr>
      <t>层饮用水</t>
    </r>
    <phoneticPr fontId="4" type="noConversion"/>
  </si>
  <si>
    <r>
      <rPr>
        <sz val="10"/>
        <rFont val="Arial"/>
        <family val="2"/>
      </rPr>
      <t>搜狐网络大厦保安费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</si>
  <si>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4</t>
    </r>
    <r>
      <rPr>
        <sz val="10"/>
        <rFont val="宋体"/>
        <family val="3"/>
        <charset val="134"/>
      </rPr>
      <t>层保安费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</si>
  <si>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20</t>
    </r>
    <r>
      <rPr>
        <sz val="10"/>
        <rFont val="宋体"/>
        <family val="3"/>
        <charset val="134"/>
      </rPr>
      <t>层保安费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</si>
  <si>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7</t>
    </r>
    <r>
      <rPr>
        <sz val="10"/>
        <rFont val="宋体"/>
        <family val="3"/>
        <charset val="134"/>
      </rPr>
      <t>层保安费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</si>
  <si>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8</t>
    </r>
    <r>
      <rPr>
        <sz val="10"/>
        <rFont val="宋体"/>
        <family val="3"/>
        <charset val="134"/>
      </rPr>
      <t>层保安费</t>
    </r>
    <phoneticPr fontId="4" type="noConversion"/>
  </si>
  <si>
    <r>
      <rPr>
        <sz val="10"/>
        <rFont val="Arial"/>
        <family val="2"/>
      </rPr>
      <t>搜狐网络大厦植物租摆费</t>
    </r>
    <phoneticPr fontId="4" type="noConversion"/>
  </si>
  <si>
    <r>
      <rPr>
        <sz val="10"/>
        <rFont val="Arial"/>
        <family val="2"/>
      </rPr>
      <t>华清及公寓植物租摆费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</si>
  <si>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4</t>
    </r>
    <r>
      <rPr>
        <sz val="10"/>
        <rFont val="宋体"/>
        <family val="3"/>
        <charset val="134"/>
      </rPr>
      <t>层植物租摆费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</si>
  <si>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20</t>
    </r>
    <r>
      <rPr>
        <sz val="10"/>
        <rFont val="宋体"/>
        <family val="3"/>
        <charset val="134"/>
      </rPr>
      <t>层植物租摆费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</si>
  <si>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7</t>
    </r>
    <r>
      <rPr>
        <sz val="10"/>
        <rFont val="宋体"/>
        <family val="3"/>
        <charset val="134"/>
      </rPr>
      <t>层植物租摆费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</si>
  <si>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8</t>
    </r>
    <r>
      <rPr>
        <sz val="10"/>
        <rFont val="宋体"/>
        <family val="3"/>
        <charset val="134"/>
      </rPr>
      <t>层植物租摆费</t>
    </r>
    <phoneticPr fontId="4" type="noConversion"/>
  </si>
  <si>
    <r>
      <rPr>
        <u/>
        <sz val="10"/>
        <rFont val="Arial"/>
        <family val="2"/>
      </rPr>
      <t>日常保洁</t>
    </r>
    <phoneticPr fontId="4" type="noConversion"/>
  </si>
  <si>
    <r>
      <rPr>
        <sz val="10"/>
        <rFont val="Arial"/>
        <family val="2"/>
      </rPr>
      <t>搜狐网络大厦日常保洁费用</t>
    </r>
    <phoneticPr fontId="4" type="noConversion"/>
  </si>
  <si>
    <r>
      <rPr>
        <sz val="10"/>
        <rFont val="Arial"/>
        <family val="2"/>
      </rPr>
      <t>华清嘉园、皂君庙宿舍日常保洁费用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</si>
  <si>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4</t>
    </r>
    <r>
      <rPr>
        <sz val="10"/>
        <rFont val="宋体"/>
        <family val="3"/>
        <charset val="134"/>
      </rPr>
      <t>层日常保洁费用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</si>
  <si>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20</t>
    </r>
    <r>
      <rPr>
        <sz val="10"/>
        <rFont val="宋体"/>
        <family val="3"/>
        <charset val="134"/>
      </rPr>
      <t>层日常保洁费用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</si>
  <si>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7</t>
    </r>
    <r>
      <rPr>
        <sz val="10"/>
        <rFont val="宋体"/>
        <family val="3"/>
        <charset val="134"/>
      </rPr>
      <t>层日常保洁费用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</si>
  <si>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8</t>
    </r>
    <r>
      <rPr>
        <sz val="10"/>
        <rFont val="宋体"/>
        <family val="3"/>
        <charset val="134"/>
      </rPr>
      <t>层日常保洁费用</t>
    </r>
    <phoneticPr fontId="4" type="noConversion"/>
  </si>
  <si>
    <r>
      <rPr>
        <u/>
        <sz val="10"/>
        <rFont val="Arial"/>
        <family val="2"/>
      </rPr>
      <t>地毯清洗</t>
    </r>
    <phoneticPr fontId="4" type="noConversion"/>
  </si>
  <si>
    <r>
      <rPr>
        <sz val="10"/>
        <rFont val="宋体"/>
        <family val="3"/>
        <charset val="134"/>
      </rPr>
      <t>地毯清洗</t>
    </r>
    <r>
      <rPr>
        <sz val="10"/>
        <rFont val="Calibri"/>
        <family val="2"/>
      </rPr>
      <t>SOHU</t>
    </r>
    <r>
      <rPr>
        <sz val="10"/>
        <rFont val="宋体"/>
        <family val="3"/>
        <charset val="134"/>
      </rPr>
      <t>部分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</si>
  <si>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4</t>
    </r>
    <r>
      <rPr>
        <sz val="10"/>
        <rFont val="宋体"/>
        <family val="3"/>
        <charset val="134"/>
      </rPr>
      <t>层地毯清洗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</si>
  <si>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20</t>
    </r>
    <r>
      <rPr>
        <sz val="10"/>
        <rFont val="宋体"/>
        <family val="3"/>
        <charset val="134"/>
      </rPr>
      <t>层地毯清洗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</si>
  <si>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7</t>
    </r>
    <r>
      <rPr>
        <sz val="10"/>
        <rFont val="宋体"/>
        <family val="3"/>
        <charset val="134"/>
      </rPr>
      <t>层地毯清洗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</si>
  <si>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8</t>
    </r>
    <r>
      <rPr>
        <sz val="10"/>
        <rFont val="宋体"/>
        <family val="3"/>
        <charset val="134"/>
      </rPr>
      <t>层地毯清洗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</si>
  <si>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4</t>
    </r>
    <r>
      <rPr>
        <sz val="10"/>
        <rFont val="宋体"/>
        <family val="3"/>
        <charset val="134"/>
      </rPr>
      <t>层茶水间阿姨费用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</si>
  <si>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19</t>
    </r>
    <r>
      <rPr>
        <sz val="10"/>
        <rFont val="宋体"/>
        <family val="3"/>
        <charset val="134"/>
      </rPr>
      <t>层茶水间阿姨费用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</si>
  <si>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8</t>
    </r>
    <r>
      <rPr>
        <sz val="10"/>
        <rFont val="宋体"/>
        <family val="3"/>
        <charset val="134"/>
      </rPr>
      <t>层茶水间阿姨费用</t>
    </r>
    <phoneticPr fontId="4" type="noConversion"/>
  </si>
  <si>
    <r>
      <rPr>
        <sz val="10"/>
        <color rgb="FFFF0000"/>
        <rFont val="Arial"/>
        <family val="2"/>
      </rPr>
      <t>北京班车费用</t>
    </r>
    <phoneticPr fontId="4" type="noConversion"/>
  </si>
  <si>
    <r>
      <rPr>
        <u/>
        <sz val="10"/>
        <rFont val="Arial"/>
        <family val="2"/>
      </rPr>
      <t>茶水间费用</t>
    </r>
    <phoneticPr fontId="4" type="noConversion"/>
  </si>
  <si>
    <r>
      <rPr>
        <sz val="10"/>
        <rFont val="Arial"/>
        <family val="2"/>
      </rPr>
      <t>搜狐网络大厦茶水间费用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</si>
  <si>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4</t>
    </r>
    <r>
      <rPr>
        <sz val="10"/>
        <rFont val="宋体"/>
        <family val="3"/>
        <charset val="134"/>
      </rPr>
      <t>层茶水间费用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</si>
  <si>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20</t>
    </r>
    <r>
      <rPr>
        <sz val="10"/>
        <rFont val="宋体"/>
        <family val="3"/>
        <charset val="134"/>
      </rPr>
      <t>层茶水间费用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</si>
  <si>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7</t>
    </r>
    <r>
      <rPr>
        <sz val="10"/>
        <rFont val="宋体"/>
        <family val="3"/>
        <charset val="134"/>
      </rPr>
      <t>层茶水间费用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</si>
  <si>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8</t>
    </r>
    <r>
      <rPr>
        <sz val="10"/>
        <rFont val="宋体"/>
        <family val="3"/>
        <charset val="134"/>
      </rPr>
      <t>层茶水间费用</t>
    </r>
    <phoneticPr fontId="4" type="noConversion"/>
  </si>
  <si>
    <r>
      <rPr>
        <u/>
        <sz val="10"/>
        <rFont val="Arial"/>
        <family val="2"/>
      </rPr>
      <t>瓷杯制作</t>
    </r>
    <phoneticPr fontId="4" type="noConversion"/>
  </si>
  <si>
    <r>
      <rPr>
        <sz val="10"/>
        <rFont val="Arial"/>
        <family val="2"/>
      </rPr>
      <t>瓷杯制作</t>
    </r>
    <phoneticPr fontId="4" type="noConversion"/>
  </si>
  <si>
    <r>
      <rPr>
        <sz val="10"/>
        <rFont val="Arial"/>
        <family val="2"/>
      </rPr>
      <t>纸杯制作</t>
    </r>
    <phoneticPr fontId="4" type="noConversion"/>
  </si>
  <si>
    <r>
      <rPr>
        <sz val="10"/>
        <rFont val="Arial"/>
        <family val="2"/>
      </rPr>
      <t>办公用品费用</t>
    </r>
    <phoneticPr fontId="4" type="noConversion"/>
  </si>
  <si>
    <r>
      <rPr>
        <u/>
        <sz val="10"/>
        <rFont val="Arial"/>
        <family val="2"/>
      </rPr>
      <t>门卡、桌牌等</t>
    </r>
    <phoneticPr fontId="4" type="noConversion"/>
  </si>
  <si>
    <t>所有办公区统一更换员工门禁卡等费用</t>
    <phoneticPr fontId="4" type="noConversion"/>
  </si>
  <si>
    <t>搜狐网络大厦统一更换工位牌、坐席卡卡壳等费用</t>
    <phoneticPr fontId="4" type="noConversion"/>
  </si>
  <si>
    <r>
      <rPr>
        <sz val="10"/>
        <color rgb="FFFF0000"/>
        <rFont val="宋体"/>
        <family val="3"/>
        <charset val="134"/>
      </rPr>
      <t>融科</t>
    </r>
    <r>
      <rPr>
        <sz val="10"/>
        <color rgb="FFFF0000"/>
        <rFont val="Calibri"/>
        <family val="2"/>
      </rPr>
      <t>A</t>
    </r>
    <r>
      <rPr>
        <sz val="10"/>
        <color rgb="FFFF0000"/>
        <rFont val="宋体"/>
        <family val="3"/>
        <charset val="134"/>
      </rPr>
      <t>座</t>
    </r>
    <r>
      <rPr>
        <sz val="10"/>
        <color rgb="FFFF0000"/>
        <rFont val="Calibri"/>
        <family val="2"/>
      </rPr>
      <t>4</t>
    </r>
    <r>
      <rPr>
        <sz val="10"/>
        <color rgb="FFFF0000"/>
        <rFont val="宋体"/>
        <family val="3"/>
        <charset val="134"/>
      </rPr>
      <t>层门卡、桌牌等费用</t>
    </r>
    <phoneticPr fontId="4" type="noConversion"/>
  </si>
  <si>
    <r>
      <rPr>
        <sz val="10"/>
        <color rgb="FFFF0000"/>
        <rFont val="宋体"/>
        <family val="3"/>
        <charset val="134"/>
      </rPr>
      <t>融科</t>
    </r>
    <r>
      <rPr>
        <sz val="10"/>
        <color rgb="FFFF0000"/>
        <rFont val="Calibri"/>
        <family val="2"/>
      </rPr>
      <t>C</t>
    </r>
    <r>
      <rPr>
        <sz val="10"/>
        <color rgb="FFFF0000"/>
        <rFont val="宋体"/>
        <family val="3"/>
        <charset val="134"/>
      </rPr>
      <t>座</t>
    </r>
    <r>
      <rPr>
        <sz val="10"/>
        <color rgb="FFFF0000"/>
        <rFont val="Calibri"/>
        <family val="2"/>
      </rPr>
      <t>19</t>
    </r>
    <r>
      <rPr>
        <sz val="10"/>
        <color rgb="FFFF0000"/>
        <rFont val="宋体"/>
        <family val="3"/>
        <charset val="134"/>
      </rPr>
      <t>、</t>
    </r>
    <r>
      <rPr>
        <sz val="10"/>
        <color rgb="FFFF0000"/>
        <rFont val="Calibri"/>
        <family val="2"/>
      </rPr>
      <t>20</t>
    </r>
    <r>
      <rPr>
        <sz val="10"/>
        <color rgb="FFFF0000"/>
        <rFont val="宋体"/>
        <family val="3"/>
        <charset val="134"/>
      </rPr>
      <t>层门卡、桌牌等费用</t>
    </r>
    <phoneticPr fontId="4" type="noConversion"/>
  </si>
  <si>
    <r>
      <rPr>
        <sz val="10"/>
        <color rgb="FFFF0000"/>
        <rFont val="宋体"/>
        <family val="3"/>
        <charset val="134"/>
      </rPr>
      <t>同方</t>
    </r>
    <r>
      <rPr>
        <sz val="10"/>
        <color rgb="FFFF0000"/>
        <rFont val="Calibri"/>
        <family val="2"/>
      </rPr>
      <t>D</t>
    </r>
    <r>
      <rPr>
        <sz val="10"/>
        <color rgb="FFFF0000"/>
        <rFont val="宋体"/>
        <family val="3"/>
        <charset val="134"/>
      </rPr>
      <t>座</t>
    </r>
    <r>
      <rPr>
        <sz val="10"/>
        <color rgb="FFFF0000"/>
        <rFont val="Calibri"/>
        <family val="2"/>
      </rPr>
      <t>7</t>
    </r>
    <r>
      <rPr>
        <sz val="10"/>
        <color rgb="FFFF0000"/>
        <rFont val="宋体"/>
        <family val="3"/>
        <charset val="134"/>
      </rPr>
      <t>层门卡、桌牌等费用</t>
    </r>
    <phoneticPr fontId="4" type="noConversion"/>
  </si>
  <si>
    <r>
      <rPr>
        <sz val="10"/>
        <color rgb="FFFF0000"/>
        <rFont val="宋体"/>
        <family val="3"/>
        <charset val="134"/>
      </rPr>
      <t>同方</t>
    </r>
    <r>
      <rPr>
        <sz val="10"/>
        <color rgb="FFFF0000"/>
        <rFont val="Calibri"/>
        <family val="2"/>
      </rPr>
      <t>D</t>
    </r>
    <r>
      <rPr>
        <sz val="10"/>
        <color rgb="FFFF0000"/>
        <rFont val="宋体"/>
        <family val="3"/>
        <charset val="134"/>
      </rPr>
      <t>座</t>
    </r>
    <r>
      <rPr>
        <sz val="10"/>
        <color rgb="FFFF0000"/>
        <rFont val="Calibri"/>
        <family val="2"/>
      </rPr>
      <t>8</t>
    </r>
    <r>
      <rPr>
        <sz val="10"/>
        <color rgb="FFFF0000"/>
        <rFont val="宋体"/>
        <family val="3"/>
        <charset val="134"/>
      </rPr>
      <t>层门卡、桌牌等费用</t>
    </r>
    <phoneticPr fontId="4" type="noConversion"/>
  </si>
  <si>
    <r>
      <rPr>
        <sz val="10"/>
        <rFont val="Arial"/>
        <family val="2"/>
      </rPr>
      <t>家具维修</t>
    </r>
    <phoneticPr fontId="4" type="noConversion"/>
  </si>
  <si>
    <t>统一配钥匙、换推柜锁费用</t>
    <phoneticPr fontId="4" type="noConversion"/>
  </si>
  <si>
    <r>
      <rPr>
        <u/>
        <sz val="10"/>
        <rFont val="Arial"/>
        <family val="2"/>
      </rPr>
      <t>家具维修</t>
    </r>
    <phoneticPr fontId="4" type="noConversion"/>
  </si>
  <si>
    <r>
      <rPr>
        <sz val="10"/>
        <color rgb="FFFF0000"/>
        <rFont val="Arial"/>
        <family val="2"/>
      </rPr>
      <t>搜狐网络大厦家具维修费</t>
    </r>
    <phoneticPr fontId="4" type="noConversion"/>
  </si>
  <si>
    <r>
      <rPr>
        <sz val="10"/>
        <rFont val="Arial"/>
        <family val="2"/>
      </rPr>
      <t>各项维护合同费用</t>
    </r>
    <phoneticPr fontId="4" type="noConversion"/>
  </si>
  <si>
    <r>
      <rPr>
        <sz val="10"/>
        <rFont val="Arial"/>
        <family val="2"/>
      </rPr>
      <t>资产</t>
    </r>
    <phoneticPr fontId="4" type="noConversion"/>
  </si>
  <si>
    <r>
      <rPr>
        <sz val="10"/>
        <rFont val="Arial"/>
        <family val="2"/>
      </rPr>
      <t>家具</t>
    </r>
    <phoneticPr fontId="4" type="noConversion"/>
  </si>
  <si>
    <r>
      <rPr>
        <sz val="10"/>
        <rFont val="Arial"/>
        <family val="2"/>
      </rPr>
      <t>搜狐车辆保险</t>
    </r>
    <phoneticPr fontId="4" type="noConversion"/>
  </si>
  <si>
    <r>
      <rPr>
        <sz val="10"/>
        <rFont val="Arial"/>
        <family val="2"/>
      </rPr>
      <t>搜狐车辆维修保养</t>
    </r>
    <phoneticPr fontId="4" type="noConversion"/>
  </si>
  <si>
    <t>合计1（不含新大厦及搜狐网络大厦翻修）</t>
    <phoneticPr fontId="4" type="noConversion"/>
  </si>
  <si>
    <t>新大厦日常费用</t>
    <phoneticPr fontId="4" type="noConversion"/>
  </si>
  <si>
    <t>水费</t>
    <phoneticPr fontId="4" type="noConversion"/>
  </si>
  <si>
    <t>供暖费</t>
    <phoneticPr fontId="4" type="noConversion"/>
  </si>
  <si>
    <t>生活热水费</t>
    <phoneticPr fontId="4" type="noConversion"/>
  </si>
  <si>
    <t>入住前统一制作费</t>
    <phoneticPr fontId="4" type="noConversion"/>
  </si>
  <si>
    <r>
      <t>Q2-Q4</t>
    </r>
    <r>
      <rPr>
        <sz val="10"/>
        <rFont val="宋体"/>
        <family val="3"/>
        <charset val="134"/>
      </rPr>
      <t>费用</t>
    </r>
    <phoneticPr fontId="4" type="noConversion"/>
  </si>
  <si>
    <t>茶间用品</t>
    <phoneticPr fontId="4" type="noConversion"/>
  </si>
  <si>
    <t>合计2（含新大厦，不含搜狐网络大厦翻修）</t>
    <phoneticPr fontId="4" type="noConversion"/>
  </si>
  <si>
    <t>搜狐网络大厦翻修</t>
    <phoneticPr fontId="4" type="noConversion"/>
  </si>
  <si>
    <t>合计3(含新楼及搜狐网络大厦翻修）</t>
    <phoneticPr fontId="4" type="noConversion"/>
  </si>
  <si>
    <t>季度</t>
    <phoneticPr fontId="1" type="noConversion"/>
  </si>
  <si>
    <t>金额</t>
    <phoneticPr fontId="1" type="noConversion"/>
  </si>
  <si>
    <t>备注</t>
    <phoneticPr fontId="1" type="noConversion"/>
  </si>
  <si>
    <t>2014年月平均费用</t>
    <phoneticPr fontId="1" type="noConversion"/>
  </si>
  <si>
    <t>月份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</si>
  <si>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</si>
  <si>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</si>
  <si>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</si>
  <si>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</si>
  <si>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</si>
  <si>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</si>
  <si>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</si>
  <si>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</si>
  <si>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</si>
  <si>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</si>
  <si>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</si>
  <si>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r>
      <t>2013.11.3</t>
    </r>
    <r>
      <rPr>
        <sz val="10"/>
        <rFont val="宋体"/>
        <family val="3"/>
        <charset val="134"/>
      </rPr>
      <t>开始租金上调</t>
    </r>
    <r>
      <rPr>
        <sz val="10"/>
        <rFont val="Calibri"/>
        <family val="2"/>
      </rPr>
      <t>4000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月</t>
    </r>
  </si>
  <si>
    <r>
      <t>2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平方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月</t>
    </r>
    <r>
      <rPr>
        <sz val="10"/>
        <rFont val="Calibri"/>
        <family val="2"/>
      </rPr>
      <t>*817.12</t>
    </r>
    <r>
      <rPr>
        <sz val="10"/>
        <rFont val="宋体"/>
        <family val="3"/>
        <charset val="134"/>
      </rPr>
      <t>平</t>
    </r>
  </si>
  <si>
    <r>
      <t>0.983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度；</t>
    </r>
    <r>
      <rPr>
        <sz val="10"/>
        <rFont val="Calibri"/>
        <family val="2"/>
      </rPr>
      <t>2014</t>
    </r>
    <r>
      <rPr>
        <sz val="10"/>
        <rFont val="宋体"/>
        <family val="3"/>
        <charset val="134"/>
      </rPr>
      <t>年预计费用因物价上涨增长</t>
    </r>
    <r>
      <rPr>
        <sz val="10"/>
        <rFont val="Calibri"/>
        <family val="2"/>
      </rPr>
      <t>15%</t>
    </r>
  </si>
  <si>
    <r>
      <t>2014</t>
    </r>
    <r>
      <rPr>
        <sz val="10"/>
        <rFont val="宋体"/>
        <family val="3"/>
        <charset val="134"/>
      </rPr>
      <t>年费用预计因人员及物价上涨增长</t>
    </r>
    <r>
      <rPr>
        <sz val="10"/>
        <rFont val="Calibri"/>
        <family val="2"/>
      </rPr>
      <t>15%</t>
    </r>
  </si>
  <si>
    <r>
      <t>15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桶；</t>
    </r>
    <r>
      <rPr>
        <sz val="10"/>
        <rFont val="Calibri"/>
        <family val="2"/>
      </rPr>
      <t>2014</t>
    </r>
    <r>
      <rPr>
        <sz val="10"/>
        <rFont val="宋体"/>
        <family val="3"/>
        <charset val="134"/>
      </rPr>
      <t>年费用预计因人员及物价上涨增长</t>
    </r>
    <r>
      <rPr>
        <sz val="10"/>
        <rFont val="Calibri"/>
        <family val="2"/>
      </rPr>
      <t>10%</t>
    </r>
  </si>
  <si>
    <t>现有办公区更换工位牌、坐席卡卡壳等费用</t>
    <phoneticPr fontId="4" type="noConversion"/>
  </si>
  <si>
    <r>
      <rPr>
        <sz val="10"/>
        <rFont val="宋体"/>
        <family val="3"/>
        <charset val="134"/>
      </rPr>
      <t>房租租赁税税点为</t>
    </r>
    <r>
      <rPr>
        <sz val="10"/>
        <rFont val="Calibri"/>
        <family val="2"/>
      </rPr>
      <t>15.7%</t>
    </r>
    <r>
      <rPr>
        <sz val="10"/>
        <rFont val="宋体"/>
        <family val="3"/>
        <charset val="134"/>
      </rPr>
      <t>，以每个月房租为基数核算</t>
    </r>
  </si>
  <si>
    <r>
      <rPr>
        <sz val="10"/>
        <rFont val="宋体"/>
        <family val="3"/>
        <charset val="134"/>
      </rPr>
      <t>保洁费用</t>
    </r>
    <r>
      <rPr>
        <sz val="10"/>
        <rFont val="Calibri"/>
        <family val="2"/>
      </rPr>
      <t>3950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月；</t>
    </r>
    <r>
      <rPr>
        <sz val="10"/>
        <rFont val="Calibri"/>
        <family val="2"/>
      </rPr>
      <t>2014</t>
    </r>
    <r>
      <rPr>
        <sz val="10"/>
        <rFont val="宋体"/>
        <family val="3"/>
        <charset val="134"/>
      </rPr>
      <t>年费用预计无增长</t>
    </r>
  </si>
  <si>
    <r>
      <rPr>
        <sz val="10"/>
        <rFont val="宋体"/>
        <family val="3"/>
        <charset val="134"/>
      </rPr>
      <t>绿化费用</t>
    </r>
    <r>
      <rPr>
        <sz val="10"/>
        <rFont val="Calibri"/>
        <family val="2"/>
      </rPr>
      <t>2230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月；</t>
    </r>
    <r>
      <rPr>
        <sz val="10"/>
        <rFont val="Calibri"/>
        <family val="2"/>
      </rPr>
      <t>2014</t>
    </r>
    <r>
      <rPr>
        <sz val="10"/>
        <rFont val="宋体"/>
        <family val="3"/>
        <charset val="134"/>
      </rPr>
      <t>年费用预计无增长</t>
    </r>
  </si>
  <si>
    <r>
      <rPr>
        <sz val="10"/>
        <rFont val="宋体"/>
        <family val="3"/>
        <charset val="134"/>
      </rPr>
      <t>日常保洁费用包含飘窗垫清洗等，</t>
    </r>
    <r>
      <rPr>
        <sz val="10"/>
        <rFont val="Calibri"/>
        <family val="2"/>
      </rPr>
      <t>2014</t>
    </r>
    <r>
      <rPr>
        <sz val="10"/>
        <rFont val="宋体"/>
        <family val="3"/>
        <charset val="134"/>
      </rPr>
      <t>年费用预计因物价上涨增长</t>
    </r>
    <r>
      <rPr>
        <sz val="10"/>
        <rFont val="Calibri"/>
        <family val="2"/>
      </rPr>
      <t>15%</t>
    </r>
  </si>
  <si>
    <r>
      <rPr>
        <sz val="10"/>
        <rFont val="宋体"/>
        <family val="3"/>
        <charset val="134"/>
      </rPr>
      <t>停车费（网络大厦</t>
    </r>
    <r>
      <rPr>
        <sz val="10"/>
        <rFont val="Calibri"/>
        <family val="2"/>
      </rPr>
      <t>-SOHU</t>
    </r>
    <r>
      <rPr>
        <sz val="10"/>
        <rFont val="宋体"/>
        <family val="3"/>
        <charset val="134"/>
      </rPr>
      <t>）</t>
    </r>
    <phoneticPr fontId="4" type="noConversion"/>
  </si>
  <si>
    <t>媒体大厦饮用水</t>
    <phoneticPr fontId="1" type="noConversion"/>
  </si>
  <si>
    <t>媒体大厦茶水间费用</t>
    <phoneticPr fontId="1" type="noConversion"/>
  </si>
  <si>
    <t>媒体大厦新增项</t>
    <phoneticPr fontId="4" type="noConversion"/>
  </si>
  <si>
    <r>
      <rPr>
        <b/>
        <sz val="10"/>
        <color rgb="FFFF0000"/>
        <rFont val="宋体"/>
        <family val="3"/>
        <charset val="134"/>
      </rPr>
      <t>（北京全部办公区以及新增融科</t>
    </r>
    <r>
      <rPr>
        <sz val="10"/>
        <rFont val="Calibri"/>
        <family val="2"/>
      </rPr>
      <t>C10F</t>
    </r>
    <r>
      <rPr>
        <sz val="10"/>
        <rFont val="宋体"/>
        <family val="3"/>
        <charset val="134"/>
      </rPr>
      <t>及新增预留工位以及文化建设，不含武汉研发中心及搜狗）</t>
    </r>
    <phoneticPr fontId="1" type="noConversion"/>
  </si>
  <si>
    <t>武汉研发中心
日常费用</t>
    <phoneticPr fontId="4" type="noConversion"/>
  </si>
  <si>
    <r>
      <rPr>
        <b/>
        <sz val="10"/>
        <color rgb="FFFF0000"/>
        <rFont val="宋体"/>
        <family val="3"/>
        <charset val="134"/>
      </rPr>
      <t>合计</t>
    </r>
    <r>
      <rPr>
        <b/>
        <sz val="10"/>
        <color rgb="FFFF0000"/>
        <rFont val="Calibri"/>
        <family val="2"/>
      </rPr>
      <t>2</t>
    </r>
    <phoneticPr fontId="1" type="noConversion"/>
  </si>
  <si>
    <r>
      <rPr>
        <b/>
        <sz val="10"/>
        <color rgb="FFFF0000"/>
        <rFont val="宋体"/>
        <family val="3"/>
        <charset val="134"/>
      </rPr>
      <t>（北京全办公区以及新增融科</t>
    </r>
    <r>
      <rPr>
        <b/>
        <sz val="10"/>
        <color rgb="FFFF0000"/>
        <rFont val="Calibri"/>
        <family val="2"/>
      </rPr>
      <t>C10F</t>
    </r>
    <r>
      <rPr>
        <b/>
        <sz val="10"/>
        <color rgb="FFFF0000"/>
        <rFont val="宋体"/>
        <family val="3"/>
        <charset val="134"/>
      </rPr>
      <t>及武汉研发中心、新增预留工位以及文化建设，不含搜狗）</t>
    </r>
    <phoneticPr fontId="1" type="noConversion"/>
  </si>
  <si>
    <t>物业费</t>
    <phoneticPr fontId="1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</si>
  <si>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座地下停车费（</t>
    </r>
    <r>
      <rPr>
        <sz val="10"/>
        <rFont val="Calibri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20</t>
    </r>
    <r>
      <rPr>
        <sz val="10"/>
        <rFont val="宋体"/>
        <family val="3"/>
        <charset val="134"/>
      </rPr>
      <t>层）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</si>
  <si>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10</t>
    </r>
    <r>
      <rPr>
        <sz val="10"/>
        <rFont val="宋体"/>
        <family val="3"/>
        <charset val="134"/>
      </rPr>
      <t>层租金</t>
    </r>
    <phoneticPr fontId="1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</si>
  <si>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10</t>
    </r>
    <r>
      <rPr>
        <sz val="10"/>
        <rFont val="宋体"/>
        <family val="3"/>
        <charset val="134"/>
      </rPr>
      <t>层物业管理费</t>
    </r>
    <phoneticPr fontId="1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</si>
  <si>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10</t>
    </r>
    <r>
      <rPr>
        <sz val="10"/>
        <rFont val="宋体"/>
        <family val="3"/>
        <charset val="134"/>
      </rPr>
      <t>层停车费</t>
    </r>
    <phoneticPr fontId="1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</si>
  <si>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10</t>
    </r>
    <r>
      <rPr>
        <sz val="10"/>
        <rFont val="宋体"/>
        <family val="3"/>
        <charset val="134"/>
      </rPr>
      <t>层保安费</t>
    </r>
    <phoneticPr fontId="1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</si>
  <si>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10</t>
    </r>
    <r>
      <rPr>
        <sz val="10"/>
        <rFont val="宋体"/>
        <family val="3"/>
        <charset val="134"/>
      </rPr>
      <t>层保洁费用</t>
    </r>
    <phoneticPr fontId="1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</si>
  <si>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10</t>
    </r>
    <r>
      <rPr>
        <sz val="10"/>
        <rFont val="宋体"/>
        <family val="3"/>
        <charset val="134"/>
      </rPr>
      <t>层地毯清洗</t>
    </r>
    <phoneticPr fontId="1" type="noConversion"/>
  </si>
  <si>
    <t>网络大厦租金</t>
    <phoneticPr fontId="4" type="noConversion"/>
  </si>
  <si>
    <r>
      <rPr>
        <sz val="10"/>
        <rFont val="宋体"/>
        <family val="3"/>
        <charset val="134"/>
      </rPr>
      <t>网络大厦物业管理费</t>
    </r>
    <r>
      <rPr>
        <sz val="10"/>
        <rFont val="Arial"/>
        <family val="2"/>
      </rPr>
      <t/>
    </r>
    <phoneticPr fontId="4" type="noConversion"/>
  </si>
  <si>
    <t>租金</t>
    <phoneticPr fontId="4" type="noConversion"/>
  </si>
  <si>
    <r>
      <rPr>
        <sz val="10"/>
        <rFont val="宋体"/>
        <family val="3"/>
        <charset val="134"/>
      </rPr>
      <t>媒体大厦</t>
    </r>
    <phoneticPr fontId="4" type="noConversion"/>
  </si>
  <si>
    <r>
      <rPr>
        <sz val="10"/>
        <rFont val="宋体"/>
        <family val="3"/>
        <charset val="134"/>
      </rPr>
      <t>网络大厦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</si>
  <si>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C10</t>
    </r>
    <r>
      <rPr>
        <sz val="10"/>
        <rFont val="宋体"/>
        <family val="3"/>
        <charset val="134"/>
      </rPr>
      <t>层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</si>
  <si>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D7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8</t>
    </r>
    <r>
      <rPr>
        <sz val="10"/>
        <rFont val="宋体"/>
        <family val="3"/>
        <charset val="134"/>
      </rPr>
      <t>层</t>
    </r>
    <phoneticPr fontId="4" type="noConversion"/>
  </si>
  <si>
    <t>Total</t>
    <phoneticPr fontId="1" type="noConversion"/>
  </si>
  <si>
    <t>网络大厦地毯清洗</t>
    <phoneticPr fontId="4" type="noConversion"/>
  </si>
  <si>
    <t>网络大厦电费</t>
    <phoneticPr fontId="4" type="noConversion"/>
  </si>
  <si>
    <t>网络大厦饮用水</t>
    <phoneticPr fontId="4" type="noConversion"/>
  </si>
  <si>
    <t>网络大厦保安费</t>
    <phoneticPr fontId="4" type="noConversion"/>
  </si>
  <si>
    <t>网络大厦植物租摆费</t>
    <phoneticPr fontId="4" type="noConversion"/>
  </si>
  <si>
    <t>网络大厦日常保洁费用</t>
    <phoneticPr fontId="4" type="noConversion"/>
  </si>
  <si>
    <t>网络大厦茶水间费用</t>
    <phoneticPr fontId="4" type="noConversion"/>
  </si>
  <si>
    <t>序号</t>
  </si>
  <si>
    <t>门禁卡</t>
  </si>
  <si>
    <t>门禁卡挂绳</t>
  </si>
  <si>
    <t>门禁卡卡壳</t>
  </si>
  <si>
    <t>价值观卡贴</t>
  </si>
  <si>
    <t>家具维修</t>
  </si>
  <si>
    <r>
      <rPr>
        <sz val="10"/>
        <color rgb="FF000000"/>
        <rFont val="宋体"/>
        <family val="3"/>
        <charset val="134"/>
      </rPr>
      <t>以建设正式工位数</t>
    </r>
  </si>
  <si>
    <r>
      <rPr>
        <sz val="10"/>
        <color rgb="FF000000"/>
        <rFont val="宋体"/>
        <family val="3"/>
        <charset val="134"/>
      </rPr>
      <t>过道预留</t>
    </r>
  </si>
  <si>
    <r>
      <rPr>
        <sz val="10"/>
        <color rgb="FF000000"/>
        <rFont val="宋体"/>
        <family val="3"/>
        <charset val="134"/>
      </rPr>
      <t>窗边预留</t>
    </r>
  </si>
  <si>
    <r>
      <rPr>
        <sz val="10"/>
        <color rgb="FF000000"/>
        <rFont val="宋体"/>
        <family val="3"/>
        <charset val="134"/>
      </rPr>
      <t>拆除茶水间增加标准工位</t>
    </r>
  </si>
  <si>
    <r>
      <rPr>
        <sz val="10"/>
        <color rgb="FF000000"/>
        <rFont val="宋体"/>
        <family val="3"/>
        <charset val="134"/>
      </rPr>
      <t>拆除茶水间窗边预留工位</t>
    </r>
  </si>
  <si>
    <r>
      <rPr>
        <sz val="10"/>
        <color rgb="FF000000"/>
        <rFont val="宋体"/>
        <family val="3"/>
        <charset val="134"/>
      </rPr>
      <t>楼层</t>
    </r>
  </si>
  <si>
    <r>
      <rPr>
        <sz val="10"/>
        <rFont val="宋体"/>
        <family val="3"/>
        <charset val="134"/>
      </rPr>
      <t>合计</t>
    </r>
  </si>
  <si>
    <r>
      <rPr>
        <sz val="10"/>
        <color rgb="FF000000"/>
        <rFont val="宋体"/>
        <family val="3"/>
        <charset val="134"/>
      </rPr>
      <t>规划容量（不含拆咖啡厅）</t>
    </r>
  </si>
  <si>
    <r>
      <rPr>
        <sz val="10"/>
        <color rgb="FF000000"/>
        <rFont val="宋体"/>
        <family val="3"/>
        <charset val="134"/>
      </rPr>
      <t>规划最大容量</t>
    </r>
  </si>
  <si>
    <r>
      <rPr>
        <sz val="10"/>
        <rFont val="宋体"/>
        <family val="3"/>
        <charset val="134"/>
      </rPr>
      <t>公司</t>
    </r>
  </si>
  <si>
    <r>
      <rPr>
        <sz val="10"/>
        <color theme="1"/>
        <rFont val="宋体"/>
        <family val="3"/>
        <charset val="134"/>
      </rPr>
      <t>说明</t>
    </r>
  </si>
  <si>
    <t>月费用</t>
    <phoneticPr fontId="1" type="noConversion"/>
  </si>
  <si>
    <t>网络大厦自聘茶水间阿姨费用</t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</si>
  <si>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4</t>
    </r>
    <r>
      <rPr>
        <sz val="10"/>
        <rFont val="宋体"/>
        <family val="3"/>
        <charset val="134"/>
      </rPr>
      <t>层自聘茶水间阿姨费用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</si>
  <si>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8</t>
    </r>
    <r>
      <rPr>
        <sz val="10"/>
        <rFont val="宋体"/>
        <family val="3"/>
        <charset val="134"/>
      </rPr>
      <t>层自聘茶水间阿姨费用</t>
    </r>
    <phoneticPr fontId="4" type="noConversion"/>
  </si>
  <si>
    <t>办公室文软装（文化建设）</t>
  </si>
  <si>
    <t>卫星电视维护及使用费</t>
    <phoneticPr fontId="4" type="noConversion"/>
  </si>
  <si>
    <t>▲</t>
    <phoneticPr fontId="4" type="noConversion"/>
  </si>
  <si>
    <t>注</t>
    <phoneticPr fontId="4" type="noConversion"/>
  </si>
  <si>
    <t>※物业租</t>
    <phoneticPr fontId="4" type="noConversion"/>
  </si>
  <si>
    <t>★资产组</t>
    <phoneticPr fontId="4" type="noConversion"/>
  </si>
  <si>
    <t>▲差旅前台组</t>
    <phoneticPr fontId="4" type="noConversion"/>
  </si>
  <si>
    <t>◆工程组</t>
    <phoneticPr fontId="4" type="noConversion"/>
  </si>
  <si>
    <t>租赁税</t>
    <phoneticPr fontId="1" type="noConversion"/>
  </si>
  <si>
    <t>电梯补偿金</t>
    <phoneticPr fontId="1" type="noConversion"/>
  </si>
  <si>
    <t>电话费</t>
    <phoneticPr fontId="4" type="noConversion"/>
  </si>
  <si>
    <t>日常保洁费</t>
    <phoneticPr fontId="1" type="noConversion"/>
  </si>
  <si>
    <t>文具耗材及茶间用品</t>
    <phoneticPr fontId="4" type="noConversion"/>
  </si>
  <si>
    <t>绿植费</t>
    <phoneticPr fontId="1" type="noConversion"/>
  </si>
  <si>
    <t>洗涤费</t>
    <phoneticPr fontId="1" type="noConversion"/>
  </si>
  <si>
    <r>
      <t>2015</t>
    </r>
    <r>
      <rPr>
        <b/>
        <sz val="10"/>
        <rFont val="宋体"/>
        <family val="3"/>
        <charset val="134"/>
      </rPr>
      <t>年行政预算计算依据表（不含搜狗及视频天津）</t>
    </r>
    <phoneticPr fontId="4" type="noConversion"/>
  </si>
  <si>
    <t>2015年搜狐车辆保险及维修保养费预算</t>
    <phoneticPr fontId="4" type="noConversion"/>
  </si>
  <si>
    <t>车辆保险</t>
    <phoneticPr fontId="4" type="noConversion"/>
  </si>
  <si>
    <t>ES车辆维修</t>
    <phoneticPr fontId="4" type="noConversion"/>
  </si>
  <si>
    <t>ES车辆保养</t>
    <phoneticPr fontId="4" type="noConversion"/>
  </si>
  <si>
    <t>序号</t>
    <phoneticPr fontId="4" type="noConversion"/>
  </si>
  <si>
    <t>车型</t>
    <phoneticPr fontId="4" type="noConversion"/>
  </si>
  <si>
    <t>车号</t>
    <phoneticPr fontId="4" type="noConversion"/>
  </si>
  <si>
    <t>司机</t>
    <phoneticPr fontId="4" type="noConversion"/>
  </si>
  <si>
    <t>使用人</t>
    <phoneticPr fontId="1" type="noConversion"/>
  </si>
  <si>
    <t>购买时间</t>
    <phoneticPr fontId="1" type="noConversion"/>
  </si>
  <si>
    <t>购买年限</t>
    <phoneticPr fontId="4" type="noConversion"/>
  </si>
  <si>
    <t>2014年
车险费</t>
    <phoneticPr fontId="4" type="noConversion"/>
  </si>
  <si>
    <t>2014年车险赔付金额</t>
    <phoneticPr fontId="4" type="noConversion"/>
  </si>
  <si>
    <t>2015年车险费（预估）</t>
    <phoneticPr fontId="4" type="noConversion"/>
  </si>
  <si>
    <t>2014年
维修费</t>
    <phoneticPr fontId="4" type="noConversion"/>
  </si>
  <si>
    <t>2015年维修费（预估）</t>
    <phoneticPr fontId="4" type="noConversion"/>
  </si>
  <si>
    <t>2014年
保养费</t>
    <phoneticPr fontId="4" type="noConversion"/>
  </si>
  <si>
    <t>2015年保养费（预估）</t>
    <phoneticPr fontId="4" type="noConversion"/>
  </si>
  <si>
    <t>总计</t>
    <phoneticPr fontId="4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</si>
  <si>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</si>
  <si>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</si>
  <si>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</si>
  <si>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Q4</t>
    <phoneticPr fontId="1" type="noConversion"/>
  </si>
  <si>
    <t>全年</t>
    <phoneticPr fontId="1" type="noConversion"/>
  </si>
  <si>
    <t>每月</t>
    <phoneticPr fontId="1" type="noConversion"/>
  </si>
  <si>
    <t>保险</t>
    <phoneticPr fontId="1" type="noConversion"/>
  </si>
  <si>
    <t>合计</t>
    <phoneticPr fontId="1" type="noConversion"/>
  </si>
  <si>
    <t>维修保养</t>
    <phoneticPr fontId="1" type="noConversion"/>
  </si>
  <si>
    <t>填充黄色为2014年内新增的车辆</t>
    <phoneticPr fontId="1" type="noConversion"/>
  </si>
  <si>
    <t>车险费预估规则（除劳斯莱斯外公司全部车辆）：</t>
    <phoneticPr fontId="1" type="noConversion"/>
  </si>
  <si>
    <r>
      <t>2014</t>
    </r>
    <r>
      <rPr>
        <b/>
        <sz val="10"/>
        <rFont val="宋体"/>
        <family val="3"/>
        <charset val="134"/>
      </rPr>
      <t>年行政预算计算依据表（不含搜狗及视频天津）</t>
    </r>
    <phoneticPr fontId="4" type="noConversion"/>
  </si>
  <si>
    <t>Budget Item</t>
    <phoneticPr fontId="4" type="noConversion"/>
  </si>
  <si>
    <t>Explanation</t>
    <phoneticPr fontId="4" type="noConversion"/>
  </si>
  <si>
    <r>
      <t>Price</t>
    </r>
    <r>
      <rPr>
        <b/>
        <sz val="10"/>
        <rFont val="Arial Unicode MS"/>
        <family val="2"/>
        <charset val="134"/>
      </rPr>
      <t>（</t>
    </r>
    <r>
      <rPr>
        <b/>
        <sz val="10"/>
        <rFont val="Calibri"/>
        <family val="2"/>
      </rPr>
      <t>ES</t>
    </r>
    <r>
      <rPr>
        <b/>
        <sz val="10"/>
        <rFont val="Arial Unicode MS"/>
        <family val="2"/>
        <charset val="134"/>
      </rPr>
      <t>）</t>
    </r>
    <phoneticPr fontId="4" type="noConversion"/>
  </si>
  <si>
    <t>Q1</t>
    <phoneticPr fontId="4" type="noConversion"/>
  </si>
  <si>
    <t>Q2</t>
    <phoneticPr fontId="4" type="noConversion"/>
  </si>
  <si>
    <t>Q3</t>
    <phoneticPr fontId="4" type="noConversion"/>
  </si>
  <si>
    <t>Q4</t>
    <phoneticPr fontId="4" type="noConversion"/>
  </si>
  <si>
    <t>Expenses</t>
    <phoneticPr fontId="4" type="noConversion"/>
  </si>
  <si>
    <t>Remark</t>
    <phoneticPr fontId="4" type="noConversion"/>
  </si>
  <si>
    <t xml:space="preserve">per month in RMB </t>
    <phoneticPr fontId="4" type="noConversion"/>
  </si>
  <si>
    <t>year in RMB</t>
    <phoneticPr fontId="4" type="noConversion"/>
  </si>
  <si>
    <r>
      <t>2013</t>
    </r>
    <r>
      <rPr>
        <b/>
        <sz val="10"/>
        <rFont val="宋体"/>
        <family val="3"/>
        <charset val="134"/>
      </rPr>
      <t>预算</t>
    </r>
    <phoneticPr fontId="4" type="noConversion"/>
  </si>
  <si>
    <t>变化比例</t>
    <phoneticPr fontId="4" type="noConversion"/>
  </si>
  <si>
    <t>details</t>
    <phoneticPr fontId="4" type="noConversion"/>
  </si>
  <si>
    <r>
      <rPr>
        <sz val="10"/>
        <rFont val="Arial Unicode MS"/>
        <family val="2"/>
        <charset val="134"/>
      </rPr>
      <t>（</t>
    </r>
    <r>
      <rPr>
        <sz val="10"/>
        <rFont val="Calibri"/>
        <family val="2"/>
      </rPr>
      <t>a</t>
    </r>
    <r>
      <rPr>
        <sz val="10"/>
        <rFont val="Arial Unicode MS"/>
        <family val="2"/>
        <charset val="134"/>
      </rPr>
      <t>）</t>
    </r>
    <phoneticPr fontId="4" type="noConversion"/>
  </si>
  <si>
    <r>
      <rPr>
        <sz val="10"/>
        <rFont val="Arial Unicode MS"/>
        <family val="2"/>
        <charset val="134"/>
      </rPr>
      <t>（</t>
    </r>
    <r>
      <rPr>
        <sz val="10"/>
        <rFont val="Calibri"/>
        <family val="2"/>
      </rPr>
      <t>b</t>
    </r>
    <r>
      <rPr>
        <sz val="10"/>
        <rFont val="Arial Unicode MS"/>
        <family val="2"/>
        <charset val="134"/>
      </rPr>
      <t>）</t>
    </r>
    <r>
      <rPr>
        <sz val="10"/>
        <rFont val="Calibri"/>
        <family val="2"/>
      </rPr>
      <t>=</t>
    </r>
    <r>
      <rPr>
        <sz val="10"/>
        <rFont val="Arial Unicode MS"/>
        <family val="2"/>
        <charset val="134"/>
      </rPr>
      <t>（</t>
    </r>
    <r>
      <rPr>
        <sz val="10"/>
        <rFont val="Calibri"/>
        <family val="2"/>
      </rPr>
      <t>a</t>
    </r>
    <r>
      <rPr>
        <sz val="10"/>
        <rFont val="Arial Unicode MS"/>
        <family val="2"/>
        <charset val="134"/>
      </rPr>
      <t>）</t>
    </r>
    <r>
      <rPr>
        <sz val="10"/>
        <rFont val="Calibri"/>
        <family val="2"/>
      </rPr>
      <t>*12</t>
    </r>
    <phoneticPr fontId="4" type="noConversion"/>
  </si>
  <si>
    <t>※</t>
    <phoneticPr fontId="4" type="noConversion"/>
  </si>
  <si>
    <t>网络大厦租金</t>
    <phoneticPr fontId="4" type="noConversion"/>
  </si>
  <si>
    <r>
      <rPr>
        <sz val="10"/>
        <rFont val="宋体"/>
        <family val="3"/>
        <charset val="134"/>
      </rPr>
      <t>网络大厦物业管理费</t>
    </r>
    <r>
      <rPr>
        <sz val="10"/>
        <rFont val="Arial"/>
        <family val="2"/>
      </rPr>
      <t/>
    </r>
    <phoneticPr fontId="4" type="noConversion"/>
  </si>
  <si>
    <t>库房租金</t>
    <phoneticPr fontId="4" type="noConversion"/>
  </si>
  <si>
    <t>库房物业管理费</t>
    <phoneticPr fontId="4" type="noConversion"/>
  </si>
  <si>
    <t>华清嘉园租金</t>
    <phoneticPr fontId="4" type="noConversion"/>
  </si>
  <si>
    <t>媒体大厦物业费</t>
    <phoneticPr fontId="1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</si>
  <si>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4</t>
    </r>
    <r>
      <rPr>
        <sz val="10"/>
        <rFont val="宋体"/>
        <family val="3"/>
        <charset val="134"/>
      </rPr>
      <t>层租金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</si>
  <si>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4</t>
    </r>
    <r>
      <rPr>
        <sz val="10"/>
        <rFont val="宋体"/>
        <family val="3"/>
        <charset val="134"/>
      </rPr>
      <t>层物业管理费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</si>
  <si>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20</t>
    </r>
    <r>
      <rPr>
        <sz val="10"/>
        <rFont val="宋体"/>
        <family val="3"/>
        <charset val="134"/>
      </rPr>
      <t>层租金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</si>
  <si>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20</t>
    </r>
    <r>
      <rPr>
        <sz val="10"/>
        <rFont val="宋体"/>
        <family val="3"/>
        <charset val="134"/>
      </rPr>
      <t>层物业管理费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</si>
  <si>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10</t>
    </r>
    <r>
      <rPr>
        <sz val="10"/>
        <rFont val="宋体"/>
        <family val="3"/>
        <charset val="134"/>
      </rPr>
      <t>层租金</t>
    </r>
    <phoneticPr fontId="1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</si>
  <si>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10</t>
    </r>
    <r>
      <rPr>
        <sz val="10"/>
        <rFont val="宋体"/>
        <family val="3"/>
        <charset val="134"/>
      </rPr>
      <t>层物业管理费</t>
    </r>
    <phoneticPr fontId="1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</si>
  <si>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7</t>
    </r>
    <r>
      <rPr>
        <sz val="10"/>
        <rFont val="宋体"/>
        <family val="3"/>
        <charset val="134"/>
      </rPr>
      <t>层租金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</si>
  <si>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7</t>
    </r>
    <r>
      <rPr>
        <sz val="10"/>
        <rFont val="宋体"/>
        <family val="3"/>
        <charset val="134"/>
      </rPr>
      <t>层物业管理费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</si>
  <si>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8</t>
    </r>
    <r>
      <rPr>
        <sz val="10"/>
        <rFont val="宋体"/>
        <family val="3"/>
        <charset val="134"/>
      </rPr>
      <t>层租金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</si>
  <si>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8</t>
    </r>
    <r>
      <rPr>
        <sz val="10"/>
        <rFont val="宋体"/>
        <family val="3"/>
        <charset val="134"/>
      </rPr>
      <t>层物业管理费</t>
    </r>
    <phoneticPr fontId="4" type="noConversion"/>
  </si>
  <si>
    <t>Parking</t>
    <phoneticPr fontId="4" type="noConversion"/>
  </si>
  <si>
    <r>
      <rPr>
        <sz val="10"/>
        <rFont val="宋体"/>
        <family val="3"/>
        <charset val="134"/>
      </rPr>
      <t>停车费（网络大厦</t>
    </r>
    <r>
      <rPr>
        <sz val="10"/>
        <rFont val="Calibri"/>
        <family val="2"/>
      </rPr>
      <t>-SOHU</t>
    </r>
    <r>
      <rPr>
        <sz val="10"/>
        <rFont val="宋体"/>
        <family val="3"/>
        <charset val="134"/>
      </rPr>
      <t>）</t>
    </r>
    <phoneticPr fontId="4" type="noConversion"/>
  </si>
  <si>
    <r>
      <rPr>
        <sz val="10"/>
        <rFont val="宋体"/>
        <family val="3"/>
        <charset val="134"/>
      </rPr>
      <t>停车费（科技大厦</t>
    </r>
    <r>
      <rPr>
        <sz val="10"/>
        <rFont val="Calibri"/>
        <family val="2"/>
      </rPr>
      <t>-SOHU</t>
    </r>
    <r>
      <rPr>
        <sz val="10"/>
        <rFont val="宋体"/>
        <family val="3"/>
        <charset val="134"/>
      </rPr>
      <t>）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</si>
  <si>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A</t>
    </r>
    <r>
      <rPr>
        <sz val="10"/>
        <rFont val="宋体"/>
        <family val="3"/>
        <charset val="134"/>
      </rPr>
      <t>座地下停车费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</si>
  <si>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座地下停车费（</t>
    </r>
    <r>
      <rPr>
        <sz val="10"/>
        <rFont val="Calibri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20</t>
    </r>
    <r>
      <rPr>
        <sz val="10"/>
        <rFont val="宋体"/>
        <family val="3"/>
        <charset val="134"/>
      </rPr>
      <t>层）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</si>
  <si>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10</t>
    </r>
    <r>
      <rPr>
        <sz val="10"/>
        <rFont val="宋体"/>
        <family val="3"/>
        <charset val="134"/>
      </rPr>
      <t>层停车费</t>
    </r>
    <phoneticPr fontId="1" type="noConversion"/>
  </si>
  <si>
    <t>融科中科行健地面停车费</t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</si>
  <si>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7</t>
    </r>
    <r>
      <rPr>
        <sz val="10"/>
        <rFont val="宋体"/>
        <family val="3"/>
        <charset val="134"/>
      </rPr>
      <t>层地下停车费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</si>
  <si>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8</t>
    </r>
    <r>
      <rPr>
        <sz val="10"/>
        <rFont val="宋体"/>
        <family val="3"/>
        <charset val="134"/>
      </rPr>
      <t>层地下停车费</t>
    </r>
    <phoneticPr fontId="4" type="noConversion"/>
  </si>
  <si>
    <t>Electricity</t>
    <phoneticPr fontId="4" type="noConversion"/>
  </si>
  <si>
    <t>网络大厦电费</t>
    <phoneticPr fontId="4" type="noConversion"/>
  </si>
  <si>
    <t>华清嘉园电费</t>
    <phoneticPr fontId="4" type="noConversion"/>
  </si>
  <si>
    <t>媒体大厦电费</t>
    <phoneticPr fontId="4" type="noConversion"/>
  </si>
  <si>
    <t>媒体大厦水费</t>
    <phoneticPr fontId="4" type="noConversion"/>
  </si>
  <si>
    <t>媒体大厦供暖费</t>
    <phoneticPr fontId="4" type="noConversion"/>
  </si>
  <si>
    <t>媒体大厦生活热水费</t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</si>
  <si>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4</t>
    </r>
    <r>
      <rPr>
        <sz val="10"/>
        <rFont val="宋体"/>
        <family val="3"/>
        <charset val="134"/>
      </rPr>
      <t>层电费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</si>
  <si>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10</t>
    </r>
    <r>
      <rPr>
        <sz val="10"/>
        <rFont val="宋体"/>
        <family val="3"/>
        <charset val="134"/>
      </rPr>
      <t>层电费</t>
    </r>
    <phoneticPr fontId="1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</si>
  <si>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20</t>
    </r>
    <r>
      <rPr>
        <sz val="10"/>
        <rFont val="宋体"/>
        <family val="3"/>
        <charset val="134"/>
      </rPr>
      <t>层电费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</si>
  <si>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7</t>
    </r>
    <r>
      <rPr>
        <sz val="10"/>
        <rFont val="宋体"/>
        <family val="3"/>
        <charset val="134"/>
      </rPr>
      <t>层电费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</si>
  <si>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8</t>
    </r>
    <r>
      <rPr>
        <sz val="10"/>
        <rFont val="宋体"/>
        <family val="3"/>
        <charset val="134"/>
      </rPr>
      <t>层电费</t>
    </r>
    <phoneticPr fontId="4" type="noConversion"/>
  </si>
  <si>
    <t>Drinking Water</t>
    <phoneticPr fontId="4" type="noConversion"/>
  </si>
  <si>
    <t>网络大厦饮用水</t>
    <phoneticPr fontId="4" type="noConversion"/>
  </si>
  <si>
    <t>媒体大厦饮用水</t>
    <phoneticPr fontId="1" type="noConversion"/>
  </si>
  <si>
    <t>华清、皂君庙宿舍及公寓饮用水</t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</si>
  <si>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4</t>
    </r>
    <r>
      <rPr>
        <sz val="10"/>
        <rFont val="宋体"/>
        <family val="3"/>
        <charset val="134"/>
      </rPr>
      <t>层饮用水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</si>
  <si>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10</t>
    </r>
    <r>
      <rPr>
        <sz val="10"/>
        <rFont val="宋体"/>
        <family val="3"/>
        <charset val="134"/>
      </rPr>
      <t>层饮用水</t>
    </r>
    <phoneticPr fontId="1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</si>
  <si>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7</t>
    </r>
    <r>
      <rPr>
        <sz val="10"/>
        <rFont val="宋体"/>
        <family val="3"/>
        <charset val="134"/>
      </rPr>
      <t>层饮用水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</si>
  <si>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8</t>
    </r>
    <r>
      <rPr>
        <sz val="10"/>
        <rFont val="宋体"/>
        <family val="3"/>
        <charset val="134"/>
      </rPr>
      <t>层饮用水</t>
    </r>
    <phoneticPr fontId="4" type="noConversion"/>
  </si>
  <si>
    <t>Security Service</t>
    <phoneticPr fontId="4" type="noConversion"/>
  </si>
  <si>
    <t>网络大厦保安费</t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</si>
  <si>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4</t>
    </r>
    <r>
      <rPr>
        <sz val="10"/>
        <rFont val="宋体"/>
        <family val="3"/>
        <charset val="134"/>
      </rPr>
      <t>层保安费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</si>
  <si>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20</t>
    </r>
    <r>
      <rPr>
        <sz val="10"/>
        <rFont val="宋体"/>
        <family val="3"/>
        <charset val="134"/>
      </rPr>
      <t>层保安费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</si>
  <si>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10</t>
    </r>
    <r>
      <rPr>
        <sz val="10"/>
        <rFont val="宋体"/>
        <family val="3"/>
        <charset val="134"/>
      </rPr>
      <t>层保安费</t>
    </r>
    <phoneticPr fontId="1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</si>
  <si>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7</t>
    </r>
    <r>
      <rPr>
        <sz val="10"/>
        <rFont val="宋体"/>
        <family val="3"/>
        <charset val="134"/>
      </rPr>
      <t>层保安费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</si>
  <si>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8</t>
    </r>
    <r>
      <rPr>
        <sz val="10"/>
        <rFont val="宋体"/>
        <family val="3"/>
        <charset val="134"/>
      </rPr>
      <t>层保安费</t>
    </r>
    <phoneticPr fontId="4" type="noConversion"/>
  </si>
  <si>
    <t xml:space="preserve">Plant </t>
    <phoneticPr fontId="4" type="noConversion"/>
  </si>
  <si>
    <t>网络大厦植物租摆费</t>
    <phoneticPr fontId="4" type="noConversion"/>
  </si>
  <si>
    <t>公寓植物租摆费</t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</si>
  <si>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4</t>
    </r>
    <r>
      <rPr>
        <sz val="10"/>
        <rFont val="宋体"/>
        <family val="3"/>
        <charset val="134"/>
      </rPr>
      <t>层植物租摆费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</si>
  <si>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20</t>
    </r>
    <r>
      <rPr>
        <sz val="10"/>
        <rFont val="宋体"/>
        <family val="3"/>
        <charset val="134"/>
      </rPr>
      <t>层植物租摆费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</si>
  <si>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10</t>
    </r>
    <r>
      <rPr>
        <sz val="10"/>
        <rFont val="宋体"/>
        <family val="3"/>
        <charset val="134"/>
      </rPr>
      <t>层植物租摆费</t>
    </r>
    <phoneticPr fontId="1" type="noConversion"/>
  </si>
  <si>
    <t>新增</t>
    <phoneticPr fontId="1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</si>
  <si>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7</t>
    </r>
    <r>
      <rPr>
        <sz val="10"/>
        <rFont val="宋体"/>
        <family val="3"/>
        <charset val="134"/>
      </rPr>
      <t>层植物租摆费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</si>
  <si>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8</t>
    </r>
    <r>
      <rPr>
        <sz val="10"/>
        <rFont val="宋体"/>
        <family val="3"/>
        <charset val="134"/>
      </rPr>
      <t>层植物租摆费</t>
    </r>
    <phoneticPr fontId="4" type="noConversion"/>
  </si>
  <si>
    <t>Office Cleaning</t>
    <phoneticPr fontId="4" type="noConversion"/>
  </si>
  <si>
    <t>日常保洁</t>
    <phoneticPr fontId="4" type="noConversion"/>
  </si>
  <si>
    <t>网络大厦日常保洁费用</t>
    <phoneticPr fontId="4" type="noConversion"/>
  </si>
  <si>
    <t>皂君庙宿舍日常保洁费用</t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</si>
  <si>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4</t>
    </r>
    <r>
      <rPr>
        <sz val="10"/>
        <rFont val="宋体"/>
        <family val="3"/>
        <charset val="134"/>
      </rPr>
      <t>层日常保洁费用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</si>
  <si>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20</t>
    </r>
    <r>
      <rPr>
        <sz val="10"/>
        <rFont val="宋体"/>
        <family val="3"/>
        <charset val="134"/>
      </rPr>
      <t>层日常保洁费用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</si>
  <si>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10</t>
    </r>
    <r>
      <rPr>
        <sz val="10"/>
        <rFont val="宋体"/>
        <family val="3"/>
        <charset val="134"/>
      </rPr>
      <t>层保洁费用</t>
    </r>
    <phoneticPr fontId="1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</si>
  <si>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7</t>
    </r>
    <r>
      <rPr>
        <sz val="10"/>
        <rFont val="宋体"/>
        <family val="3"/>
        <charset val="134"/>
      </rPr>
      <t>层日常保洁费用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</si>
  <si>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8</t>
    </r>
    <r>
      <rPr>
        <sz val="10"/>
        <rFont val="宋体"/>
        <family val="3"/>
        <charset val="134"/>
      </rPr>
      <t>层日常保洁费用</t>
    </r>
    <phoneticPr fontId="4" type="noConversion"/>
  </si>
  <si>
    <t>地毯清洗</t>
    <phoneticPr fontId="4" type="noConversion"/>
  </si>
  <si>
    <t>网络大厦地毯清洗</t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</si>
  <si>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4</t>
    </r>
    <r>
      <rPr>
        <sz val="10"/>
        <rFont val="宋体"/>
        <family val="3"/>
        <charset val="134"/>
      </rPr>
      <t>层地毯清洗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</si>
  <si>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20</t>
    </r>
    <r>
      <rPr>
        <sz val="10"/>
        <rFont val="宋体"/>
        <family val="3"/>
        <charset val="134"/>
      </rPr>
      <t>层地毯清洗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</si>
  <si>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10</t>
    </r>
    <r>
      <rPr>
        <sz val="10"/>
        <rFont val="宋体"/>
        <family val="3"/>
        <charset val="134"/>
      </rPr>
      <t>层地毯清洗</t>
    </r>
    <phoneticPr fontId="1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</si>
  <si>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7</t>
    </r>
    <r>
      <rPr>
        <sz val="10"/>
        <rFont val="宋体"/>
        <family val="3"/>
        <charset val="134"/>
      </rPr>
      <t>层地毯清洗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</si>
  <si>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8</t>
    </r>
    <r>
      <rPr>
        <sz val="10"/>
        <rFont val="宋体"/>
        <family val="3"/>
        <charset val="134"/>
      </rPr>
      <t>层地毯清洗</t>
    </r>
    <phoneticPr fontId="4" type="noConversion"/>
  </si>
  <si>
    <t>所有办公区杀虫除蟑</t>
    <phoneticPr fontId="4" type="noConversion"/>
  </si>
  <si>
    <t xml:space="preserve">Pantry Service </t>
    <phoneticPr fontId="4" type="noConversion"/>
  </si>
  <si>
    <t>网络大厦自聘茶水间阿姨费用</t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</si>
  <si>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4</t>
    </r>
    <r>
      <rPr>
        <sz val="10"/>
        <rFont val="宋体"/>
        <family val="3"/>
        <charset val="134"/>
      </rPr>
      <t>层自聘茶水间阿姨费用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</si>
  <si>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19</t>
    </r>
    <r>
      <rPr>
        <sz val="10"/>
        <rFont val="宋体"/>
        <family val="3"/>
        <charset val="134"/>
      </rPr>
      <t>层自聘茶水间阿姨费用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</si>
  <si>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7</t>
    </r>
    <r>
      <rPr>
        <sz val="10"/>
        <rFont val="宋体"/>
        <family val="3"/>
        <charset val="134"/>
      </rPr>
      <t>层自聘茶水间阿姨费用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</si>
  <si>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8</t>
    </r>
    <r>
      <rPr>
        <sz val="10"/>
        <rFont val="宋体"/>
        <family val="3"/>
        <charset val="134"/>
      </rPr>
      <t>层自聘茶水间阿姨费用</t>
    </r>
    <phoneticPr fontId="4" type="noConversion"/>
  </si>
  <si>
    <t>Shuttle Bus</t>
    <phoneticPr fontId="4" type="noConversion"/>
  </si>
  <si>
    <t>北京班车费用</t>
    <phoneticPr fontId="4" type="noConversion"/>
  </si>
  <si>
    <t>班车服务费</t>
    <phoneticPr fontId="1" type="noConversion"/>
  </si>
  <si>
    <t>Pantry Supplies:</t>
    <phoneticPr fontId="4" type="noConversion"/>
  </si>
  <si>
    <t>茶水间费用</t>
    <phoneticPr fontId="4" type="noConversion"/>
  </si>
  <si>
    <t>网络大厦茶水间费用</t>
    <phoneticPr fontId="4" type="noConversion"/>
  </si>
  <si>
    <t>媒体大厦茶水间费用</t>
    <phoneticPr fontId="1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</si>
  <si>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4</t>
    </r>
    <r>
      <rPr>
        <sz val="10"/>
        <rFont val="宋体"/>
        <family val="3"/>
        <charset val="134"/>
      </rPr>
      <t>层茶水间费用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</si>
  <si>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20</t>
    </r>
    <r>
      <rPr>
        <sz val="10"/>
        <rFont val="宋体"/>
        <family val="3"/>
        <charset val="134"/>
      </rPr>
      <t>层茶水间费用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</si>
  <si>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10</t>
    </r>
    <r>
      <rPr>
        <sz val="10"/>
        <rFont val="宋体"/>
        <family val="3"/>
        <charset val="134"/>
      </rPr>
      <t>层茶水间费用</t>
    </r>
    <phoneticPr fontId="1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</si>
  <si>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7</t>
    </r>
    <r>
      <rPr>
        <sz val="10"/>
        <rFont val="宋体"/>
        <family val="3"/>
        <charset val="134"/>
      </rPr>
      <t>层茶水间费用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</si>
  <si>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8</t>
    </r>
    <r>
      <rPr>
        <sz val="10"/>
        <rFont val="宋体"/>
        <family val="3"/>
        <charset val="134"/>
      </rPr>
      <t>层茶水间费用</t>
    </r>
    <phoneticPr fontId="4" type="noConversion"/>
  </si>
  <si>
    <t>纸杯制作</t>
    <phoneticPr fontId="4" type="noConversion"/>
  </si>
  <si>
    <t>瓷杯制作</t>
    <phoneticPr fontId="4" type="noConversion"/>
  </si>
  <si>
    <t>Office consumables</t>
    <phoneticPr fontId="4" type="noConversion"/>
  </si>
  <si>
    <t>办公用品费用</t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</si>
  <si>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10</t>
    </r>
    <r>
      <rPr>
        <sz val="10"/>
        <rFont val="宋体"/>
        <family val="3"/>
        <charset val="134"/>
      </rPr>
      <t>层新增工位牌、坐席卡壳等费用</t>
    </r>
    <phoneticPr fontId="1" type="noConversion"/>
  </si>
  <si>
    <t>现有办公区更换工位牌、坐席卡卡壳等费用</t>
    <phoneticPr fontId="4" type="noConversion"/>
  </si>
  <si>
    <r>
      <t>RFID</t>
    </r>
    <r>
      <rPr>
        <sz val="10"/>
        <rFont val="宋体"/>
        <family val="3"/>
        <charset val="134"/>
      </rPr>
      <t>标签</t>
    </r>
    <phoneticPr fontId="4" type="noConversion"/>
  </si>
  <si>
    <t>Facility Maintenance</t>
    <phoneticPr fontId="4" type="noConversion"/>
  </si>
  <si>
    <t>家具维修</t>
    <phoneticPr fontId="4" type="noConversion"/>
  </si>
  <si>
    <t>统一配钥匙、换推柜锁费用</t>
    <phoneticPr fontId="4" type="noConversion"/>
  </si>
  <si>
    <t>所有办公区家具维修</t>
    <phoneticPr fontId="4" type="noConversion"/>
  </si>
  <si>
    <t xml:space="preserve">Office Maintenance </t>
    <phoneticPr fontId="4" type="noConversion"/>
  </si>
  <si>
    <t>日常维护材料费用</t>
    <phoneticPr fontId="1" type="noConversion"/>
  </si>
  <si>
    <t>卫星电视维护及使用费</t>
    <phoneticPr fontId="4" type="noConversion"/>
  </si>
  <si>
    <t>▲</t>
    <phoneticPr fontId="4" type="noConversion"/>
  </si>
  <si>
    <t>Company Vehicle</t>
    <phoneticPr fontId="4" type="noConversion"/>
  </si>
  <si>
    <t>搜狐车辆保险</t>
    <phoneticPr fontId="4" type="noConversion"/>
  </si>
  <si>
    <t>搜狐车辆维修保养</t>
    <phoneticPr fontId="4" type="noConversion"/>
  </si>
  <si>
    <t>媒体大厦新增项</t>
    <phoneticPr fontId="4" type="noConversion"/>
  </si>
  <si>
    <t>媒体大厦新增预留工位</t>
    <phoneticPr fontId="4" type="noConversion"/>
  </si>
  <si>
    <t>合计</t>
    <phoneticPr fontId="1" type="noConversion"/>
  </si>
  <si>
    <r>
      <rPr>
        <b/>
        <sz val="10"/>
        <color rgb="FFFF0000"/>
        <rFont val="宋体"/>
        <family val="3"/>
        <charset val="134"/>
      </rPr>
      <t>（北京全部办公区以及新增融科</t>
    </r>
    <r>
      <rPr>
        <sz val="10"/>
        <rFont val="Calibri"/>
        <family val="2"/>
      </rPr>
      <t>C10F</t>
    </r>
    <r>
      <rPr>
        <sz val="10"/>
        <rFont val="宋体"/>
        <family val="3"/>
        <charset val="134"/>
      </rPr>
      <t>及新增预留工位以及文化建设，不含武汉研发中心及搜狗）</t>
    </r>
    <phoneticPr fontId="1" type="noConversion"/>
  </si>
  <si>
    <t>注</t>
    <phoneticPr fontId="4" type="noConversion"/>
  </si>
  <si>
    <t>※物业租</t>
    <phoneticPr fontId="4" type="noConversion"/>
  </si>
  <si>
    <t>★资产组</t>
    <phoneticPr fontId="4" type="noConversion"/>
  </si>
  <si>
    <t>▲差旅前台组</t>
    <phoneticPr fontId="4" type="noConversion"/>
  </si>
  <si>
    <t>◆工程组</t>
    <phoneticPr fontId="4" type="noConversion"/>
  </si>
  <si>
    <t>武汉研发中心
日常费用</t>
    <phoneticPr fontId="4" type="noConversion"/>
  </si>
  <si>
    <r>
      <t>2013</t>
    </r>
    <r>
      <rPr>
        <b/>
        <sz val="10"/>
        <rFont val="宋体"/>
        <family val="3"/>
        <charset val="134"/>
      </rPr>
      <t>年实际发生</t>
    </r>
    <phoneticPr fontId="1" type="noConversion"/>
  </si>
  <si>
    <t>租金</t>
    <phoneticPr fontId="4" type="noConversion"/>
  </si>
  <si>
    <t>租赁税</t>
    <phoneticPr fontId="1" type="noConversion"/>
  </si>
  <si>
    <t>物业费</t>
    <phoneticPr fontId="1" type="noConversion"/>
  </si>
  <si>
    <r>
      <t>3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平方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月</t>
    </r>
    <r>
      <rPr>
        <sz val="10"/>
        <rFont val="Calibri"/>
        <family val="2"/>
      </rPr>
      <t>*817.12</t>
    </r>
    <r>
      <rPr>
        <sz val="10"/>
        <rFont val="宋体"/>
        <family val="3"/>
        <charset val="134"/>
      </rPr>
      <t>平</t>
    </r>
    <phoneticPr fontId="1" type="noConversion"/>
  </si>
  <si>
    <t>电梯补偿金</t>
    <phoneticPr fontId="1" type="noConversion"/>
  </si>
  <si>
    <t>水费</t>
    <phoneticPr fontId="4" type="noConversion"/>
  </si>
  <si>
    <r>
      <rPr>
        <sz val="10"/>
        <rFont val="宋体"/>
        <family val="3"/>
        <charset val="134"/>
      </rPr>
      <t>每半年一收、</t>
    </r>
    <r>
      <rPr>
        <sz val="10"/>
        <rFont val="Calibri"/>
        <family val="2"/>
      </rPr>
      <t>3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吨；</t>
    </r>
    <r>
      <rPr>
        <sz val="10"/>
        <rFont val="Calibri"/>
        <family val="2"/>
      </rPr>
      <t>2014</t>
    </r>
    <r>
      <rPr>
        <sz val="10"/>
        <rFont val="宋体"/>
        <family val="3"/>
        <charset val="134"/>
      </rPr>
      <t>年费用预计因人员及物价上涨增长</t>
    </r>
    <r>
      <rPr>
        <sz val="10"/>
        <rFont val="Calibri"/>
        <family val="2"/>
      </rPr>
      <t>20%</t>
    </r>
    <phoneticPr fontId="1" type="noConversion"/>
  </si>
  <si>
    <t>电费</t>
    <phoneticPr fontId="4" type="noConversion"/>
  </si>
  <si>
    <t>电话费</t>
    <phoneticPr fontId="4" type="noConversion"/>
  </si>
  <si>
    <r>
      <t>2013</t>
    </r>
    <r>
      <rPr>
        <sz val="10"/>
        <rFont val="宋体"/>
        <family val="3"/>
        <charset val="134"/>
      </rPr>
      <t>年每月固定电话费</t>
    </r>
    <r>
      <rPr>
        <sz val="10"/>
        <rFont val="Calibri"/>
        <family val="2"/>
      </rPr>
      <t>156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月；</t>
    </r>
    <r>
      <rPr>
        <sz val="10"/>
        <rFont val="Calibri"/>
        <family val="2"/>
      </rPr>
      <t>2014</t>
    </r>
    <r>
      <rPr>
        <sz val="10"/>
        <rFont val="宋体"/>
        <family val="3"/>
        <charset val="134"/>
      </rPr>
      <t>年费用预计因物价上涨增长</t>
    </r>
    <r>
      <rPr>
        <sz val="10"/>
        <rFont val="Calibri"/>
        <family val="2"/>
      </rPr>
      <t>15%</t>
    </r>
    <phoneticPr fontId="1" type="noConversion"/>
  </si>
  <si>
    <t>地毯清洗费</t>
    <phoneticPr fontId="1" type="noConversion"/>
  </si>
  <si>
    <r>
      <t>2013</t>
    </r>
    <r>
      <rPr>
        <sz val="10"/>
        <rFont val="宋体"/>
        <family val="3"/>
        <charset val="134"/>
      </rPr>
      <t>年清洗频率：一年</t>
    </r>
    <r>
      <rPr>
        <sz val="10"/>
        <rFont val="Calibri"/>
        <family val="2"/>
      </rPr>
      <t>1</t>
    </r>
    <r>
      <rPr>
        <sz val="10"/>
        <rFont val="宋体"/>
        <family val="3"/>
        <charset val="134"/>
      </rPr>
      <t>次，</t>
    </r>
    <r>
      <rPr>
        <sz val="10"/>
        <rFont val="Calibri"/>
        <family val="2"/>
      </rPr>
      <t>2.57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平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次</t>
    </r>
    <r>
      <rPr>
        <sz val="10"/>
        <rFont val="Calibri"/>
        <family val="2"/>
      </rPr>
      <t>*817.12</t>
    </r>
    <r>
      <rPr>
        <sz val="10"/>
        <rFont val="宋体"/>
        <family val="3"/>
        <charset val="134"/>
      </rPr>
      <t>平；</t>
    </r>
    <r>
      <rPr>
        <sz val="10"/>
        <rFont val="Calibri"/>
        <family val="2"/>
      </rPr>
      <t>2014</t>
    </r>
    <r>
      <rPr>
        <sz val="10"/>
        <rFont val="宋体"/>
        <family val="3"/>
        <charset val="134"/>
      </rPr>
      <t>年预计一年</t>
    </r>
    <r>
      <rPr>
        <sz val="10"/>
        <rFont val="Calibri"/>
        <family val="2"/>
      </rPr>
      <t>2</t>
    </r>
    <r>
      <rPr>
        <sz val="10"/>
        <rFont val="宋体"/>
        <family val="3"/>
        <charset val="134"/>
      </rPr>
      <t>次，费用预计因物价上涨增长</t>
    </r>
    <r>
      <rPr>
        <sz val="10"/>
        <rFont val="Calibri"/>
        <family val="2"/>
      </rPr>
      <t>15%</t>
    </r>
    <r>
      <rPr>
        <sz val="10"/>
        <rFont val="宋体"/>
        <family val="3"/>
        <charset val="134"/>
      </rPr>
      <t>，</t>
    </r>
    <r>
      <rPr>
        <sz val="10"/>
        <rFont val="Calibri"/>
        <family val="2"/>
      </rPr>
      <t>2.57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*115%/</t>
    </r>
    <r>
      <rPr>
        <sz val="10"/>
        <rFont val="宋体"/>
        <family val="3"/>
        <charset val="134"/>
      </rPr>
      <t>平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次</t>
    </r>
    <r>
      <rPr>
        <sz val="10"/>
        <rFont val="Calibri"/>
        <family val="2"/>
      </rPr>
      <t>*817.12</t>
    </r>
    <r>
      <rPr>
        <sz val="10"/>
        <rFont val="宋体"/>
        <family val="3"/>
        <charset val="134"/>
      </rPr>
      <t>平。</t>
    </r>
    <phoneticPr fontId="1" type="noConversion"/>
  </si>
  <si>
    <t>日常保洁费</t>
    <phoneticPr fontId="1" type="noConversion"/>
  </si>
  <si>
    <t>门卡、桌牌等</t>
    <phoneticPr fontId="4" type="noConversion"/>
  </si>
  <si>
    <t>文具耗材及茶间用品</t>
    <phoneticPr fontId="4" type="noConversion"/>
  </si>
  <si>
    <t>绿植费</t>
    <phoneticPr fontId="1" type="noConversion"/>
  </si>
  <si>
    <t>洗涤费</t>
    <phoneticPr fontId="1" type="noConversion"/>
  </si>
  <si>
    <t>饮用水</t>
    <phoneticPr fontId="4" type="noConversion"/>
  </si>
  <si>
    <r>
      <rPr>
        <b/>
        <sz val="10"/>
        <color rgb="FFFF0000"/>
        <rFont val="宋体"/>
        <family val="3"/>
        <charset val="134"/>
      </rPr>
      <t>合计</t>
    </r>
    <r>
      <rPr>
        <b/>
        <sz val="10"/>
        <color rgb="FFFF0000"/>
        <rFont val="Calibri"/>
        <family val="2"/>
      </rPr>
      <t>2</t>
    </r>
    <phoneticPr fontId="1" type="noConversion"/>
  </si>
  <si>
    <t>※</t>
    <phoneticPr fontId="4" type="noConversion"/>
  </si>
  <si>
    <t xml:space="preserve">Office Maintenance </t>
    <phoneticPr fontId="4" type="noConversion"/>
  </si>
  <si>
    <t>Contract fee &amp; Material Expense</t>
    <phoneticPr fontId="4" type="noConversion"/>
  </si>
  <si>
    <t>(1)</t>
    <phoneticPr fontId="4" type="noConversion"/>
  </si>
  <si>
    <t>(2)</t>
    <phoneticPr fontId="4" type="noConversion"/>
  </si>
  <si>
    <t>(3)</t>
    <phoneticPr fontId="1" type="noConversion"/>
  </si>
  <si>
    <t>(4)</t>
    <phoneticPr fontId="1" type="noConversion"/>
  </si>
  <si>
    <r>
      <rPr>
        <sz val="10"/>
        <rFont val="宋体"/>
        <family val="3"/>
        <charset val="134"/>
      </rPr>
      <t>（</t>
    </r>
    <r>
      <rPr>
        <sz val="10"/>
        <rFont val="Tahoma"/>
        <family val="2"/>
      </rPr>
      <t>8</t>
    </r>
    <r>
      <rPr>
        <sz val="10"/>
        <rFont val="宋体"/>
        <family val="3"/>
        <charset val="134"/>
      </rPr>
      <t>）</t>
    </r>
    <phoneticPr fontId="1" type="noConversion"/>
  </si>
  <si>
    <t>（9）</t>
    <phoneticPr fontId="1" type="noConversion"/>
  </si>
  <si>
    <t>office reconstruction</t>
    <phoneticPr fontId="4" type="noConversion"/>
  </si>
  <si>
    <t>(1)</t>
    <phoneticPr fontId="4" type="noConversion"/>
  </si>
  <si>
    <t>(2)</t>
    <phoneticPr fontId="4" type="noConversion"/>
  </si>
  <si>
    <t>(3)</t>
    <phoneticPr fontId="4" type="noConversion"/>
  </si>
  <si>
    <t>(4)</t>
    <phoneticPr fontId="4" type="noConversion"/>
  </si>
  <si>
    <t>(5)</t>
    <phoneticPr fontId="4" type="noConversion"/>
  </si>
  <si>
    <t>(6)</t>
    <phoneticPr fontId="4" type="noConversion"/>
  </si>
  <si>
    <t>(7)</t>
    <phoneticPr fontId="4" type="noConversion"/>
  </si>
  <si>
    <t>(8)</t>
    <phoneticPr fontId="4" type="noConversion"/>
  </si>
  <si>
    <t>(9)</t>
    <phoneticPr fontId="4" type="noConversion"/>
  </si>
  <si>
    <t>(10)</t>
    <phoneticPr fontId="4" type="noConversion"/>
  </si>
  <si>
    <t>(11)</t>
    <phoneticPr fontId="4" type="noConversion"/>
  </si>
  <si>
    <t>(13)</t>
    <phoneticPr fontId="1" type="noConversion"/>
  </si>
  <si>
    <t>(14)</t>
    <phoneticPr fontId="1" type="noConversion"/>
  </si>
  <si>
    <t>(15)</t>
    <phoneticPr fontId="1" type="noConversion"/>
  </si>
  <si>
    <t>(16)</t>
    <phoneticPr fontId="1" type="noConversion"/>
  </si>
  <si>
    <t>(17)</t>
    <phoneticPr fontId="1" type="noConversion"/>
  </si>
  <si>
    <t>(18)</t>
    <phoneticPr fontId="1" type="noConversion"/>
  </si>
  <si>
    <t>Subscription fee</t>
    <phoneticPr fontId="1" type="noConversion"/>
  </si>
  <si>
    <r>
      <t>(1</t>
    </r>
    <r>
      <rPr>
        <sz val="10"/>
        <rFont val="宋体"/>
        <family val="3"/>
        <charset val="134"/>
      </rPr>
      <t>）</t>
    </r>
    <phoneticPr fontId="1" type="noConversion"/>
  </si>
  <si>
    <t>(2)</t>
    <phoneticPr fontId="4" type="noConversion"/>
  </si>
  <si>
    <t>总计</t>
    <phoneticPr fontId="1" type="noConversion"/>
  </si>
  <si>
    <t>`</t>
    <phoneticPr fontId="1" type="noConversion"/>
  </si>
  <si>
    <r>
      <t>2015</t>
    </r>
    <r>
      <rPr>
        <b/>
        <sz val="10"/>
        <rFont val="宋体"/>
        <family val="3"/>
        <charset val="134"/>
      </rPr>
      <t>年资产保险预算</t>
    </r>
    <phoneticPr fontId="4" type="noConversion"/>
  </si>
  <si>
    <t>预计增幅</t>
    <phoneticPr fontId="1" type="noConversion"/>
  </si>
  <si>
    <t>Total</t>
    <phoneticPr fontId="1" type="noConversion"/>
  </si>
  <si>
    <r>
      <t>2014</t>
    </r>
    <r>
      <rPr>
        <sz val="10"/>
        <color theme="1"/>
        <rFont val="宋体"/>
        <family val="3"/>
        <charset val="134"/>
      </rPr>
      <t>年预算费用</t>
    </r>
    <phoneticPr fontId="1" type="noConversion"/>
  </si>
  <si>
    <r>
      <t>2013Q3</t>
    </r>
    <r>
      <rPr>
        <sz val="10"/>
        <color theme="1"/>
        <rFont val="宋体"/>
        <family val="3"/>
        <charset val="134"/>
      </rPr>
      <t>至</t>
    </r>
    <r>
      <rPr>
        <sz val="10"/>
        <color theme="1"/>
        <rFont val="Calibri"/>
        <family val="2"/>
      </rPr>
      <t>2014Q4</t>
    </r>
    <r>
      <rPr>
        <sz val="10"/>
        <color theme="1"/>
        <rFont val="宋体"/>
        <family val="3"/>
        <charset val="134"/>
      </rPr>
      <t>保费</t>
    </r>
    <phoneticPr fontId="1" type="noConversion"/>
  </si>
  <si>
    <r>
      <rPr>
        <sz val="10"/>
        <color theme="1"/>
        <rFont val="宋体"/>
        <family val="3"/>
        <charset val="134"/>
      </rPr>
      <t>预计</t>
    </r>
    <r>
      <rPr>
        <sz val="10"/>
        <color theme="1"/>
        <rFont val="Calibri"/>
        <family val="2"/>
      </rPr>
      <t>2014</t>
    </r>
    <r>
      <rPr>
        <sz val="10"/>
        <color theme="1"/>
        <rFont val="宋体"/>
        <family val="3"/>
        <charset val="134"/>
      </rPr>
      <t>年保费</t>
    </r>
    <phoneticPr fontId="1" type="noConversion"/>
  </si>
  <si>
    <r>
      <t>2014</t>
    </r>
    <r>
      <rPr>
        <sz val="10"/>
        <color theme="1"/>
        <rFont val="宋体"/>
        <family val="3"/>
        <charset val="134"/>
      </rPr>
      <t>年保费
超预算比例</t>
    </r>
    <phoneticPr fontId="1" type="noConversion"/>
  </si>
  <si>
    <r>
      <t>2014</t>
    </r>
    <r>
      <rPr>
        <sz val="10"/>
        <color theme="1"/>
        <rFont val="宋体"/>
        <family val="3"/>
        <charset val="134"/>
      </rPr>
      <t>年不同种类保费占比</t>
    </r>
    <phoneticPr fontId="1" type="noConversion"/>
  </si>
  <si>
    <r>
      <t>2015</t>
    </r>
    <r>
      <rPr>
        <sz val="10"/>
        <color theme="1"/>
        <rFont val="宋体"/>
        <family val="3"/>
        <charset val="134"/>
      </rPr>
      <t>年预计
保费增长率</t>
    </r>
    <phoneticPr fontId="1" type="noConversion"/>
  </si>
  <si>
    <r>
      <t>2015</t>
    </r>
    <r>
      <rPr>
        <sz val="10"/>
        <color theme="1"/>
        <rFont val="宋体"/>
        <family val="3"/>
        <charset val="134"/>
      </rPr>
      <t>年保费预算</t>
    </r>
    <phoneticPr fontId="1" type="noConversion"/>
  </si>
  <si>
    <t>年度资产保费</t>
    <phoneticPr fontId="1" type="noConversion"/>
  </si>
  <si>
    <t>季度新增资产保费</t>
    <phoneticPr fontId="1" type="noConversion"/>
  </si>
  <si>
    <t>合计</t>
    <phoneticPr fontId="1" type="noConversion"/>
  </si>
  <si>
    <t>年度资产保费占比</t>
    <phoneticPr fontId="1" type="noConversion"/>
  </si>
  <si>
    <t>季度资产保费占比</t>
    <phoneticPr fontId="1" type="noConversion"/>
  </si>
  <si>
    <t>(a)</t>
    <phoneticPr fontId="1" type="noConversion"/>
  </si>
  <si>
    <t>(b)</t>
    <phoneticPr fontId="1" type="noConversion"/>
  </si>
  <si>
    <t>( c)</t>
    <phoneticPr fontId="1" type="noConversion"/>
  </si>
  <si>
    <t>(d=b+c)</t>
    <phoneticPr fontId="1" type="noConversion"/>
  </si>
  <si>
    <t>(e=b+c/3*4)</t>
    <phoneticPr fontId="1" type="noConversion"/>
  </si>
  <si>
    <t>(f=(e-a)/a)</t>
    <phoneticPr fontId="1" type="noConversion"/>
  </si>
  <si>
    <t>(g=b/e)</t>
    <phoneticPr fontId="1" type="noConversion"/>
  </si>
  <si>
    <t>(h=c/3*4/e)</t>
    <phoneticPr fontId="1" type="noConversion"/>
  </si>
  <si>
    <t>(i)</t>
    <phoneticPr fontId="1" type="noConversion"/>
  </si>
  <si>
    <t>(j=e*(1+i))</t>
    <phoneticPr fontId="1" type="noConversion"/>
  </si>
  <si>
    <t>SOHU</t>
    <phoneticPr fontId="1" type="noConversion"/>
  </si>
  <si>
    <t>汽车</t>
    <phoneticPr fontId="1" type="noConversion"/>
  </si>
  <si>
    <t>焦点</t>
    <phoneticPr fontId="1" type="noConversion"/>
  </si>
  <si>
    <t>视频</t>
    <phoneticPr fontId="1" type="noConversion"/>
  </si>
  <si>
    <r>
      <rPr>
        <sz val="10"/>
        <rFont val="宋体"/>
        <family val="3"/>
        <charset val="134"/>
      </rPr>
      <t>备注：</t>
    </r>
    <r>
      <rPr>
        <sz val="10"/>
        <rFont val="Calibri"/>
        <family val="2"/>
      </rPr>
      <t>2015</t>
    </r>
    <r>
      <rPr>
        <sz val="10"/>
        <rFont val="宋体"/>
        <family val="3"/>
        <charset val="134"/>
      </rPr>
      <t>年资产预计增长率来自</t>
    </r>
    <r>
      <rPr>
        <sz val="10"/>
        <rFont val="Calibri"/>
        <family val="2"/>
      </rPr>
      <t>2014</t>
    </r>
    <r>
      <rPr>
        <sz val="10"/>
        <rFont val="宋体"/>
        <family val="3"/>
        <charset val="134"/>
      </rPr>
      <t>年年度资产盘点报告中“</t>
    </r>
    <r>
      <rPr>
        <sz val="10"/>
        <rFont val="Calibri"/>
        <family val="2"/>
      </rPr>
      <t>2013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9</t>
    </r>
    <r>
      <rPr>
        <sz val="10"/>
        <rFont val="宋体"/>
        <family val="3"/>
        <charset val="134"/>
      </rPr>
      <t>月至</t>
    </r>
    <r>
      <rPr>
        <sz val="10"/>
        <rFont val="Calibri"/>
        <family val="2"/>
      </rPr>
      <t>2014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9</t>
    </r>
    <r>
      <rPr>
        <sz val="10"/>
        <rFont val="宋体"/>
        <family val="3"/>
        <charset val="134"/>
      </rPr>
      <t>月集团资产总量增长</t>
    </r>
    <r>
      <rPr>
        <sz val="10"/>
        <rFont val="Calibri"/>
        <family val="2"/>
      </rPr>
      <t>25%”</t>
    </r>
    <phoneticPr fontId="4" type="noConversion"/>
  </si>
  <si>
    <r>
      <rPr>
        <b/>
        <sz val="10"/>
        <color theme="1"/>
        <rFont val="宋体"/>
        <family val="3"/>
        <charset val="134"/>
      </rPr>
      <t>附：</t>
    </r>
    <r>
      <rPr>
        <b/>
        <sz val="10"/>
        <color theme="1"/>
        <rFont val="Calibri"/>
        <family val="2"/>
      </rPr>
      <t>2013</t>
    </r>
    <r>
      <rPr>
        <b/>
        <sz val="10"/>
        <color theme="1"/>
        <rFont val="宋体"/>
        <family val="3"/>
        <charset val="134"/>
      </rPr>
      <t>年</t>
    </r>
    <r>
      <rPr>
        <b/>
        <sz val="10"/>
        <color theme="1"/>
        <rFont val="Calibri"/>
        <family val="2"/>
      </rPr>
      <t>Q13-2014Q3</t>
    </r>
    <r>
      <rPr>
        <b/>
        <sz val="10"/>
        <color theme="1"/>
        <rFont val="宋体"/>
        <family val="3"/>
        <charset val="134"/>
      </rPr>
      <t>保费发生记录</t>
    </r>
    <phoneticPr fontId="1" type="noConversion"/>
  </si>
  <si>
    <r>
      <t>2013Q3</t>
    </r>
    <r>
      <rPr>
        <sz val="10"/>
        <rFont val="宋体"/>
        <family val="3"/>
        <charset val="134"/>
      </rPr>
      <t>至</t>
    </r>
    <r>
      <rPr>
        <sz val="10"/>
        <rFont val="Calibri"/>
        <family val="2"/>
      </rPr>
      <t>2014Q4</t>
    </r>
    <r>
      <rPr>
        <sz val="10"/>
        <rFont val="宋体"/>
        <family val="3"/>
        <charset val="134"/>
      </rPr>
      <t>实际发生金额</t>
    </r>
    <phoneticPr fontId="4" type="noConversion"/>
  </si>
  <si>
    <r>
      <rPr>
        <sz val="10"/>
        <rFont val="宋体"/>
        <family val="3"/>
        <charset val="134"/>
      </rPr>
      <t>搜狐软件科技</t>
    </r>
    <phoneticPr fontId="1" type="noConversion"/>
  </si>
  <si>
    <r>
      <t>搜狐软件科技（新软件）公司</t>
    </r>
    <r>
      <rPr>
        <sz val="10"/>
        <rFont val="Arial"/>
        <family val="2"/>
      </rPr>
      <t xml:space="preserve"> </t>
    </r>
    <r>
      <rPr>
        <sz val="10"/>
        <color rgb="FFFF0000"/>
        <rFont val="宋体"/>
        <family val="3"/>
        <charset val="134"/>
      </rPr>
      <t>（</t>
    </r>
    <r>
      <rPr>
        <sz val="10"/>
        <color rgb="FFFF0000"/>
        <rFont val="Arial"/>
        <family val="2"/>
      </rPr>
      <t>2013</t>
    </r>
    <r>
      <rPr>
        <sz val="10"/>
        <color rgb="FFFF0000"/>
        <rFont val="宋体"/>
        <family val="3"/>
        <charset val="134"/>
      </rPr>
      <t>年</t>
    </r>
    <r>
      <rPr>
        <sz val="10"/>
        <color rgb="FFFF0000"/>
        <rFont val="Arial"/>
        <family val="2"/>
      </rPr>
      <t>8</t>
    </r>
    <r>
      <rPr>
        <sz val="10"/>
        <color rgb="FFFF0000"/>
        <rFont val="宋体"/>
        <family val="3"/>
        <charset val="134"/>
      </rPr>
      <t>月至</t>
    </r>
    <r>
      <rPr>
        <sz val="10"/>
        <color rgb="FFFF0000"/>
        <rFont val="Arial"/>
        <family val="2"/>
      </rPr>
      <t>2013</t>
    </r>
    <r>
      <rPr>
        <sz val="10"/>
        <color rgb="FFFF0000"/>
        <rFont val="宋体"/>
        <family val="3"/>
        <charset val="134"/>
      </rPr>
      <t>年</t>
    </r>
    <r>
      <rPr>
        <sz val="10"/>
        <color rgb="FFFF0000"/>
        <rFont val="Arial"/>
        <family val="2"/>
      </rPr>
      <t>10</t>
    </r>
    <r>
      <rPr>
        <sz val="10"/>
        <color rgb="FFFF0000"/>
        <rFont val="宋体"/>
        <family val="3"/>
        <charset val="134"/>
      </rPr>
      <t>月）季度新增</t>
    </r>
    <r>
      <rPr>
        <sz val="10"/>
        <rFont val="宋体"/>
        <family val="3"/>
        <charset val="134"/>
      </rPr>
      <t>资产投保费用付款</t>
    </r>
    <r>
      <rPr>
        <sz val="10"/>
        <rFont val="Arial"/>
        <family val="2"/>
      </rPr>
      <t>.</t>
    </r>
    <phoneticPr fontId="1" type="noConversion"/>
  </si>
  <si>
    <r>
      <t>搜狐软件科技（新软件）公司</t>
    </r>
    <r>
      <rPr>
        <sz val="10"/>
        <rFont val="Arial"/>
        <family val="2"/>
      </rPr>
      <t xml:space="preserve"> </t>
    </r>
    <r>
      <rPr>
        <sz val="10"/>
        <color rgb="FFFF0000"/>
        <rFont val="宋体"/>
        <family val="3"/>
        <charset val="134"/>
      </rPr>
      <t>（</t>
    </r>
    <r>
      <rPr>
        <sz val="10"/>
        <color rgb="FFFF0000"/>
        <rFont val="Arial"/>
        <family val="2"/>
      </rPr>
      <t>2013</t>
    </r>
    <r>
      <rPr>
        <sz val="10"/>
        <color rgb="FFFF0000"/>
        <rFont val="宋体"/>
        <family val="3"/>
        <charset val="134"/>
      </rPr>
      <t>年</t>
    </r>
    <r>
      <rPr>
        <sz val="10"/>
        <color rgb="FFFF0000"/>
        <rFont val="Arial"/>
        <family val="2"/>
      </rPr>
      <t>11</t>
    </r>
    <r>
      <rPr>
        <sz val="10"/>
        <color rgb="FFFF0000"/>
        <rFont val="宋体"/>
        <family val="3"/>
        <charset val="134"/>
      </rPr>
      <t>月至</t>
    </r>
    <r>
      <rPr>
        <sz val="10"/>
        <color rgb="FFFF0000"/>
        <rFont val="Arial"/>
        <family val="2"/>
      </rPr>
      <t>2014</t>
    </r>
    <r>
      <rPr>
        <sz val="10"/>
        <color rgb="FFFF0000"/>
        <rFont val="宋体"/>
        <family val="3"/>
        <charset val="134"/>
      </rPr>
      <t>年</t>
    </r>
    <r>
      <rPr>
        <sz val="10"/>
        <color rgb="FFFF0000"/>
        <rFont val="Arial"/>
        <family val="2"/>
      </rPr>
      <t>1</t>
    </r>
    <r>
      <rPr>
        <sz val="10"/>
        <color rgb="FFFF0000"/>
        <rFont val="宋体"/>
        <family val="3"/>
        <charset val="134"/>
      </rPr>
      <t>月）季度新增</t>
    </r>
    <r>
      <rPr>
        <sz val="10"/>
        <rFont val="宋体"/>
        <family val="3"/>
        <charset val="134"/>
      </rPr>
      <t>资产投保费用付款</t>
    </r>
    <r>
      <rPr>
        <sz val="10"/>
        <rFont val="Arial"/>
        <family val="2"/>
      </rPr>
      <t>.</t>
    </r>
    <phoneticPr fontId="1" type="noConversion"/>
  </si>
  <si>
    <r>
      <t>搜狐软件科技（新软件）公司</t>
    </r>
    <r>
      <rPr>
        <sz val="10"/>
        <rFont val="Arial"/>
        <family val="2"/>
      </rPr>
      <t xml:space="preserve"> </t>
    </r>
    <r>
      <rPr>
        <sz val="10"/>
        <color rgb="FFFF0000"/>
        <rFont val="宋体"/>
        <family val="3"/>
        <charset val="134"/>
      </rPr>
      <t>（</t>
    </r>
    <r>
      <rPr>
        <sz val="10"/>
        <color rgb="FFFF0000"/>
        <rFont val="Arial"/>
        <family val="2"/>
      </rPr>
      <t>2014</t>
    </r>
    <r>
      <rPr>
        <sz val="10"/>
        <color rgb="FFFF0000"/>
        <rFont val="宋体"/>
        <family val="3"/>
        <charset val="134"/>
      </rPr>
      <t>年</t>
    </r>
    <r>
      <rPr>
        <sz val="10"/>
        <color rgb="FFFF0000"/>
        <rFont val="Arial"/>
        <family val="2"/>
      </rPr>
      <t>2</t>
    </r>
    <r>
      <rPr>
        <sz val="10"/>
        <color rgb="FFFF0000"/>
        <rFont val="宋体"/>
        <family val="3"/>
        <charset val="134"/>
      </rPr>
      <t>月至</t>
    </r>
    <r>
      <rPr>
        <sz val="10"/>
        <color rgb="FFFF0000"/>
        <rFont val="Arial"/>
        <family val="2"/>
      </rPr>
      <t>2014</t>
    </r>
    <r>
      <rPr>
        <sz val="10"/>
        <color rgb="FFFF0000"/>
        <rFont val="宋体"/>
        <family val="3"/>
        <charset val="134"/>
      </rPr>
      <t>年</t>
    </r>
    <r>
      <rPr>
        <sz val="10"/>
        <color rgb="FFFF0000"/>
        <rFont val="Arial"/>
        <family val="2"/>
      </rPr>
      <t>4</t>
    </r>
    <r>
      <rPr>
        <sz val="10"/>
        <color rgb="FFFF0000"/>
        <rFont val="宋体"/>
        <family val="3"/>
        <charset val="134"/>
      </rPr>
      <t>月）季度新增</t>
    </r>
    <r>
      <rPr>
        <sz val="10"/>
        <rFont val="宋体"/>
        <family val="3"/>
        <charset val="134"/>
      </rPr>
      <t>资产投保费用付款</t>
    </r>
    <r>
      <rPr>
        <sz val="10"/>
        <rFont val="Arial"/>
        <family val="2"/>
      </rPr>
      <t>.</t>
    </r>
    <phoneticPr fontId="1" type="noConversion"/>
  </si>
  <si>
    <r>
      <t>搜狐软件科技（新软件）公司</t>
    </r>
    <r>
      <rPr>
        <sz val="10"/>
        <rFont val="Arial"/>
        <family val="2"/>
      </rPr>
      <t xml:space="preserve"> </t>
    </r>
    <r>
      <rPr>
        <sz val="10"/>
        <color rgb="FFFF0000"/>
        <rFont val="宋体"/>
        <family val="3"/>
        <charset val="134"/>
      </rPr>
      <t>（</t>
    </r>
    <r>
      <rPr>
        <sz val="10"/>
        <color rgb="FFFF0000"/>
        <rFont val="Arial"/>
        <family val="2"/>
      </rPr>
      <t>2014.5.16-2015.5.15</t>
    </r>
    <r>
      <rPr>
        <sz val="10"/>
        <color rgb="FFFF0000"/>
        <rFont val="宋体"/>
        <family val="3"/>
        <charset val="134"/>
      </rPr>
      <t>）年度</t>
    </r>
    <r>
      <rPr>
        <sz val="10"/>
        <rFont val="宋体"/>
        <family val="3"/>
        <charset val="134"/>
      </rPr>
      <t>财产一切险资产投保费用付款</t>
    </r>
    <r>
      <rPr>
        <sz val="10"/>
        <rFont val="Arial"/>
        <family val="2"/>
      </rPr>
      <t>.</t>
    </r>
    <phoneticPr fontId="1" type="noConversion"/>
  </si>
  <si>
    <r>
      <t>搜狐软件科技（新软件）公司</t>
    </r>
    <r>
      <rPr>
        <sz val="10"/>
        <rFont val="Arial"/>
        <family val="2"/>
      </rPr>
      <t xml:space="preserve">  </t>
    </r>
    <r>
      <rPr>
        <sz val="10"/>
        <color rgb="FFFF0000"/>
        <rFont val="宋体"/>
        <family val="3"/>
        <charset val="134"/>
      </rPr>
      <t>（</t>
    </r>
    <r>
      <rPr>
        <sz val="10"/>
        <color rgb="FFFF0000"/>
        <rFont val="Arial"/>
        <family val="2"/>
      </rPr>
      <t>2014</t>
    </r>
    <r>
      <rPr>
        <sz val="10"/>
        <color rgb="FFFF0000"/>
        <rFont val="宋体"/>
        <family val="3"/>
        <charset val="134"/>
      </rPr>
      <t>年</t>
    </r>
    <r>
      <rPr>
        <sz val="10"/>
        <color rgb="FFFF0000"/>
        <rFont val="Arial"/>
        <family val="2"/>
      </rPr>
      <t>5</t>
    </r>
    <r>
      <rPr>
        <sz val="10"/>
        <color rgb="FFFF0000"/>
        <rFont val="宋体"/>
        <family val="3"/>
        <charset val="134"/>
      </rPr>
      <t>月至</t>
    </r>
    <r>
      <rPr>
        <sz val="10"/>
        <color rgb="FFFF0000"/>
        <rFont val="Arial"/>
        <family val="2"/>
      </rPr>
      <t>2014</t>
    </r>
    <r>
      <rPr>
        <sz val="10"/>
        <color rgb="FFFF0000"/>
        <rFont val="宋体"/>
        <family val="3"/>
        <charset val="134"/>
      </rPr>
      <t>年</t>
    </r>
    <r>
      <rPr>
        <sz val="10"/>
        <color rgb="FFFF0000"/>
        <rFont val="Arial"/>
        <family val="2"/>
      </rPr>
      <t>7</t>
    </r>
    <r>
      <rPr>
        <sz val="10"/>
        <color rgb="FFFF0000"/>
        <rFont val="宋体"/>
        <family val="3"/>
        <charset val="134"/>
      </rPr>
      <t>月）季度新增</t>
    </r>
    <r>
      <rPr>
        <sz val="10"/>
        <rFont val="宋体"/>
        <family val="3"/>
        <charset val="134"/>
      </rPr>
      <t>资产投保费用付款</t>
    </r>
    <r>
      <rPr>
        <sz val="10"/>
        <rFont val="Arial"/>
        <family val="2"/>
      </rPr>
      <t>.</t>
    </r>
    <phoneticPr fontId="1" type="noConversion"/>
  </si>
  <si>
    <r>
      <rPr>
        <sz val="10"/>
        <rFont val="宋体"/>
        <family val="3"/>
        <charset val="134"/>
      </rPr>
      <t>新媒体</t>
    </r>
    <phoneticPr fontId="1" type="noConversion"/>
  </si>
  <si>
    <r>
      <t>北京搜狐新媒体信息技术有限公司</t>
    </r>
    <r>
      <rPr>
        <sz val="10"/>
        <color rgb="FFFF0000"/>
        <rFont val="宋体"/>
        <family val="3"/>
        <charset val="134"/>
      </rPr>
      <t>（2013年8月-2013年10月）季度新增</t>
    </r>
    <r>
      <rPr>
        <sz val="10"/>
        <rFont val="宋体"/>
        <family val="3"/>
        <charset val="134"/>
      </rPr>
      <t>资产投保费用</t>
    </r>
    <phoneticPr fontId="1" type="noConversion"/>
  </si>
  <si>
    <r>
      <t>北京搜狐新媒体信息技术有限公司</t>
    </r>
    <r>
      <rPr>
        <sz val="10"/>
        <color rgb="FFFF0000"/>
        <rFont val="宋体"/>
        <family val="3"/>
        <charset val="134"/>
      </rPr>
      <t>（2013年11月-2014年1月）季度新增</t>
    </r>
    <r>
      <rPr>
        <sz val="10"/>
        <rFont val="宋体"/>
        <family val="3"/>
        <charset val="134"/>
      </rPr>
      <t>资产投保费用</t>
    </r>
    <phoneticPr fontId="1" type="noConversion"/>
  </si>
  <si>
    <r>
      <t>北京搜狐新媒体信息技术有限公司</t>
    </r>
    <r>
      <rPr>
        <sz val="10"/>
        <color rgb="FFFF0000"/>
        <rFont val="宋体"/>
        <family val="3"/>
        <charset val="134"/>
      </rPr>
      <t>（2014年2月-2014年4月）季度新增</t>
    </r>
    <r>
      <rPr>
        <sz val="10"/>
        <rFont val="宋体"/>
        <family val="3"/>
        <charset val="134"/>
      </rPr>
      <t>资产投保费用</t>
    </r>
    <phoneticPr fontId="1" type="noConversion"/>
  </si>
  <si>
    <r>
      <t>北京搜狐新媒体信息技术有限公司</t>
    </r>
    <r>
      <rPr>
        <sz val="10"/>
        <color rgb="FFFF0000"/>
        <rFont val="宋体"/>
        <family val="3"/>
        <charset val="134"/>
      </rPr>
      <t>（2014.5.16-2015.5.15）年度</t>
    </r>
    <r>
      <rPr>
        <sz val="10"/>
        <rFont val="宋体"/>
        <family val="3"/>
        <charset val="134"/>
      </rPr>
      <t>公众责任险投保费用</t>
    </r>
    <phoneticPr fontId="1" type="noConversion"/>
  </si>
  <si>
    <r>
      <t>北京搜狐新媒体信息技术有限公司</t>
    </r>
    <r>
      <rPr>
        <sz val="10"/>
        <color rgb="FFFF0000"/>
        <rFont val="宋体"/>
        <family val="3"/>
        <charset val="134"/>
      </rPr>
      <t>（2014.5.16-2015.5.15）年度</t>
    </r>
    <r>
      <rPr>
        <sz val="10"/>
        <rFont val="宋体"/>
        <family val="3"/>
        <charset val="134"/>
      </rPr>
      <t>财产一切险资产投保费用</t>
    </r>
    <phoneticPr fontId="1" type="noConversion"/>
  </si>
  <si>
    <r>
      <t>北京搜狐新媒体信息技术有限公司</t>
    </r>
    <r>
      <rPr>
        <sz val="10"/>
        <color rgb="FFFF0000"/>
        <rFont val="宋体"/>
        <family val="3"/>
        <charset val="134"/>
      </rPr>
      <t>（2014年5月-2014年7月）季度新增</t>
    </r>
    <r>
      <rPr>
        <sz val="10"/>
        <rFont val="宋体"/>
        <family val="3"/>
        <charset val="134"/>
      </rPr>
      <t>资产投保费用</t>
    </r>
    <phoneticPr fontId="1" type="noConversion"/>
  </si>
  <si>
    <r>
      <rPr>
        <sz val="10"/>
        <rFont val="宋体"/>
        <family val="3"/>
        <charset val="134"/>
      </rPr>
      <t>新时代</t>
    </r>
    <phoneticPr fontId="1" type="noConversion"/>
  </si>
  <si>
    <r>
      <t>北京搜狐新时代信息技术有限公司</t>
    </r>
    <r>
      <rPr>
        <sz val="10"/>
        <color rgb="FFFF0000"/>
        <rFont val="宋体"/>
        <family val="3"/>
        <charset val="134"/>
      </rPr>
      <t>（2014.5.16-2015.5.15）年度</t>
    </r>
    <r>
      <rPr>
        <sz val="10"/>
        <rFont val="宋体"/>
        <family val="3"/>
        <charset val="134"/>
      </rPr>
      <t>财产一切险资产投保费用</t>
    </r>
    <phoneticPr fontId="1" type="noConversion"/>
  </si>
  <si>
    <r>
      <rPr>
        <sz val="10"/>
        <rFont val="宋体"/>
        <family val="3"/>
        <charset val="134"/>
      </rPr>
      <t>新动力</t>
    </r>
    <phoneticPr fontId="1" type="noConversion"/>
  </si>
  <si>
    <r>
      <t>北京搜狐新动力信息技术有限公司</t>
    </r>
    <r>
      <rPr>
        <sz val="10"/>
        <color rgb="FFFF0000"/>
        <rFont val="宋体"/>
        <family val="3"/>
        <charset val="134"/>
      </rPr>
      <t>（2013年8月-2013年10月）季度新增</t>
    </r>
    <r>
      <rPr>
        <sz val="10"/>
        <rFont val="宋体"/>
        <family val="3"/>
        <charset val="134"/>
      </rPr>
      <t>资产投保费用</t>
    </r>
    <phoneticPr fontId="1" type="noConversion"/>
  </si>
  <si>
    <r>
      <t>北京搜狐新动力信息技术有限公司</t>
    </r>
    <r>
      <rPr>
        <sz val="10"/>
        <color rgb="FFFF0000"/>
        <rFont val="宋体"/>
        <family val="3"/>
        <charset val="134"/>
      </rPr>
      <t>（2014.5.16-2015.5.15）年度</t>
    </r>
    <r>
      <rPr>
        <sz val="10"/>
        <rFont val="宋体"/>
        <family val="3"/>
        <charset val="134"/>
      </rPr>
      <t>财产一切险资产投保费用</t>
    </r>
    <phoneticPr fontId="1" type="noConversion"/>
  </si>
  <si>
    <t>互联网</t>
    <phoneticPr fontId="1" type="noConversion"/>
  </si>
  <si>
    <r>
      <t>北京搜狐互联网信息服务有限公司</t>
    </r>
    <r>
      <rPr>
        <sz val="10"/>
        <color rgb="FFFF0000"/>
        <rFont val="宋体"/>
        <family val="3"/>
        <charset val="134"/>
      </rPr>
      <t>（2014年5月-2014年7月）季度新增</t>
    </r>
    <r>
      <rPr>
        <sz val="10"/>
        <rFont val="宋体"/>
        <family val="3"/>
        <charset val="134"/>
      </rPr>
      <t>资产投保费用</t>
    </r>
    <phoneticPr fontId="1" type="noConversion"/>
  </si>
  <si>
    <t>搜狐支付</t>
    <phoneticPr fontId="1" type="noConversion"/>
  </si>
  <si>
    <r>
      <t>搜狐支付科技有限公司</t>
    </r>
    <r>
      <rPr>
        <sz val="10"/>
        <color rgb="FFFF0000"/>
        <rFont val="宋体"/>
        <family val="3"/>
        <charset val="134"/>
      </rPr>
      <t>（2014年2月-2014年4月）季度新增</t>
    </r>
    <r>
      <rPr>
        <sz val="10"/>
        <rFont val="宋体"/>
        <family val="3"/>
        <charset val="134"/>
      </rPr>
      <t>资产投保费用</t>
    </r>
    <phoneticPr fontId="1" type="noConversion"/>
  </si>
  <si>
    <r>
      <t>搜狐支付科技有限公司</t>
    </r>
    <r>
      <rPr>
        <sz val="10"/>
        <color rgb="FFFF0000"/>
        <rFont val="宋体"/>
        <family val="3"/>
        <charset val="134"/>
      </rPr>
      <t>（2014年5月-2014年7月）季度新增</t>
    </r>
    <r>
      <rPr>
        <sz val="10"/>
        <rFont val="宋体"/>
        <family val="3"/>
        <charset val="134"/>
      </rPr>
      <t>资产投保费用</t>
    </r>
    <phoneticPr fontId="1" type="noConversion"/>
  </si>
  <si>
    <r>
      <t>搜狐支付科技有限公司</t>
    </r>
    <r>
      <rPr>
        <sz val="10"/>
        <color rgb="FFFF0000"/>
        <rFont val="宋体"/>
        <family val="3"/>
        <charset val="134"/>
      </rPr>
      <t>（2014.5.16-2015.5.15）年度</t>
    </r>
    <r>
      <rPr>
        <sz val="10"/>
        <rFont val="宋体"/>
        <family val="3"/>
        <charset val="134"/>
      </rPr>
      <t>财产一切险资产投保费用</t>
    </r>
    <phoneticPr fontId="1" type="noConversion"/>
  </si>
  <si>
    <r>
      <rPr>
        <sz val="10"/>
        <rFont val="宋体"/>
        <family val="3"/>
        <charset val="134"/>
      </rPr>
      <t>新媒体</t>
    </r>
    <r>
      <rPr>
        <sz val="10"/>
        <rFont val="Calibri"/>
        <family val="2"/>
      </rPr>
      <t>(</t>
    </r>
    <r>
      <rPr>
        <sz val="10"/>
        <rFont val="宋体"/>
        <family val="3"/>
        <charset val="134"/>
      </rPr>
      <t>视频</t>
    </r>
    <r>
      <rPr>
        <sz val="10"/>
        <rFont val="Calibri"/>
        <family val="2"/>
      </rPr>
      <t>)</t>
    </r>
    <phoneticPr fontId="1" type="noConversion"/>
  </si>
  <si>
    <r>
      <rPr>
        <sz val="10"/>
        <rFont val="宋体"/>
        <family val="3"/>
        <charset val="134"/>
      </rPr>
      <t>新动力</t>
    </r>
    <r>
      <rPr>
        <sz val="10"/>
        <rFont val="Calibri"/>
        <family val="2"/>
      </rPr>
      <t>(</t>
    </r>
    <r>
      <rPr>
        <sz val="10"/>
        <rFont val="宋体"/>
        <family val="3"/>
        <charset val="134"/>
      </rPr>
      <t>视频</t>
    </r>
    <r>
      <rPr>
        <sz val="10"/>
        <rFont val="Calibri"/>
        <family val="2"/>
      </rPr>
      <t>)</t>
    </r>
    <phoneticPr fontId="1" type="noConversion"/>
  </si>
  <si>
    <r>
      <t>北京搜狐新动力信息技术有限公司</t>
    </r>
    <r>
      <rPr>
        <sz val="10"/>
        <color rgb="FFFF0000"/>
        <rFont val="宋体"/>
        <family val="3"/>
        <charset val="134"/>
      </rPr>
      <t>（2013年11月-2014年1月）季度新增</t>
    </r>
    <r>
      <rPr>
        <sz val="10"/>
        <rFont val="宋体"/>
        <family val="3"/>
        <charset val="134"/>
      </rPr>
      <t>资产投保费用</t>
    </r>
    <phoneticPr fontId="1" type="noConversion"/>
  </si>
  <si>
    <r>
      <t>北京搜狐新动力信息技术有限公司</t>
    </r>
    <r>
      <rPr>
        <sz val="10"/>
        <color rgb="FFFF0000"/>
        <rFont val="宋体"/>
        <family val="3"/>
        <charset val="134"/>
      </rPr>
      <t>（2014年2月-2014年4月）季度新增</t>
    </r>
    <r>
      <rPr>
        <sz val="10"/>
        <rFont val="宋体"/>
        <family val="3"/>
        <charset val="134"/>
      </rPr>
      <t>资产投保费用</t>
    </r>
    <phoneticPr fontId="1" type="noConversion"/>
  </si>
  <si>
    <r>
      <t>北京搜狐新动力信息技术有限公司</t>
    </r>
    <r>
      <rPr>
        <sz val="10"/>
        <color rgb="FFFF0000"/>
        <rFont val="宋体"/>
        <family val="3"/>
        <charset val="134"/>
      </rPr>
      <t>（2014年5月-2014年7月）季度新增</t>
    </r>
    <r>
      <rPr>
        <sz val="10"/>
        <rFont val="宋体"/>
        <family val="3"/>
        <charset val="134"/>
      </rPr>
      <t>资产投保费用</t>
    </r>
    <phoneticPr fontId="1" type="noConversion"/>
  </si>
  <si>
    <r>
      <rPr>
        <sz val="10"/>
        <rFont val="宋体"/>
        <family val="3"/>
        <charset val="134"/>
      </rPr>
      <t>飞狐</t>
    </r>
    <phoneticPr fontId="1" type="noConversion"/>
  </si>
  <si>
    <r>
      <t>飞狐信息技术（天津）有限公司</t>
    </r>
    <r>
      <rPr>
        <sz val="10"/>
        <color rgb="FFFF0000"/>
        <rFont val="宋体"/>
        <family val="3"/>
        <charset val="134"/>
      </rPr>
      <t>（2013年8月-2013年10月）季度新增</t>
    </r>
    <r>
      <rPr>
        <sz val="10"/>
        <rFont val="宋体"/>
        <family val="3"/>
        <charset val="134"/>
      </rPr>
      <t>资产投保费用</t>
    </r>
    <phoneticPr fontId="1" type="noConversion"/>
  </si>
  <si>
    <r>
      <t>飞狐信息技术（天津）有限公司</t>
    </r>
    <r>
      <rPr>
        <sz val="10"/>
        <color rgb="FFFF0000"/>
        <rFont val="宋体"/>
        <family val="3"/>
        <charset val="134"/>
      </rPr>
      <t>（2013年11月-2014年1月）季度新增</t>
    </r>
    <r>
      <rPr>
        <sz val="10"/>
        <rFont val="宋体"/>
        <family val="3"/>
        <charset val="134"/>
      </rPr>
      <t>资产投保费用</t>
    </r>
    <phoneticPr fontId="1" type="noConversion"/>
  </si>
  <si>
    <r>
      <t>飞狐信息技术（天津）有限公司</t>
    </r>
    <r>
      <rPr>
        <sz val="10"/>
        <color rgb="FFFF0000"/>
        <rFont val="宋体"/>
        <family val="3"/>
        <charset val="134"/>
      </rPr>
      <t>（2014年2月-2014年4月）季度新增</t>
    </r>
    <r>
      <rPr>
        <sz val="10"/>
        <rFont val="宋体"/>
        <family val="3"/>
        <charset val="134"/>
      </rPr>
      <t>资产投保费用</t>
    </r>
    <phoneticPr fontId="1" type="noConversion"/>
  </si>
  <si>
    <r>
      <t>飞狐信息技术（天津）有限公司</t>
    </r>
    <r>
      <rPr>
        <sz val="10"/>
        <color rgb="FFFF0000"/>
        <rFont val="宋体"/>
        <family val="3"/>
        <charset val="134"/>
      </rPr>
      <t>（2014.5.16-2015.5.15）年度</t>
    </r>
    <r>
      <rPr>
        <sz val="10"/>
        <rFont val="宋体"/>
        <family val="3"/>
        <charset val="134"/>
      </rPr>
      <t>财产一切险资产投保费用</t>
    </r>
    <phoneticPr fontId="1" type="noConversion"/>
  </si>
  <si>
    <r>
      <t>飞狐信息技术（天津）有限公司</t>
    </r>
    <r>
      <rPr>
        <sz val="10"/>
        <color rgb="FFFF0000"/>
        <rFont val="宋体"/>
        <family val="3"/>
        <charset val="134"/>
      </rPr>
      <t>（2014年5月-2014年7月）季度新增</t>
    </r>
    <r>
      <rPr>
        <sz val="10"/>
        <rFont val="宋体"/>
        <family val="3"/>
        <charset val="134"/>
      </rPr>
      <t>资产投保费用</t>
    </r>
    <phoneticPr fontId="1" type="noConversion"/>
  </si>
  <si>
    <r>
      <rPr>
        <sz val="10"/>
        <rFont val="宋体"/>
        <family val="3"/>
        <charset val="134"/>
      </rPr>
      <t>汽车</t>
    </r>
    <phoneticPr fontId="1" type="noConversion"/>
  </si>
  <si>
    <r>
      <t>北京搜狐新媒体（汽车）公司</t>
    </r>
    <r>
      <rPr>
        <sz val="10"/>
        <rFont val="Arial"/>
        <family val="2"/>
      </rPr>
      <t xml:space="preserve"> </t>
    </r>
    <r>
      <rPr>
        <sz val="10"/>
        <color rgb="FFFF0000"/>
        <rFont val="宋体"/>
        <family val="3"/>
        <charset val="134"/>
      </rPr>
      <t>（</t>
    </r>
    <r>
      <rPr>
        <sz val="10"/>
        <color rgb="FFFF0000"/>
        <rFont val="Arial"/>
        <family val="2"/>
      </rPr>
      <t>2013</t>
    </r>
    <r>
      <rPr>
        <sz val="10"/>
        <color rgb="FFFF0000"/>
        <rFont val="宋体"/>
        <family val="3"/>
        <charset val="134"/>
      </rPr>
      <t>年</t>
    </r>
    <r>
      <rPr>
        <sz val="10"/>
        <color rgb="FFFF0000"/>
        <rFont val="Arial"/>
        <family val="2"/>
      </rPr>
      <t>8</t>
    </r>
    <r>
      <rPr>
        <sz val="10"/>
        <color rgb="FFFF0000"/>
        <rFont val="宋体"/>
        <family val="3"/>
        <charset val="134"/>
      </rPr>
      <t>月至</t>
    </r>
    <r>
      <rPr>
        <sz val="10"/>
        <color rgb="FFFF0000"/>
        <rFont val="Arial"/>
        <family val="2"/>
      </rPr>
      <t>2013</t>
    </r>
    <r>
      <rPr>
        <sz val="10"/>
        <color rgb="FFFF0000"/>
        <rFont val="宋体"/>
        <family val="3"/>
        <charset val="134"/>
      </rPr>
      <t>年</t>
    </r>
    <r>
      <rPr>
        <sz val="10"/>
        <color rgb="FFFF0000"/>
        <rFont val="Arial"/>
        <family val="2"/>
      </rPr>
      <t>10</t>
    </r>
    <r>
      <rPr>
        <sz val="10"/>
        <color rgb="FFFF0000"/>
        <rFont val="宋体"/>
        <family val="3"/>
        <charset val="134"/>
      </rPr>
      <t>月）季度新增</t>
    </r>
    <r>
      <rPr>
        <sz val="10"/>
        <rFont val="宋体"/>
        <family val="3"/>
        <charset val="134"/>
      </rPr>
      <t>资产投保费用付款</t>
    </r>
    <r>
      <rPr>
        <sz val="10"/>
        <rFont val="Arial"/>
        <family val="2"/>
      </rPr>
      <t>.</t>
    </r>
    <phoneticPr fontId="1" type="noConversion"/>
  </si>
  <si>
    <r>
      <t>北京搜狐新媒体（汽车）公司</t>
    </r>
    <r>
      <rPr>
        <sz val="10"/>
        <rFont val="Arial"/>
        <family val="2"/>
      </rPr>
      <t xml:space="preserve"> </t>
    </r>
    <r>
      <rPr>
        <sz val="10"/>
        <color rgb="FFFF0000"/>
        <rFont val="宋体"/>
        <family val="3"/>
        <charset val="134"/>
      </rPr>
      <t>（</t>
    </r>
    <r>
      <rPr>
        <sz val="10"/>
        <color rgb="FFFF0000"/>
        <rFont val="Arial"/>
        <family val="2"/>
      </rPr>
      <t>2013</t>
    </r>
    <r>
      <rPr>
        <sz val="10"/>
        <color rgb="FFFF0000"/>
        <rFont val="宋体"/>
        <family val="3"/>
        <charset val="134"/>
      </rPr>
      <t>年</t>
    </r>
    <r>
      <rPr>
        <sz val="10"/>
        <color rgb="FFFF0000"/>
        <rFont val="Arial"/>
        <family val="2"/>
      </rPr>
      <t>11</t>
    </r>
    <r>
      <rPr>
        <sz val="10"/>
        <color rgb="FFFF0000"/>
        <rFont val="宋体"/>
        <family val="3"/>
        <charset val="134"/>
      </rPr>
      <t>月至</t>
    </r>
    <r>
      <rPr>
        <sz val="10"/>
        <color rgb="FFFF0000"/>
        <rFont val="Arial"/>
        <family val="2"/>
      </rPr>
      <t>2014</t>
    </r>
    <r>
      <rPr>
        <sz val="10"/>
        <color rgb="FFFF0000"/>
        <rFont val="宋体"/>
        <family val="3"/>
        <charset val="134"/>
      </rPr>
      <t>年</t>
    </r>
    <r>
      <rPr>
        <sz val="10"/>
        <color rgb="FFFF0000"/>
        <rFont val="Arial"/>
        <family val="2"/>
      </rPr>
      <t>1</t>
    </r>
    <r>
      <rPr>
        <sz val="10"/>
        <color rgb="FFFF0000"/>
        <rFont val="宋体"/>
        <family val="3"/>
        <charset val="134"/>
      </rPr>
      <t>月）季度新增</t>
    </r>
    <r>
      <rPr>
        <sz val="10"/>
        <rFont val="宋体"/>
        <family val="3"/>
        <charset val="134"/>
      </rPr>
      <t>资产投保费用付款</t>
    </r>
    <r>
      <rPr>
        <sz val="10"/>
        <rFont val="Arial"/>
        <family val="2"/>
      </rPr>
      <t>.</t>
    </r>
    <phoneticPr fontId="1" type="noConversion"/>
  </si>
  <si>
    <r>
      <t>北京搜狐新媒体（汽车）公司</t>
    </r>
    <r>
      <rPr>
        <sz val="10"/>
        <rFont val="Arial"/>
        <family val="2"/>
      </rPr>
      <t xml:space="preserve"> </t>
    </r>
    <r>
      <rPr>
        <sz val="10"/>
        <color rgb="FFFF0000"/>
        <rFont val="宋体"/>
        <family val="3"/>
        <charset val="134"/>
      </rPr>
      <t>（</t>
    </r>
    <r>
      <rPr>
        <sz val="10"/>
        <color rgb="FFFF0000"/>
        <rFont val="Arial"/>
        <family val="2"/>
      </rPr>
      <t>2014</t>
    </r>
    <r>
      <rPr>
        <sz val="10"/>
        <color rgb="FFFF0000"/>
        <rFont val="宋体"/>
        <family val="3"/>
        <charset val="134"/>
      </rPr>
      <t>年</t>
    </r>
    <r>
      <rPr>
        <sz val="10"/>
        <color rgb="FFFF0000"/>
        <rFont val="Arial"/>
        <family val="2"/>
      </rPr>
      <t>2</t>
    </r>
    <r>
      <rPr>
        <sz val="10"/>
        <color rgb="FFFF0000"/>
        <rFont val="宋体"/>
        <family val="3"/>
        <charset val="134"/>
      </rPr>
      <t>月至</t>
    </r>
    <r>
      <rPr>
        <sz val="10"/>
        <color rgb="FFFF0000"/>
        <rFont val="Arial"/>
        <family val="2"/>
      </rPr>
      <t>2014</t>
    </r>
    <r>
      <rPr>
        <sz val="10"/>
        <color rgb="FFFF0000"/>
        <rFont val="宋体"/>
        <family val="3"/>
        <charset val="134"/>
      </rPr>
      <t>年</t>
    </r>
    <r>
      <rPr>
        <sz val="10"/>
        <color rgb="FFFF0000"/>
        <rFont val="Arial"/>
        <family val="2"/>
      </rPr>
      <t>4</t>
    </r>
    <r>
      <rPr>
        <sz val="10"/>
        <color rgb="FFFF0000"/>
        <rFont val="宋体"/>
        <family val="3"/>
        <charset val="134"/>
      </rPr>
      <t>月）季度新增</t>
    </r>
    <r>
      <rPr>
        <sz val="10"/>
        <rFont val="宋体"/>
        <family val="3"/>
        <charset val="134"/>
      </rPr>
      <t>资产投保费用付款</t>
    </r>
    <r>
      <rPr>
        <sz val="10"/>
        <rFont val="Arial"/>
        <family val="2"/>
      </rPr>
      <t>.</t>
    </r>
    <phoneticPr fontId="1" type="noConversion"/>
  </si>
  <si>
    <r>
      <t>北京搜狐新媒体（汽车）公司</t>
    </r>
    <r>
      <rPr>
        <sz val="10"/>
        <rFont val="Arial"/>
        <family val="2"/>
      </rPr>
      <t xml:space="preserve"> </t>
    </r>
    <r>
      <rPr>
        <sz val="10"/>
        <color rgb="FFFF0000"/>
        <rFont val="宋体"/>
        <family val="3"/>
        <charset val="134"/>
      </rPr>
      <t>（</t>
    </r>
    <r>
      <rPr>
        <sz val="10"/>
        <color rgb="FFFF0000"/>
        <rFont val="Arial"/>
        <family val="2"/>
      </rPr>
      <t>2014.5.16-2015.5.15</t>
    </r>
    <r>
      <rPr>
        <sz val="10"/>
        <color rgb="FFFF0000"/>
        <rFont val="宋体"/>
        <family val="3"/>
        <charset val="134"/>
      </rPr>
      <t>）年度</t>
    </r>
    <r>
      <rPr>
        <sz val="10"/>
        <rFont val="宋体"/>
        <family val="3"/>
        <charset val="134"/>
      </rPr>
      <t>财产一切险资产投保费用付款</t>
    </r>
    <r>
      <rPr>
        <sz val="10"/>
        <rFont val="Arial"/>
        <family val="2"/>
      </rPr>
      <t>.</t>
    </r>
    <phoneticPr fontId="1" type="noConversion"/>
  </si>
  <si>
    <r>
      <t>北京搜狐新媒体（汽车）公司</t>
    </r>
    <r>
      <rPr>
        <sz val="10"/>
        <rFont val="Arial"/>
        <family val="2"/>
      </rPr>
      <t xml:space="preserve"> </t>
    </r>
    <r>
      <rPr>
        <sz val="10"/>
        <color rgb="FFFF0000"/>
        <rFont val="宋体"/>
        <family val="3"/>
        <charset val="134"/>
      </rPr>
      <t>（</t>
    </r>
    <r>
      <rPr>
        <sz val="10"/>
        <color rgb="FFFF0000"/>
        <rFont val="Arial"/>
        <family val="2"/>
      </rPr>
      <t>2014</t>
    </r>
    <r>
      <rPr>
        <sz val="10"/>
        <color rgb="FFFF0000"/>
        <rFont val="宋体"/>
        <family val="3"/>
        <charset val="134"/>
      </rPr>
      <t>年</t>
    </r>
    <r>
      <rPr>
        <sz val="10"/>
        <color rgb="FFFF0000"/>
        <rFont val="Arial"/>
        <family val="2"/>
      </rPr>
      <t>5</t>
    </r>
    <r>
      <rPr>
        <sz val="10"/>
        <color rgb="FFFF0000"/>
        <rFont val="宋体"/>
        <family val="3"/>
        <charset val="134"/>
      </rPr>
      <t>月至</t>
    </r>
    <r>
      <rPr>
        <sz val="10"/>
        <color rgb="FFFF0000"/>
        <rFont val="Arial"/>
        <family val="2"/>
      </rPr>
      <t>2014</t>
    </r>
    <r>
      <rPr>
        <sz val="10"/>
        <color rgb="FFFF0000"/>
        <rFont val="宋体"/>
        <family val="3"/>
        <charset val="134"/>
      </rPr>
      <t>年</t>
    </r>
    <r>
      <rPr>
        <sz val="10"/>
        <color rgb="FFFF0000"/>
        <rFont val="Arial"/>
        <family val="2"/>
      </rPr>
      <t>7</t>
    </r>
    <r>
      <rPr>
        <sz val="10"/>
        <color rgb="FFFF0000"/>
        <rFont val="宋体"/>
        <family val="3"/>
        <charset val="134"/>
      </rPr>
      <t>月）季度新增</t>
    </r>
    <r>
      <rPr>
        <sz val="10"/>
        <rFont val="宋体"/>
        <family val="3"/>
        <charset val="134"/>
      </rPr>
      <t>资产投保费用付款</t>
    </r>
    <r>
      <rPr>
        <sz val="10"/>
        <rFont val="Arial"/>
        <family val="2"/>
      </rPr>
      <t>.</t>
    </r>
    <phoneticPr fontId="1" type="noConversion"/>
  </si>
  <si>
    <r>
      <rPr>
        <sz val="10"/>
        <rFont val="宋体"/>
        <family val="3"/>
        <charset val="134"/>
      </rPr>
      <t>领航新时代</t>
    </r>
    <phoneticPr fontId="4" type="noConversion"/>
  </si>
  <si>
    <r>
      <t>北京领航新时代广告有限公司</t>
    </r>
    <r>
      <rPr>
        <sz val="10"/>
        <color rgb="FFFF0000"/>
        <rFont val="宋体"/>
        <family val="3"/>
        <charset val="134"/>
      </rPr>
      <t>（2013年8月至2013年10月）季度新增</t>
    </r>
    <r>
      <rPr>
        <sz val="10"/>
        <rFont val="宋体"/>
        <family val="3"/>
        <charset val="134"/>
      </rPr>
      <t>资产投保费用付款.</t>
    </r>
    <phoneticPr fontId="1" type="noConversion"/>
  </si>
  <si>
    <r>
      <t>北京领航新时代广告有限公司</t>
    </r>
    <r>
      <rPr>
        <sz val="10"/>
        <color rgb="FFFF0000"/>
        <rFont val="宋体"/>
        <family val="3"/>
        <charset val="134"/>
      </rPr>
      <t>（2013年11月至2014年1月）季度新增</t>
    </r>
    <r>
      <rPr>
        <sz val="10"/>
        <rFont val="宋体"/>
        <family val="3"/>
        <charset val="134"/>
      </rPr>
      <t>资产投保费用付款.</t>
    </r>
    <phoneticPr fontId="1" type="noConversion"/>
  </si>
  <si>
    <r>
      <t>北京领航新时代广告有限公司</t>
    </r>
    <r>
      <rPr>
        <sz val="10"/>
        <color rgb="FFFF0000"/>
        <rFont val="宋体"/>
        <family val="3"/>
        <charset val="134"/>
      </rPr>
      <t>（2014年2月至2014年4月）季度新增</t>
    </r>
    <r>
      <rPr>
        <sz val="10"/>
        <rFont val="宋体"/>
        <family val="3"/>
        <charset val="134"/>
      </rPr>
      <t>资产投保费用付款.</t>
    </r>
    <phoneticPr fontId="1" type="noConversion"/>
  </si>
  <si>
    <r>
      <rPr>
        <sz val="10"/>
        <rFont val="宋体"/>
        <family val="3"/>
        <charset val="134"/>
      </rPr>
      <t>领航新时代</t>
    </r>
    <phoneticPr fontId="1" type="noConversion"/>
  </si>
  <si>
    <r>
      <t>北京领航新时代广告有限公司</t>
    </r>
    <r>
      <rPr>
        <sz val="10"/>
        <color rgb="FFFF0000"/>
        <rFont val="宋体"/>
        <family val="3"/>
        <charset val="134"/>
      </rPr>
      <t>（2014.5.16-2015.5.15）年度</t>
    </r>
    <r>
      <rPr>
        <sz val="10"/>
        <rFont val="宋体"/>
        <family val="3"/>
        <charset val="134"/>
      </rPr>
      <t>财产一切险资产投保费用付款.</t>
    </r>
    <phoneticPr fontId="1" type="noConversion"/>
  </si>
  <si>
    <r>
      <t>北京领航新时代广告有限公司</t>
    </r>
    <r>
      <rPr>
        <sz val="10"/>
        <color rgb="FFFF0000"/>
        <rFont val="宋体"/>
        <family val="3"/>
        <charset val="134"/>
      </rPr>
      <t>（2014年5月至2014年7月）季度新增</t>
    </r>
    <r>
      <rPr>
        <sz val="10"/>
        <rFont val="宋体"/>
        <family val="3"/>
        <charset val="134"/>
      </rPr>
      <t>资产投保费用付款.</t>
    </r>
    <phoneticPr fontId="1" type="noConversion"/>
  </si>
  <si>
    <r>
      <rPr>
        <sz val="10"/>
        <rFont val="宋体"/>
        <family val="3"/>
        <charset val="134"/>
      </rPr>
      <t>焦点宜居</t>
    </r>
    <phoneticPr fontId="1" type="noConversion"/>
  </si>
  <si>
    <r>
      <t>北京焦点宜居网络信息技术有限公司</t>
    </r>
    <r>
      <rPr>
        <sz val="10"/>
        <color rgb="FFFF0000"/>
        <rFont val="宋体"/>
        <family val="3"/>
        <charset val="134"/>
      </rPr>
      <t>（2013年8月至2013年10月）季度新增</t>
    </r>
    <r>
      <rPr>
        <sz val="10"/>
        <rFont val="宋体"/>
        <family val="3"/>
        <charset val="134"/>
      </rPr>
      <t>资产投保费用付款.</t>
    </r>
    <phoneticPr fontId="1" type="noConversion"/>
  </si>
  <si>
    <r>
      <t>北京焦点宜居网络信息技术有限公司</t>
    </r>
    <r>
      <rPr>
        <sz val="10"/>
        <color rgb="FFFF0000"/>
        <rFont val="宋体"/>
        <family val="3"/>
        <charset val="134"/>
      </rPr>
      <t>（2013年11月至2014年1月）季度新增</t>
    </r>
    <r>
      <rPr>
        <sz val="10"/>
        <rFont val="宋体"/>
        <family val="3"/>
        <charset val="134"/>
      </rPr>
      <t>资产投保费用付款.</t>
    </r>
    <phoneticPr fontId="1" type="noConversion"/>
  </si>
  <si>
    <r>
      <t>北京焦点宜居网络信息技术有限公司</t>
    </r>
    <r>
      <rPr>
        <sz val="10"/>
        <color rgb="FFFF0000"/>
        <rFont val="宋体"/>
        <family val="3"/>
        <charset val="134"/>
      </rPr>
      <t>（2014年2月至2014年4月）季度新增</t>
    </r>
    <r>
      <rPr>
        <sz val="10"/>
        <rFont val="宋体"/>
        <family val="3"/>
        <charset val="134"/>
      </rPr>
      <t>资产投保费用付款.</t>
    </r>
    <phoneticPr fontId="1" type="noConversion"/>
  </si>
  <si>
    <r>
      <t>北京焦点宜居网络信息技术有限公司</t>
    </r>
    <r>
      <rPr>
        <sz val="10"/>
        <color rgb="FFFF0000"/>
        <rFont val="宋体"/>
        <family val="3"/>
        <charset val="134"/>
      </rPr>
      <t>（2014.5.16-2015.5.15）年度</t>
    </r>
    <r>
      <rPr>
        <sz val="10"/>
        <rFont val="宋体"/>
        <family val="3"/>
        <charset val="134"/>
      </rPr>
      <t>财产一切险资产投保费用付款.</t>
    </r>
    <phoneticPr fontId="1" type="noConversion"/>
  </si>
  <si>
    <r>
      <rPr>
        <sz val="10"/>
        <rFont val="宋体"/>
        <family val="3"/>
        <charset val="134"/>
      </rPr>
      <t>焦点时间</t>
    </r>
    <phoneticPr fontId="1" type="noConversion"/>
  </si>
  <si>
    <r>
      <t>北京焦点宜居网络信息技术有限公司</t>
    </r>
    <r>
      <rPr>
        <sz val="10"/>
        <color rgb="FFFF0000"/>
        <rFont val="宋体"/>
        <family val="3"/>
        <charset val="134"/>
      </rPr>
      <t>（2014年5月至2014年7月）季度新增</t>
    </r>
    <r>
      <rPr>
        <sz val="10"/>
        <rFont val="宋体"/>
        <family val="3"/>
        <charset val="134"/>
      </rPr>
      <t>资产投保费用付款.</t>
    </r>
    <phoneticPr fontId="1" type="noConversion"/>
  </si>
  <si>
    <r>
      <t>北京焦点时间广告传媒有限公司</t>
    </r>
    <r>
      <rPr>
        <sz val="10"/>
        <color rgb="FFFF0000"/>
        <rFont val="宋体"/>
        <family val="3"/>
        <charset val="134"/>
      </rPr>
      <t>（</t>
    </r>
    <r>
      <rPr>
        <sz val="10"/>
        <color rgb="FFFF0000"/>
        <rFont val="Arial"/>
        <family val="2"/>
      </rPr>
      <t>2013</t>
    </r>
    <r>
      <rPr>
        <sz val="10"/>
        <color rgb="FFFF0000"/>
        <rFont val="宋体"/>
        <family val="3"/>
        <charset val="134"/>
      </rPr>
      <t>年</t>
    </r>
    <r>
      <rPr>
        <sz val="10"/>
        <color rgb="FFFF0000"/>
        <rFont val="Arial"/>
        <family val="2"/>
      </rPr>
      <t>8</t>
    </r>
    <r>
      <rPr>
        <sz val="10"/>
        <color rgb="FFFF0000"/>
        <rFont val="宋体"/>
        <family val="3"/>
        <charset val="134"/>
      </rPr>
      <t>月至</t>
    </r>
    <r>
      <rPr>
        <sz val="10"/>
        <color rgb="FFFF0000"/>
        <rFont val="Arial"/>
        <family val="2"/>
      </rPr>
      <t>2013</t>
    </r>
    <r>
      <rPr>
        <sz val="10"/>
        <color rgb="FFFF0000"/>
        <rFont val="宋体"/>
        <family val="3"/>
        <charset val="134"/>
      </rPr>
      <t>年</t>
    </r>
    <r>
      <rPr>
        <sz val="10"/>
        <color rgb="FFFF0000"/>
        <rFont val="Arial"/>
        <family val="2"/>
      </rPr>
      <t>10</t>
    </r>
    <r>
      <rPr>
        <sz val="10"/>
        <color rgb="FFFF0000"/>
        <rFont val="宋体"/>
        <family val="3"/>
        <charset val="134"/>
      </rPr>
      <t>月）季度新增</t>
    </r>
    <r>
      <rPr>
        <sz val="10"/>
        <rFont val="宋体"/>
        <family val="3"/>
        <charset val="134"/>
      </rPr>
      <t>资产投保费用付款</t>
    </r>
    <r>
      <rPr>
        <sz val="10"/>
        <rFont val="Arial"/>
        <family val="2"/>
      </rPr>
      <t>.</t>
    </r>
    <phoneticPr fontId="1" type="noConversion"/>
  </si>
  <si>
    <r>
      <t>北京焦点时间广告传媒有限公司</t>
    </r>
    <r>
      <rPr>
        <sz val="10"/>
        <color rgb="FFFF0000"/>
        <rFont val="宋体"/>
        <family val="3"/>
        <charset val="134"/>
      </rPr>
      <t>（</t>
    </r>
    <r>
      <rPr>
        <sz val="10"/>
        <color rgb="FFFF0000"/>
        <rFont val="Arial"/>
        <family val="2"/>
      </rPr>
      <t>2013</t>
    </r>
    <r>
      <rPr>
        <sz val="10"/>
        <color rgb="FFFF0000"/>
        <rFont val="宋体"/>
        <family val="3"/>
        <charset val="134"/>
      </rPr>
      <t>年</t>
    </r>
    <r>
      <rPr>
        <sz val="10"/>
        <color rgb="FFFF0000"/>
        <rFont val="Arial"/>
        <family val="2"/>
      </rPr>
      <t>11</t>
    </r>
    <r>
      <rPr>
        <sz val="10"/>
        <color rgb="FFFF0000"/>
        <rFont val="宋体"/>
        <family val="3"/>
        <charset val="134"/>
      </rPr>
      <t>月至</t>
    </r>
    <r>
      <rPr>
        <sz val="10"/>
        <color rgb="FFFF0000"/>
        <rFont val="Arial"/>
        <family val="2"/>
      </rPr>
      <t>2014</t>
    </r>
    <r>
      <rPr>
        <sz val="10"/>
        <color rgb="FFFF0000"/>
        <rFont val="宋体"/>
        <family val="3"/>
        <charset val="134"/>
      </rPr>
      <t>年</t>
    </r>
    <r>
      <rPr>
        <sz val="10"/>
        <color rgb="FFFF0000"/>
        <rFont val="Arial"/>
        <family val="2"/>
      </rPr>
      <t>1</t>
    </r>
    <r>
      <rPr>
        <sz val="10"/>
        <color rgb="FFFF0000"/>
        <rFont val="宋体"/>
        <family val="3"/>
        <charset val="134"/>
      </rPr>
      <t>月）季度新增</t>
    </r>
    <r>
      <rPr>
        <sz val="10"/>
        <rFont val="宋体"/>
        <family val="3"/>
        <charset val="134"/>
      </rPr>
      <t>资产投保费用付款</t>
    </r>
    <r>
      <rPr>
        <sz val="10"/>
        <rFont val="Arial"/>
        <family val="2"/>
      </rPr>
      <t>.</t>
    </r>
    <phoneticPr fontId="1" type="noConversion"/>
  </si>
  <si>
    <r>
      <t>北京焦点时间广告传媒有限公司</t>
    </r>
    <r>
      <rPr>
        <sz val="10"/>
        <color rgb="FFFF0000"/>
        <rFont val="宋体"/>
        <family val="3"/>
        <charset val="134"/>
      </rPr>
      <t>（</t>
    </r>
    <r>
      <rPr>
        <sz val="10"/>
        <color rgb="FFFF0000"/>
        <rFont val="Arial"/>
        <family val="2"/>
      </rPr>
      <t>2014</t>
    </r>
    <r>
      <rPr>
        <sz val="10"/>
        <color rgb="FFFF0000"/>
        <rFont val="宋体"/>
        <family val="3"/>
        <charset val="134"/>
      </rPr>
      <t>年</t>
    </r>
    <r>
      <rPr>
        <sz val="10"/>
        <color rgb="FFFF0000"/>
        <rFont val="Arial"/>
        <family val="2"/>
      </rPr>
      <t>2</t>
    </r>
    <r>
      <rPr>
        <sz val="10"/>
        <color rgb="FFFF0000"/>
        <rFont val="宋体"/>
        <family val="3"/>
        <charset val="134"/>
      </rPr>
      <t>月至</t>
    </r>
    <r>
      <rPr>
        <sz val="10"/>
        <color rgb="FFFF0000"/>
        <rFont val="Arial"/>
        <family val="2"/>
      </rPr>
      <t>2014</t>
    </r>
    <r>
      <rPr>
        <sz val="10"/>
        <color rgb="FFFF0000"/>
        <rFont val="宋体"/>
        <family val="3"/>
        <charset val="134"/>
      </rPr>
      <t>年</t>
    </r>
    <r>
      <rPr>
        <sz val="10"/>
        <color rgb="FFFF0000"/>
        <rFont val="Arial"/>
        <family val="2"/>
      </rPr>
      <t>4</t>
    </r>
    <r>
      <rPr>
        <sz val="10"/>
        <color rgb="FFFF0000"/>
        <rFont val="宋体"/>
        <family val="3"/>
        <charset val="134"/>
      </rPr>
      <t>月）季度新增</t>
    </r>
    <r>
      <rPr>
        <sz val="10"/>
        <rFont val="宋体"/>
        <family val="3"/>
        <charset val="134"/>
      </rPr>
      <t>资产投保费用付款</t>
    </r>
    <r>
      <rPr>
        <sz val="10"/>
        <rFont val="Arial"/>
        <family val="2"/>
      </rPr>
      <t>.</t>
    </r>
    <phoneticPr fontId="1" type="noConversion"/>
  </si>
  <si>
    <r>
      <t>北京焦点时间广告传媒有限公司</t>
    </r>
    <r>
      <rPr>
        <sz val="10"/>
        <color rgb="FFFF0000"/>
        <rFont val="宋体"/>
        <family val="3"/>
        <charset val="134"/>
      </rPr>
      <t>（</t>
    </r>
    <r>
      <rPr>
        <sz val="10"/>
        <color rgb="FFFF0000"/>
        <rFont val="Arial"/>
        <family val="2"/>
      </rPr>
      <t>2014.5.16-2015.5.15</t>
    </r>
    <r>
      <rPr>
        <sz val="10"/>
        <color rgb="FFFF0000"/>
        <rFont val="宋体"/>
        <family val="3"/>
        <charset val="134"/>
      </rPr>
      <t>）年度</t>
    </r>
    <r>
      <rPr>
        <sz val="10"/>
        <rFont val="宋体"/>
        <family val="3"/>
        <charset val="134"/>
      </rPr>
      <t>财产一切险资产投保费用付款</t>
    </r>
    <r>
      <rPr>
        <sz val="10"/>
        <rFont val="Arial"/>
        <family val="2"/>
      </rPr>
      <t>.</t>
    </r>
    <phoneticPr fontId="1" type="noConversion"/>
  </si>
  <si>
    <r>
      <t>北京焦点时间广告传媒有限公司</t>
    </r>
    <r>
      <rPr>
        <sz val="10"/>
        <color rgb="FFFF0000"/>
        <rFont val="宋体"/>
        <family val="3"/>
        <charset val="134"/>
      </rPr>
      <t>（</t>
    </r>
    <r>
      <rPr>
        <sz val="10"/>
        <color rgb="FFFF0000"/>
        <rFont val="Arial"/>
        <family val="2"/>
      </rPr>
      <t>2014</t>
    </r>
    <r>
      <rPr>
        <sz val="10"/>
        <color rgb="FFFF0000"/>
        <rFont val="宋体"/>
        <family val="3"/>
        <charset val="134"/>
      </rPr>
      <t>年</t>
    </r>
    <r>
      <rPr>
        <sz val="10"/>
        <color rgb="FFFF0000"/>
        <rFont val="Arial"/>
        <family val="2"/>
      </rPr>
      <t>5</t>
    </r>
    <r>
      <rPr>
        <sz val="10"/>
        <color rgb="FFFF0000"/>
        <rFont val="宋体"/>
        <family val="3"/>
        <charset val="134"/>
      </rPr>
      <t>月至</t>
    </r>
    <r>
      <rPr>
        <sz val="10"/>
        <color rgb="FFFF0000"/>
        <rFont val="Arial"/>
        <family val="2"/>
      </rPr>
      <t>2014</t>
    </r>
    <r>
      <rPr>
        <sz val="10"/>
        <color rgb="FFFF0000"/>
        <rFont val="宋体"/>
        <family val="3"/>
        <charset val="134"/>
      </rPr>
      <t>年</t>
    </r>
    <r>
      <rPr>
        <sz val="10"/>
        <color rgb="FFFF0000"/>
        <rFont val="Arial"/>
        <family val="2"/>
      </rPr>
      <t>7</t>
    </r>
    <r>
      <rPr>
        <sz val="10"/>
        <color rgb="FFFF0000"/>
        <rFont val="宋体"/>
        <family val="3"/>
        <charset val="134"/>
      </rPr>
      <t>月）季度新增</t>
    </r>
    <r>
      <rPr>
        <sz val="10"/>
        <rFont val="宋体"/>
        <family val="3"/>
        <charset val="134"/>
      </rPr>
      <t>资产投保费用付款</t>
    </r>
    <r>
      <rPr>
        <sz val="10"/>
        <rFont val="Arial"/>
        <family val="2"/>
      </rPr>
      <t>.</t>
    </r>
    <phoneticPr fontId="1" type="noConversion"/>
  </si>
  <si>
    <r>
      <t>Sohu 2015</t>
    </r>
    <r>
      <rPr>
        <b/>
        <sz val="10"/>
        <rFont val="宋体"/>
        <family val="3"/>
        <charset val="134"/>
      </rPr>
      <t>年</t>
    </r>
    <r>
      <rPr>
        <b/>
        <sz val="10"/>
        <rFont val="Calibri"/>
        <family val="2"/>
      </rPr>
      <t>Capex</t>
    </r>
    <r>
      <rPr>
        <b/>
        <sz val="10"/>
        <rFont val="宋体"/>
        <family val="3"/>
        <charset val="134"/>
      </rPr>
      <t>预算明细</t>
    </r>
    <phoneticPr fontId="4" type="noConversion"/>
  </si>
  <si>
    <r>
      <rPr>
        <b/>
        <sz val="10"/>
        <rFont val="宋体"/>
        <family val="3"/>
        <charset val="134"/>
      </rPr>
      <t>项</t>
    </r>
    <r>
      <rPr>
        <b/>
        <sz val="10"/>
        <rFont val="Calibri"/>
        <family val="2"/>
      </rPr>
      <t xml:space="preserve">      </t>
    </r>
    <r>
      <rPr>
        <b/>
        <sz val="10"/>
        <rFont val="宋体"/>
        <family val="3"/>
        <charset val="134"/>
      </rPr>
      <t>目</t>
    </r>
    <phoneticPr fontId="4" type="noConversion"/>
  </si>
  <si>
    <t>15Q1</t>
    <phoneticPr fontId="4" type="noConversion"/>
  </si>
  <si>
    <t>15Q2</t>
    <phoneticPr fontId="4" type="noConversion"/>
  </si>
  <si>
    <t>15Q3</t>
    <phoneticPr fontId="4" type="noConversion"/>
  </si>
  <si>
    <t>15Q4</t>
    <phoneticPr fontId="4" type="noConversion"/>
  </si>
  <si>
    <t>Total</t>
    <phoneticPr fontId="4" type="noConversion"/>
  </si>
  <si>
    <r>
      <rPr>
        <sz val="10"/>
        <rFont val="宋体"/>
        <family val="3"/>
        <charset val="134"/>
      </rPr>
      <t>备注</t>
    </r>
    <phoneticPr fontId="1" type="noConversion"/>
  </si>
  <si>
    <t>数量</t>
    <phoneticPr fontId="4" type="noConversion"/>
  </si>
  <si>
    <t>金额</t>
    <phoneticPr fontId="4" type="noConversion"/>
  </si>
  <si>
    <t>新员工</t>
    <phoneticPr fontId="1" type="noConversion"/>
  </si>
  <si>
    <t>类别</t>
    <phoneticPr fontId="4" type="noConversion"/>
  </si>
  <si>
    <t>ALL</t>
    <phoneticPr fontId="1" type="noConversion"/>
  </si>
  <si>
    <t>PC</t>
    <phoneticPr fontId="4" type="noConversion"/>
  </si>
  <si>
    <t>NB</t>
    <phoneticPr fontId="4" type="noConversion"/>
  </si>
  <si>
    <t>Sohu</t>
    <phoneticPr fontId="1" type="noConversion"/>
  </si>
  <si>
    <t>汽车</t>
    <phoneticPr fontId="1" type="noConversion"/>
  </si>
  <si>
    <t>NB</t>
    <phoneticPr fontId="4" type="noConversion"/>
  </si>
  <si>
    <t>焦点</t>
    <phoneticPr fontId="1" type="noConversion"/>
  </si>
  <si>
    <t>视频</t>
    <phoneticPr fontId="1" type="noConversion"/>
  </si>
  <si>
    <t>PC</t>
    <phoneticPr fontId="4" type="noConversion"/>
  </si>
  <si>
    <t>NB</t>
    <phoneticPr fontId="4" type="noConversion"/>
  </si>
  <si>
    <t>PC/NB报废更新</t>
    <phoneticPr fontId="1" type="noConversion"/>
  </si>
  <si>
    <t>类别</t>
    <phoneticPr fontId="4" type="noConversion"/>
  </si>
  <si>
    <t>ALL</t>
    <phoneticPr fontId="1" type="noConversion"/>
  </si>
  <si>
    <t>Sohu</t>
    <phoneticPr fontId="1" type="noConversion"/>
  </si>
  <si>
    <t>汽车</t>
    <phoneticPr fontId="1" type="noConversion"/>
  </si>
  <si>
    <t>焦点</t>
    <phoneticPr fontId="1" type="noConversion"/>
  </si>
  <si>
    <t>业务线特殊需求</t>
    <phoneticPr fontId="1" type="noConversion"/>
  </si>
  <si>
    <t>IP电话</t>
    <phoneticPr fontId="1" type="noConversion"/>
  </si>
  <si>
    <t>小计</t>
    <phoneticPr fontId="4" type="noConversion"/>
  </si>
  <si>
    <t>Total</t>
    <phoneticPr fontId="1" type="noConversion"/>
  </si>
  <si>
    <t>办公设备报废更新小计</t>
    <phoneticPr fontId="4" type="noConversion"/>
  </si>
  <si>
    <t>打印复印一体机报废更新</t>
    <phoneticPr fontId="4" type="noConversion"/>
  </si>
  <si>
    <t>投影仪报废更新</t>
    <phoneticPr fontId="4" type="noConversion"/>
  </si>
  <si>
    <t>sohu</t>
    <phoneticPr fontId="1" type="noConversion"/>
  </si>
  <si>
    <t>打印复印一体机报废更新</t>
    <phoneticPr fontId="1" type="noConversion"/>
  </si>
  <si>
    <r>
      <rPr>
        <sz val="10"/>
        <rFont val="宋体"/>
        <family val="3"/>
        <charset val="134"/>
      </rPr>
      <t>租赁办公区新增资产</t>
    </r>
    <r>
      <rPr>
        <sz val="10"/>
        <rFont val="Calibri"/>
        <family val="2"/>
      </rPr>
      <t xml:space="preserve"> </t>
    </r>
    <phoneticPr fontId="4" type="noConversion"/>
  </si>
  <si>
    <r>
      <t xml:space="preserve">Capex </t>
    </r>
    <r>
      <rPr>
        <b/>
        <sz val="10"/>
        <color rgb="FFFF0000"/>
        <rFont val="宋体"/>
        <family val="3"/>
        <charset val="134"/>
      </rPr>
      <t>合计</t>
    </r>
    <phoneticPr fontId="4" type="noConversion"/>
  </si>
  <si>
    <t>家具更新小计</t>
    <phoneticPr fontId="1" type="noConversion"/>
  </si>
  <si>
    <t>日常家具更换</t>
    <phoneticPr fontId="4" type="noConversion"/>
  </si>
  <si>
    <t>日常家具采购</t>
    <phoneticPr fontId="1" type="noConversion"/>
  </si>
  <si>
    <t>新租办公室装修</t>
    <phoneticPr fontId="4" type="noConversion"/>
  </si>
  <si>
    <t>新租办公室家具</t>
    <phoneticPr fontId="4" type="noConversion"/>
  </si>
  <si>
    <t>改造办公室家具</t>
    <phoneticPr fontId="4" type="noConversion"/>
  </si>
  <si>
    <r>
      <t xml:space="preserve">Leasehold </t>
    </r>
    <r>
      <rPr>
        <b/>
        <sz val="10"/>
        <rFont val="宋体"/>
        <family val="3"/>
        <charset val="134"/>
      </rPr>
      <t>合计</t>
    </r>
    <phoneticPr fontId="4" type="noConversion"/>
  </si>
  <si>
    <r>
      <t>Remark1:</t>
    </r>
    <r>
      <rPr>
        <b/>
        <sz val="10"/>
        <rFont val="宋体"/>
        <family val="3"/>
        <charset val="134"/>
      </rPr>
      <t>人员增量计算</t>
    </r>
    <r>
      <rPr>
        <b/>
        <sz val="10"/>
        <rFont val="Calibri"/>
        <family val="2"/>
      </rPr>
      <t>(2014Q1-Q4</t>
    </r>
    <r>
      <rPr>
        <b/>
        <sz val="10"/>
        <rFont val="宋体"/>
        <family val="3"/>
        <charset val="134"/>
      </rPr>
      <t>的实际</t>
    </r>
    <r>
      <rPr>
        <b/>
        <sz val="10"/>
        <rFont val="Calibri"/>
        <family val="2"/>
      </rPr>
      <t>HC</t>
    </r>
    <r>
      <rPr>
        <b/>
        <sz val="10"/>
        <rFont val="宋体"/>
        <family val="3"/>
        <charset val="134"/>
      </rPr>
      <t>统计来自于</t>
    </r>
    <r>
      <rPr>
        <b/>
        <sz val="10"/>
        <rFont val="Calibri"/>
        <family val="2"/>
      </rPr>
      <t>HR</t>
    </r>
    <r>
      <rPr>
        <b/>
        <sz val="10"/>
        <rFont val="宋体"/>
        <family val="3"/>
        <charset val="134"/>
      </rPr>
      <t>）</t>
    </r>
    <phoneticPr fontId="4" type="noConversion"/>
  </si>
  <si>
    <t>预估增幅</t>
    <phoneticPr fontId="1" type="noConversion"/>
  </si>
  <si>
    <r>
      <t>Q1</t>
    </r>
    <r>
      <rPr>
        <b/>
        <sz val="10"/>
        <rFont val="宋体"/>
        <family val="3"/>
        <charset val="134"/>
      </rPr>
      <t>预估比例</t>
    </r>
    <phoneticPr fontId="1" type="noConversion"/>
  </si>
  <si>
    <r>
      <t>Q2</t>
    </r>
    <r>
      <rPr>
        <b/>
        <sz val="10"/>
        <rFont val="宋体"/>
        <family val="3"/>
        <charset val="134"/>
      </rPr>
      <t>预估比例</t>
    </r>
    <phoneticPr fontId="1" type="noConversion"/>
  </si>
  <si>
    <r>
      <t>Q3</t>
    </r>
    <r>
      <rPr>
        <b/>
        <sz val="10"/>
        <rFont val="宋体"/>
        <family val="3"/>
        <charset val="134"/>
      </rPr>
      <t>预估比例</t>
    </r>
    <phoneticPr fontId="1" type="noConversion"/>
  </si>
  <si>
    <r>
      <t>Q4</t>
    </r>
    <r>
      <rPr>
        <b/>
        <sz val="10"/>
        <rFont val="宋体"/>
        <family val="3"/>
        <charset val="134"/>
      </rPr>
      <t>预估比例</t>
    </r>
    <phoneticPr fontId="1" type="noConversion"/>
  </si>
  <si>
    <t>Business</t>
    <phoneticPr fontId="1" type="noConversion"/>
  </si>
  <si>
    <t>2014Q1
新员工</t>
    <phoneticPr fontId="1" type="noConversion"/>
  </si>
  <si>
    <t>2014Q2
新员工</t>
    <phoneticPr fontId="1" type="noConversion"/>
  </si>
  <si>
    <t>2014Q3
新员工</t>
    <phoneticPr fontId="1" type="noConversion"/>
  </si>
  <si>
    <t>2014Q4
新员工</t>
    <phoneticPr fontId="1" type="noConversion"/>
  </si>
  <si>
    <t>预估
增幅</t>
    <phoneticPr fontId="1" type="noConversion"/>
  </si>
  <si>
    <t>2015新增
HC预估</t>
    <phoneticPr fontId="1" type="noConversion"/>
  </si>
  <si>
    <t>HC</t>
    <phoneticPr fontId="1" type="noConversion"/>
  </si>
  <si>
    <t>比例</t>
    <phoneticPr fontId="1" type="noConversion"/>
  </si>
  <si>
    <r>
      <t>2014</t>
    </r>
    <r>
      <rPr>
        <b/>
        <sz val="10"/>
        <rFont val="宋体"/>
        <family val="3"/>
        <charset val="134"/>
      </rPr>
      <t>全年</t>
    </r>
    <r>
      <rPr>
        <b/>
        <sz val="10"/>
        <rFont val="Calibri"/>
        <family val="2"/>
      </rPr>
      <t>HC</t>
    </r>
    <r>
      <rPr>
        <b/>
        <sz val="10"/>
        <rFont val="宋体"/>
        <family val="3"/>
        <charset val="134"/>
      </rPr>
      <t>统计</t>
    </r>
    <phoneticPr fontId="1" type="noConversion"/>
  </si>
  <si>
    <t>2014 Q4</t>
    <phoneticPr fontId="1" type="noConversion"/>
  </si>
  <si>
    <t>HC Allocation</t>
    <phoneticPr fontId="1" type="noConversion"/>
  </si>
  <si>
    <t>新入职
HC</t>
    <phoneticPr fontId="1" type="noConversion"/>
  </si>
  <si>
    <r>
      <t>2015</t>
    </r>
    <r>
      <rPr>
        <b/>
        <sz val="10"/>
        <rFont val="宋体"/>
        <family val="3"/>
        <charset val="134"/>
      </rPr>
      <t xml:space="preserve">新增
</t>
    </r>
    <r>
      <rPr>
        <b/>
        <sz val="10"/>
        <rFont val="Calibri"/>
        <family val="2"/>
      </rPr>
      <t>HC</t>
    </r>
    <r>
      <rPr>
        <b/>
        <sz val="10"/>
        <rFont val="宋体"/>
        <family val="3"/>
        <charset val="134"/>
      </rPr>
      <t>预估</t>
    </r>
    <phoneticPr fontId="1" type="noConversion"/>
  </si>
  <si>
    <t>SH</t>
    <phoneticPr fontId="1" type="noConversion"/>
  </si>
  <si>
    <t>GZ</t>
    <phoneticPr fontId="1" type="noConversion"/>
  </si>
  <si>
    <t>Others</t>
    <phoneticPr fontId="1" type="noConversion"/>
  </si>
  <si>
    <t>BJ</t>
    <phoneticPr fontId="1" type="noConversion"/>
  </si>
  <si>
    <t>业务线分类</t>
    <phoneticPr fontId="1" type="noConversion"/>
  </si>
  <si>
    <r>
      <rPr>
        <b/>
        <sz val="10"/>
        <rFont val="宋体"/>
        <family val="3"/>
        <charset val="134"/>
      </rPr>
      <t>集团总部</t>
    </r>
    <r>
      <rPr>
        <b/>
        <sz val="10"/>
        <rFont val="Calibri"/>
        <family val="2"/>
      </rPr>
      <t>&amp;</t>
    </r>
    <r>
      <rPr>
        <b/>
        <sz val="10"/>
        <rFont val="宋体"/>
        <family val="3"/>
        <charset val="134"/>
      </rPr>
      <t>搜狐媒体</t>
    </r>
    <phoneticPr fontId="1" type="noConversion"/>
  </si>
  <si>
    <t>新入职HC</t>
    <phoneticPr fontId="1" type="noConversion"/>
  </si>
  <si>
    <t>总部</t>
    <phoneticPr fontId="4" type="noConversion"/>
  </si>
  <si>
    <t>财务中心</t>
    <phoneticPr fontId="4" type="noConversion"/>
  </si>
  <si>
    <t>法律中心</t>
    <phoneticPr fontId="4" type="noConversion"/>
  </si>
  <si>
    <t>IA</t>
    <phoneticPr fontId="4" type="noConversion"/>
  </si>
  <si>
    <t>HR</t>
    <phoneticPr fontId="4" type="noConversion"/>
  </si>
  <si>
    <t>MKT</t>
    <phoneticPr fontId="4" type="noConversion"/>
  </si>
  <si>
    <t>采购部</t>
    <phoneticPr fontId="4" type="noConversion"/>
  </si>
  <si>
    <t>IR</t>
    <phoneticPr fontId="4" type="noConversion"/>
  </si>
  <si>
    <t>研究院</t>
    <phoneticPr fontId="4" type="noConversion"/>
  </si>
  <si>
    <t>ES</t>
    <phoneticPr fontId="4" type="noConversion"/>
  </si>
  <si>
    <t>运维中心</t>
    <phoneticPr fontId="4" type="noConversion"/>
  </si>
  <si>
    <t>大数据中心</t>
    <phoneticPr fontId="1" type="noConversion"/>
  </si>
  <si>
    <t>家庭娱乐事业部（OTT)</t>
    <phoneticPr fontId="1" type="noConversion"/>
  </si>
  <si>
    <t>集团管理中心</t>
    <phoneticPr fontId="1" type="noConversion"/>
  </si>
  <si>
    <t>新闻财经中心</t>
    <phoneticPr fontId="1" type="noConversion"/>
  </si>
  <si>
    <t>网安中心</t>
    <phoneticPr fontId="4" type="noConversion"/>
  </si>
  <si>
    <t>技术中心</t>
    <phoneticPr fontId="4" type="noConversion"/>
  </si>
  <si>
    <t>广告销售</t>
    <phoneticPr fontId="4" type="noConversion"/>
  </si>
  <si>
    <t>广告营销</t>
    <phoneticPr fontId="4" type="noConversion"/>
  </si>
  <si>
    <r>
      <t>IT</t>
    </r>
    <r>
      <rPr>
        <sz val="10"/>
        <rFont val="宋体"/>
        <family val="3"/>
        <charset val="134"/>
      </rPr>
      <t>频道</t>
    </r>
    <phoneticPr fontId="4" type="noConversion"/>
  </si>
  <si>
    <t>体育中心</t>
    <phoneticPr fontId="1" type="noConversion"/>
  </si>
  <si>
    <r>
      <rPr>
        <sz val="10"/>
        <rFont val="宋体"/>
        <family val="3"/>
        <charset val="134"/>
      </rPr>
      <t>移动门户中心</t>
    </r>
    <r>
      <rPr>
        <sz val="10"/>
        <rFont val="Calibri"/>
        <family val="2"/>
      </rPr>
      <t>(MPC)</t>
    </r>
    <phoneticPr fontId="4" type="noConversion"/>
  </si>
  <si>
    <r>
      <rPr>
        <sz val="10"/>
        <rFont val="宋体"/>
        <family val="3"/>
        <charset val="134"/>
      </rPr>
      <t>移动应用探索中心</t>
    </r>
    <r>
      <rPr>
        <sz val="10"/>
        <rFont val="Calibri"/>
        <family val="2"/>
      </rPr>
      <t>(MADC)</t>
    </r>
    <phoneticPr fontId="4" type="noConversion"/>
  </si>
  <si>
    <t>无线运营中心</t>
    <phoneticPr fontId="1" type="noConversion"/>
  </si>
  <si>
    <t>移动新媒体事业部</t>
    <phoneticPr fontId="1" type="noConversion"/>
  </si>
  <si>
    <t>资讯中心</t>
    <phoneticPr fontId="1" type="noConversion"/>
  </si>
  <si>
    <t>媒体产品技术中心</t>
    <phoneticPr fontId="1" type="noConversion"/>
  </si>
  <si>
    <t xml:space="preserve">2014 Q4 </t>
    <phoneticPr fontId="1" type="noConversion"/>
  </si>
  <si>
    <t>新入职</t>
    <phoneticPr fontId="1" type="noConversion"/>
  </si>
  <si>
    <t>2015新增HC预估</t>
    <phoneticPr fontId="1" type="noConversion"/>
  </si>
  <si>
    <t>互动中心</t>
  </si>
  <si>
    <t>区域营销中心</t>
  </si>
  <si>
    <t>市场部</t>
  </si>
  <si>
    <t>营销策略中心</t>
  </si>
  <si>
    <t>技术中心</t>
  </si>
  <si>
    <t>产品中心</t>
    <phoneticPr fontId="4" type="noConversion"/>
  </si>
  <si>
    <t>总编室</t>
  </si>
  <si>
    <t>新闻中心</t>
  </si>
  <si>
    <t>总经理办公室</t>
  </si>
  <si>
    <t>服务营销中心</t>
  </si>
  <si>
    <t>新平台</t>
  </si>
  <si>
    <t>数据中心</t>
  </si>
  <si>
    <t>移动中心</t>
  </si>
  <si>
    <t>二手车中心</t>
  </si>
  <si>
    <t>评测中心</t>
  </si>
  <si>
    <t>车型库中心</t>
  </si>
  <si>
    <t>报价库中心</t>
  </si>
  <si>
    <t>车迷中心</t>
  </si>
  <si>
    <t>资讯产品技术部</t>
  </si>
  <si>
    <t>焦点</t>
    <phoneticPr fontId="4" type="noConversion"/>
  </si>
  <si>
    <t>全国业务支持</t>
  </si>
  <si>
    <t>二手房业务线</t>
  </si>
  <si>
    <t>新房业务线</t>
  </si>
  <si>
    <t>家居业务线</t>
  </si>
  <si>
    <t xml:space="preserve">预估
增幅 </t>
    <phoneticPr fontId="1" type="noConversion"/>
  </si>
  <si>
    <t>视频</t>
    <phoneticPr fontId="4" type="noConversion"/>
  </si>
  <si>
    <t>产品技术中心</t>
    <phoneticPr fontId="4" type="noConversion"/>
  </si>
  <si>
    <t>版权影视中心</t>
  </si>
  <si>
    <t>员工中心</t>
  </si>
  <si>
    <t>广告销售中心</t>
  </si>
  <si>
    <t>经营管理中心</t>
  </si>
  <si>
    <t>内容运营中心</t>
  </si>
  <si>
    <t>移动视频中心</t>
    <phoneticPr fontId="4" type="noConversion"/>
  </si>
  <si>
    <t>市场推广中心</t>
    <phoneticPr fontId="4" type="noConversion"/>
  </si>
  <si>
    <t>商业产品技术中心</t>
    <phoneticPr fontId="4" type="noConversion"/>
  </si>
  <si>
    <t>法律事务中心</t>
    <phoneticPr fontId="4" type="noConversion"/>
  </si>
  <si>
    <r>
      <t>Remark2:</t>
    </r>
    <r>
      <rPr>
        <b/>
        <sz val="10"/>
        <rFont val="宋体"/>
        <family val="3"/>
        <charset val="134"/>
      </rPr>
      <t>采购价格备注</t>
    </r>
    <phoneticPr fontId="4" type="noConversion"/>
  </si>
  <si>
    <r>
      <rPr>
        <sz val="10"/>
        <rFont val="宋体"/>
        <family val="3"/>
        <charset val="134"/>
      </rPr>
      <t>由于明年各厂商机型及配置无法确定，以上金额是采购部提供的</t>
    </r>
    <r>
      <rPr>
        <sz val="10"/>
        <rFont val="Calibri"/>
        <family val="2"/>
      </rPr>
      <t>2014</t>
    </r>
    <r>
      <rPr>
        <sz val="10"/>
        <rFont val="宋体"/>
        <family val="3"/>
        <charset val="134"/>
      </rPr>
      <t>采购标准，待实际采购金额确定后再进行更改</t>
    </r>
    <phoneticPr fontId="4" type="noConversion"/>
  </si>
  <si>
    <r>
      <rPr>
        <sz val="10"/>
        <rFont val="宋体"/>
        <family val="3"/>
        <charset val="134"/>
      </rPr>
      <t>标准台式机（元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套）</t>
    </r>
    <phoneticPr fontId="4" type="noConversion"/>
  </si>
  <si>
    <t>设计台式机（元/套）</t>
    <phoneticPr fontId="1" type="noConversion"/>
  </si>
  <si>
    <r>
      <rPr>
        <sz val="10"/>
        <rFont val="宋体"/>
        <family val="3"/>
        <charset val="134"/>
      </rPr>
      <t>笔记本：技术型</t>
    </r>
    <r>
      <rPr>
        <sz val="10"/>
        <rFont val="Calibri"/>
        <family val="2"/>
      </rPr>
      <t xml:space="preserve"> </t>
    </r>
    <r>
      <rPr>
        <sz val="10"/>
        <rFont val="宋体"/>
        <family val="3"/>
        <charset val="134"/>
      </rPr>
      <t>、技术型（元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台）</t>
    </r>
    <phoneticPr fontId="4" type="noConversion"/>
  </si>
  <si>
    <r>
      <t>IP</t>
    </r>
    <r>
      <rPr>
        <sz val="10"/>
        <rFont val="宋体"/>
        <family val="3"/>
        <charset val="134"/>
      </rPr>
      <t>电话（元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台）</t>
    </r>
    <phoneticPr fontId="4" type="noConversion"/>
  </si>
  <si>
    <r>
      <rPr>
        <sz val="10"/>
        <rFont val="宋体"/>
        <family val="3"/>
        <charset val="134"/>
      </rPr>
      <t>打印一体复印机及投影机资产参照</t>
    </r>
    <r>
      <rPr>
        <sz val="10"/>
        <rFont val="Calibri"/>
        <family val="2"/>
      </rPr>
      <t>2015</t>
    </r>
    <r>
      <rPr>
        <sz val="10"/>
        <rFont val="宋体"/>
        <family val="3"/>
        <charset val="134"/>
      </rPr>
      <t>最新价格标准：</t>
    </r>
    <phoneticPr fontId="1" type="noConversion"/>
  </si>
  <si>
    <r>
      <rPr>
        <sz val="10"/>
        <rFont val="宋体"/>
        <family val="3"/>
        <charset val="134"/>
      </rPr>
      <t>普通型（元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台）</t>
    </r>
    <phoneticPr fontId="1" type="noConversion"/>
  </si>
  <si>
    <t>1900-4900</t>
    <phoneticPr fontId="1" type="noConversion"/>
  </si>
  <si>
    <r>
      <rPr>
        <sz val="10"/>
        <rFont val="宋体"/>
        <family val="3"/>
        <charset val="134"/>
      </rPr>
      <t>中型（元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台）</t>
    </r>
    <phoneticPr fontId="1" type="noConversion"/>
  </si>
  <si>
    <r>
      <rPr>
        <sz val="10"/>
        <rFont val="宋体"/>
        <family val="3"/>
        <charset val="134"/>
      </rPr>
      <t>大型（元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台）</t>
    </r>
    <phoneticPr fontId="1" type="noConversion"/>
  </si>
  <si>
    <r>
      <rPr>
        <sz val="10"/>
        <rFont val="宋体"/>
        <family val="3"/>
        <charset val="134"/>
      </rPr>
      <t>投影机（元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台）</t>
    </r>
    <r>
      <rPr>
        <sz val="10"/>
        <rFont val="Calibri"/>
        <family val="2"/>
      </rPr>
      <t xml:space="preserve"> </t>
    </r>
    <phoneticPr fontId="1" type="noConversion"/>
  </si>
  <si>
    <r>
      <t>3500-5900</t>
    </r>
    <r>
      <rPr>
        <sz val="10"/>
        <rFont val="宋体"/>
        <family val="3"/>
        <charset val="134"/>
      </rPr>
      <t/>
    </r>
    <phoneticPr fontId="1" type="noConversion"/>
  </si>
  <si>
    <t>企业文化建设</t>
    <phoneticPr fontId="1" type="noConversion"/>
  </si>
  <si>
    <t>饮用水</t>
    <phoneticPr fontId="1" type="noConversion"/>
  </si>
  <si>
    <t>月份</t>
    <phoneticPr fontId="4" type="noConversion"/>
  </si>
  <si>
    <t>单价</t>
    <phoneticPr fontId="1" type="noConversion"/>
  </si>
  <si>
    <t>网络大厦</t>
    <phoneticPr fontId="1" type="noConversion"/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</si>
  <si>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A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4</t>
    </r>
    <r>
      <rPr>
        <sz val="10"/>
        <color theme="1"/>
        <rFont val="宋体"/>
        <family val="3"/>
        <charset val="134"/>
      </rPr>
      <t>层</t>
    </r>
    <phoneticPr fontId="1" type="noConversion"/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</si>
  <si>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C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19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Calibri"/>
        <family val="2"/>
      </rPr>
      <t>20</t>
    </r>
    <r>
      <rPr>
        <sz val="10"/>
        <color theme="1"/>
        <rFont val="宋体"/>
        <family val="3"/>
        <charset val="134"/>
      </rPr>
      <t>层</t>
    </r>
    <phoneticPr fontId="1" type="noConversion"/>
  </si>
  <si>
    <r>
      <rPr>
        <sz val="10"/>
        <color theme="1"/>
        <rFont val="宋体"/>
        <family val="3"/>
        <charset val="134"/>
      </rPr>
      <t>同方</t>
    </r>
    <r>
      <rPr>
        <sz val="10"/>
        <color theme="1"/>
        <rFont val="Calibri"/>
        <family val="2"/>
      </rPr>
      <t>D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7</t>
    </r>
    <r>
      <rPr>
        <sz val="10"/>
        <color theme="1"/>
        <rFont val="宋体"/>
        <family val="3"/>
        <charset val="134"/>
      </rPr>
      <t>层</t>
    </r>
    <phoneticPr fontId="1" type="noConversion"/>
  </si>
  <si>
    <r>
      <rPr>
        <sz val="10"/>
        <color theme="1"/>
        <rFont val="宋体"/>
        <family val="3"/>
        <charset val="134"/>
      </rPr>
      <t>同方</t>
    </r>
    <r>
      <rPr>
        <sz val="10"/>
        <color theme="1"/>
        <rFont val="Calibri"/>
        <family val="2"/>
      </rPr>
      <t>D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8</t>
    </r>
    <r>
      <rPr>
        <sz val="10"/>
        <color theme="1"/>
        <rFont val="宋体"/>
        <family val="3"/>
        <charset val="134"/>
      </rPr>
      <t>层</t>
    </r>
    <phoneticPr fontId="1" type="noConversion"/>
  </si>
  <si>
    <t>老板公寓</t>
    <phoneticPr fontId="1" type="noConversion"/>
  </si>
  <si>
    <t>皂君庙宿舍</t>
    <phoneticPr fontId="1" type="noConversion"/>
  </si>
  <si>
    <t>媒体大厦</t>
    <phoneticPr fontId="1" type="noConversion"/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</si>
  <si>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C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10</t>
    </r>
    <r>
      <rPr>
        <sz val="10"/>
        <color theme="1"/>
        <rFont val="宋体"/>
        <family val="3"/>
        <charset val="134"/>
      </rPr>
      <t>层</t>
    </r>
    <phoneticPr fontId="1" type="noConversion"/>
  </si>
  <si>
    <r>
      <t>(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桶</t>
    </r>
    <r>
      <rPr>
        <sz val="10"/>
        <rFont val="Calibri"/>
        <family val="2"/>
      </rPr>
      <t>)</t>
    </r>
    <phoneticPr fontId="1" type="noConversion"/>
  </si>
  <si>
    <r>
      <rPr>
        <sz val="10"/>
        <rFont val="宋体"/>
        <family val="3"/>
        <charset val="134"/>
      </rPr>
      <t>月用水量</t>
    </r>
    <r>
      <rPr>
        <sz val="10"/>
        <rFont val="Calibri"/>
        <family val="2"/>
      </rPr>
      <t>(</t>
    </r>
    <r>
      <rPr>
        <sz val="10"/>
        <rFont val="宋体"/>
        <family val="3"/>
        <charset val="134"/>
      </rPr>
      <t>桶</t>
    </r>
    <r>
      <rPr>
        <sz val="10"/>
        <rFont val="Calibri"/>
        <family val="2"/>
      </rPr>
      <t>)</t>
    </r>
    <phoneticPr fontId="4" type="noConversion"/>
  </si>
  <si>
    <r>
      <rPr>
        <sz val="10"/>
        <rFont val="宋体"/>
        <family val="3"/>
        <charset val="134"/>
      </rPr>
      <t>月费用</t>
    </r>
    <r>
      <rPr>
        <sz val="10"/>
        <rFont val="Calibri"/>
        <family val="2"/>
      </rPr>
      <t>(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)</t>
    </r>
    <phoneticPr fontId="4" type="noConversion"/>
  </si>
  <si>
    <r>
      <rPr>
        <sz val="10"/>
        <rFont val="宋体"/>
        <family val="3"/>
        <charset val="134"/>
      </rPr>
      <t>月用水量</t>
    </r>
    <r>
      <rPr>
        <sz val="10"/>
        <rFont val="Calibri"/>
        <family val="2"/>
      </rPr>
      <t>(</t>
    </r>
    <r>
      <rPr>
        <sz val="10"/>
        <rFont val="宋体"/>
        <family val="3"/>
        <charset val="134"/>
      </rPr>
      <t>大桶</t>
    </r>
    <r>
      <rPr>
        <sz val="10"/>
        <rFont val="Calibri"/>
        <family val="2"/>
      </rPr>
      <t>)</t>
    </r>
    <phoneticPr fontId="4" type="noConversion"/>
  </si>
  <si>
    <r>
      <rPr>
        <sz val="10"/>
        <rFont val="宋体"/>
        <family val="3"/>
        <charset val="134"/>
      </rPr>
      <t>月用水量</t>
    </r>
    <r>
      <rPr>
        <sz val="10"/>
        <rFont val="Calibri"/>
        <family val="2"/>
      </rPr>
      <t>(</t>
    </r>
    <r>
      <rPr>
        <sz val="10"/>
        <rFont val="宋体"/>
        <family val="3"/>
        <charset val="134"/>
      </rPr>
      <t>小桶</t>
    </r>
    <r>
      <rPr>
        <sz val="10"/>
        <rFont val="Calibri"/>
        <family val="2"/>
      </rPr>
      <t>)</t>
    </r>
    <phoneticPr fontId="4" type="noConversion"/>
  </si>
  <si>
    <t>1</t>
    <phoneticPr fontId="4" type="noConversion"/>
  </si>
  <si>
    <t>月费用</t>
    <phoneticPr fontId="1" type="noConversion"/>
  </si>
  <si>
    <r>
      <rPr>
        <sz val="10"/>
        <color rgb="FF000000"/>
        <rFont val="宋体"/>
        <family val="3"/>
        <charset val="134"/>
      </rPr>
      <t>搜狐</t>
    </r>
  </si>
  <si>
    <t>工位牌</t>
  </si>
  <si>
    <r>
      <rPr>
        <sz val="10"/>
        <color rgb="FF000000"/>
        <rFont val="宋体"/>
        <family val="3"/>
        <charset val="134"/>
      </rPr>
      <t>胸卡贴</t>
    </r>
    <r>
      <rPr>
        <sz val="10"/>
        <color rgb="FF000000"/>
        <rFont val="Calibri"/>
        <family val="2"/>
      </rPr>
      <t>/</t>
    </r>
    <r>
      <rPr>
        <sz val="10"/>
        <color rgb="FF000000"/>
        <rFont val="宋体"/>
        <family val="3"/>
        <charset val="134"/>
      </rPr>
      <t>班车证</t>
    </r>
  </si>
  <si>
    <r>
      <rPr>
        <sz val="10"/>
        <color rgb="FF000000"/>
        <rFont val="宋体"/>
        <family val="3"/>
        <charset val="134"/>
      </rPr>
      <t>坐席卡卡壳</t>
    </r>
    <r>
      <rPr>
        <sz val="10"/>
        <color rgb="FF000000"/>
        <rFont val="Calibri"/>
        <family val="2"/>
      </rPr>
      <t>/</t>
    </r>
    <r>
      <rPr>
        <sz val="10"/>
        <color rgb="FF000000"/>
        <rFont val="宋体"/>
        <family val="3"/>
        <charset val="134"/>
      </rPr>
      <t>三角卡壳</t>
    </r>
  </si>
  <si>
    <t>月费用</t>
  </si>
  <si>
    <t>合计</t>
  </si>
  <si>
    <t xml:space="preserve">2014年Q1-Q2水费统计 </t>
    <phoneticPr fontId="1" type="noConversion"/>
  </si>
  <si>
    <t>Q1-Q2</t>
    <phoneticPr fontId="1" type="noConversion"/>
  </si>
  <si>
    <t>2014年月平均费用</t>
    <phoneticPr fontId="1" type="noConversion"/>
  </si>
  <si>
    <t>2015年平均费用</t>
    <phoneticPr fontId="1" type="noConversion"/>
  </si>
  <si>
    <t>2015年平均费用</t>
    <phoneticPr fontId="1" type="noConversion"/>
  </si>
  <si>
    <t>金额</t>
    <phoneticPr fontId="1" type="noConversion"/>
  </si>
  <si>
    <t>备注</t>
    <phoneticPr fontId="1" type="noConversion"/>
  </si>
  <si>
    <t>Q1-Q2</t>
    <phoneticPr fontId="1" type="noConversion"/>
  </si>
  <si>
    <t>Q3-Q4</t>
    <phoneticPr fontId="1" type="noConversion"/>
  </si>
  <si>
    <t>Q3-Q4</t>
    <phoneticPr fontId="1" type="noConversion"/>
  </si>
  <si>
    <t>2015年预计年费用</t>
    <phoneticPr fontId="1" type="noConversion"/>
  </si>
  <si>
    <t>2015年预计年费用</t>
    <phoneticPr fontId="1" type="noConversion"/>
  </si>
  <si>
    <t>2015年月平均费用</t>
    <phoneticPr fontId="1" type="noConversion"/>
  </si>
  <si>
    <t>2014年1月-9月电费</t>
    <phoneticPr fontId="1" type="noConversion"/>
  </si>
  <si>
    <t>2014年月平均费用</t>
    <phoneticPr fontId="1" type="noConversion"/>
  </si>
  <si>
    <t>2015年平均费用</t>
    <phoneticPr fontId="1" type="noConversion"/>
  </si>
  <si>
    <t>金额</t>
    <phoneticPr fontId="1" type="noConversion"/>
  </si>
  <si>
    <t>备注</t>
    <phoneticPr fontId="1" type="noConversion"/>
  </si>
  <si>
    <t>2015年预计年费用</t>
    <phoneticPr fontId="1" type="noConversion"/>
  </si>
  <si>
    <t xml:space="preserve">2014年Q1-Q4饮用水费统计 </t>
    <phoneticPr fontId="1" type="noConversion"/>
  </si>
  <si>
    <t>季度</t>
    <phoneticPr fontId="1" type="noConversion"/>
  </si>
  <si>
    <t>金额</t>
    <phoneticPr fontId="1" type="noConversion"/>
  </si>
  <si>
    <t>备注</t>
    <phoneticPr fontId="1" type="noConversion"/>
  </si>
  <si>
    <t>Q2</t>
    <phoneticPr fontId="1" type="noConversion"/>
  </si>
  <si>
    <t>Q4</t>
    <phoneticPr fontId="1" type="noConversion"/>
  </si>
  <si>
    <t>Q4</t>
    <phoneticPr fontId="1" type="noConversion"/>
  </si>
  <si>
    <t>合计</t>
    <phoneticPr fontId="1" type="noConversion"/>
  </si>
  <si>
    <t>2014年月平均费用</t>
    <phoneticPr fontId="1" type="noConversion"/>
  </si>
  <si>
    <t>2015年平均费用</t>
    <phoneticPr fontId="1" type="noConversion"/>
  </si>
  <si>
    <t>2015年月平均费用</t>
    <phoneticPr fontId="1" type="noConversion"/>
  </si>
  <si>
    <t>2014年1月-10月办公用品、茶水间用品费用</t>
    <phoneticPr fontId="1" type="noConversion"/>
  </si>
  <si>
    <t>月份</t>
    <phoneticPr fontId="1" type="noConversion"/>
  </si>
  <si>
    <t>1月</t>
    <phoneticPr fontId="1" type="noConversion"/>
  </si>
  <si>
    <t>2014年月平均费用</t>
    <phoneticPr fontId="1" type="noConversion"/>
  </si>
  <si>
    <t>2015年平均费用</t>
    <phoneticPr fontId="1" type="noConversion"/>
  </si>
  <si>
    <t>金额</t>
    <phoneticPr fontId="1" type="noConversion"/>
  </si>
  <si>
    <t>备注</t>
    <phoneticPr fontId="1" type="noConversion"/>
  </si>
  <si>
    <t>2015年预计年费用</t>
    <phoneticPr fontId="1" type="noConversion"/>
  </si>
  <si>
    <t>2015年月平均费用</t>
    <phoneticPr fontId="1" type="noConversion"/>
  </si>
  <si>
    <t>2014年1月-11月工位牌、座位牌、胸卡带</t>
    <phoneticPr fontId="1" type="noConversion"/>
  </si>
  <si>
    <t>月份</t>
    <phoneticPr fontId="1" type="noConversion"/>
  </si>
  <si>
    <t>金额</t>
    <phoneticPr fontId="1" type="noConversion"/>
  </si>
  <si>
    <t>备注</t>
    <phoneticPr fontId="1" type="noConversion"/>
  </si>
  <si>
    <t>1月</t>
    <phoneticPr fontId="1" type="noConversion"/>
  </si>
  <si>
    <t>合计</t>
    <phoneticPr fontId="1" type="noConversion"/>
  </si>
  <si>
    <t>2014年月平均费用</t>
    <phoneticPr fontId="1" type="noConversion"/>
  </si>
  <si>
    <t>2015年平均费用</t>
    <phoneticPr fontId="1" type="noConversion"/>
  </si>
  <si>
    <t>金额</t>
    <phoneticPr fontId="1" type="noConversion"/>
  </si>
  <si>
    <t>备注</t>
    <phoneticPr fontId="1" type="noConversion"/>
  </si>
  <si>
    <t>2015年预计年费用</t>
    <phoneticPr fontId="1" type="noConversion"/>
  </si>
  <si>
    <t>2015年月平均费用</t>
    <phoneticPr fontId="1" type="noConversion"/>
  </si>
  <si>
    <t>2014年1月-11月家具维修费用</t>
    <phoneticPr fontId="1" type="noConversion"/>
  </si>
  <si>
    <t>月份</t>
    <phoneticPr fontId="1" type="noConversion"/>
  </si>
  <si>
    <t>1月</t>
    <phoneticPr fontId="1" type="noConversion"/>
  </si>
  <si>
    <t>合计</t>
    <phoneticPr fontId="1" type="noConversion"/>
  </si>
  <si>
    <t>2014年月平均费用</t>
    <phoneticPr fontId="1" type="noConversion"/>
  </si>
  <si>
    <t>2015年平均费用</t>
    <phoneticPr fontId="1" type="noConversion"/>
  </si>
  <si>
    <t>金额</t>
    <phoneticPr fontId="1" type="noConversion"/>
  </si>
  <si>
    <t>备注</t>
    <phoneticPr fontId="1" type="noConversion"/>
  </si>
  <si>
    <t>2015年预计年费用</t>
    <phoneticPr fontId="1" type="noConversion"/>
  </si>
  <si>
    <t>2015年月平均费用</t>
    <phoneticPr fontId="1" type="noConversion"/>
  </si>
  <si>
    <t>2014年Q1-Q4日常洗涤费用</t>
    <phoneticPr fontId="1" type="noConversion"/>
  </si>
  <si>
    <t>季度</t>
    <phoneticPr fontId="1" type="noConversion"/>
  </si>
  <si>
    <t>金额</t>
    <phoneticPr fontId="1" type="noConversion"/>
  </si>
  <si>
    <t>备注</t>
    <phoneticPr fontId="1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</si>
  <si>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</si>
  <si>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</si>
  <si>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</si>
  <si>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Q4</t>
    <phoneticPr fontId="1" type="noConversion"/>
  </si>
  <si>
    <t>合计</t>
    <phoneticPr fontId="1" type="noConversion"/>
  </si>
  <si>
    <t>2014年月平均费用</t>
    <phoneticPr fontId="1" type="noConversion"/>
  </si>
  <si>
    <t>2015年平均费用</t>
    <phoneticPr fontId="1" type="noConversion"/>
  </si>
  <si>
    <t>金额</t>
    <phoneticPr fontId="1" type="noConversion"/>
  </si>
  <si>
    <t>备注</t>
    <phoneticPr fontId="1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</si>
  <si>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</si>
  <si>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</si>
  <si>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</si>
  <si>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Q4</t>
    <phoneticPr fontId="1" type="noConversion"/>
  </si>
  <si>
    <t>2014年Q1-Q4租金</t>
    <phoneticPr fontId="1" type="noConversion"/>
  </si>
  <si>
    <t>季度</t>
    <phoneticPr fontId="1" type="noConversion"/>
  </si>
  <si>
    <t>金额</t>
    <phoneticPr fontId="1" type="noConversion"/>
  </si>
  <si>
    <t>备注</t>
    <phoneticPr fontId="1" type="noConversion"/>
  </si>
  <si>
    <t>Q1</t>
    <phoneticPr fontId="1" type="noConversion"/>
  </si>
  <si>
    <t>Q2</t>
    <phoneticPr fontId="1" type="noConversion"/>
  </si>
  <si>
    <t>合计</t>
    <phoneticPr fontId="1" type="noConversion"/>
  </si>
  <si>
    <t>2014年月平均费用</t>
    <phoneticPr fontId="1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</si>
  <si>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</si>
  <si>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</si>
  <si>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</si>
  <si>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Q4</t>
    <phoneticPr fontId="1" type="noConversion"/>
  </si>
  <si>
    <t>2014年Q1-Q4租赁税</t>
    <phoneticPr fontId="1" type="noConversion"/>
  </si>
  <si>
    <t>Q4</t>
    <phoneticPr fontId="1" type="noConversion"/>
  </si>
  <si>
    <t>Q3</t>
    <phoneticPr fontId="1" type="noConversion"/>
  </si>
  <si>
    <t>Q4</t>
    <phoneticPr fontId="1" type="noConversion"/>
  </si>
  <si>
    <t>2015年预计年费用</t>
    <phoneticPr fontId="1" type="noConversion"/>
  </si>
  <si>
    <t>2015年月平均费用</t>
    <phoneticPr fontId="1" type="noConversion"/>
  </si>
  <si>
    <t>2014年Q1-Q4物业费</t>
    <phoneticPr fontId="1" type="noConversion"/>
  </si>
  <si>
    <t>2015年月平均费用</t>
    <phoneticPr fontId="1" type="noConversion"/>
  </si>
  <si>
    <t>2014年Q1-Q4电梯补偿费</t>
    <phoneticPr fontId="1" type="noConversion"/>
  </si>
  <si>
    <t>季度</t>
    <phoneticPr fontId="1" type="noConversion"/>
  </si>
  <si>
    <t>Q1-Q2</t>
    <phoneticPr fontId="1" type="noConversion"/>
  </si>
  <si>
    <t>Q3-Q4</t>
    <phoneticPr fontId="1" type="noConversion"/>
  </si>
  <si>
    <t>2014年月平均费用</t>
    <phoneticPr fontId="1" type="noConversion"/>
  </si>
  <si>
    <t>2014年Q1-Q4绿植费</t>
    <phoneticPr fontId="1" type="noConversion"/>
  </si>
  <si>
    <t>Q2</t>
  </si>
  <si>
    <t>Q3</t>
    <phoneticPr fontId="1" type="noConversion"/>
  </si>
  <si>
    <t>Q4</t>
  </si>
  <si>
    <t>合计</t>
    <phoneticPr fontId="1" type="noConversion"/>
  </si>
  <si>
    <t>2014年月平均费用</t>
    <phoneticPr fontId="1" type="noConversion"/>
  </si>
  <si>
    <t>2015年平均费用</t>
    <phoneticPr fontId="1" type="noConversion"/>
  </si>
  <si>
    <t>金额</t>
    <phoneticPr fontId="1" type="noConversion"/>
  </si>
  <si>
    <t>备注</t>
    <phoneticPr fontId="1" type="noConversion"/>
  </si>
  <si>
    <t>Q1</t>
    <phoneticPr fontId="1" type="noConversion"/>
  </si>
  <si>
    <t>2014年Q1-Q4保洁费</t>
    <phoneticPr fontId="1" type="noConversion"/>
  </si>
  <si>
    <t>2014年月平均费用</t>
    <phoneticPr fontId="1" type="noConversion"/>
  </si>
  <si>
    <t>2015年平均费用</t>
    <phoneticPr fontId="1" type="noConversion"/>
  </si>
  <si>
    <t>金额</t>
    <phoneticPr fontId="1" type="noConversion"/>
  </si>
  <si>
    <t>备注</t>
    <phoneticPr fontId="1" type="noConversion"/>
  </si>
  <si>
    <t>Q1</t>
    <phoneticPr fontId="1" type="noConversion"/>
  </si>
  <si>
    <t>Q3</t>
    <phoneticPr fontId="1" type="noConversion"/>
  </si>
  <si>
    <t>2015年预计年费用</t>
    <phoneticPr fontId="1" type="noConversion"/>
  </si>
  <si>
    <t>2015年月平均费用</t>
    <phoneticPr fontId="1" type="noConversion"/>
  </si>
  <si>
    <t>2014年Q1-Q4固定电话费用</t>
    <phoneticPr fontId="1" type="noConversion"/>
  </si>
  <si>
    <t>季度</t>
    <phoneticPr fontId="1" type="noConversion"/>
  </si>
  <si>
    <t>Q1-Q2</t>
    <phoneticPr fontId="1" type="noConversion"/>
  </si>
  <si>
    <t>Q3-Q4</t>
    <phoneticPr fontId="1" type="noConversion"/>
  </si>
  <si>
    <t>合计</t>
    <phoneticPr fontId="1" type="noConversion"/>
  </si>
  <si>
    <t>2015年预计年费用</t>
    <phoneticPr fontId="1" type="noConversion"/>
  </si>
  <si>
    <t>2014年Q1-Q4装饰工程、门禁、监控、空调等日常维护费用</t>
    <phoneticPr fontId="1" type="noConversion"/>
  </si>
  <si>
    <t>季度</t>
    <phoneticPr fontId="1" type="noConversion"/>
  </si>
  <si>
    <t>金额</t>
    <phoneticPr fontId="1" type="noConversion"/>
  </si>
  <si>
    <t>备注</t>
    <phoneticPr fontId="1" type="noConversion"/>
  </si>
  <si>
    <t>Q1-Q2</t>
    <phoneticPr fontId="1" type="noConversion"/>
  </si>
  <si>
    <t>Q3-Q4</t>
    <phoneticPr fontId="1" type="noConversion"/>
  </si>
  <si>
    <t>2015年预计年费用</t>
    <phoneticPr fontId="1" type="noConversion"/>
  </si>
  <si>
    <t>电费</t>
    <phoneticPr fontId="1" type="noConversion"/>
  </si>
  <si>
    <r>
      <rPr>
        <sz val="10"/>
        <rFont val="宋体"/>
        <family val="3"/>
        <charset val="134"/>
      </rPr>
      <t>根据</t>
    </r>
    <r>
      <rPr>
        <sz val="10"/>
        <rFont val="Calibri"/>
        <family val="2"/>
      </rPr>
      <t>2014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1-9</t>
    </r>
    <r>
      <rPr>
        <sz val="10"/>
        <rFont val="宋体"/>
        <family val="3"/>
        <charset val="134"/>
      </rPr>
      <t>月电费支出明细</t>
    </r>
    <phoneticPr fontId="1" type="noConversion"/>
  </si>
  <si>
    <t>月份</t>
    <phoneticPr fontId="4" type="noConversion"/>
  </si>
  <si>
    <t>网络大厦</t>
    <phoneticPr fontId="1" type="noConversion"/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</si>
  <si>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A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4</t>
    </r>
    <r>
      <rPr>
        <sz val="10"/>
        <color theme="1"/>
        <rFont val="宋体"/>
        <family val="3"/>
        <charset val="134"/>
      </rPr>
      <t>层</t>
    </r>
    <phoneticPr fontId="1" type="noConversion"/>
  </si>
  <si>
    <r>
      <rPr>
        <sz val="10"/>
        <color theme="1"/>
        <rFont val="宋体"/>
        <family val="3"/>
        <charset val="134"/>
      </rPr>
      <t>同方</t>
    </r>
    <r>
      <rPr>
        <sz val="10"/>
        <color theme="1"/>
        <rFont val="Calibri"/>
        <family val="2"/>
      </rPr>
      <t>D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8</t>
    </r>
    <r>
      <rPr>
        <sz val="10"/>
        <color theme="1"/>
        <rFont val="宋体"/>
        <family val="3"/>
        <charset val="134"/>
      </rPr>
      <t>层</t>
    </r>
    <phoneticPr fontId="1" type="noConversion"/>
  </si>
  <si>
    <t>融科C座10、19、20层</t>
    <phoneticPr fontId="1" type="noConversion"/>
  </si>
  <si>
    <r>
      <rPr>
        <sz val="10"/>
        <color theme="1"/>
        <rFont val="宋体"/>
        <family val="3"/>
        <charset val="134"/>
      </rPr>
      <t>同方</t>
    </r>
    <r>
      <rPr>
        <sz val="10"/>
        <color theme="1"/>
        <rFont val="Calibri"/>
        <family val="2"/>
      </rPr>
      <t>D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7</t>
    </r>
    <r>
      <rPr>
        <sz val="10"/>
        <color theme="1"/>
        <rFont val="宋体"/>
        <family val="3"/>
        <charset val="134"/>
      </rPr>
      <t>层</t>
    </r>
    <phoneticPr fontId="1" type="noConversion"/>
  </si>
  <si>
    <r>
      <rPr>
        <sz val="10"/>
        <rFont val="宋体"/>
        <family val="3"/>
        <charset val="134"/>
      </rPr>
      <t>用电量</t>
    </r>
    <r>
      <rPr>
        <sz val="10"/>
        <rFont val="Calibri"/>
        <family val="2"/>
      </rPr>
      <t>(</t>
    </r>
    <r>
      <rPr>
        <sz val="10"/>
        <rFont val="宋体"/>
        <family val="3"/>
        <charset val="134"/>
      </rPr>
      <t>度</t>
    </r>
    <r>
      <rPr>
        <sz val="10"/>
        <rFont val="Calibri"/>
        <family val="2"/>
      </rPr>
      <t>)</t>
    </r>
    <phoneticPr fontId="4" type="noConversion"/>
  </si>
  <si>
    <r>
      <rPr>
        <sz val="10"/>
        <rFont val="宋体"/>
        <family val="3"/>
        <charset val="134"/>
      </rPr>
      <t>单价</t>
    </r>
    <r>
      <rPr>
        <sz val="10"/>
        <rFont val="Calibri"/>
        <family val="2"/>
      </rPr>
      <t>(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度</t>
    </r>
    <r>
      <rPr>
        <sz val="10"/>
        <rFont val="Calibri"/>
        <family val="2"/>
      </rPr>
      <t>)</t>
    </r>
    <phoneticPr fontId="4" type="noConversion"/>
  </si>
  <si>
    <r>
      <rPr>
        <sz val="10"/>
        <rFont val="宋体"/>
        <family val="3"/>
        <charset val="134"/>
      </rPr>
      <t>小计</t>
    </r>
    <r>
      <rPr>
        <sz val="10"/>
        <rFont val="Calibri"/>
        <family val="2"/>
      </rPr>
      <t>(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)</t>
    </r>
    <phoneticPr fontId="4" type="noConversion"/>
  </si>
  <si>
    <t>1</t>
    <phoneticPr fontId="4" type="noConversion"/>
  </si>
  <si>
    <t>合计</t>
    <phoneticPr fontId="1" type="noConversion"/>
  </si>
  <si>
    <r>
      <rPr>
        <sz val="10"/>
        <rFont val="宋体"/>
        <family val="3"/>
        <charset val="134"/>
      </rPr>
      <t>月平均用电量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电费</t>
    </r>
    <phoneticPr fontId="1" type="noConversion"/>
  </si>
  <si>
    <r>
      <rPr>
        <sz val="10"/>
        <rFont val="宋体"/>
        <family val="3"/>
        <charset val="134"/>
      </rPr>
      <t>根据</t>
    </r>
    <r>
      <rPr>
        <sz val="10"/>
        <rFont val="Calibri"/>
        <family val="2"/>
      </rPr>
      <t>2014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1-9</t>
    </r>
    <r>
      <rPr>
        <sz val="10"/>
        <rFont val="宋体"/>
        <family val="3"/>
        <charset val="134"/>
      </rPr>
      <t>月饮用水费用统计</t>
    </r>
    <phoneticPr fontId="4" type="noConversion"/>
  </si>
  <si>
    <t>月用水量合计</t>
    <phoneticPr fontId="4" type="noConversion"/>
  </si>
  <si>
    <r>
      <rPr>
        <sz val="10"/>
        <rFont val="宋体"/>
        <family val="3"/>
        <charset val="134"/>
      </rPr>
      <t>月费用合计</t>
    </r>
    <r>
      <rPr>
        <sz val="10"/>
        <rFont val="Calibri"/>
        <family val="2"/>
      </rPr>
      <t>(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)</t>
    </r>
    <phoneticPr fontId="4" type="noConversion"/>
  </si>
  <si>
    <r>
      <rPr>
        <sz val="10"/>
        <rFont val="宋体"/>
        <family val="3"/>
        <charset val="134"/>
      </rPr>
      <t>月平均使用量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费用</t>
    </r>
    <phoneticPr fontId="1" type="noConversion"/>
  </si>
  <si>
    <r>
      <t>2015</t>
    </r>
    <r>
      <rPr>
        <sz val="10"/>
        <rFont val="宋体"/>
        <family val="3"/>
        <charset val="134"/>
      </rPr>
      <t>年大桶水价格增长</t>
    </r>
    <phoneticPr fontId="1" type="noConversion"/>
  </si>
  <si>
    <r>
      <t>2015</t>
    </r>
    <r>
      <rPr>
        <sz val="10"/>
        <rFont val="宋体"/>
        <family val="3"/>
        <charset val="134"/>
      </rPr>
      <t>年工位满负荷使用增长率</t>
    </r>
    <phoneticPr fontId="1" type="noConversion"/>
  </si>
  <si>
    <r>
      <t>2015</t>
    </r>
    <r>
      <rPr>
        <sz val="10"/>
        <rFont val="宋体"/>
        <family val="3"/>
        <charset val="134"/>
      </rPr>
      <t>年预计月使用量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费用</t>
    </r>
    <phoneticPr fontId="1" type="noConversion"/>
  </si>
  <si>
    <r>
      <rPr>
        <sz val="10"/>
        <rFont val="宋体"/>
        <family val="3"/>
        <charset val="134"/>
      </rPr>
      <t>注：</t>
    </r>
    <r>
      <rPr>
        <sz val="10"/>
        <rFont val="Calibri"/>
        <family val="2"/>
      </rPr>
      <t>15</t>
    </r>
    <r>
      <rPr>
        <sz val="10"/>
        <rFont val="宋体"/>
        <family val="3"/>
        <charset val="134"/>
      </rPr>
      <t>年开始大桶</t>
    </r>
    <r>
      <rPr>
        <sz val="10"/>
        <rFont val="Calibri"/>
        <family val="2"/>
      </rPr>
      <t>13.5</t>
    </r>
    <r>
      <rPr>
        <sz val="10"/>
        <rFont val="宋体"/>
        <family val="3"/>
        <charset val="134"/>
      </rPr>
      <t>元，小桶</t>
    </r>
    <r>
      <rPr>
        <sz val="10"/>
        <rFont val="Calibri"/>
        <family val="2"/>
      </rPr>
      <t>20</t>
    </r>
    <r>
      <rPr>
        <sz val="10"/>
        <rFont val="宋体"/>
        <family val="3"/>
        <charset val="134"/>
      </rPr>
      <t>元</t>
    </r>
    <phoneticPr fontId="1" type="noConversion"/>
  </si>
  <si>
    <t>绿植</t>
    <phoneticPr fontId="1" type="noConversion"/>
  </si>
  <si>
    <r>
      <rPr>
        <sz val="10"/>
        <rFont val="宋体"/>
        <family val="3"/>
        <charset val="134"/>
      </rPr>
      <t>根据</t>
    </r>
    <r>
      <rPr>
        <sz val="10"/>
        <rFont val="Calibri"/>
        <family val="2"/>
      </rPr>
      <t>2014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1-9</t>
    </r>
    <r>
      <rPr>
        <sz val="10"/>
        <rFont val="宋体"/>
        <family val="3"/>
        <charset val="134"/>
      </rPr>
      <t>月绿植费用统计</t>
    </r>
    <phoneticPr fontId="4" type="noConversion"/>
  </si>
  <si>
    <t>老板公寓</t>
    <phoneticPr fontId="1" type="noConversion"/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</si>
  <si>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C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19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Calibri"/>
        <family val="2"/>
      </rPr>
      <t>20</t>
    </r>
    <r>
      <rPr>
        <sz val="10"/>
        <color theme="1"/>
        <rFont val="宋体"/>
        <family val="3"/>
        <charset val="134"/>
      </rPr>
      <t>层</t>
    </r>
    <phoneticPr fontId="1" type="noConversion"/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</si>
  <si>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C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10</t>
    </r>
    <r>
      <rPr>
        <sz val="10"/>
        <color theme="1"/>
        <rFont val="宋体"/>
        <family val="3"/>
        <charset val="134"/>
      </rPr>
      <t>层</t>
    </r>
    <phoneticPr fontId="1" type="noConversion"/>
  </si>
  <si>
    <r>
      <rPr>
        <sz val="10"/>
        <rFont val="宋体"/>
        <family val="3"/>
        <charset val="134"/>
      </rPr>
      <t>月费用</t>
    </r>
    <r>
      <rPr>
        <sz val="10"/>
        <rFont val="Calibri"/>
        <family val="2"/>
      </rPr>
      <t>(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)</t>
    </r>
    <phoneticPr fontId="4" type="noConversion"/>
  </si>
  <si>
    <t>月平均费用</t>
    <phoneticPr fontId="1" type="noConversion"/>
  </si>
  <si>
    <r>
      <t>2015</t>
    </r>
    <r>
      <rPr>
        <sz val="10"/>
        <rFont val="宋体"/>
        <family val="3"/>
        <charset val="134"/>
      </rPr>
      <t>年价格上涨率</t>
    </r>
    <phoneticPr fontId="1" type="noConversion"/>
  </si>
  <si>
    <r>
      <t>2015</t>
    </r>
    <r>
      <rPr>
        <sz val="10"/>
        <rFont val="宋体"/>
        <family val="3"/>
        <charset val="134"/>
      </rPr>
      <t>年预计月费用</t>
    </r>
    <phoneticPr fontId="1" type="noConversion"/>
  </si>
  <si>
    <t>茶间用品</t>
    <phoneticPr fontId="1" type="noConversion"/>
  </si>
  <si>
    <r>
      <rPr>
        <sz val="10"/>
        <rFont val="宋体"/>
        <family val="3"/>
        <charset val="134"/>
      </rPr>
      <t>根据</t>
    </r>
    <r>
      <rPr>
        <sz val="10"/>
        <rFont val="Calibri"/>
        <family val="2"/>
      </rPr>
      <t>2014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1-10</t>
    </r>
    <r>
      <rPr>
        <sz val="10"/>
        <rFont val="宋体"/>
        <family val="3"/>
        <charset val="134"/>
      </rPr>
      <t>月茶间用品</t>
    </r>
    <r>
      <rPr>
        <sz val="10"/>
        <rFont val="Calibri"/>
        <family val="2"/>
      </rPr>
      <t>(</t>
    </r>
    <r>
      <rPr>
        <sz val="10"/>
        <rFont val="宋体"/>
        <family val="3"/>
        <charset val="134"/>
      </rPr>
      <t>包括饮品、器具、清洁剂、药品等</t>
    </r>
    <r>
      <rPr>
        <sz val="10"/>
        <rFont val="Calibri"/>
        <family val="2"/>
      </rPr>
      <t>)</t>
    </r>
    <r>
      <rPr>
        <sz val="10"/>
        <rFont val="宋体"/>
        <family val="3"/>
        <charset val="134"/>
      </rPr>
      <t>费用统计</t>
    </r>
    <phoneticPr fontId="4" type="noConversion"/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</si>
  <si>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C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10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Calibri"/>
        <family val="2"/>
      </rPr>
      <t>19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Calibri"/>
        <family val="2"/>
      </rPr>
      <t>20</t>
    </r>
    <r>
      <rPr>
        <sz val="10"/>
        <color theme="1"/>
        <rFont val="宋体"/>
        <family val="3"/>
        <charset val="134"/>
      </rPr>
      <t>层</t>
    </r>
    <phoneticPr fontId="1" type="noConversion"/>
  </si>
  <si>
    <t>媒体大厦</t>
    <phoneticPr fontId="1" type="noConversion"/>
  </si>
  <si>
    <t>10</t>
    <phoneticPr fontId="4" type="noConversion"/>
  </si>
  <si>
    <r>
      <rPr>
        <sz val="10"/>
        <color theme="1"/>
        <rFont val="宋体"/>
        <family val="3"/>
        <charset val="134"/>
      </rPr>
      <t>注：按照融科</t>
    </r>
    <r>
      <rPr>
        <sz val="10"/>
        <color theme="1"/>
        <rFont val="Calibri"/>
        <family val="2"/>
      </rPr>
      <t>C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19</t>
    </r>
    <r>
      <rPr>
        <sz val="10"/>
        <color theme="1"/>
        <rFont val="宋体"/>
        <family val="3"/>
        <charset val="134"/>
      </rPr>
      <t>层同量估算</t>
    </r>
    <phoneticPr fontId="1" type="noConversion"/>
  </si>
  <si>
    <t>门卡、桌牌等</t>
    <phoneticPr fontId="1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</si>
  <si>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10</t>
    </r>
    <r>
      <rPr>
        <sz val="10"/>
        <rFont val="宋体"/>
        <family val="3"/>
        <charset val="134"/>
      </rPr>
      <t>层新增工位牌、坐席卡卡壳等项目预算</t>
    </r>
    <phoneticPr fontId="1" type="noConversion"/>
  </si>
  <si>
    <t>种类</t>
    <phoneticPr fontId="1" type="noConversion"/>
  </si>
  <si>
    <t>工位牌</t>
    <phoneticPr fontId="1" type="noConversion"/>
  </si>
  <si>
    <t>坐席卡卡壳</t>
    <phoneticPr fontId="1" type="noConversion"/>
  </si>
  <si>
    <t>会议室、老板间名牌</t>
    <phoneticPr fontId="1" type="noConversion"/>
  </si>
  <si>
    <t>会议室预定牌</t>
    <phoneticPr fontId="1" type="noConversion"/>
  </si>
  <si>
    <t>会议室投影仪使用说明</t>
    <phoneticPr fontId="1" type="noConversion"/>
  </si>
  <si>
    <t>会议室禁烟、注意事项标牌</t>
    <phoneticPr fontId="1" type="noConversion"/>
  </si>
  <si>
    <t>玻璃门推拉贴</t>
    <phoneticPr fontId="1" type="noConversion"/>
  </si>
  <si>
    <t>Total</t>
    <phoneticPr fontId="1" type="noConversion"/>
  </si>
  <si>
    <t>单价</t>
    <phoneticPr fontId="1" type="noConversion"/>
  </si>
  <si>
    <r>
      <rPr>
        <sz val="10"/>
        <color rgb="FF000000"/>
        <rFont val="宋体"/>
        <family val="3"/>
        <charset val="134"/>
      </rPr>
      <t>数量</t>
    </r>
    <r>
      <rPr>
        <sz val="10"/>
        <color rgb="FF000000"/>
        <rFont val="Calibri"/>
        <family val="2"/>
      </rPr>
      <t/>
    </r>
    <phoneticPr fontId="1" type="noConversion"/>
  </si>
  <si>
    <t>项目预计费用</t>
    <phoneticPr fontId="1" type="noConversion"/>
  </si>
  <si>
    <r>
      <rPr>
        <sz val="10"/>
        <rFont val="宋体"/>
        <family val="3"/>
        <charset val="134"/>
      </rPr>
      <t>网络大厦、融科</t>
    </r>
    <r>
      <rPr>
        <sz val="10"/>
        <rFont val="Calibri"/>
        <family val="2"/>
      </rPr>
      <t>A4</t>
    </r>
    <r>
      <rPr>
        <sz val="10"/>
        <rFont val="宋体"/>
        <family val="3"/>
        <charset val="134"/>
      </rPr>
      <t>、融科</t>
    </r>
    <r>
      <rPr>
        <sz val="10"/>
        <rFont val="Calibri"/>
        <family val="2"/>
      </rPr>
      <t>C19-20</t>
    </r>
    <r>
      <rPr>
        <sz val="10"/>
        <rFont val="宋体"/>
        <family val="3"/>
        <charset val="134"/>
      </rPr>
      <t>、同方</t>
    </r>
    <r>
      <rPr>
        <sz val="10"/>
        <rFont val="Calibri"/>
        <family val="2"/>
      </rPr>
      <t>D7-D8</t>
    </r>
    <r>
      <rPr>
        <sz val="10"/>
        <rFont val="宋体"/>
        <family val="3"/>
        <charset val="134"/>
      </rPr>
      <t>费用预算</t>
    </r>
    <r>
      <rPr>
        <sz val="10"/>
        <rFont val="Calibri"/>
        <family val="2"/>
      </rPr>
      <t/>
    </r>
    <phoneticPr fontId="1" type="noConversion"/>
  </si>
  <si>
    <r>
      <rPr>
        <sz val="10"/>
        <color rgb="FF000000"/>
        <rFont val="宋体"/>
        <family val="3"/>
        <charset val="134"/>
      </rPr>
      <t>搜狐</t>
    </r>
    <phoneticPr fontId="1" type="noConversion"/>
  </si>
  <si>
    <r>
      <rPr>
        <sz val="10"/>
        <color rgb="FF000000"/>
        <rFont val="宋体"/>
        <family val="3"/>
        <charset val="134"/>
      </rPr>
      <t>胸卡贴</t>
    </r>
    <r>
      <rPr>
        <sz val="10"/>
        <color rgb="FF000000"/>
        <rFont val="Calibri"/>
        <family val="2"/>
      </rPr>
      <t>/</t>
    </r>
    <r>
      <rPr>
        <sz val="10"/>
        <color rgb="FF000000"/>
        <rFont val="宋体"/>
        <family val="3"/>
        <charset val="134"/>
      </rPr>
      <t>班车证</t>
    </r>
    <phoneticPr fontId="1" type="noConversion"/>
  </si>
  <si>
    <r>
      <rPr>
        <sz val="10"/>
        <color rgb="FF000000"/>
        <rFont val="宋体"/>
        <family val="3"/>
        <charset val="134"/>
      </rPr>
      <t>坐席卡卡壳</t>
    </r>
    <r>
      <rPr>
        <sz val="10"/>
        <color rgb="FF000000"/>
        <rFont val="Calibri"/>
        <family val="2"/>
      </rPr>
      <t>/</t>
    </r>
    <r>
      <rPr>
        <sz val="10"/>
        <color rgb="FF000000"/>
        <rFont val="宋体"/>
        <family val="3"/>
        <charset val="134"/>
      </rPr>
      <t>三角卡壳</t>
    </r>
    <phoneticPr fontId="1" type="noConversion"/>
  </si>
  <si>
    <t>月费用</t>
    <phoneticPr fontId="1" type="noConversion"/>
  </si>
  <si>
    <r>
      <t>2014</t>
    </r>
    <r>
      <rPr>
        <sz val="10"/>
        <color rgb="FF000000"/>
        <rFont val="宋体"/>
        <family val="3"/>
        <charset val="134"/>
      </rPr>
      <t>年价格上涨率</t>
    </r>
    <phoneticPr fontId="1" type="noConversion"/>
  </si>
  <si>
    <r>
      <t>2014</t>
    </r>
    <r>
      <rPr>
        <sz val="10"/>
        <color rgb="FF000000"/>
        <rFont val="宋体"/>
        <family val="3"/>
        <charset val="134"/>
      </rPr>
      <t>年预计月费用</t>
    </r>
    <phoneticPr fontId="1" type="noConversion"/>
  </si>
  <si>
    <t>家具维修</t>
    <phoneticPr fontId="1" type="noConversion"/>
  </si>
  <si>
    <r>
      <rPr>
        <sz val="10"/>
        <color rgb="FF000000"/>
        <rFont val="宋体"/>
        <family val="3"/>
        <charset val="134"/>
      </rPr>
      <t>根据</t>
    </r>
    <r>
      <rPr>
        <sz val="10"/>
        <color rgb="FF000000"/>
        <rFont val="Calibri"/>
        <family val="2"/>
      </rPr>
      <t>2013</t>
    </r>
    <r>
      <rPr>
        <sz val="10"/>
        <color rgb="FF000000"/>
        <rFont val="宋体"/>
        <family val="3"/>
        <charset val="134"/>
      </rPr>
      <t>年</t>
    </r>
    <r>
      <rPr>
        <sz val="10"/>
        <color rgb="FF000000"/>
        <rFont val="Calibri"/>
        <family val="2"/>
      </rPr>
      <t>1-6</t>
    </r>
    <r>
      <rPr>
        <sz val="10"/>
        <color rgb="FF000000"/>
        <rFont val="宋体"/>
        <family val="3"/>
        <charset val="134"/>
      </rPr>
      <t>月家具维修费用统计</t>
    </r>
    <phoneticPr fontId="1" type="noConversion"/>
  </si>
  <si>
    <t>月份</t>
    <phoneticPr fontId="1" type="noConversion"/>
  </si>
  <si>
    <r>
      <t>2014</t>
    </r>
    <r>
      <rPr>
        <sz val="10"/>
        <rFont val="宋体"/>
        <family val="3"/>
        <charset val="134"/>
      </rPr>
      <t>年人员增长率</t>
    </r>
    <phoneticPr fontId="1" type="noConversion"/>
  </si>
  <si>
    <r>
      <t>2014</t>
    </r>
    <r>
      <rPr>
        <sz val="10"/>
        <rFont val="宋体"/>
        <family val="3"/>
        <charset val="134"/>
      </rPr>
      <t>年物价增长率</t>
    </r>
    <phoneticPr fontId="1" type="noConversion"/>
  </si>
  <si>
    <r>
      <t>2014</t>
    </r>
    <r>
      <rPr>
        <sz val="10"/>
        <rFont val="宋体"/>
        <family val="3"/>
        <charset val="134"/>
      </rPr>
      <t>年因家具老化维修费增长率</t>
    </r>
    <phoneticPr fontId="1" type="noConversion"/>
  </si>
  <si>
    <r>
      <t>2014</t>
    </r>
    <r>
      <rPr>
        <sz val="10"/>
        <rFont val="宋体"/>
        <family val="3"/>
        <charset val="134"/>
      </rPr>
      <t>年预计月费用</t>
    </r>
    <phoneticPr fontId="1" type="noConversion"/>
  </si>
  <si>
    <r>
      <rPr>
        <sz val="11"/>
        <rFont val="宋体"/>
        <family val="3"/>
        <charset val="134"/>
      </rPr>
      <t>根据</t>
    </r>
    <r>
      <rPr>
        <sz val="11"/>
        <rFont val="Calibri"/>
        <family val="2"/>
      </rPr>
      <t>2012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1-12</t>
    </r>
    <r>
      <rPr>
        <sz val="11"/>
        <rFont val="宋体"/>
        <family val="3"/>
        <charset val="134"/>
      </rPr>
      <t>月文具费用统计</t>
    </r>
    <phoneticPr fontId="4" type="noConversion"/>
  </si>
  <si>
    <r>
      <rPr>
        <sz val="10"/>
        <rFont val="宋体"/>
        <family val="3"/>
        <charset val="134"/>
      </rPr>
      <t>根据</t>
    </r>
    <r>
      <rPr>
        <sz val="10"/>
        <rFont val="Calibri"/>
        <family val="2"/>
      </rPr>
      <t>2013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1-10</t>
    </r>
    <r>
      <rPr>
        <sz val="10"/>
        <rFont val="宋体"/>
        <family val="3"/>
        <charset val="134"/>
      </rPr>
      <t>月文具费用统计</t>
    </r>
    <phoneticPr fontId="1" type="noConversion"/>
  </si>
  <si>
    <r>
      <t>2014</t>
    </r>
    <r>
      <rPr>
        <sz val="10"/>
        <rFont val="宋体"/>
        <family val="3"/>
        <charset val="134"/>
      </rPr>
      <t>年预计年费用</t>
    </r>
    <phoneticPr fontId="1" type="noConversion"/>
  </si>
  <si>
    <r>
      <rPr>
        <sz val="10"/>
        <rFont val="宋体"/>
        <family val="3"/>
        <charset val="134"/>
      </rPr>
      <t>媒体大厦、网络大厦、融科</t>
    </r>
    <r>
      <rPr>
        <sz val="10"/>
        <rFont val="Calibri"/>
        <family val="2"/>
      </rPr>
      <t>A4</t>
    </r>
    <r>
      <rPr>
        <sz val="10"/>
        <rFont val="宋体"/>
        <family val="3"/>
        <charset val="134"/>
      </rPr>
      <t>、融科</t>
    </r>
    <r>
      <rPr>
        <sz val="10"/>
        <rFont val="Calibri"/>
        <family val="2"/>
      </rPr>
      <t>C10,C19-20</t>
    </r>
    <r>
      <rPr>
        <sz val="10"/>
        <rFont val="宋体"/>
        <family val="3"/>
        <charset val="134"/>
      </rPr>
      <t>、同方</t>
    </r>
    <r>
      <rPr>
        <sz val="10"/>
        <rFont val="Calibri"/>
        <family val="2"/>
      </rPr>
      <t>D7-D8</t>
    </r>
    <r>
      <rPr>
        <sz val="10"/>
        <rFont val="宋体"/>
        <family val="3"/>
        <charset val="134"/>
      </rPr>
      <t>费用预算</t>
    </r>
    <r>
      <rPr>
        <sz val="10"/>
        <rFont val="Calibri"/>
        <family val="2"/>
      </rPr>
      <t/>
    </r>
    <phoneticPr fontId="1" type="noConversion"/>
  </si>
  <si>
    <r>
      <t>2015</t>
    </r>
    <r>
      <rPr>
        <sz val="10"/>
        <color rgb="FF000000"/>
        <rFont val="宋体"/>
        <family val="3"/>
        <charset val="134"/>
      </rPr>
      <t>年价格上涨率</t>
    </r>
    <phoneticPr fontId="1" type="noConversion"/>
  </si>
  <si>
    <r>
      <t>2015</t>
    </r>
    <r>
      <rPr>
        <sz val="10"/>
        <color rgb="FF000000"/>
        <rFont val="宋体"/>
        <family val="3"/>
        <charset val="134"/>
      </rPr>
      <t>年预计月费用</t>
    </r>
    <phoneticPr fontId="1" type="noConversion"/>
  </si>
  <si>
    <r>
      <rPr>
        <sz val="10"/>
        <color rgb="FF000000"/>
        <rFont val="宋体"/>
        <family val="3"/>
        <charset val="134"/>
      </rPr>
      <t>根据</t>
    </r>
    <r>
      <rPr>
        <sz val="10"/>
        <color rgb="FF000000"/>
        <rFont val="Calibri"/>
        <family val="2"/>
      </rPr>
      <t>2014</t>
    </r>
    <r>
      <rPr>
        <sz val="10"/>
        <color rgb="FF000000"/>
        <rFont val="宋体"/>
        <family val="3"/>
        <charset val="134"/>
      </rPr>
      <t>年</t>
    </r>
    <r>
      <rPr>
        <sz val="10"/>
        <color rgb="FF000000"/>
        <rFont val="Calibri"/>
        <family val="2"/>
      </rPr>
      <t>1-9</t>
    </r>
    <r>
      <rPr>
        <sz val="10"/>
        <color rgb="FF000000"/>
        <rFont val="宋体"/>
        <family val="3"/>
        <charset val="134"/>
      </rPr>
      <t>月家具维修费用统计</t>
    </r>
    <phoneticPr fontId="1" type="noConversion"/>
  </si>
  <si>
    <r>
      <t>2015</t>
    </r>
    <r>
      <rPr>
        <sz val="10"/>
        <rFont val="宋体"/>
        <family val="3"/>
        <charset val="134"/>
      </rPr>
      <t>年人员增长率</t>
    </r>
    <phoneticPr fontId="1" type="noConversion"/>
  </si>
  <si>
    <r>
      <t>2015</t>
    </r>
    <r>
      <rPr>
        <sz val="10"/>
        <rFont val="宋体"/>
        <family val="3"/>
        <charset val="134"/>
      </rPr>
      <t>年物价增长率</t>
    </r>
    <phoneticPr fontId="1" type="noConversion"/>
  </si>
  <si>
    <r>
      <t>2015</t>
    </r>
    <r>
      <rPr>
        <sz val="10"/>
        <rFont val="宋体"/>
        <family val="3"/>
        <charset val="134"/>
      </rPr>
      <t>年因家具老化维修费增长率</t>
    </r>
    <phoneticPr fontId="1" type="noConversion"/>
  </si>
  <si>
    <r>
      <rPr>
        <sz val="11"/>
        <rFont val="宋体"/>
        <family val="3"/>
        <charset val="134"/>
      </rPr>
      <t>根据</t>
    </r>
    <r>
      <rPr>
        <sz val="11"/>
        <rFont val="Calibri"/>
        <family val="2"/>
      </rPr>
      <t>2014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1-10</t>
    </r>
    <r>
      <rPr>
        <sz val="11"/>
        <rFont val="宋体"/>
        <family val="3"/>
        <charset val="134"/>
      </rPr>
      <t>月文具费用统计</t>
    </r>
    <phoneticPr fontId="4" type="noConversion"/>
  </si>
  <si>
    <t>合计：</t>
    <phoneticPr fontId="1" type="noConversion"/>
  </si>
  <si>
    <r>
      <rPr>
        <sz val="10"/>
        <color rgb="FF000000"/>
        <rFont val="宋体"/>
        <family val="3"/>
        <charset val="134"/>
      </rPr>
      <t>搜狐媒体大厦标准员工工位情况统计</t>
    </r>
    <phoneticPr fontId="4" type="noConversion"/>
  </si>
  <si>
    <r>
      <t>2014</t>
    </r>
    <r>
      <rPr>
        <sz val="10"/>
        <color rgb="FF000000"/>
        <rFont val="宋体"/>
        <family val="3"/>
        <charset val="134"/>
      </rPr>
      <t>搜狐媒体大厦预计增加标准员工工位统计</t>
    </r>
    <phoneticPr fontId="4" type="noConversion"/>
  </si>
  <si>
    <r>
      <t>2013</t>
    </r>
    <r>
      <rPr>
        <sz val="10"/>
        <color rgb="FF000000"/>
        <rFont val="宋体"/>
        <family val="3"/>
        <charset val="134"/>
      </rPr>
      <t>已建设正式工位数</t>
    </r>
    <phoneticPr fontId="1" type="noConversion"/>
  </si>
  <si>
    <r>
      <t>2014</t>
    </r>
    <r>
      <rPr>
        <sz val="10"/>
        <color rgb="FF000000"/>
        <rFont val="宋体"/>
        <family val="3"/>
        <charset val="134"/>
      </rPr>
      <t>年增加过道预留</t>
    </r>
    <phoneticPr fontId="1" type="noConversion"/>
  </si>
  <si>
    <r>
      <t>2014</t>
    </r>
    <r>
      <rPr>
        <sz val="10"/>
        <color rgb="FF000000"/>
        <rFont val="宋体"/>
        <family val="3"/>
        <charset val="134"/>
      </rPr>
      <t>年增加窗边预留</t>
    </r>
    <phoneticPr fontId="1" type="noConversion"/>
  </si>
  <si>
    <r>
      <t>2014</t>
    </r>
    <r>
      <rPr>
        <sz val="10"/>
        <color rgb="FF000000"/>
        <rFont val="宋体"/>
        <family val="3"/>
        <charset val="134"/>
      </rPr>
      <t>年新增工位汇总</t>
    </r>
    <phoneticPr fontId="1" type="noConversion"/>
  </si>
  <si>
    <r>
      <rPr>
        <sz val="10"/>
        <color rgb="FF000000"/>
        <rFont val="宋体"/>
        <family val="3"/>
        <charset val="134"/>
      </rPr>
      <t>至</t>
    </r>
    <r>
      <rPr>
        <sz val="10"/>
        <color rgb="FF000000"/>
        <rFont val="Calibri"/>
        <family val="2"/>
      </rPr>
      <t>2014</t>
    </r>
    <r>
      <rPr>
        <sz val="10"/>
        <color rgb="FF000000"/>
        <rFont val="宋体"/>
        <family val="3"/>
        <charset val="134"/>
      </rPr>
      <t>年底总工位数</t>
    </r>
    <phoneticPr fontId="1" type="noConversion"/>
  </si>
  <si>
    <r>
      <rPr>
        <sz val="10"/>
        <color rgb="FF000000"/>
        <rFont val="宋体"/>
        <family val="3"/>
        <charset val="134"/>
      </rPr>
      <t>增加每套工位单价</t>
    </r>
    <phoneticPr fontId="1" type="noConversion"/>
  </si>
  <si>
    <r>
      <rPr>
        <sz val="10"/>
        <color rgb="FF000000"/>
        <rFont val="宋体"/>
        <family val="3"/>
        <charset val="134"/>
      </rPr>
      <t>增加工位价格合计</t>
    </r>
    <phoneticPr fontId="1" type="noConversion"/>
  </si>
  <si>
    <r>
      <rPr>
        <sz val="10"/>
        <color theme="1"/>
        <rFont val="宋体"/>
        <family val="3"/>
        <charset val="134"/>
      </rPr>
      <t>搜狐媒体大厦（</t>
    </r>
    <r>
      <rPr>
        <sz val="10"/>
        <color rgb="FFFF0000"/>
        <rFont val="Calibri"/>
        <family val="2"/>
      </rPr>
      <t>5F-17F</t>
    </r>
    <r>
      <rPr>
        <sz val="10"/>
        <color theme="1"/>
        <rFont val="宋体"/>
        <family val="3"/>
        <charset val="134"/>
      </rPr>
      <t>）预留工位改造预算</t>
    </r>
    <r>
      <rPr>
        <sz val="10"/>
        <color theme="1"/>
        <rFont val="Calibri"/>
        <family val="2"/>
      </rPr>
      <t>-</t>
    </r>
    <r>
      <rPr>
        <sz val="10"/>
        <color theme="1"/>
        <rFont val="宋体"/>
        <family val="3"/>
        <charset val="134"/>
      </rPr>
      <t>（依据</t>
    </r>
    <r>
      <rPr>
        <sz val="10"/>
        <color theme="1"/>
        <rFont val="Calibri"/>
        <family val="2"/>
      </rPr>
      <t>IT20130908</t>
    </r>
    <r>
      <rPr>
        <sz val="10"/>
        <color theme="1"/>
        <rFont val="宋体"/>
        <family val="3"/>
        <charset val="134"/>
      </rPr>
      <t>提供预算得出）</t>
    </r>
    <phoneticPr fontId="40" type="noConversion"/>
  </si>
  <si>
    <r>
      <rPr>
        <sz val="10"/>
        <color theme="1"/>
        <rFont val="宋体"/>
        <family val="3"/>
        <charset val="134"/>
      </rPr>
      <t>项目</t>
    </r>
    <phoneticPr fontId="40" type="noConversion"/>
  </si>
  <si>
    <r>
      <rPr>
        <sz val="10"/>
        <color theme="1"/>
        <rFont val="宋体"/>
        <family val="3"/>
        <charset val="134"/>
      </rPr>
      <t>设备型号及材料说明</t>
    </r>
    <phoneticPr fontId="40" type="noConversion"/>
  </si>
  <si>
    <r>
      <rPr>
        <sz val="10"/>
        <color theme="1"/>
        <rFont val="宋体"/>
        <family val="3"/>
        <charset val="134"/>
      </rPr>
      <t>数量</t>
    </r>
    <phoneticPr fontId="40" type="noConversion"/>
  </si>
  <si>
    <r>
      <rPr>
        <sz val="10"/>
        <color theme="1"/>
        <rFont val="宋体"/>
        <family val="3"/>
        <charset val="134"/>
      </rPr>
      <t>单价（元）</t>
    </r>
    <phoneticPr fontId="40" type="noConversion"/>
  </si>
  <si>
    <r>
      <rPr>
        <sz val="10"/>
        <color theme="1"/>
        <rFont val="宋体"/>
        <family val="3"/>
        <charset val="134"/>
      </rPr>
      <t>预算合计（元）</t>
    </r>
    <phoneticPr fontId="40" type="noConversion"/>
  </si>
  <si>
    <r>
      <rPr>
        <sz val="10"/>
        <color theme="1"/>
        <rFont val="宋体"/>
        <family val="3"/>
        <charset val="134"/>
      </rPr>
      <t>备注</t>
    </r>
    <phoneticPr fontId="40" type="noConversion"/>
  </si>
  <si>
    <r>
      <rPr>
        <sz val="10"/>
        <color theme="1"/>
        <rFont val="宋体"/>
        <family val="3"/>
        <charset val="134"/>
      </rPr>
      <t>单点工位</t>
    </r>
    <phoneticPr fontId="40" type="noConversion"/>
  </si>
  <si>
    <r>
      <rPr>
        <sz val="10"/>
        <color theme="1"/>
        <rFont val="宋体"/>
        <family val="3"/>
        <charset val="134"/>
      </rPr>
      <t>安普</t>
    </r>
    <r>
      <rPr>
        <sz val="10"/>
        <color theme="1"/>
        <rFont val="Calibri"/>
        <family val="2"/>
      </rPr>
      <t>6</t>
    </r>
    <r>
      <rPr>
        <sz val="10"/>
        <color theme="1"/>
        <rFont val="宋体"/>
        <family val="3"/>
        <charset val="134"/>
      </rPr>
      <t>类布线标准</t>
    </r>
    <phoneticPr fontId="40" type="noConversion"/>
  </si>
  <si>
    <r>
      <rPr>
        <sz val="10"/>
        <color theme="1"/>
        <rFont val="宋体"/>
        <family val="3"/>
        <charset val="134"/>
      </rPr>
      <t>交换机</t>
    </r>
    <phoneticPr fontId="40" type="noConversion"/>
  </si>
  <si>
    <t>WS-C3560X-48PF-L</t>
    <phoneticPr fontId="40" type="noConversion"/>
  </si>
  <si>
    <r>
      <rPr>
        <sz val="10"/>
        <color theme="1"/>
        <rFont val="宋体"/>
        <family val="3"/>
        <charset val="134"/>
      </rPr>
      <t>万兆模块</t>
    </r>
    <phoneticPr fontId="40" type="noConversion"/>
  </si>
  <si>
    <t>SFP-10G-SR=</t>
    <phoneticPr fontId="40" type="noConversion"/>
  </si>
  <si>
    <r>
      <rPr>
        <sz val="10"/>
        <color theme="1"/>
        <rFont val="宋体"/>
        <family val="3"/>
        <charset val="134"/>
      </rPr>
      <t>光纤跳线</t>
    </r>
    <phoneticPr fontId="40" type="noConversion"/>
  </si>
  <si>
    <r>
      <t>MPO</t>
    </r>
    <r>
      <rPr>
        <sz val="10"/>
        <color theme="1"/>
        <rFont val="宋体"/>
        <family val="3"/>
        <charset val="134"/>
      </rPr>
      <t>光纤跳线</t>
    </r>
    <phoneticPr fontId="40" type="noConversion"/>
  </si>
  <si>
    <r>
      <rPr>
        <sz val="10"/>
        <color theme="1"/>
        <rFont val="宋体"/>
        <family val="3"/>
        <charset val="134"/>
      </rPr>
      <t>以太网跳线</t>
    </r>
    <phoneticPr fontId="40" type="noConversion"/>
  </si>
  <si>
    <r>
      <rPr>
        <sz val="10"/>
        <color theme="1"/>
        <rFont val="宋体"/>
        <family val="3"/>
        <charset val="134"/>
      </rPr>
      <t>安普</t>
    </r>
    <r>
      <rPr>
        <sz val="10"/>
        <color theme="1"/>
        <rFont val="Calibri"/>
        <family val="2"/>
      </rPr>
      <t>2</t>
    </r>
    <r>
      <rPr>
        <sz val="10"/>
        <color theme="1"/>
        <rFont val="宋体"/>
        <family val="3"/>
        <charset val="134"/>
      </rPr>
      <t>米</t>
    </r>
    <r>
      <rPr>
        <sz val="10"/>
        <color theme="1"/>
        <rFont val="Calibri"/>
        <family val="2"/>
      </rPr>
      <t>6</t>
    </r>
    <r>
      <rPr>
        <sz val="10"/>
        <color theme="1"/>
        <rFont val="宋体"/>
        <family val="3"/>
        <charset val="134"/>
      </rPr>
      <t>类跳线</t>
    </r>
    <r>
      <rPr>
        <sz val="10"/>
        <color theme="1"/>
        <rFont val="Calibri"/>
        <family val="2"/>
      </rPr>
      <t xml:space="preserve"> </t>
    </r>
    <phoneticPr fontId="40" type="noConversion"/>
  </si>
  <si>
    <r>
      <rPr>
        <sz val="10"/>
        <color rgb="FFFF0000"/>
        <rFont val="宋体"/>
        <family val="3"/>
        <charset val="134"/>
      </rPr>
      <t>总计费用（元）：</t>
    </r>
    <phoneticPr fontId="40" type="noConversion"/>
  </si>
  <si>
    <r>
      <t>2015</t>
    </r>
    <r>
      <rPr>
        <b/>
        <sz val="10"/>
        <color theme="1"/>
        <rFont val="宋体"/>
        <family val="2"/>
        <charset val="134"/>
      </rPr>
      <t>年媒体大厦费用预算</t>
    </r>
    <phoneticPr fontId="1" type="noConversion"/>
  </si>
  <si>
    <t>物业费</t>
    <phoneticPr fontId="1" type="noConversion"/>
  </si>
  <si>
    <t>月份</t>
    <phoneticPr fontId="4" type="noConversion"/>
  </si>
  <si>
    <r>
      <rPr>
        <sz val="10"/>
        <rFont val="宋体"/>
        <family val="3"/>
        <charset val="134"/>
      </rPr>
      <t>物业费</t>
    </r>
    <phoneticPr fontId="4" type="noConversion"/>
  </si>
  <si>
    <t>1</t>
    <phoneticPr fontId="4" type="noConversion"/>
  </si>
  <si>
    <t>12</t>
  </si>
  <si>
    <t>合计</t>
    <phoneticPr fontId="1" type="noConversion"/>
  </si>
  <si>
    <r>
      <t>2015</t>
    </r>
    <r>
      <rPr>
        <sz val="10"/>
        <rFont val="宋体"/>
        <family val="3"/>
        <charset val="134"/>
      </rPr>
      <t>年预计月均费用</t>
    </r>
    <phoneticPr fontId="1" type="noConversion"/>
  </si>
  <si>
    <r>
      <rPr>
        <b/>
        <sz val="10"/>
        <rFont val="宋体"/>
        <family val="3"/>
        <charset val="134"/>
      </rPr>
      <t>水费</t>
    </r>
    <phoneticPr fontId="1" type="noConversion"/>
  </si>
  <si>
    <r>
      <rPr>
        <sz val="10"/>
        <rFont val="宋体"/>
        <family val="3"/>
        <charset val="134"/>
      </rPr>
      <t>用电量</t>
    </r>
    <r>
      <rPr>
        <sz val="10"/>
        <rFont val="Calibri"/>
        <family val="2"/>
      </rPr>
      <t>(</t>
    </r>
    <r>
      <rPr>
        <sz val="10"/>
        <rFont val="宋体"/>
        <family val="3"/>
        <charset val="134"/>
      </rPr>
      <t>度</t>
    </r>
    <r>
      <rPr>
        <sz val="10"/>
        <rFont val="Calibri"/>
        <family val="2"/>
      </rPr>
      <t>)</t>
    </r>
    <phoneticPr fontId="4" type="noConversion"/>
  </si>
  <si>
    <r>
      <rPr>
        <sz val="10"/>
        <rFont val="宋体"/>
        <family val="3"/>
        <charset val="134"/>
      </rPr>
      <t>单价</t>
    </r>
    <r>
      <rPr>
        <sz val="10"/>
        <rFont val="Calibri"/>
        <family val="2"/>
      </rPr>
      <t>(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度</t>
    </r>
    <r>
      <rPr>
        <sz val="10"/>
        <rFont val="Calibri"/>
        <family val="2"/>
      </rPr>
      <t>)</t>
    </r>
    <phoneticPr fontId="4" type="noConversion"/>
  </si>
  <si>
    <r>
      <rPr>
        <sz val="10"/>
        <rFont val="宋体"/>
        <family val="3"/>
        <charset val="134"/>
      </rPr>
      <t>小计</t>
    </r>
    <r>
      <rPr>
        <sz val="10"/>
        <rFont val="Calibri"/>
        <family val="2"/>
      </rPr>
      <t>(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)</t>
    </r>
    <phoneticPr fontId="4" type="noConversion"/>
  </si>
  <si>
    <r>
      <t>2014</t>
    </r>
    <r>
      <rPr>
        <sz val="10"/>
        <rFont val="宋体"/>
        <family val="3"/>
        <charset val="134"/>
      </rPr>
      <t>年月平均用水量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水费</t>
    </r>
    <phoneticPr fontId="1" type="noConversion"/>
  </si>
  <si>
    <r>
      <t>2015</t>
    </r>
    <r>
      <rPr>
        <sz val="10"/>
        <rFont val="宋体"/>
        <family val="3"/>
        <charset val="134"/>
      </rPr>
      <t>年用水量预计增长率</t>
    </r>
    <phoneticPr fontId="1" type="noConversion"/>
  </si>
  <si>
    <r>
      <t>2015</t>
    </r>
    <r>
      <rPr>
        <sz val="10"/>
        <rFont val="宋体"/>
        <family val="3"/>
        <charset val="134"/>
      </rPr>
      <t>年预计月用水量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水费</t>
    </r>
    <phoneticPr fontId="1" type="noConversion"/>
  </si>
  <si>
    <t>电费</t>
    <phoneticPr fontId="1" type="noConversion"/>
  </si>
  <si>
    <t>媒体大厦</t>
    <phoneticPr fontId="1" type="noConversion"/>
  </si>
  <si>
    <r>
      <rPr>
        <sz val="10"/>
        <rFont val="宋体"/>
        <family val="3"/>
        <charset val="134"/>
      </rPr>
      <t>月平均用电量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电费</t>
    </r>
    <phoneticPr fontId="1" type="noConversion"/>
  </si>
  <si>
    <r>
      <t>2015</t>
    </r>
    <r>
      <rPr>
        <sz val="10"/>
        <rFont val="宋体"/>
        <family val="3"/>
        <charset val="134"/>
      </rPr>
      <t>年用电量预计增长率</t>
    </r>
    <phoneticPr fontId="1" type="noConversion"/>
  </si>
  <si>
    <r>
      <t>2015</t>
    </r>
    <r>
      <rPr>
        <sz val="10"/>
        <rFont val="宋体"/>
        <family val="3"/>
        <charset val="134"/>
      </rPr>
      <t>年预计月用电量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电费</t>
    </r>
    <phoneticPr fontId="1" type="noConversion"/>
  </si>
  <si>
    <r>
      <rPr>
        <b/>
        <sz val="10"/>
        <color theme="1"/>
        <rFont val="宋体"/>
        <family val="3"/>
        <charset val="134"/>
      </rPr>
      <t>供暖费（</t>
    </r>
    <r>
      <rPr>
        <b/>
        <sz val="10"/>
        <color theme="1"/>
        <rFont val="Calibri"/>
        <family val="2"/>
      </rPr>
      <t>Q3</t>
    </r>
    <r>
      <rPr>
        <b/>
        <sz val="10"/>
        <color theme="1"/>
        <rFont val="宋体"/>
        <family val="3"/>
        <charset val="134"/>
      </rPr>
      <t>预存）</t>
    </r>
    <phoneticPr fontId="1" type="noConversion"/>
  </si>
  <si>
    <r>
      <rPr>
        <sz val="10"/>
        <color theme="1"/>
        <rFont val="宋体"/>
        <family val="3"/>
        <charset val="134"/>
      </rPr>
      <t>采暖面积（㎡）</t>
    </r>
    <phoneticPr fontId="1" type="noConversion"/>
  </si>
  <si>
    <r>
      <rPr>
        <sz val="10"/>
        <color theme="1"/>
        <rFont val="宋体"/>
        <family val="3"/>
        <charset val="134"/>
      </rPr>
      <t>单价（元</t>
    </r>
    <r>
      <rPr>
        <sz val="10"/>
        <color theme="1"/>
        <rFont val="Calibri"/>
        <family val="2"/>
      </rPr>
      <t>/</t>
    </r>
    <r>
      <rPr>
        <sz val="10"/>
        <color theme="1"/>
        <rFont val="宋体"/>
        <family val="3"/>
        <charset val="134"/>
      </rPr>
      <t>㎡</t>
    </r>
    <r>
      <rPr>
        <sz val="10"/>
        <color theme="1"/>
        <rFont val="Calibri"/>
        <family val="2"/>
      </rPr>
      <t>/</t>
    </r>
    <r>
      <rPr>
        <sz val="10"/>
        <color theme="1"/>
        <rFont val="宋体"/>
        <family val="3"/>
        <charset val="134"/>
      </rPr>
      <t>季）</t>
    </r>
    <phoneticPr fontId="1" type="noConversion"/>
  </si>
  <si>
    <r>
      <rPr>
        <sz val="10"/>
        <color theme="1"/>
        <rFont val="宋体"/>
        <family val="3"/>
        <charset val="134"/>
      </rPr>
      <t>采暖天数</t>
    </r>
    <phoneticPr fontId="1" type="noConversion"/>
  </si>
  <si>
    <r>
      <rPr>
        <sz val="10"/>
        <color theme="1"/>
        <rFont val="宋体"/>
        <family val="3"/>
        <charset val="134"/>
      </rPr>
      <t>供暖基价费</t>
    </r>
    <phoneticPr fontId="1" type="noConversion"/>
  </si>
  <si>
    <r>
      <rPr>
        <sz val="10"/>
        <color theme="1"/>
        <rFont val="宋体"/>
        <family val="3"/>
        <charset val="134"/>
      </rPr>
      <t>单价（元</t>
    </r>
    <r>
      <rPr>
        <sz val="10"/>
        <color theme="1"/>
        <rFont val="Calibri"/>
        <family val="2"/>
      </rPr>
      <t>/GJ</t>
    </r>
    <r>
      <rPr>
        <sz val="10"/>
        <color theme="1"/>
        <rFont val="宋体"/>
        <family val="3"/>
        <charset val="134"/>
      </rPr>
      <t>）</t>
    </r>
    <phoneticPr fontId="1" type="noConversion"/>
  </si>
  <si>
    <r>
      <rPr>
        <sz val="10"/>
        <color theme="1"/>
        <rFont val="宋体"/>
        <family val="3"/>
        <charset val="134"/>
      </rPr>
      <t>每天热耗（</t>
    </r>
    <r>
      <rPr>
        <sz val="10"/>
        <color theme="1"/>
        <rFont val="Calibri"/>
        <family val="2"/>
      </rPr>
      <t>GJ</t>
    </r>
    <r>
      <rPr>
        <sz val="10"/>
        <color theme="1"/>
        <rFont val="宋体"/>
        <family val="3"/>
        <charset val="134"/>
      </rPr>
      <t>）</t>
    </r>
    <phoneticPr fontId="1" type="noConversion"/>
  </si>
  <si>
    <r>
      <rPr>
        <sz val="10"/>
        <color theme="1"/>
        <rFont val="宋体"/>
        <family val="3"/>
        <charset val="134"/>
      </rPr>
      <t>日均耗热费用</t>
    </r>
    <phoneticPr fontId="1" type="noConversion"/>
  </si>
  <si>
    <r>
      <rPr>
        <sz val="10"/>
        <color theme="1"/>
        <rFont val="宋体"/>
        <family val="3"/>
        <charset val="134"/>
      </rPr>
      <t>供暖季耗热量费用</t>
    </r>
    <phoneticPr fontId="1" type="noConversion"/>
  </si>
  <si>
    <r>
      <t>2013~2014</t>
    </r>
    <r>
      <rPr>
        <sz val="10"/>
        <color theme="1"/>
        <rFont val="宋体"/>
        <family val="3"/>
        <charset val="134"/>
      </rPr>
      <t>年供暖费基价</t>
    </r>
    <phoneticPr fontId="1" type="noConversion"/>
  </si>
  <si>
    <r>
      <t>2014~2015</t>
    </r>
    <r>
      <rPr>
        <sz val="10"/>
        <rFont val="宋体"/>
        <family val="3"/>
        <charset val="134"/>
      </rPr>
      <t>年供暖预计价格增长率</t>
    </r>
    <phoneticPr fontId="1" type="noConversion"/>
  </si>
  <si>
    <r>
      <t>2014~2015</t>
    </r>
    <r>
      <rPr>
        <sz val="10"/>
        <rFont val="宋体"/>
        <family val="3"/>
        <charset val="134"/>
      </rPr>
      <t>年预计供暖季费用</t>
    </r>
    <phoneticPr fontId="1" type="noConversion"/>
  </si>
  <si>
    <r>
      <rPr>
        <b/>
        <sz val="10"/>
        <color theme="1"/>
        <rFont val="宋体"/>
        <family val="3"/>
        <charset val="134"/>
      </rPr>
      <t>生活热水费（年付</t>
    </r>
    <r>
      <rPr>
        <b/>
        <sz val="10"/>
        <color theme="1"/>
        <rFont val="Calibri"/>
        <family val="2"/>
      </rPr>
      <t>Q3</t>
    </r>
    <r>
      <rPr>
        <b/>
        <sz val="10"/>
        <color theme="1"/>
        <rFont val="宋体"/>
        <family val="3"/>
        <charset val="134"/>
      </rPr>
      <t>预存）</t>
    </r>
    <phoneticPr fontId="1" type="noConversion"/>
  </si>
  <si>
    <r>
      <rPr>
        <sz val="10"/>
        <color theme="1"/>
        <rFont val="宋体"/>
        <family val="3"/>
        <charset val="134"/>
      </rPr>
      <t>项目</t>
    </r>
    <phoneticPr fontId="1" type="noConversion"/>
  </si>
  <si>
    <r>
      <rPr>
        <sz val="10"/>
        <color theme="1"/>
        <rFont val="宋体"/>
        <family val="3"/>
        <charset val="134"/>
      </rPr>
      <t>日均用量（</t>
    </r>
    <r>
      <rPr>
        <sz val="10"/>
        <color theme="1"/>
        <rFont val="Calibri"/>
        <family val="2"/>
      </rPr>
      <t>GJ</t>
    </r>
    <r>
      <rPr>
        <sz val="10"/>
        <color theme="1"/>
        <rFont val="宋体"/>
        <family val="3"/>
        <charset val="134"/>
      </rPr>
      <t>）</t>
    </r>
    <phoneticPr fontId="1" type="noConversion"/>
  </si>
  <si>
    <r>
      <rPr>
        <sz val="10"/>
        <color theme="1"/>
        <rFont val="宋体"/>
        <family val="3"/>
        <charset val="134"/>
      </rPr>
      <t>天数</t>
    </r>
    <phoneticPr fontId="1" type="noConversion"/>
  </si>
  <si>
    <r>
      <rPr>
        <sz val="10"/>
        <color theme="1"/>
        <rFont val="宋体"/>
        <family val="3"/>
        <charset val="134"/>
      </rPr>
      <t>费用</t>
    </r>
    <phoneticPr fontId="1" type="noConversion"/>
  </si>
  <si>
    <r>
      <rPr>
        <sz val="10"/>
        <color theme="1"/>
        <rFont val="宋体"/>
        <family val="3"/>
        <charset val="134"/>
      </rPr>
      <t>冬季日</t>
    </r>
    <phoneticPr fontId="1" type="noConversion"/>
  </si>
  <si>
    <r>
      <rPr>
        <sz val="10"/>
        <color theme="1"/>
        <rFont val="宋体"/>
        <family val="3"/>
        <charset val="134"/>
      </rPr>
      <t>夏季日</t>
    </r>
    <phoneticPr fontId="1" type="noConversion"/>
  </si>
  <si>
    <r>
      <t>2013~2014</t>
    </r>
    <r>
      <rPr>
        <sz val="10"/>
        <rFont val="宋体"/>
        <family val="3"/>
        <charset val="134"/>
      </rPr>
      <t>年生活热水</t>
    </r>
    <r>
      <rPr>
        <sz val="10"/>
        <rFont val="Calibri"/>
        <family val="2"/>
      </rPr>
      <t>HC</t>
    </r>
    <r>
      <rPr>
        <sz val="10"/>
        <rFont val="宋体"/>
        <family val="3"/>
        <charset val="134"/>
      </rPr>
      <t>增长率</t>
    </r>
    <phoneticPr fontId="1" type="noConversion"/>
  </si>
  <si>
    <r>
      <t>2014~2015</t>
    </r>
    <r>
      <rPr>
        <sz val="10"/>
        <rFont val="宋体"/>
        <family val="3"/>
        <charset val="134"/>
      </rPr>
      <t>年预计生活热水费用</t>
    </r>
    <phoneticPr fontId="1" type="noConversion"/>
  </si>
  <si>
    <r>
      <rPr>
        <b/>
        <sz val="10"/>
        <color theme="1"/>
        <rFont val="宋体"/>
        <family val="3"/>
        <charset val="134"/>
      </rPr>
      <t>办公室文软装（文化建设）</t>
    </r>
    <phoneticPr fontId="1" type="noConversion"/>
  </si>
  <si>
    <r>
      <t>3</t>
    </r>
    <r>
      <rPr>
        <sz val="10"/>
        <color theme="1"/>
        <rFont val="宋体"/>
        <family val="3"/>
        <charset val="134"/>
      </rPr>
      <t>层演播层</t>
    </r>
    <phoneticPr fontId="1" type="noConversion"/>
  </si>
  <si>
    <r>
      <t>9~18</t>
    </r>
    <r>
      <rPr>
        <sz val="10"/>
        <color theme="1"/>
        <rFont val="宋体"/>
        <family val="3"/>
        <charset val="134"/>
      </rPr>
      <t>层办公室软装（共</t>
    </r>
    <r>
      <rPr>
        <sz val="10"/>
        <color theme="1"/>
        <rFont val="Calibri"/>
        <family val="2"/>
      </rPr>
      <t>8</t>
    </r>
    <r>
      <rPr>
        <sz val="10"/>
        <color theme="1"/>
        <rFont val="宋体"/>
        <family val="3"/>
        <charset val="134"/>
      </rPr>
      <t>层）</t>
    </r>
    <phoneticPr fontId="1" type="noConversion"/>
  </si>
  <si>
    <r>
      <t>2014</t>
    </r>
    <r>
      <rPr>
        <sz val="10"/>
        <rFont val="宋体"/>
        <family val="3"/>
        <charset val="134"/>
      </rPr>
      <t>年办公室软装费用总计</t>
    </r>
    <phoneticPr fontId="1" type="noConversion"/>
  </si>
  <si>
    <r>
      <t>2015</t>
    </r>
    <r>
      <rPr>
        <b/>
        <sz val="20"/>
        <color indexed="8"/>
        <rFont val="仿宋_GB2312"/>
        <family val="3"/>
        <charset val="134"/>
      </rPr>
      <t>年物业运行预算明细</t>
    </r>
    <phoneticPr fontId="4" type="noConversion"/>
  </si>
  <si>
    <t xml:space="preserve"> </t>
    <phoneticPr fontId="1" type="noConversion"/>
  </si>
  <si>
    <t>序号</t>
    <phoneticPr fontId="4" type="noConversion"/>
  </si>
  <si>
    <t>类别</t>
    <phoneticPr fontId="4" type="noConversion"/>
  </si>
  <si>
    <t>预算内容</t>
    <phoneticPr fontId="4" type="noConversion"/>
  </si>
  <si>
    <t>2015年预算</t>
    <phoneticPr fontId="4" type="noConversion"/>
  </si>
  <si>
    <t>备注</t>
    <phoneticPr fontId="4" type="noConversion"/>
  </si>
  <si>
    <t>日常费用</t>
    <phoneticPr fontId="4" type="noConversion"/>
  </si>
  <si>
    <t>综合服务部</t>
    <phoneticPr fontId="4" type="noConversion"/>
  </si>
  <si>
    <r>
      <t>2</t>
    </r>
    <r>
      <rPr>
        <sz val="10"/>
        <rFont val="宋体"/>
        <family val="3"/>
        <charset val="134"/>
      </rPr>
      <t>层会议室皮椅清洗</t>
    </r>
    <phoneticPr fontId="4" type="noConversion"/>
  </si>
  <si>
    <r>
      <rPr>
        <sz val="10"/>
        <rFont val="宋体"/>
        <family val="3"/>
        <charset val="134"/>
      </rPr>
      <t>地毯清洗</t>
    </r>
    <phoneticPr fontId="4" type="noConversion"/>
  </si>
  <si>
    <r>
      <rPr>
        <sz val="10"/>
        <rFont val="宋体"/>
        <family val="3"/>
        <charset val="134"/>
      </rPr>
      <t>大堂单人沙发改造</t>
    </r>
    <phoneticPr fontId="4" type="noConversion"/>
  </si>
  <si>
    <r>
      <rPr>
        <sz val="10"/>
        <rFont val="宋体"/>
        <family val="3"/>
        <charset val="134"/>
      </rPr>
      <t>地垫</t>
    </r>
    <phoneticPr fontId="4" type="noConversion"/>
  </si>
  <si>
    <r>
      <rPr>
        <sz val="10"/>
        <rFont val="宋体"/>
        <family val="3"/>
        <charset val="134"/>
      </rPr>
      <t>雨伞</t>
    </r>
    <phoneticPr fontId="4" type="noConversion"/>
  </si>
  <si>
    <r>
      <rPr>
        <sz val="10"/>
        <rFont val="宋体"/>
        <family val="3"/>
        <charset val="134"/>
      </rPr>
      <t>老板间水果（余总）</t>
    </r>
    <phoneticPr fontId="4" type="noConversion"/>
  </si>
  <si>
    <r>
      <rPr>
        <sz val="10"/>
        <rFont val="宋体"/>
        <family val="3"/>
        <charset val="134"/>
      </rPr>
      <t>老板间鱼缸补鱼及水草</t>
    </r>
    <phoneticPr fontId="4" type="noConversion"/>
  </si>
  <si>
    <r>
      <t>VIP</t>
    </r>
    <r>
      <rPr>
        <sz val="10"/>
        <rFont val="宋体"/>
        <family val="3"/>
        <charset val="134"/>
      </rPr>
      <t>卫生间用浴巾、毛巾</t>
    </r>
    <phoneticPr fontId="4" type="noConversion"/>
  </si>
  <si>
    <r>
      <rPr>
        <sz val="10"/>
        <rFont val="宋体"/>
        <family val="3"/>
        <charset val="134"/>
      </rPr>
      <t>光面大理石研磨</t>
    </r>
    <phoneticPr fontId="4" type="noConversion"/>
  </si>
  <si>
    <t>鞋套（预算外）</t>
    <phoneticPr fontId="4" type="noConversion"/>
  </si>
  <si>
    <t>总裁毛巾清洗费（预算外）</t>
    <phoneticPr fontId="4" type="noConversion"/>
  </si>
  <si>
    <t>空气清新剂（预算外）</t>
    <phoneticPr fontId="4" type="noConversion"/>
  </si>
  <si>
    <t>喷香罐（预算外）</t>
    <phoneticPr fontId="4" type="noConversion"/>
  </si>
  <si>
    <t>皮革清洁剂、护理剂（预算外）</t>
    <phoneticPr fontId="4" type="noConversion"/>
  </si>
  <si>
    <t>行政卫擦手纸（预算外）</t>
    <phoneticPr fontId="4" type="noConversion"/>
  </si>
  <si>
    <t>工程部</t>
    <phoneticPr fontId="4" type="noConversion"/>
  </si>
  <si>
    <t>空调系统水泵和租户水泵维修</t>
    <phoneticPr fontId="4" type="noConversion"/>
  </si>
  <si>
    <t>空调系统过滤网更换</t>
    <phoneticPr fontId="4" type="noConversion"/>
  </si>
  <si>
    <t>闭门器，地簧</t>
    <phoneticPr fontId="4" type="noConversion"/>
  </si>
  <si>
    <t>发电机维修</t>
    <phoneticPr fontId="4" type="noConversion"/>
  </si>
  <si>
    <t>按摩椅维修</t>
    <phoneticPr fontId="4" type="noConversion"/>
  </si>
  <si>
    <t>保安部</t>
    <phoneticPr fontId="4" type="noConversion"/>
  </si>
  <si>
    <r>
      <rPr>
        <sz val="10"/>
        <rFont val="宋体"/>
        <family val="3"/>
        <charset val="134"/>
      </rPr>
      <t>速通门刷卡提示标识</t>
    </r>
    <phoneticPr fontId="4" type="noConversion"/>
  </si>
  <si>
    <r>
      <rPr>
        <sz val="10"/>
        <rFont val="宋体"/>
        <family val="3"/>
        <charset val="134"/>
      </rPr>
      <t>消防演习费用</t>
    </r>
    <phoneticPr fontId="4" type="noConversion"/>
  </si>
  <si>
    <r>
      <rPr>
        <sz val="10"/>
        <rFont val="宋体"/>
        <family val="3"/>
        <charset val="134"/>
      </rPr>
      <t>专用及访客车位膜更新</t>
    </r>
  </si>
  <si>
    <t>日常费用  小计</t>
    <phoneticPr fontId="4" type="noConversion"/>
  </si>
  <si>
    <t>工程改造费</t>
    <phoneticPr fontId="4" type="noConversion"/>
  </si>
  <si>
    <r>
      <t>18</t>
    </r>
    <r>
      <rPr>
        <sz val="10"/>
        <rFont val="宋体"/>
        <family val="3"/>
        <charset val="134"/>
      </rPr>
      <t>层草坪喷灌系统</t>
    </r>
    <phoneticPr fontId="4" type="noConversion"/>
  </si>
  <si>
    <r>
      <t>18</t>
    </r>
    <r>
      <rPr>
        <sz val="10"/>
        <rFont val="宋体"/>
        <family val="3"/>
        <charset val="134"/>
      </rPr>
      <t>层草坪铺设三七景天</t>
    </r>
    <phoneticPr fontId="4" type="noConversion"/>
  </si>
  <si>
    <r>
      <rPr>
        <sz val="10"/>
        <rFont val="宋体"/>
        <family val="3"/>
        <charset val="134"/>
      </rPr>
      <t>租户冷却水泵控制柜改造</t>
    </r>
    <phoneticPr fontId="4" type="noConversion"/>
  </si>
  <si>
    <r>
      <rPr>
        <sz val="10"/>
        <rFont val="宋体"/>
        <family val="3"/>
        <charset val="134"/>
      </rPr>
      <t>外围木凳子改造</t>
    </r>
    <phoneticPr fontId="4" type="noConversion"/>
  </si>
  <si>
    <r>
      <rPr>
        <sz val="10"/>
        <rFont val="宋体"/>
        <family val="3"/>
        <charset val="134"/>
      </rPr>
      <t>重点楼层（</t>
    </r>
    <r>
      <rPr>
        <sz val="10"/>
        <rFont val="Arial Narrow"/>
        <family val="2"/>
      </rPr>
      <t>18</t>
    </r>
    <r>
      <rPr>
        <sz val="10"/>
        <rFont val="宋体"/>
        <family val="3"/>
        <charset val="134"/>
      </rPr>
      <t>层）增加监视画面</t>
    </r>
    <phoneticPr fontId="4" type="noConversion"/>
  </si>
  <si>
    <r>
      <t>19</t>
    </r>
    <r>
      <rPr>
        <sz val="10"/>
        <rFont val="宋体"/>
        <family val="3"/>
        <charset val="134"/>
      </rPr>
      <t>层</t>
    </r>
    <r>
      <rPr>
        <sz val="10"/>
        <rFont val="Arial Narrow"/>
        <family val="2"/>
      </rPr>
      <t>1\2</t>
    </r>
    <r>
      <rPr>
        <sz val="10"/>
        <rFont val="宋体"/>
        <family val="3"/>
        <charset val="134"/>
      </rPr>
      <t>号楼道防火门改为门禁</t>
    </r>
    <phoneticPr fontId="4" type="noConversion"/>
  </si>
  <si>
    <t>工程改造费  小计</t>
    <phoneticPr fontId="4" type="noConversion"/>
  </si>
  <si>
    <t>三方合同</t>
    <phoneticPr fontId="4" type="noConversion"/>
  </si>
  <si>
    <r>
      <rPr>
        <sz val="10"/>
        <rFont val="宋体"/>
        <family val="3"/>
        <charset val="134"/>
      </rPr>
      <t>园林养护</t>
    </r>
    <phoneticPr fontId="4" type="noConversion"/>
  </si>
  <si>
    <t>物业员工工服制作</t>
    <phoneticPr fontId="4" type="noConversion"/>
  </si>
  <si>
    <r>
      <rPr>
        <sz val="10"/>
        <rFont val="宋体"/>
        <family val="3"/>
        <charset val="134"/>
      </rPr>
      <t>室外泛光维保</t>
    </r>
    <phoneticPr fontId="4" type="noConversion"/>
  </si>
  <si>
    <r>
      <rPr>
        <sz val="10"/>
        <rFont val="宋体"/>
        <family val="3"/>
        <charset val="134"/>
      </rPr>
      <t>香烟报警器维保</t>
    </r>
    <phoneticPr fontId="4" type="noConversion"/>
  </si>
  <si>
    <r>
      <t>3F</t>
    </r>
    <r>
      <rPr>
        <sz val="10"/>
        <rFont val="宋体"/>
        <family val="3"/>
        <charset val="134"/>
      </rPr>
      <t>、</t>
    </r>
    <r>
      <rPr>
        <sz val="10"/>
        <rFont val="Arial Narrow"/>
        <family val="2"/>
      </rPr>
      <t>18F</t>
    </r>
    <r>
      <rPr>
        <sz val="10"/>
        <rFont val="宋体"/>
        <family val="3"/>
        <charset val="134"/>
      </rPr>
      <t>电动平开门、转门维保</t>
    </r>
    <phoneticPr fontId="4" type="noConversion"/>
  </si>
  <si>
    <r>
      <rPr>
        <sz val="10"/>
        <rFont val="宋体"/>
        <family val="3"/>
        <charset val="134"/>
      </rPr>
      <t>消防系统维保</t>
    </r>
    <phoneticPr fontId="4" type="noConversion"/>
  </si>
  <si>
    <r>
      <rPr>
        <sz val="10"/>
        <rFont val="宋体"/>
        <family val="3"/>
        <charset val="134"/>
      </rPr>
      <t>冷机维保</t>
    </r>
    <phoneticPr fontId="4" type="noConversion"/>
  </si>
  <si>
    <r>
      <rPr>
        <sz val="10"/>
        <rFont val="宋体"/>
        <family val="3"/>
        <charset val="134"/>
      </rPr>
      <t>静电除尘</t>
    </r>
    <r>
      <rPr>
        <sz val="10"/>
        <rFont val="Arial Narrow"/>
        <family val="2"/>
      </rPr>
      <t xml:space="preserve"> </t>
    </r>
    <r>
      <rPr>
        <sz val="10"/>
        <rFont val="宋体"/>
        <family val="3"/>
        <charset val="134"/>
      </rPr>
      <t>维保</t>
    </r>
    <phoneticPr fontId="4" type="noConversion"/>
  </si>
  <si>
    <t>板换清洗</t>
    <phoneticPr fontId="4" type="noConversion"/>
  </si>
  <si>
    <r>
      <rPr>
        <sz val="10"/>
        <rFont val="宋体"/>
        <family val="3"/>
        <charset val="134"/>
      </rPr>
      <t>空调通风系统清洗</t>
    </r>
    <phoneticPr fontId="4" type="noConversion"/>
  </si>
  <si>
    <t>原自采项目</t>
    <phoneticPr fontId="1" type="noConversion"/>
  </si>
  <si>
    <t>宝盾速通门</t>
    <phoneticPr fontId="4" type="noConversion"/>
  </si>
  <si>
    <t>影音室</t>
    <phoneticPr fontId="1" type="noConversion"/>
  </si>
  <si>
    <t>攀岩墙</t>
    <phoneticPr fontId="4" type="noConversion"/>
  </si>
  <si>
    <r>
      <t>LOGO</t>
    </r>
    <r>
      <rPr>
        <sz val="10"/>
        <rFont val="宋体"/>
        <family val="3"/>
        <charset val="134"/>
      </rPr>
      <t>维保</t>
    </r>
    <phoneticPr fontId="4" type="noConversion"/>
  </si>
  <si>
    <r>
      <rPr>
        <b/>
        <sz val="10"/>
        <rFont val="宋体"/>
        <family val="3"/>
        <charset val="134"/>
      </rPr>
      <t>三方合同</t>
    </r>
    <r>
      <rPr>
        <b/>
        <sz val="10"/>
        <rFont val="Arial Narrow"/>
        <family val="2"/>
      </rPr>
      <t xml:space="preserve">   </t>
    </r>
    <r>
      <rPr>
        <b/>
        <sz val="10"/>
        <rFont val="宋体"/>
        <family val="3"/>
        <charset val="134"/>
      </rPr>
      <t>小计</t>
    </r>
    <phoneticPr fontId="4" type="noConversion"/>
  </si>
  <si>
    <r>
      <t>2015</t>
    </r>
    <r>
      <rPr>
        <b/>
        <sz val="10"/>
        <rFont val="宋体"/>
        <family val="3"/>
        <charset val="134"/>
      </rPr>
      <t>年班车服务费</t>
    </r>
    <phoneticPr fontId="4" type="noConversion"/>
  </si>
  <si>
    <r>
      <rPr>
        <sz val="10"/>
        <color theme="1"/>
        <rFont val="宋体"/>
        <family val="3"/>
        <charset val="134"/>
      </rPr>
      <t>项目</t>
    </r>
    <phoneticPr fontId="4" type="noConversion"/>
  </si>
  <si>
    <r>
      <t>2015</t>
    </r>
    <r>
      <rPr>
        <sz val="10"/>
        <color theme="1"/>
        <rFont val="宋体"/>
        <family val="3"/>
        <charset val="134"/>
      </rPr>
      <t>年</t>
    </r>
    <phoneticPr fontId="4" type="noConversion"/>
  </si>
  <si>
    <t>车辆数量</t>
    <phoneticPr fontId="4" type="noConversion"/>
  </si>
  <si>
    <t>单价</t>
    <phoneticPr fontId="4" type="noConversion"/>
  </si>
  <si>
    <t>费用</t>
    <phoneticPr fontId="4" type="noConversion"/>
  </si>
  <si>
    <r>
      <rPr>
        <sz val="10"/>
        <color indexed="8"/>
        <rFont val="宋体"/>
        <family val="3"/>
        <charset val="134"/>
      </rPr>
      <t>网络大厦</t>
    </r>
    <r>
      <rPr>
        <sz val="10"/>
        <color indexed="8"/>
        <rFont val="宋体"/>
        <family val="3"/>
        <charset val="134"/>
      </rPr>
      <t>茶水间阿姨工资明细</t>
    </r>
    <r>
      <rPr>
        <sz val="10"/>
        <color indexed="8"/>
        <rFont val="Calibri"/>
        <family val="2"/>
      </rPr>
      <t>-</t>
    </r>
    <r>
      <rPr>
        <sz val="10"/>
        <color indexed="8"/>
        <rFont val="宋体"/>
        <family val="3"/>
        <charset val="134"/>
      </rPr>
      <t>搜狐</t>
    </r>
    <phoneticPr fontId="4" type="noConversion"/>
  </si>
  <si>
    <r>
      <t>2015</t>
    </r>
    <r>
      <rPr>
        <sz val="10"/>
        <rFont val="宋体"/>
        <family val="3"/>
        <charset val="134"/>
      </rPr>
      <t xml:space="preserve">年
计划奖金发放
</t>
    </r>
    <r>
      <rPr>
        <sz val="10"/>
        <rFont val="Calibri"/>
        <family val="2"/>
      </rPr>
      <t>(e)</t>
    </r>
    <phoneticPr fontId="1" type="noConversion"/>
  </si>
  <si>
    <r>
      <rPr>
        <sz val="10"/>
        <rFont val="宋体"/>
        <family val="3"/>
        <charset val="134"/>
      </rPr>
      <t xml:space="preserve">团体
人身意外保险
</t>
    </r>
    <r>
      <rPr>
        <sz val="10"/>
        <rFont val="Calibri"/>
        <family val="2"/>
      </rPr>
      <t>(f)</t>
    </r>
    <phoneticPr fontId="1" type="noConversion"/>
  </si>
  <si>
    <r>
      <rPr>
        <sz val="10"/>
        <rFont val="宋体"/>
        <family val="3"/>
        <charset val="134"/>
      </rPr>
      <t xml:space="preserve">年费用
</t>
    </r>
    <r>
      <rPr>
        <sz val="10"/>
        <rFont val="Calibri"/>
        <family val="2"/>
      </rPr>
      <t>(g=d*12+e+f)</t>
    </r>
    <phoneticPr fontId="1" type="noConversion"/>
  </si>
  <si>
    <t>备注</t>
    <phoneticPr fontId="1" type="noConversion"/>
  </si>
  <si>
    <t>序号</t>
    <phoneticPr fontId="4" type="noConversion"/>
  </si>
  <si>
    <t>真实姓名</t>
    <phoneticPr fontId="4" type="noConversion"/>
  </si>
  <si>
    <t>职务</t>
    <phoneticPr fontId="4" type="noConversion"/>
  </si>
  <si>
    <t>服务时间</t>
    <phoneticPr fontId="4" type="noConversion"/>
  </si>
  <si>
    <r>
      <t>2014</t>
    </r>
    <r>
      <rPr>
        <sz val="10"/>
        <rFont val="宋体"/>
        <family val="3"/>
        <charset val="134"/>
      </rPr>
      <t>年
月工资</t>
    </r>
    <phoneticPr fontId="1" type="noConversion"/>
  </si>
  <si>
    <r>
      <t>2015</t>
    </r>
    <r>
      <rPr>
        <sz val="10"/>
        <rFont val="宋体"/>
        <family val="3"/>
        <charset val="134"/>
      </rPr>
      <t>年计划调整</t>
    </r>
    <phoneticPr fontId="4" type="noConversion"/>
  </si>
  <si>
    <r>
      <t>2015</t>
    </r>
    <r>
      <rPr>
        <sz val="10"/>
        <rFont val="宋体"/>
        <family val="3"/>
        <charset val="134"/>
      </rPr>
      <t xml:space="preserve">年
计划月工资
</t>
    </r>
    <r>
      <rPr>
        <sz val="10"/>
        <rFont val="Calibri"/>
        <family val="2"/>
      </rPr>
      <t>(a)</t>
    </r>
    <phoneticPr fontId="1" type="noConversion"/>
  </si>
  <si>
    <r>
      <rPr>
        <sz val="10"/>
        <rFont val="宋体"/>
        <family val="3"/>
        <charset val="134"/>
      </rPr>
      <t xml:space="preserve">外包公司
劳务月服务费
</t>
    </r>
    <r>
      <rPr>
        <sz val="10"/>
        <rFont val="Calibri"/>
        <family val="2"/>
      </rPr>
      <t>(b)</t>
    </r>
    <phoneticPr fontId="1" type="noConversion"/>
  </si>
  <si>
    <r>
      <rPr>
        <sz val="10"/>
        <rFont val="宋体"/>
        <family val="3"/>
        <charset val="134"/>
      </rPr>
      <t xml:space="preserve">未退休人员
月社保费
</t>
    </r>
    <r>
      <rPr>
        <sz val="10"/>
        <rFont val="Calibri"/>
        <family val="2"/>
      </rPr>
      <t>(c )</t>
    </r>
    <phoneticPr fontId="1" type="noConversion"/>
  </si>
  <si>
    <t>Total
(d=a+b+c)</t>
    <phoneticPr fontId="1" type="noConversion"/>
  </si>
  <si>
    <r>
      <rPr>
        <sz val="10"/>
        <rFont val="宋体"/>
        <family val="3"/>
        <charset val="134"/>
      </rPr>
      <t>金额</t>
    </r>
    <r>
      <rPr>
        <sz val="10"/>
        <rFont val="Calibri"/>
        <family val="2"/>
      </rPr>
      <t>(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)</t>
    </r>
    <phoneticPr fontId="4" type="noConversion"/>
  </si>
  <si>
    <t>比例</t>
    <phoneticPr fontId="4" type="noConversion"/>
  </si>
  <si>
    <t>Total</t>
    <phoneticPr fontId="4" type="noConversion"/>
  </si>
  <si>
    <r>
      <rPr>
        <sz val="10"/>
        <color indexed="8"/>
        <rFont val="宋体"/>
        <family val="3"/>
        <charset val="134"/>
      </rPr>
      <t>融科</t>
    </r>
    <r>
      <rPr>
        <sz val="10"/>
        <color indexed="8"/>
        <rFont val="Calibri"/>
        <family val="2"/>
      </rPr>
      <t>A</t>
    </r>
    <r>
      <rPr>
        <sz val="10"/>
        <color indexed="8"/>
        <rFont val="宋体"/>
        <family val="3"/>
        <charset val="134"/>
      </rPr>
      <t>座</t>
    </r>
    <r>
      <rPr>
        <sz val="10"/>
        <color indexed="8"/>
        <rFont val="Calibri"/>
        <family val="2"/>
      </rPr>
      <t>4</t>
    </r>
    <r>
      <rPr>
        <sz val="10"/>
        <color indexed="8"/>
        <rFont val="宋体"/>
        <family val="3"/>
        <charset val="134"/>
      </rPr>
      <t>层茶水间阿姨工资明细</t>
    </r>
    <phoneticPr fontId="4" type="noConversion"/>
  </si>
  <si>
    <t>月费用</t>
    <phoneticPr fontId="1" type="noConversion"/>
  </si>
  <si>
    <r>
      <t>2015</t>
    </r>
    <r>
      <rPr>
        <sz val="10"/>
        <rFont val="宋体"/>
        <family val="3"/>
        <charset val="134"/>
      </rPr>
      <t xml:space="preserve">年
计划奖金发放
</t>
    </r>
    <r>
      <rPr>
        <sz val="10"/>
        <rFont val="Calibri"/>
        <family val="2"/>
      </rPr>
      <t>(e)</t>
    </r>
    <phoneticPr fontId="1" type="noConversion"/>
  </si>
  <si>
    <r>
      <rPr>
        <sz val="10"/>
        <rFont val="宋体"/>
        <family val="3"/>
        <charset val="134"/>
      </rPr>
      <t xml:space="preserve">团体
人身意外保险
</t>
    </r>
    <r>
      <rPr>
        <sz val="10"/>
        <rFont val="Calibri"/>
        <family val="2"/>
      </rPr>
      <t>(f)</t>
    </r>
    <phoneticPr fontId="1" type="noConversion"/>
  </si>
  <si>
    <r>
      <rPr>
        <sz val="10"/>
        <rFont val="宋体"/>
        <family val="3"/>
        <charset val="134"/>
      </rPr>
      <t xml:space="preserve">年费用
</t>
    </r>
    <r>
      <rPr>
        <sz val="10"/>
        <rFont val="Calibri"/>
        <family val="2"/>
      </rPr>
      <t>(g=d*12+e+f)</t>
    </r>
    <phoneticPr fontId="1" type="noConversion"/>
  </si>
  <si>
    <t>备注</t>
    <phoneticPr fontId="1" type="noConversion"/>
  </si>
  <si>
    <t>序号</t>
    <phoneticPr fontId="4" type="noConversion"/>
  </si>
  <si>
    <t>真实姓名</t>
    <phoneticPr fontId="4" type="noConversion"/>
  </si>
  <si>
    <t>职务</t>
    <phoneticPr fontId="4" type="noConversion"/>
  </si>
  <si>
    <t>服务时间</t>
    <phoneticPr fontId="4" type="noConversion"/>
  </si>
  <si>
    <r>
      <t>2014</t>
    </r>
    <r>
      <rPr>
        <sz val="10"/>
        <rFont val="宋体"/>
        <family val="3"/>
        <charset val="134"/>
      </rPr>
      <t>年
月工资</t>
    </r>
    <phoneticPr fontId="1" type="noConversion"/>
  </si>
  <si>
    <r>
      <t>2015</t>
    </r>
    <r>
      <rPr>
        <sz val="10"/>
        <rFont val="宋体"/>
        <family val="3"/>
        <charset val="134"/>
      </rPr>
      <t>年计划调整</t>
    </r>
    <phoneticPr fontId="4" type="noConversion"/>
  </si>
  <si>
    <r>
      <t>2015</t>
    </r>
    <r>
      <rPr>
        <sz val="10"/>
        <rFont val="宋体"/>
        <family val="3"/>
        <charset val="134"/>
      </rPr>
      <t xml:space="preserve">年
计划月工资
</t>
    </r>
    <r>
      <rPr>
        <sz val="10"/>
        <rFont val="Calibri"/>
        <family val="2"/>
      </rPr>
      <t>(a)</t>
    </r>
    <phoneticPr fontId="1" type="noConversion"/>
  </si>
  <si>
    <r>
      <rPr>
        <sz val="10"/>
        <rFont val="宋体"/>
        <family val="3"/>
        <charset val="134"/>
      </rPr>
      <t xml:space="preserve">外包公司
劳务月服务费
</t>
    </r>
    <r>
      <rPr>
        <sz val="10"/>
        <rFont val="Calibri"/>
        <family val="2"/>
      </rPr>
      <t>(b)</t>
    </r>
    <phoneticPr fontId="1" type="noConversion"/>
  </si>
  <si>
    <r>
      <rPr>
        <sz val="10"/>
        <rFont val="宋体"/>
        <family val="3"/>
        <charset val="134"/>
      </rPr>
      <t xml:space="preserve">未退休人员
月社保费
</t>
    </r>
    <r>
      <rPr>
        <sz val="10"/>
        <rFont val="Calibri"/>
        <family val="2"/>
      </rPr>
      <t>(c )</t>
    </r>
    <phoneticPr fontId="1" type="noConversion"/>
  </si>
  <si>
    <t>Total
(d=a+b+c)</t>
    <phoneticPr fontId="1" type="noConversion"/>
  </si>
  <si>
    <r>
      <rPr>
        <sz val="10"/>
        <color indexed="8"/>
        <rFont val="宋体"/>
        <family val="3"/>
        <charset val="134"/>
      </rPr>
      <t>同方</t>
    </r>
    <r>
      <rPr>
        <sz val="10"/>
        <color indexed="8"/>
        <rFont val="Calibri"/>
        <family val="2"/>
      </rPr>
      <t>D</t>
    </r>
    <r>
      <rPr>
        <sz val="10"/>
        <color indexed="8"/>
        <rFont val="宋体"/>
        <family val="3"/>
        <charset val="134"/>
      </rPr>
      <t>座</t>
    </r>
    <r>
      <rPr>
        <sz val="10"/>
        <color indexed="8"/>
        <rFont val="Calibri"/>
        <family val="2"/>
      </rPr>
      <t>8</t>
    </r>
    <r>
      <rPr>
        <sz val="10"/>
        <color indexed="8"/>
        <rFont val="宋体"/>
        <family val="3"/>
        <charset val="134"/>
      </rPr>
      <t>层茶水间阿姨工资明细</t>
    </r>
    <phoneticPr fontId="4" type="noConversion"/>
  </si>
  <si>
    <r>
      <t>2015</t>
    </r>
    <r>
      <rPr>
        <b/>
        <sz val="10"/>
        <rFont val="宋体"/>
        <family val="3"/>
        <charset val="134"/>
      </rPr>
      <t>年网络大厦</t>
    </r>
    <r>
      <rPr>
        <b/>
        <sz val="10"/>
        <rFont val="Calibri"/>
        <family val="2"/>
      </rPr>
      <t>-</t>
    </r>
    <r>
      <rPr>
        <b/>
        <sz val="10"/>
        <rFont val="宋体"/>
        <family val="3"/>
        <charset val="134"/>
      </rPr>
      <t>搜狐保洁服务费</t>
    </r>
    <r>
      <rPr>
        <b/>
        <sz val="10"/>
        <rFont val="Calibri"/>
        <family val="2"/>
      </rPr>
      <t/>
    </r>
    <phoneticPr fontId="1" type="noConversion"/>
  </si>
  <si>
    <t>保洁岗位</t>
    <phoneticPr fontId="1" type="noConversion"/>
  </si>
  <si>
    <r>
      <rPr>
        <sz val="10"/>
        <rFont val="宋体"/>
        <family val="3"/>
        <charset val="134"/>
      </rPr>
      <t>保洁费单价</t>
    </r>
    <r>
      <rPr>
        <sz val="10"/>
        <rFont val="Calibri"/>
        <family val="2"/>
      </rPr>
      <t>(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)</t>
    </r>
    <phoneticPr fontId="1" type="noConversion"/>
  </si>
  <si>
    <t>数量</t>
    <phoneticPr fontId="1" type="noConversion"/>
  </si>
  <si>
    <r>
      <rPr>
        <sz val="10"/>
        <rFont val="宋体"/>
        <family val="3"/>
        <charset val="134"/>
      </rPr>
      <t>保洁费</t>
    </r>
    <r>
      <rPr>
        <sz val="10"/>
        <rFont val="Calibri"/>
        <family val="2"/>
      </rPr>
      <t>(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)</t>
    </r>
    <phoneticPr fontId="1" type="noConversion"/>
  </si>
  <si>
    <t>说明</t>
    <phoneticPr fontId="1" type="noConversion"/>
  </si>
  <si>
    <r>
      <t>3</t>
    </r>
    <r>
      <rPr>
        <sz val="10"/>
        <color theme="1"/>
        <rFont val="宋体"/>
        <family val="3"/>
        <charset val="134"/>
      </rPr>
      <t>层保洁费</t>
    </r>
    <phoneticPr fontId="1" type="noConversion"/>
  </si>
  <si>
    <r>
      <t>7-15</t>
    </r>
    <r>
      <rPr>
        <sz val="10"/>
        <color theme="1"/>
        <rFont val="宋体"/>
        <family val="3"/>
        <charset val="134"/>
      </rPr>
      <t>层保洁费</t>
    </r>
    <phoneticPr fontId="1" type="noConversion"/>
  </si>
  <si>
    <r>
      <rPr>
        <sz val="10"/>
        <color theme="1"/>
        <rFont val="宋体"/>
        <family val="3"/>
        <charset val="134"/>
      </rPr>
      <t>全楼阿姨服务费</t>
    </r>
    <phoneticPr fontId="1" type="noConversion"/>
  </si>
  <si>
    <r>
      <t>10</t>
    </r>
    <r>
      <rPr>
        <sz val="10"/>
        <color theme="1"/>
        <rFont val="宋体"/>
        <family val="3"/>
        <charset val="134"/>
      </rPr>
      <t>层洗杯间阿姨服务费</t>
    </r>
    <phoneticPr fontId="1" type="noConversion"/>
  </si>
  <si>
    <r>
      <rPr>
        <sz val="10"/>
        <color theme="1"/>
        <rFont val="宋体"/>
        <family val="3"/>
        <charset val="134"/>
      </rPr>
      <t>搜狐保洁主管服务费（日班）</t>
    </r>
    <phoneticPr fontId="1" type="noConversion"/>
  </si>
  <si>
    <r>
      <rPr>
        <sz val="10"/>
        <color theme="1"/>
        <rFont val="宋体"/>
        <family val="3"/>
        <charset val="134"/>
      </rPr>
      <t>搜狐保洁主管服务费（夜班）</t>
    </r>
    <phoneticPr fontId="1" type="noConversion"/>
  </si>
  <si>
    <t>月保洁费小计</t>
    <phoneticPr fontId="1" type="noConversion"/>
  </si>
  <si>
    <r>
      <t>3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Calibri"/>
        <family val="2"/>
      </rPr>
      <t>7-15</t>
    </r>
    <r>
      <rPr>
        <sz val="10"/>
        <color theme="1"/>
        <rFont val="宋体"/>
        <family val="3"/>
        <charset val="134"/>
      </rPr>
      <t>层地毯清洗费（年）</t>
    </r>
    <phoneticPr fontId="1" type="noConversion"/>
  </si>
  <si>
    <r>
      <t>2015</t>
    </r>
    <r>
      <rPr>
        <b/>
        <sz val="10"/>
        <rFont val="宋体"/>
        <family val="3"/>
        <charset val="134"/>
      </rPr>
      <t>年皂君庙宿舍保洁服务费</t>
    </r>
    <phoneticPr fontId="1" type="noConversion"/>
  </si>
  <si>
    <t>皂君庙宿舍保洁费</t>
    <phoneticPr fontId="1" type="noConversion"/>
  </si>
  <si>
    <r>
      <t>2015</t>
    </r>
    <r>
      <rPr>
        <b/>
        <sz val="10"/>
        <rFont val="宋体"/>
        <family val="3"/>
        <charset val="134"/>
      </rPr>
      <t>年融科</t>
    </r>
    <r>
      <rPr>
        <b/>
        <sz val="10"/>
        <rFont val="Calibri"/>
        <family val="2"/>
      </rPr>
      <t>A</t>
    </r>
    <r>
      <rPr>
        <b/>
        <sz val="10"/>
        <rFont val="宋体"/>
        <family val="3"/>
        <charset val="134"/>
      </rPr>
      <t>座</t>
    </r>
    <r>
      <rPr>
        <b/>
        <sz val="10"/>
        <rFont val="Calibri"/>
        <family val="2"/>
      </rPr>
      <t>4</t>
    </r>
    <r>
      <rPr>
        <b/>
        <sz val="10"/>
        <rFont val="宋体"/>
        <family val="3"/>
        <charset val="134"/>
      </rPr>
      <t>层保洁服务费</t>
    </r>
    <phoneticPr fontId="1" type="noConversion"/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</si>
  <si>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A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4</t>
    </r>
    <r>
      <rPr>
        <sz val="10"/>
        <color theme="1"/>
        <rFont val="宋体"/>
        <family val="3"/>
        <charset val="134"/>
      </rPr>
      <t>层保洁费</t>
    </r>
    <phoneticPr fontId="1" type="noConversion"/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</si>
  <si>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A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4</t>
    </r>
    <r>
      <rPr>
        <sz val="10"/>
        <color theme="1"/>
        <rFont val="宋体"/>
        <family val="3"/>
        <charset val="134"/>
      </rPr>
      <t>层阿姨服务费</t>
    </r>
    <phoneticPr fontId="1" type="noConversion"/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</si>
  <si>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A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4</t>
    </r>
    <r>
      <rPr>
        <sz val="10"/>
        <color theme="1"/>
        <rFont val="宋体"/>
        <family val="3"/>
        <charset val="134"/>
      </rPr>
      <t>层地毯清洗费（年）</t>
    </r>
    <phoneticPr fontId="1" type="noConversion"/>
  </si>
  <si>
    <t>2015年融科C座19、20层保洁服务费</t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</si>
  <si>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C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19</t>
    </r>
    <r>
      <rPr>
        <sz val="10"/>
        <color theme="1"/>
        <rFont val="宋体"/>
        <family val="3"/>
        <charset val="134"/>
      </rPr>
      <t>层保洁费</t>
    </r>
    <phoneticPr fontId="1" type="noConversion"/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</si>
  <si>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C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20</t>
    </r>
    <r>
      <rPr>
        <sz val="10"/>
        <color theme="1"/>
        <rFont val="宋体"/>
        <family val="3"/>
        <charset val="134"/>
      </rPr>
      <t>层保洁费</t>
    </r>
    <phoneticPr fontId="1" type="noConversion"/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</si>
  <si>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C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19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Calibri"/>
        <family val="2"/>
      </rPr>
      <t>20</t>
    </r>
    <r>
      <rPr>
        <sz val="10"/>
        <color theme="1"/>
        <rFont val="宋体"/>
        <family val="3"/>
        <charset val="134"/>
      </rPr>
      <t>层阿姨服务费</t>
    </r>
    <phoneticPr fontId="1" type="noConversion"/>
  </si>
  <si>
    <r>
      <rPr>
        <sz val="10"/>
        <color theme="1"/>
        <rFont val="宋体"/>
        <family val="3"/>
        <charset val="134"/>
      </rPr>
      <t>洗杯间阿姨</t>
    </r>
    <phoneticPr fontId="1" type="noConversion"/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</si>
  <si>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C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19</t>
    </r>
    <r>
      <rPr>
        <sz val="10"/>
        <color theme="1"/>
        <rFont val="宋体"/>
        <family val="3"/>
        <charset val="134"/>
      </rPr>
      <t>层地毯清洗费</t>
    </r>
    <phoneticPr fontId="1" type="noConversion"/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</si>
  <si>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C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20</t>
    </r>
    <r>
      <rPr>
        <sz val="10"/>
        <color theme="1"/>
        <rFont val="宋体"/>
        <family val="3"/>
        <charset val="134"/>
      </rPr>
      <t>层地毯清洗费</t>
    </r>
    <phoneticPr fontId="1" type="noConversion"/>
  </si>
  <si>
    <t>年地毯清洗费小计</t>
    <phoneticPr fontId="1" type="noConversion"/>
  </si>
  <si>
    <t>2015年同方D座7层保洁服务费</t>
  </si>
  <si>
    <r>
      <rPr>
        <sz val="10"/>
        <color theme="1"/>
        <rFont val="宋体"/>
        <family val="3"/>
        <charset val="134"/>
      </rPr>
      <t>同方</t>
    </r>
    <r>
      <rPr>
        <sz val="10"/>
        <color theme="1"/>
        <rFont val="Calibri"/>
        <family val="2"/>
      </rPr>
      <t>D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7</t>
    </r>
    <r>
      <rPr>
        <sz val="10"/>
        <color theme="1"/>
        <rFont val="宋体"/>
        <family val="3"/>
        <charset val="134"/>
      </rPr>
      <t>层保洁费</t>
    </r>
    <phoneticPr fontId="1" type="noConversion"/>
  </si>
  <si>
    <r>
      <rPr>
        <sz val="10"/>
        <color theme="1"/>
        <rFont val="宋体"/>
        <family val="3"/>
        <charset val="134"/>
      </rPr>
      <t>同方</t>
    </r>
    <r>
      <rPr>
        <sz val="10"/>
        <color theme="1"/>
        <rFont val="Calibri"/>
        <family val="2"/>
      </rPr>
      <t>D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7</t>
    </r>
    <r>
      <rPr>
        <sz val="10"/>
        <color theme="1"/>
        <rFont val="宋体"/>
        <family val="3"/>
        <charset val="134"/>
      </rPr>
      <t>层阿姨服务费</t>
    </r>
    <phoneticPr fontId="1" type="noConversion"/>
  </si>
  <si>
    <r>
      <rPr>
        <sz val="10"/>
        <color theme="1"/>
        <rFont val="宋体"/>
        <family val="3"/>
        <charset val="134"/>
      </rPr>
      <t>同方</t>
    </r>
    <r>
      <rPr>
        <sz val="10"/>
        <color theme="1"/>
        <rFont val="Calibri"/>
        <family val="2"/>
      </rPr>
      <t>D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7</t>
    </r>
    <r>
      <rPr>
        <sz val="10"/>
        <color theme="1"/>
        <rFont val="宋体"/>
        <family val="3"/>
        <charset val="134"/>
      </rPr>
      <t>层地毯清洗费</t>
    </r>
    <phoneticPr fontId="1" type="noConversion"/>
  </si>
  <si>
    <t>2015年同方D座8层保洁服务费</t>
  </si>
  <si>
    <r>
      <rPr>
        <sz val="10"/>
        <color theme="1"/>
        <rFont val="宋体"/>
        <family val="3"/>
        <charset val="134"/>
      </rPr>
      <t>同方</t>
    </r>
    <r>
      <rPr>
        <sz val="10"/>
        <color theme="1"/>
        <rFont val="Calibri"/>
        <family val="2"/>
      </rPr>
      <t>D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8</t>
    </r>
    <r>
      <rPr>
        <sz val="10"/>
        <color theme="1"/>
        <rFont val="宋体"/>
        <family val="3"/>
        <charset val="134"/>
      </rPr>
      <t>层保洁费</t>
    </r>
    <phoneticPr fontId="1" type="noConversion"/>
  </si>
  <si>
    <r>
      <rPr>
        <sz val="10"/>
        <color theme="1"/>
        <rFont val="宋体"/>
        <family val="3"/>
        <charset val="134"/>
      </rPr>
      <t>同方</t>
    </r>
    <r>
      <rPr>
        <sz val="10"/>
        <color theme="1"/>
        <rFont val="Calibri"/>
        <family val="2"/>
      </rPr>
      <t>D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8</t>
    </r>
    <r>
      <rPr>
        <sz val="10"/>
        <color theme="1"/>
        <rFont val="宋体"/>
        <family val="3"/>
        <charset val="134"/>
      </rPr>
      <t>层阿姨服务费</t>
    </r>
    <phoneticPr fontId="1" type="noConversion"/>
  </si>
  <si>
    <t>同方保洁主管服务费</t>
    <phoneticPr fontId="1" type="noConversion"/>
  </si>
  <si>
    <r>
      <rPr>
        <sz val="10"/>
        <color theme="1"/>
        <rFont val="宋体"/>
        <family val="3"/>
        <charset val="134"/>
      </rPr>
      <t>同方</t>
    </r>
    <r>
      <rPr>
        <sz val="10"/>
        <color theme="1"/>
        <rFont val="Calibri"/>
        <family val="2"/>
      </rPr>
      <t>D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8</t>
    </r>
    <r>
      <rPr>
        <sz val="10"/>
        <color theme="1"/>
        <rFont val="宋体"/>
        <family val="3"/>
        <charset val="134"/>
      </rPr>
      <t>层地毯清洗费</t>
    </r>
    <phoneticPr fontId="1" type="noConversion"/>
  </si>
  <si>
    <t>2015年融科C座10层保洁服务费</t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</si>
  <si>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C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10</t>
    </r>
    <r>
      <rPr>
        <sz val="10"/>
        <color theme="1"/>
        <rFont val="宋体"/>
        <family val="3"/>
        <charset val="134"/>
      </rPr>
      <t>层保洁费</t>
    </r>
    <phoneticPr fontId="1" type="noConversion"/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</si>
  <si>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C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10</t>
    </r>
    <r>
      <rPr>
        <sz val="10"/>
        <color theme="1"/>
        <rFont val="宋体"/>
        <family val="3"/>
        <charset val="134"/>
      </rPr>
      <t>层阿姨服务费</t>
    </r>
    <phoneticPr fontId="1" type="noConversion"/>
  </si>
  <si>
    <r>
      <rPr>
        <sz val="10"/>
        <color theme="1"/>
        <rFont val="宋体"/>
        <family val="3"/>
        <charset val="134"/>
      </rPr>
      <t>融科</t>
    </r>
    <r>
      <rPr>
        <sz val="10"/>
        <color theme="1"/>
        <rFont val="Calibri"/>
        <family val="2"/>
      </rPr>
      <t>C</t>
    </r>
    <r>
      <rPr>
        <sz val="10"/>
        <color theme="1"/>
        <rFont val="宋体"/>
        <family val="3"/>
        <charset val="134"/>
      </rPr>
      <t>座</t>
    </r>
    <r>
      <rPr>
        <sz val="10"/>
        <color theme="1"/>
        <rFont val="Calibri"/>
        <family val="2"/>
      </rPr>
      <t>10</t>
    </r>
    <r>
      <rPr>
        <sz val="10"/>
        <color theme="1"/>
        <rFont val="宋体"/>
        <family val="3"/>
        <charset val="134"/>
      </rPr>
      <t>层地毯清洗费</t>
    </r>
    <phoneticPr fontId="1" type="noConversion"/>
  </si>
  <si>
    <r>
      <rPr>
        <b/>
        <sz val="10"/>
        <color indexed="8"/>
        <rFont val="宋体"/>
        <family val="3"/>
        <charset val="134"/>
      </rPr>
      <t>媒体大厦此部分包含在物业费当中</t>
    </r>
    <phoneticPr fontId="1" type="noConversion"/>
  </si>
  <si>
    <r>
      <t>2015</t>
    </r>
    <r>
      <rPr>
        <b/>
        <sz val="10"/>
        <rFont val="宋体"/>
        <family val="3"/>
        <charset val="134"/>
      </rPr>
      <t>年网络大厦</t>
    </r>
    <r>
      <rPr>
        <b/>
        <sz val="10"/>
        <rFont val="Calibri"/>
        <family val="2"/>
      </rPr>
      <t>-</t>
    </r>
    <r>
      <rPr>
        <b/>
        <sz val="10"/>
        <rFont val="宋体"/>
        <family val="3"/>
        <charset val="134"/>
      </rPr>
      <t>搜狐保安服务费</t>
    </r>
    <r>
      <rPr>
        <b/>
        <sz val="10"/>
        <rFont val="Calibri"/>
        <family val="2"/>
      </rPr>
      <t>(</t>
    </r>
    <r>
      <rPr>
        <b/>
        <sz val="10"/>
        <rFont val="宋体"/>
        <family val="3"/>
        <charset val="134"/>
      </rPr>
      <t>含搜狗楼层，目前由搜狐付费</t>
    </r>
    <r>
      <rPr>
        <b/>
        <sz val="10"/>
        <rFont val="Calibri"/>
        <family val="2"/>
      </rPr>
      <t>)</t>
    </r>
    <phoneticPr fontId="1" type="noConversion"/>
  </si>
  <si>
    <r>
      <rPr>
        <sz val="10"/>
        <rFont val="宋体"/>
        <family val="3"/>
        <charset val="134"/>
      </rPr>
      <t>岗位名称</t>
    </r>
    <phoneticPr fontId="1" type="noConversion"/>
  </si>
  <si>
    <r>
      <rPr>
        <sz val="10"/>
        <rFont val="宋体"/>
        <family val="3"/>
        <charset val="134"/>
      </rPr>
      <t>岗位负责区域</t>
    </r>
    <phoneticPr fontId="1" type="noConversion"/>
  </si>
  <si>
    <r>
      <rPr>
        <sz val="10"/>
        <rFont val="宋体"/>
        <family val="3"/>
        <charset val="134"/>
      </rPr>
      <t>标准工时</t>
    </r>
    <r>
      <rPr>
        <sz val="10"/>
        <rFont val="Calibri"/>
        <family val="2"/>
      </rPr>
      <t>(</t>
    </r>
    <r>
      <rPr>
        <sz val="10"/>
        <rFont val="宋体"/>
        <family val="3"/>
        <charset val="134"/>
      </rPr>
      <t>小时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天</t>
    </r>
    <r>
      <rPr>
        <sz val="10"/>
        <rFont val="Calibri"/>
        <family val="2"/>
      </rPr>
      <t>)</t>
    </r>
    <phoneticPr fontId="1" type="noConversion"/>
  </si>
  <si>
    <r>
      <rPr>
        <sz val="10"/>
        <rFont val="宋体"/>
        <family val="3"/>
        <charset val="134"/>
      </rPr>
      <t>需保安数量</t>
    </r>
    <r>
      <rPr>
        <sz val="10"/>
        <rFont val="Calibri"/>
        <family val="2"/>
      </rPr>
      <t>(</t>
    </r>
    <r>
      <rPr>
        <sz val="10"/>
        <rFont val="宋体"/>
        <family val="3"/>
        <charset val="134"/>
      </rPr>
      <t>人</t>
    </r>
    <r>
      <rPr>
        <sz val="10"/>
        <rFont val="Calibri"/>
        <family val="2"/>
      </rPr>
      <t>)</t>
    </r>
    <phoneticPr fontId="1" type="noConversion"/>
  </si>
  <si>
    <r>
      <rPr>
        <sz val="10"/>
        <rFont val="宋体"/>
        <family val="3"/>
        <charset val="134"/>
      </rPr>
      <t>服务费单价</t>
    </r>
    <r>
      <rPr>
        <sz val="10"/>
        <rFont val="Calibri"/>
        <family val="2"/>
      </rPr>
      <t>(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月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人</t>
    </r>
    <r>
      <rPr>
        <sz val="10"/>
        <rFont val="Calibri"/>
        <family val="2"/>
      </rPr>
      <t>)</t>
    </r>
    <phoneticPr fontId="1" type="noConversion"/>
  </si>
  <si>
    <r>
      <rPr>
        <sz val="10"/>
        <rFont val="宋体"/>
        <family val="3"/>
        <charset val="134"/>
      </rPr>
      <t>服务费总额</t>
    </r>
    <r>
      <rPr>
        <sz val="10"/>
        <rFont val="Calibri"/>
        <family val="2"/>
      </rPr>
      <t>(</t>
    </r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月</t>
    </r>
    <r>
      <rPr>
        <sz val="10"/>
        <rFont val="Calibri"/>
        <family val="2"/>
      </rPr>
      <t>)</t>
    </r>
    <phoneticPr fontId="1" type="noConversion"/>
  </si>
  <si>
    <r>
      <rPr>
        <sz val="10"/>
        <rFont val="宋体"/>
        <family val="3"/>
        <charset val="134"/>
      </rPr>
      <t>保安员工时</t>
    </r>
    <phoneticPr fontId="1" type="noConversion"/>
  </si>
  <si>
    <t>(a)</t>
    <phoneticPr fontId="1" type="noConversion"/>
  </si>
  <si>
    <t>(b)</t>
    <phoneticPr fontId="1" type="noConversion"/>
  </si>
  <si>
    <r>
      <t>(c</t>
    </r>
    <r>
      <rPr>
        <sz val="10"/>
        <rFont val="宋体"/>
        <family val="3"/>
        <charset val="134"/>
      </rPr>
      <t>）</t>
    </r>
    <phoneticPr fontId="1" type="noConversion"/>
  </si>
  <si>
    <t>(d=a*b/c)</t>
    <phoneticPr fontId="1" type="noConversion"/>
  </si>
  <si>
    <t>(e)</t>
    <phoneticPr fontId="1" type="noConversion"/>
  </si>
  <si>
    <t>(f=d*e)</t>
    <phoneticPr fontId="1" type="noConversion"/>
  </si>
  <si>
    <r>
      <rPr>
        <sz val="10"/>
        <rFont val="宋体"/>
        <family val="3"/>
        <charset val="134"/>
      </rPr>
      <t>月服务费小计</t>
    </r>
    <phoneticPr fontId="1" type="noConversion"/>
  </si>
  <si>
    <r>
      <rPr>
        <sz val="10"/>
        <rFont val="宋体"/>
        <family val="3"/>
        <charset val="134"/>
      </rPr>
      <t>月服务费合计估算值</t>
    </r>
    <phoneticPr fontId="1" type="noConversion"/>
  </si>
  <si>
    <r>
      <t>2015</t>
    </r>
    <r>
      <rPr>
        <b/>
        <sz val="10"/>
        <rFont val="宋体"/>
        <family val="3"/>
        <charset val="134"/>
      </rPr>
      <t>年融科</t>
    </r>
    <r>
      <rPr>
        <b/>
        <sz val="10"/>
        <rFont val="Calibri"/>
        <family val="2"/>
      </rPr>
      <t>A</t>
    </r>
    <r>
      <rPr>
        <b/>
        <sz val="10"/>
        <rFont val="宋体"/>
        <family val="3"/>
        <charset val="134"/>
      </rPr>
      <t>座</t>
    </r>
    <r>
      <rPr>
        <b/>
        <sz val="10"/>
        <rFont val="Calibri"/>
        <family val="2"/>
      </rPr>
      <t>4</t>
    </r>
    <r>
      <rPr>
        <b/>
        <sz val="10"/>
        <rFont val="宋体"/>
        <family val="3"/>
        <charset val="134"/>
      </rPr>
      <t>层保安服务费</t>
    </r>
    <phoneticPr fontId="1" type="noConversion"/>
  </si>
  <si>
    <r>
      <t>2015</t>
    </r>
    <r>
      <rPr>
        <b/>
        <sz val="10"/>
        <rFont val="宋体"/>
        <family val="3"/>
        <charset val="134"/>
      </rPr>
      <t>年融科</t>
    </r>
    <r>
      <rPr>
        <b/>
        <sz val="10"/>
        <rFont val="Calibri"/>
        <family val="2"/>
      </rPr>
      <t>C</t>
    </r>
    <r>
      <rPr>
        <b/>
        <sz val="10"/>
        <rFont val="宋体"/>
        <family val="3"/>
        <charset val="134"/>
      </rPr>
      <t>座</t>
    </r>
    <r>
      <rPr>
        <b/>
        <sz val="10"/>
        <rFont val="Calibri"/>
        <family val="2"/>
      </rPr>
      <t>19</t>
    </r>
    <r>
      <rPr>
        <b/>
        <sz val="10"/>
        <rFont val="宋体"/>
        <family val="3"/>
        <charset val="134"/>
      </rPr>
      <t>、</t>
    </r>
    <r>
      <rPr>
        <b/>
        <sz val="10"/>
        <rFont val="Calibri"/>
        <family val="2"/>
      </rPr>
      <t>20</t>
    </r>
    <r>
      <rPr>
        <b/>
        <sz val="10"/>
        <rFont val="宋体"/>
        <family val="3"/>
        <charset val="134"/>
      </rPr>
      <t>层保安服务费</t>
    </r>
    <phoneticPr fontId="1" type="noConversion"/>
  </si>
  <si>
    <r>
      <t>2015</t>
    </r>
    <r>
      <rPr>
        <b/>
        <sz val="10"/>
        <rFont val="宋体"/>
        <family val="3"/>
        <charset val="134"/>
      </rPr>
      <t>年同方</t>
    </r>
    <r>
      <rPr>
        <b/>
        <sz val="10"/>
        <rFont val="Calibri"/>
        <family val="2"/>
      </rPr>
      <t>D</t>
    </r>
    <r>
      <rPr>
        <b/>
        <sz val="10"/>
        <rFont val="宋体"/>
        <family val="3"/>
        <charset val="134"/>
      </rPr>
      <t>座</t>
    </r>
    <r>
      <rPr>
        <b/>
        <sz val="10"/>
        <rFont val="Calibri"/>
        <family val="2"/>
      </rPr>
      <t>7</t>
    </r>
    <r>
      <rPr>
        <b/>
        <sz val="10"/>
        <rFont val="宋体"/>
        <family val="3"/>
        <charset val="134"/>
      </rPr>
      <t>层保安服务费</t>
    </r>
    <phoneticPr fontId="1" type="noConversion"/>
  </si>
  <si>
    <r>
      <t>2015</t>
    </r>
    <r>
      <rPr>
        <b/>
        <sz val="10"/>
        <rFont val="宋体"/>
        <family val="3"/>
        <charset val="134"/>
      </rPr>
      <t>年同方</t>
    </r>
    <r>
      <rPr>
        <b/>
        <sz val="10"/>
        <rFont val="Calibri"/>
        <family val="2"/>
      </rPr>
      <t>D</t>
    </r>
    <r>
      <rPr>
        <b/>
        <sz val="10"/>
        <rFont val="宋体"/>
        <family val="3"/>
        <charset val="134"/>
      </rPr>
      <t>座</t>
    </r>
    <r>
      <rPr>
        <b/>
        <sz val="10"/>
        <rFont val="Calibri"/>
        <family val="2"/>
      </rPr>
      <t>8</t>
    </r>
    <r>
      <rPr>
        <b/>
        <sz val="10"/>
        <rFont val="宋体"/>
        <family val="3"/>
        <charset val="134"/>
      </rPr>
      <t>层保安服务费</t>
    </r>
    <phoneticPr fontId="1" type="noConversion"/>
  </si>
  <si>
    <r>
      <t>2015</t>
    </r>
    <r>
      <rPr>
        <b/>
        <sz val="10"/>
        <rFont val="宋体"/>
        <family val="3"/>
        <charset val="134"/>
      </rPr>
      <t>年融科</t>
    </r>
    <r>
      <rPr>
        <b/>
        <sz val="10"/>
        <rFont val="Calibri"/>
        <family val="2"/>
      </rPr>
      <t>C</t>
    </r>
    <r>
      <rPr>
        <b/>
        <sz val="10"/>
        <rFont val="宋体"/>
        <family val="3"/>
        <charset val="134"/>
      </rPr>
      <t>座</t>
    </r>
    <r>
      <rPr>
        <b/>
        <sz val="10"/>
        <rFont val="Calibri"/>
        <family val="2"/>
      </rPr>
      <t>10</t>
    </r>
    <r>
      <rPr>
        <b/>
        <sz val="10"/>
        <rFont val="宋体"/>
        <family val="3"/>
        <charset val="134"/>
      </rPr>
      <t>层保安服务费</t>
    </r>
    <phoneticPr fontId="1" type="noConversion"/>
  </si>
  <si>
    <r>
      <rPr>
        <sz val="10"/>
        <rFont val="宋体"/>
        <family val="3"/>
        <charset val="134"/>
      </rPr>
      <t>月服务费合计估算值</t>
    </r>
    <phoneticPr fontId="1" type="noConversion"/>
  </si>
  <si>
    <r>
      <t>2014</t>
    </r>
    <r>
      <rPr>
        <b/>
        <sz val="10"/>
        <rFont val="宋体"/>
        <family val="3"/>
        <charset val="134"/>
      </rPr>
      <t>年租金、物业费、车位费用明细</t>
    </r>
    <phoneticPr fontId="4" type="noConversion"/>
  </si>
  <si>
    <t>物业费</t>
    <phoneticPr fontId="4" type="noConversion"/>
  </si>
  <si>
    <t>租金</t>
    <phoneticPr fontId="4" type="noConversion"/>
  </si>
  <si>
    <t>公司名称</t>
    <phoneticPr fontId="4" type="noConversion"/>
  </si>
  <si>
    <t>单元</t>
    <phoneticPr fontId="4" type="noConversion"/>
  </si>
  <si>
    <r>
      <rPr>
        <sz val="10"/>
        <rFont val="宋体"/>
        <family val="3"/>
        <charset val="134"/>
      </rPr>
      <t>面积</t>
    </r>
    <r>
      <rPr>
        <sz val="10"/>
        <rFont val="Calibri"/>
        <family val="2"/>
      </rPr>
      <t xml:space="preserve"> </t>
    </r>
    <phoneticPr fontId="4" type="noConversion"/>
  </si>
  <si>
    <r>
      <rPr>
        <sz val="10"/>
        <rFont val="宋体"/>
        <family val="3"/>
        <charset val="134"/>
      </rPr>
      <t>单位价格</t>
    </r>
    <r>
      <rPr>
        <sz val="10"/>
        <rFont val="Calibri"/>
        <family val="2"/>
      </rPr>
      <t xml:space="preserve">      </t>
    </r>
    <phoneticPr fontId="4" type="noConversion"/>
  </si>
  <si>
    <t>总金额</t>
    <phoneticPr fontId="4" type="noConversion"/>
  </si>
  <si>
    <t>单位价格</t>
    <phoneticPr fontId="4" type="noConversion"/>
  </si>
  <si>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/m2/</t>
    </r>
    <r>
      <rPr>
        <sz val="10"/>
        <rFont val="宋体"/>
        <family val="3"/>
        <charset val="134"/>
      </rPr>
      <t>天</t>
    </r>
    <phoneticPr fontId="4" type="noConversion"/>
  </si>
  <si>
    <r>
      <rPr>
        <sz val="10"/>
        <rFont val="宋体"/>
        <family val="3"/>
        <charset val="134"/>
      </rPr>
      <t>元</t>
    </r>
    <r>
      <rPr>
        <sz val="10"/>
        <rFont val="Calibri"/>
        <family val="2"/>
      </rPr>
      <t>/m2/</t>
    </r>
    <r>
      <rPr>
        <sz val="10"/>
        <rFont val="宋体"/>
        <family val="3"/>
        <charset val="134"/>
      </rPr>
      <t>月</t>
    </r>
    <phoneticPr fontId="4" type="noConversion"/>
  </si>
  <si>
    <t>(a)</t>
    <phoneticPr fontId="4" type="noConversion"/>
  </si>
  <si>
    <t>(b)</t>
    <phoneticPr fontId="1" type="noConversion"/>
  </si>
  <si>
    <t>(c )</t>
    <phoneticPr fontId="1" type="noConversion"/>
  </si>
  <si>
    <t>(d=a*b*365)</t>
    <phoneticPr fontId="1" type="noConversion"/>
  </si>
  <si>
    <t>(e=a*c*12)</t>
    <phoneticPr fontId="4" type="noConversion"/>
  </si>
  <si>
    <t>(f)</t>
    <phoneticPr fontId="1" type="noConversion"/>
  </si>
  <si>
    <t>(g)</t>
    <phoneticPr fontId="1" type="noConversion"/>
  </si>
  <si>
    <t>(h=a*f*365)</t>
    <phoneticPr fontId="1" type="noConversion"/>
  </si>
  <si>
    <t>(i=a*g*12)</t>
    <phoneticPr fontId="4" type="noConversion"/>
  </si>
  <si>
    <r>
      <rPr>
        <sz val="10"/>
        <rFont val="宋体"/>
        <family val="3"/>
        <charset val="134"/>
      </rPr>
      <t>办公室</t>
    </r>
    <phoneticPr fontId="4" type="noConversion"/>
  </si>
  <si>
    <t>7-01</t>
    <phoneticPr fontId="4" type="noConversion"/>
  </si>
  <si>
    <t>7-02</t>
    <phoneticPr fontId="4" type="noConversion"/>
  </si>
  <si>
    <t>7-03</t>
    <phoneticPr fontId="4" type="noConversion"/>
  </si>
  <si>
    <t>8-01</t>
    <phoneticPr fontId="4" type="noConversion"/>
  </si>
  <si>
    <t>8-03</t>
    <phoneticPr fontId="4" type="noConversion"/>
  </si>
  <si>
    <t>11</t>
    <phoneticPr fontId="4" type="noConversion"/>
  </si>
  <si>
    <t>12-01</t>
    <phoneticPr fontId="4" type="noConversion"/>
  </si>
  <si>
    <t>15</t>
    <phoneticPr fontId="4" type="noConversion"/>
  </si>
  <si>
    <r>
      <t>10-01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02</t>
    </r>
    <phoneticPr fontId="4" type="noConversion"/>
  </si>
  <si>
    <t>10-05</t>
    <phoneticPr fontId="4" type="noConversion"/>
  </si>
  <si>
    <t>10-06</t>
    <phoneticPr fontId="4" type="noConversion"/>
  </si>
  <si>
    <t>10-07</t>
    <phoneticPr fontId="4" type="noConversion"/>
  </si>
  <si>
    <t>10-08</t>
    <phoneticPr fontId="4" type="noConversion"/>
  </si>
  <si>
    <t>8-02</t>
    <phoneticPr fontId="4" type="noConversion"/>
  </si>
  <si>
    <t>9-01</t>
    <phoneticPr fontId="4" type="noConversion"/>
  </si>
  <si>
    <r>
      <t>10-03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04</t>
    </r>
    <phoneticPr fontId="4" type="noConversion"/>
  </si>
  <si>
    <t>9-02</t>
    <phoneticPr fontId="4" type="noConversion"/>
  </si>
  <si>
    <r>
      <rPr>
        <sz val="10"/>
        <rFont val="宋体"/>
        <family val="3"/>
        <charset val="134"/>
      </rPr>
      <t>北京搜狐新媒体信息技术有限公司</t>
    </r>
    <phoneticPr fontId="4" type="noConversion"/>
  </si>
  <si>
    <t>3-01</t>
    <phoneticPr fontId="4" type="noConversion"/>
  </si>
  <si>
    <t>sub-total</t>
    <phoneticPr fontId="4" type="noConversion"/>
  </si>
  <si>
    <t>total</t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</si>
  <si>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4F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</si>
  <si>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19F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</si>
  <si>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20F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</si>
  <si>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10F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</si>
  <si>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7F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</si>
  <si>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8F</t>
    </r>
    <phoneticPr fontId="4" type="noConversion"/>
  </si>
  <si>
    <t>sub-total</t>
    <phoneticPr fontId="4" type="noConversion"/>
  </si>
  <si>
    <t>total</t>
    <phoneticPr fontId="4" type="noConversion"/>
  </si>
  <si>
    <r>
      <rPr>
        <sz val="10"/>
        <rFont val="宋体"/>
        <family val="3"/>
        <charset val="134"/>
      </rPr>
      <t>车位</t>
    </r>
    <phoneticPr fontId="4" type="noConversion"/>
  </si>
  <si>
    <t>北京搜狐新媒体信息技术有限公司</t>
    <phoneticPr fontId="4" type="noConversion"/>
  </si>
  <si>
    <r>
      <rPr>
        <sz val="10"/>
        <rFont val="宋体"/>
        <family val="3"/>
        <charset val="134"/>
      </rPr>
      <t>搜狐网络大厦地下车位</t>
    </r>
    <phoneticPr fontId="4" type="noConversion"/>
  </si>
  <si>
    <r>
      <rPr>
        <sz val="10"/>
        <rFont val="宋体"/>
        <family val="3"/>
        <charset val="134"/>
      </rPr>
      <t>科技大厦</t>
    </r>
    <r>
      <rPr>
        <sz val="10"/>
        <rFont val="Calibri"/>
        <family val="2"/>
      </rPr>
      <t>B07</t>
    </r>
    <r>
      <rPr>
        <sz val="10"/>
        <rFont val="宋体"/>
        <family val="3"/>
        <charset val="134"/>
      </rPr>
      <t>地下停车位</t>
    </r>
    <phoneticPr fontId="4" type="noConversion"/>
  </si>
  <si>
    <r>
      <rPr>
        <sz val="10"/>
        <rFont val="Arial"/>
        <family val="2"/>
      </rPr>
      <t>融科</t>
    </r>
    <r>
      <rPr>
        <sz val="10"/>
        <rFont val="Calibri"/>
        <family val="2"/>
      </rPr>
      <t>A</t>
    </r>
    <r>
      <rPr>
        <sz val="10"/>
        <rFont val="Arial"/>
        <family val="2"/>
      </rPr>
      <t>座地下车位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</si>
  <si>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座地下车位（</t>
    </r>
    <r>
      <rPr>
        <sz val="10"/>
        <rFont val="Calibri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20</t>
    </r>
    <r>
      <rPr>
        <sz val="10"/>
        <rFont val="宋体"/>
        <family val="3"/>
        <charset val="134"/>
      </rPr>
      <t>）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</si>
  <si>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座地下车位（</t>
    </r>
    <r>
      <rPr>
        <sz val="10"/>
        <rFont val="Calibri"/>
        <family val="2"/>
      </rPr>
      <t>10</t>
    </r>
    <r>
      <rPr>
        <sz val="10"/>
        <rFont val="宋体"/>
        <family val="3"/>
        <charset val="134"/>
      </rPr>
      <t>层）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</si>
  <si>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D7</t>
    </r>
    <r>
      <rPr>
        <sz val="10"/>
        <rFont val="宋体"/>
        <family val="3"/>
        <charset val="134"/>
      </rPr>
      <t>地下车位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</si>
  <si>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D8</t>
    </r>
    <r>
      <rPr>
        <sz val="10"/>
        <rFont val="宋体"/>
        <family val="3"/>
        <charset val="134"/>
      </rPr>
      <t>地下车位</t>
    </r>
    <phoneticPr fontId="4" type="noConversion"/>
  </si>
  <si>
    <t>搜狐大厦车位费</t>
    <phoneticPr fontId="4" type="noConversion"/>
  </si>
  <si>
    <t>科技大厦车位费</t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</si>
  <si>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C19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20</t>
    </r>
    <r>
      <rPr>
        <sz val="10"/>
        <rFont val="宋体"/>
        <family val="3"/>
        <charset val="134"/>
      </rPr>
      <t>层</t>
    </r>
    <phoneticPr fontId="4" type="noConversion"/>
  </si>
  <si>
    <r>
      <rPr>
        <sz val="10"/>
        <rFont val="宋体"/>
        <family val="3"/>
        <charset val="134"/>
      </rPr>
      <t>预计增长</t>
    </r>
    <r>
      <rPr>
        <sz val="10"/>
        <rFont val="Calibri"/>
        <family val="2"/>
      </rPr>
      <t>10%</t>
    </r>
    <phoneticPr fontId="1" type="noConversion"/>
  </si>
  <si>
    <r>
      <t>2014</t>
    </r>
    <r>
      <rPr>
        <b/>
        <sz val="10"/>
        <rFont val="宋体"/>
        <family val="3"/>
        <charset val="134"/>
      </rPr>
      <t>年实际发生</t>
    </r>
    <phoneticPr fontId="1" type="noConversion"/>
  </si>
  <si>
    <t>日常工程维修</t>
    <phoneticPr fontId="1" type="noConversion"/>
  </si>
  <si>
    <r>
      <t>2015</t>
    </r>
    <r>
      <rPr>
        <sz val="10"/>
        <rFont val="宋体"/>
        <family val="3"/>
        <charset val="134"/>
      </rPr>
      <t>年用电量预计增长率</t>
    </r>
    <phoneticPr fontId="1" type="noConversion"/>
  </si>
  <si>
    <r>
      <t>2015</t>
    </r>
    <r>
      <rPr>
        <sz val="10"/>
        <rFont val="宋体"/>
        <family val="3"/>
        <charset val="134"/>
      </rPr>
      <t>年预计月用电量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电费</t>
    </r>
    <phoneticPr fontId="1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</si>
  <si>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10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20</t>
    </r>
    <r>
      <rPr>
        <sz val="10"/>
        <rFont val="宋体"/>
        <family val="3"/>
        <charset val="134"/>
      </rPr>
      <t>层电费</t>
    </r>
    <phoneticPr fontId="4" type="noConversion"/>
  </si>
  <si>
    <t>皂君庙宿舍及公寓饮用水</t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</si>
  <si>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10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20</t>
    </r>
    <r>
      <rPr>
        <sz val="10"/>
        <rFont val="宋体"/>
        <family val="3"/>
        <charset val="134"/>
      </rPr>
      <t>层饮用水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</si>
  <si>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10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20</t>
    </r>
    <r>
      <rPr>
        <sz val="10"/>
        <rFont val="宋体"/>
        <family val="3"/>
        <charset val="134"/>
      </rPr>
      <t>层植物租摆费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</si>
  <si>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10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20</t>
    </r>
    <r>
      <rPr>
        <sz val="10"/>
        <rFont val="宋体"/>
        <family val="3"/>
        <charset val="134"/>
      </rPr>
      <t>层茶水间费用</t>
    </r>
    <phoneticPr fontId="4" type="noConversion"/>
  </si>
  <si>
    <r>
      <rPr>
        <sz val="10"/>
        <rFont val="宋体"/>
        <family val="3"/>
        <charset val="134"/>
      </rPr>
      <t>融科中科资源大厦地下</t>
    </r>
    <r>
      <rPr>
        <sz val="10"/>
        <rFont val="Calibri"/>
        <family val="2"/>
      </rPr>
      <t>3</t>
    </r>
    <r>
      <rPr>
        <sz val="10"/>
        <rFont val="宋体"/>
        <family val="3"/>
        <charset val="134"/>
      </rPr>
      <t>车位</t>
    </r>
    <phoneticPr fontId="4" type="noConversion"/>
  </si>
  <si>
    <r>
      <t>融科中科资源大厦地下</t>
    </r>
    <r>
      <rPr>
        <sz val="10"/>
        <rFont val="Calibri"/>
        <family val="2"/>
      </rPr>
      <t>3</t>
    </r>
    <r>
      <rPr>
        <sz val="10"/>
        <rFont val="宋体"/>
        <family val="3"/>
        <charset val="134"/>
      </rPr>
      <t>车位</t>
    </r>
  </si>
  <si>
    <r>
      <rPr>
        <sz val="10"/>
        <rFont val="宋体"/>
        <family val="3"/>
        <charset val="134"/>
      </rPr>
      <t>安防监控系统维保</t>
    </r>
    <phoneticPr fontId="4" type="noConversion"/>
  </si>
  <si>
    <r>
      <rPr>
        <sz val="10"/>
        <rFont val="宋体"/>
        <family val="3"/>
        <charset val="134"/>
      </rPr>
      <t>楼宇自动化系统维保</t>
    </r>
    <phoneticPr fontId="4" type="noConversion"/>
  </si>
  <si>
    <r>
      <t>2015</t>
    </r>
    <r>
      <rPr>
        <b/>
        <sz val="10"/>
        <rFont val="宋体"/>
        <family val="3"/>
        <charset val="134"/>
      </rPr>
      <t>年人员增长统计</t>
    </r>
    <phoneticPr fontId="4" type="noConversion"/>
  </si>
  <si>
    <r>
      <rPr>
        <sz val="10"/>
        <rFont val="宋体"/>
        <family val="3"/>
        <charset val="134"/>
      </rPr>
      <t>截止</t>
    </r>
    <r>
      <rPr>
        <sz val="10"/>
        <rFont val="Calibri"/>
        <family val="2"/>
      </rPr>
      <t>2014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11</t>
    </r>
    <r>
      <rPr>
        <sz val="10"/>
        <rFont val="宋体"/>
        <family val="3"/>
        <charset val="134"/>
      </rPr>
      <t>月</t>
    </r>
    <r>
      <rPr>
        <sz val="10"/>
        <rFont val="Calibri"/>
        <family val="2"/>
      </rPr>
      <t xml:space="preserve"> HC (a)</t>
    </r>
    <phoneticPr fontId="4" type="noConversion"/>
  </si>
  <si>
    <r>
      <t>2015</t>
    </r>
    <r>
      <rPr>
        <sz val="10"/>
        <rFont val="宋体"/>
        <family val="3"/>
        <charset val="134"/>
      </rPr>
      <t>年底预计增长率</t>
    </r>
    <r>
      <rPr>
        <sz val="10"/>
        <rFont val="Calibri"/>
        <family val="2"/>
      </rPr>
      <t xml:space="preserve"> (b)</t>
    </r>
    <phoneticPr fontId="4" type="noConversion"/>
  </si>
  <si>
    <r>
      <t>2015</t>
    </r>
    <r>
      <rPr>
        <sz val="10"/>
        <rFont val="宋体"/>
        <family val="3"/>
        <charset val="134"/>
      </rPr>
      <t>年底预计人数</t>
    </r>
    <r>
      <rPr>
        <sz val="10"/>
        <rFont val="Calibri"/>
        <family val="2"/>
      </rPr>
      <t xml:space="preserve"> (c=a*(1+b))</t>
    </r>
    <phoneticPr fontId="4" type="noConversion"/>
  </si>
  <si>
    <r>
      <t>2013</t>
    </r>
    <r>
      <rPr>
        <sz val="10"/>
        <rFont val="宋体"/>
        <family val="3"/>
        <charset val="134"/>
      </rPr>
      <t>年底比</t>
    </r>
    <r>
      <rPr>
        <sz val="10"/>
        <rFont val="Calibri"/>
        <family val="2"/>
      </rPr>
      <t>Q2</t>
    </r>
    <r>
      <rPr>
        <sz val="10"/>
        <rFont val="宋体"/>
        <family val="3"/>
        <charset val="134"/>
      </rPr>
      <t>预计增长人数</t>
    </r>
    <r>
      <rPr>
        <sz val="10"/>
        <rFont val="Calibri"/>
        <family val="2"/>
      </rPr>
      <t xml:space="preserve"> (d=c-f)</t>
    </r>
    <phoneticPr fontId="4" type="noConversion"/>
  </si>
  <si>
    <r>
      <t>2013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Q2</t>
    </r>
    <r>
      <rPr>
        <sz val="10"/>
        <rFont val="宋体"/>
        <family val="3"/>
        <charset val="134"/>
      </rPr>
      <t>预计增长率</t>
    </r>
    <r>
      <rPr>
        <sz val="10"/>
        <rFont val="Calibri"/>
        <family val="2"/>
      </rPr>
      <t xml:space="preserve"> (e)</t>
    </r>
    <phoneticPr fontId="4" type="noConversion"/>
  </si>
  <si>
    <r>
      <t>2013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Q2</t>
    </r>
    <r>
      <rPr>
        <sz val="10"/>
        <rFont val="宋体"/>
        <family val="3"/>
        <charset val="134"/>
      </rPr>
      <t>预计人数</t>
    </r>
    <r>
      <rPr>
        <sz val="10"/>
        <rFont val="Calibri"/>
        <family val="2"/>
      </rPr>
      <t xml:space="preserve"> (f=a*(1+e))</t>
    </r>
    <phoneticPr fontId="4" type="noConversion"/>
  </si>
  <si>
    <r>
      <t>2013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Q2</t>
    </r>
    <r>
      <rPr>
        <sz val="10"/>
        <rFont val="宋体"/>
        <family val="3"/>
        <charset val="134"/>
      </rPr>
      <t>底预计增长人数</t>
    </r>
    <r>
      <rPr>
        <sz val="10"/>
        <rFont val="Calibri"/>
        <family val="2"/>
      </rPr>
      <t xml:space="preserve"> (g=f-a)</t>
    </r>
    <phoneticPr fontId="4" type="noConversion"/>
  </si>
  <si>
    <r>
      <rPr>
        <sz val="10"/>
        <rFont val="宋体"/>
        <family val="3"/>
        <charset val="134"/>
      </rPr>
      <t>截止到</t>
    </r>
    <r>
      <rPr>
        <sz val="10"/>
        <rFont val="Calibri"/>
        <family val="2"/>
      </rPr>
      <t>2014</t>
    </r>
    <r>
      <rPr>
        <sz val="10"/>
        <rFont val="宋体"/>
        <family val="3"/>
        <charset val="134"/>
      </rPr>
      <t>年</t>
    </r>
    <r>
      <rPr>
        <sz val="10"/>
        <rFont val="Calibri"/>
        <family val="2"/>
      </rPr>
      <t>11</t>
    </r>
    <r>
      <rPr>
        <sz val="10"/>
        <rFont val="宋体"/>
        <family val="3"/>
        <charset val="134"/>
      </rPr>
      <t>月份数据</t>
    </r>
    <phoneticPr fontId="1" type="noConversion"/>
  </si>
  <si>
    <t>办公区</t>
    <phoneticPr fontId="1" type="noConversion"/>
  </si>
  <si>
    <t>工位总数</t>
    <phoneticPr fontId="1" type="noConversion"/>
  </si>
  <si>
    <t>实际使用工位</t>
    <phoneticPr fontId="1" type="noConversion"/>
  </si>
  <si>
    <t>空余工位</t>
    <phoneticPr fontId="1" type="noConversion"/>
  </si>
  <si>
    <t>可使用率</t>
    <phoneticPr fontId="1" type="noConversion"/>
  </si>
  <si>
    <t>(a)</t>
    <phoneticPr fontId="1" type="noConversion"/>
  </si>
  <si>
    <t>(b)</t>
    <phoneticPr fontId="1" type="noConversion"/>
  </si>
  <si>
    <t>(c=a-b)</t>
    <phoneticPr fontId="1" type="noConversion"/>
  </si>
  <si>
    <t>(d=c/a)</t>
    <phoneticPr fontId="1" type="noConversion"/>
  </si>
  <si>
    <t>媒体大厦</t>
    <phoneticPr fontId="1" type="noConversion"/>
  </si>
  <si>
    <r>
      <rPr>
        <sz val="10"/>
        <rFont val="宋体"/>
        <family val="3"/>
        <charset val="134"/>
      </rPr>
      <t>媒体大厦</t>
    </r>
    <r>
      <rPr>
        <sz val="10"/>
        <rFont val="Calibri"/>
        <family val="2"/>
      </rPr>
      <t>Q2-Q4</t>
    </r>
    <phoneticPr fontId="1" type="noConversion"/>
  </si>
  <si>
    <r>
      <rPr>
        <sz val="10"/>
        <rFont val="宋体"/>
        <family val="3"/>
        <charset val="134"/>
      </rPr>
      <t>网络大厦</t>
    </r>
    <phoneticPr fontId="1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</si>
  <si>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4</t>
    </r>
    <r>
      <rPr>
        <sz val="10"/>
        <rFont val="宋体"/>
        <family val="3"/>
        <charset val="134"/>
      </rPr>
      <t>层</t>
    </r>
    <phoneticPr fontId="1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</si>
  <si>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19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20</t>
    </r>
    <r>
      <rPr>
        <sz val="10"/>
        <rFont val="宋体"/>
        <family val="3"/>
        <charset val="134"/>
      </rPr>
      <t>层</t>
    </r>
    <phoneticPr fontId="1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</si>
  <si>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10</t>
    </r>
    <r>
      <rPr>
        <sz val="10"/>
        <rFont val="宋体"/>
        <family val="3"/>
        <charset val="134"/>
      </rPr>
      <t>层</t>
    </r>
    <phoneticPr fontId="1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</si>
  <si>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7</t>
    </r>
    <r>
      <rPr>
        <sz val="10"/>
        <rFont val="宋体"/>
        <family val="3"/>
        <charset val="134"/>
      </rPr>
      <t>层</t>
    </r>
    <phoneticPr fontId="1" type="noConversion"/>
  </si>
  <si>
    <t>计划14年12月退租</t>
    <phoneticPr fontId="1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</si>
  <si>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8</t>
    </r>
    <r>
      <rPr>
        <sz val="10"/>
        <rFont val="宋体"/>
        <family val="3"/>
        <charset val="134"/>
      </rPr>
      <t>层</t>
    </r>
    <phoneticPr fontId="1" type="noConversion"/>
  </si>
  <si>
    <r>
      <rPr>
        <sz val="10"/>
        <rFont val="宋体"/>
        <family val="3"/>
        <charset val="134"/>
      </rPr>
      <t>合计</t>
    </r>
    <phoneticPr fontId="4" type="noConversion"/>
  </si>
  <si>
    <t>2014 Q4</t>
    <phoneticPr fontId="4" type="noConversion"/>
  </si>
  <si>
    <r>
      <rPr>
        <sz val="10"/>
        <rFont val="宋体"/>
        <family val="3"/>
        <charset val="134"/>
      </rPr>
      <t>媒体大厦</t>
    </r>
    <phoneticPr fontId="4" type="noConversion"/>
  </si>
  <si>
    <r>
      <rPr>
        <sz val="10"/>
        <rFont val="宋体"/>
        <family val="3"/>
        <charset val="134"/>
      </rPr>
      <t>网络大厦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</si>
  <si>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A4</t>
    </r>
    <phoneticPr fontId="4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</si>
  <si>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C19-20</t>
    </r>
    <phoneticPr fontId="4" type="noConversion"/>
  </si>
  <si>
    <r>
      <rPr>
        <sz val="10"/>
        <rFont val="宋体"/>
        <family val="3"/>
        <charset val="134"/>
      </rPr>
      <t>同方</t>
    </r>
    <r>
      <rPr>
        <sz val="10"/>
        <rFont val="Calibri"/>
        <family val="2"/>
      </rPr>
      <t>D7-8</t>
    </r>
    <phoneticPr fontId="4" type="noConversion"/>
  </si>
  <si>
    <t>Total</t>
    <phoneticPr fontId="4" type="noConversion"/>
  </si>
  <si>
    <r>
      <rPr>
        <sz val="10"/>
        <rFont val="宋体"/>
        <family val="3"/>
        <charset val="134"/>
      </rPr>
      <t>总部</t>
    </r>
    <phoneticPr fontId="4" type="noConversion"/>
  </si>
  <si>
    <r>
      <rPr>
        <sz val="10"/>
        <rFont val="宋体"/>
        <family val="3"/>
        <charset val="134"/>
      </rPr>
      <t>财务中心</t>
    </r>
    <phoneticPr fontId="4" type="noConversion"/>
  </si>
  <si>
    <r>
      <rPr>
        <sz val="10"/>
        <rFont val="宋体"/>
        <family val="3"/>
        <charset val="134"/>
      </rPr>
      <t>法律中心</t>
    </r>
    <phoneticPr fontId="4" type="noConversion"/>
  </si>
  <si>
    <r>
      <rPr>
        <sz val="10"/>
        <rFont val="宋体"/>
        <family val="3"/>
        <charset val="134"/>
      </rPr>
      <t>呼叫中心</t>
    </r>
    <phoneticPr fontId="4" type="noConversion"/>
  </si>
  <si>
    <t>IA</t>
    <phoneticPr fontId="4" type="noConversion"/>
  </si>
  <si>
    <t>HR</t>
    <phoneticPr fontId="4" type="noConversion"/>
  </si>
  <si>
    <t>MKT</t>
    <phoneticPr fontId="4" type="noConversion"/>
  </si>
  <si>
    <r>
      <rPr>
        <sz val="10"/>
        <rFont val="宋体"/>
        <family val="3"/>
        <charset val="134"/>
      </rPr>
      <t>采购部</t>
    </r>
    <phoneticPr fontId="4" type="noConversion"/>
  </si>
  <si>
    <t>IR</t>
    <phoneticPr fontId="4" type="noConversion"/>
  </si>
  <si>
    <r>
      <rPr>
        <sz val="10"/>
        <rFont val="宋体"/>
        <family val="3"/>
        <charset val="134"/>
      </rPr>
      <t>研究院</t>
    </r>
    <phoneticPr fontId="4" type="noConversion"/>
  </si>
  <si>
    <t>ES</t>
    <phoneticPr fontId="4" type="noConversion"/>
  </si>
  <si>
    <r>
      <rPr>
        <sz val="10"/>
        <rFont val="宋体"/>
        <family val="3"/>
        <charset val="134"/>
      </rPr>
      <t>运维中心</t>
    </r>
    <phoneticPr fontId="4" type="noConversion"/>
  </si>
  <si>
    <r>
      <rPr>
        <sz val="10"/>
        <rFont val="宋体"/>
        <family val="3"/>
        <charset val="134"/>
      </rPr>
      <t>媒体内容业务线</t>
    </r>
    <phoneticPr fontId="4" type="noConversion"/>
  </si>
  <si>
    <r>
      <rPr>
        <sz val="10"/>
        <rFont val="宋体"/>
        <family val="3"/>
        <charset val="134"/>
      </rPr>
      <t>网安中心</t>
    </r>
    <phoneticPr fontId="4" type="noConversion"/>
  </si>
  <si>
    <r>
      <rPr>
        <sz val="10"/>
        <rFont val="宋体"/>
        <family val="3"/>
        <charset val="134"/>
      </rPr>
      <t>技术中心</t>
    </r>
    <phoneticPr fontId="4" type="noConversion"/>
  </si>
  <si>
    <r>
      <rPr>
        <sz val="10"/>
        <rFont val="宋体"/>
        <family val="3"/>
        <charset val="134"/>
      </rPr>
      <t>广告销售</t>
    </r>
    <phoneticPr fontId="4" type="noConversion"/>
  </si>
  <si>
    <t>CS</t>
    <phoneticPr fontId="4" type="noConversion"/>
  </si>
  <si>
    <r>
      <rPr>
        <sz val="10"/>
        <rFont val="宋体"/>
        <family val="3"/>
        <charset val="134"/>
      </rPr>
      <t>无线</t>
    </r>
    <phoneticPr fontId="4" type="noConversion"/>
  </si>
  <si>
    <r>
      <t>IT</t>
    </r>
    <r>
      <rPr>
        <sz val="10"/>
        <rFont val="宋体"/>
        <family val="3"/>
        <charset val="134"/>
      </rPr>
      <t>频道</t>
    </r>
    <phoneticPr fontId="4" type="noConversion"/>
  </si>
  <si>
    <r>
      <rPr>
        <sz val="10"/>
        <rFont val="宋体"/>
        <family val="3"/>
        <charset val="134"/>
      </rPr>
      <t>移动门户中心</t>
    </r>
    <r>
      <rPr>
        <sz val="10"/>
        <rFont val="Calibri"/>
        <family val="2"/>
      </rPr>
      <t>(MPC)</t>
    </r>
    <phoneticPr fontId="4" type="noConversion"/>
  </si>
  <si>
    <r>
      <rPr>
        <sz val="10"/>
        <rFont val="宋体"/>
        <family val="3"/>
        <charset val="134"/>
      </rPr>
      <t>移动应用探索中心</t>
    </r>
    <r>
      <rPr>
        <sz val="10"/>
        <rFont val="Calibri"/>
        <family val="2"/>
      </rPr>
      <t>(MADC)</t>
    </r>
    <phoneticPr fontId="4" type="noConversion"/>
  </si>
  <si>
    <r>
      <rPr>
        <sz val="10"/>
        <rFont val="宋体"/>
        <family val="3"/>
        <charset val="134"/>
      </rPr>
      <t>焦点</t>
    </r>
    <phoneticPr fontId="4" type="noConversion"/>
  </si>
  <si>
    <r>
      <rPr>
        <sz val="10"/>
        <rFont val="宋体"/>
        <family val="3"/>
        <charset val="134"/>
      </rPr>
      <t>汽车</t>
    </r>
    <phoneticPr fontId="4" type="noConversion"/>
  </si>
  <si>
    <r>
      <rPr>
        <sz val="10"/>
        <rFont val="宋体"/>
        <family val="3"/>
        <charset val="134"/>
      </rPr>
      <t>视频</t>
    </r>
    <phoneticPr fontId="4" type="noConversion"/>
  </si>
  <si>
    <t>媒体大厦设施设备运营费</t>
    <phoneticPr fontId="1" type="noConversion"/>
  </si>
  <si>
    <t>合计</t>
    <phoneticPr fontId="1" type="noConversion"/>
  </si>
  <si>
    <t>媒体大厦物业管理费</t>
    <phoneticPr fontId="1" type="noConversion"/>
  </si>
  <si>
    <t>大楼日常装修养护</t>
    <phoneticPr fontId="1" type="noConversion"/>
  </si>
  <si>
    <t>工程部</t>
    <phoneticPr fontId="1" type="noConversion"/>
  </si>
  <si>
    <t>电梯维保</t>
    <phoneticPr fontId="1" type="noConversion"/>
  </si>
  <si>
    <t>总量</t>
    <phoneticPr fontId="40" type="noConversion"/>
  </si>
  <si>
    <t>几率</t>
    <phoneticPr fontId="40" type="noConversion"/>
  </si>
  <si>
    <t>频率</t>
    <phoneticPr fontId="40" type="noConversion"/>
  </si>
  <si>
    <t>单价</t>
    <phoneticPr fontId="40" type="noConversion"/>
  </si>
  <si>
    <t>合价</t>
    <phoneticPr fontId="40" type="noConversion"/>
  </si>
  <si>
    <t>备注</t>
    <phoneticPr fontId="40" type="noConversion"/>
  </si>
  <si>
    <t>套</t>
    <phoneticPr fontId="40" type="noConversion"/>
  </si>
  <si>
    <t>5套系统，供应30台末端，管线维护，阀门，喷头（30台机组，平均每个机组约20个喷头），含1000元以下配件（含喷头、阀门、管路、含润滑油），不含泵组1000元以上配件，每年两次整体保养</t>
    <phoneticPr fontId="40" type="noConversion"/>
  </si>
  <si>
    <t>水环热泵室内机</t>
    <phoneticPr fontId="40" type="noConversion"/>
  </si>
  <si>
    <t>台</t>
    <phoneticPr fontId="40" type="noConversion"/>
  </si>
  <si>
    <t>包含500以下配件</t>
    <phoneticPr fontId="40" type="noConversion"/>
  </si>
  <si>
    <t>水环热泵室外机</t>
    <phoneticPr fontId="40" type="noConversion"/>
  </si>
  <si>
    <t>空气处理机组</t>
    <phoneticPr fontId="40" type="noConversion"/>
  </si>
  <si>
    <t>日常维护，清洗、加油，每月一次</t>
    <phoneticPr fontId="40" type="noConversion"/>
  </si>
  <si>
    <t>更换500元以下配件，包含皮带（损坏量较大）</t>
    <phoneticPr fontId="40" type="noConversion"/>
  </si>
  <si>
    <t>多联机室外机</t>
    <phoneticPr fontId="40" type="noConversion"/>
  </si>
  <si>
    <t>阳光房、总裁室，3层室内机，主机清洗</t>
    <phoneticPr fontId="40" type="noConversion"/>
  </si>
  <si>
    <t>多联机室内机</t>
    <phoneticPr fontId="40" type="noConversion"/>
  </si>
  <si>
    <t>3层32台，阳光房10台，总裁办公室2台，休息室1台，清洗，含500元以下配件</t>
    <phoneticPr fontId="40" type="noConversion"/>
  </si>
  <si>
    <t>送排风机风机</t>
    <phoneticPr fontId="40" type="noConversion"/>
  </si>
  <si>
    <t>全包：位置空调机房，车库，卫生间、加油，（皮带，轴承）</t>
    <phoneticPr fontId="40" type="noConversion"/>
  </si>
  <si>
    <t>防排烟风机</t>
    <phoneticPr fontId="40" type="noConversion"/>
  </si>
  <si>
    <t>全包：保证机组正常运行，有保养记录</t>
    <phoneticPr fontId="40" type="noConversion"/>
  </si>
  <si>
    <t>智能型诱导通风风机</t>
    <phoneticPr fontId="40" type="noConversion"/>
  </si>
  <si>
    <t>全包</t>
    <phoneticPr fontId="40" type="noConversion"/>
  </si>
  <si>
    <t>散热器（含热力站日常养护）</t>
    <phoneticPr fontId="40" type="noConversion"/>
  </si>
  <si>
    <t>组</t>
    <phoneticPr fontId="40" type="noConversion"/>
  </si>
  <si>
    <t>每年供暖前期检测，含排水、冲水，含热力站日常养护，不包配件，末端（暖气片）配件全包</t>
    <phoneticPr fontId="40" type="noConversion"/>
  </si>
  <si>
    <t>乙二醇定压装置</t>
  </si>
  <si>
    <t>日常维护</t>
    <phoneticPr fontId="40" type="noConversion"/>
  </si>
  <si>
    <t xml:space="preserve">水处理器 </t>
    <phoneticPr fontId="40" type="noConversion"/>
  </si>
  <si>
    <t>个</t>
  </si>
  <si>
    <t>自动排污，处理水质，空调冷冻、冷却，租户冷冻、冷却水使用</t>
    <phoneticPr fontId="40" type="noConversion"/>
  </si>
  <si>
    <t>加湿变频补水泵组</t>
    <phoneticPr fontId="40" type="noConversion"/>
  </si>
  <si>
    <t>为高压微雾加湿泵供水，含软水器和水箱，含500元以下配件</t>
    <phoneticPr fontId="40" type="noConversion"/>
  </si>
  <si>
    <t>冷却塔补水变频给水泵组</t>
    <phoneticPr fontId="40" type="noConversion"/>
  </si>
  <si>
    <t>日常维护，含500元以下配件</t>
    <phoneticPr fontId="40" type="noConversion"/>
  </si>
  <si>
    <t>负荷侧冷冻水循环泵</t>
    <phoneticPr fontId="131" type="noConversion"/>
  </si>
  <si>
    <t>台</t>
  </si>
  <si>
    <t>日常维护，含运行，保洁，加油，维修人工，不含500元以上配件</t>
    <phoneticPr fontId="40" type="noConversion"/>
  </si>
  <si>
    <t>基载冷冻水循环泵</t>
    <phoneticPr fontId="40" type="noConversion"/>
  </si>
  <si>
    <t>双工况主机冷却水循环泵</t>
    <phoneticPr fontId="40" type="noConversion"/>
  </si>
  <si>
    <t>乙二醇泵</t>
    <phoneticPr fontId="40" type="noConversion"/>
  </si>
  <si>
    <t>基载主机冷却水循环泵</t>
    <phoneticPr fontId="40" type="noConversion"/>
  </si>
  <si>
    <t>租户冷却水一次泵</t>
    <phoneticPr fontId="40" type="noConversion"/>
  </si>
  <si>
    <t>租户冷却水二次泵</t>
    <phoneticPr fontId="40" type="noConversion"/>
  </si>
  <si>
    <t xml:space="preserve">蓄冰槽 </t>
    <phoneticPr fontId="131" type="noConversion"/>
  </si>
  <si>
    <t>日常维护，含保温、阀门</t>
    <phoneticPr fontId="40" type="noConversion"/>
  </si>
  <si>
    <t>板式换热器</t>
  </si>
  <si>
    <t>冷冻站，5台板换（2台乙二醇，融冰时使用，3台租户冷却水），日常维护，清洗</t>
    <phoneticPr fontId="40" type="noConversion"/>
  </si>
  <si>
    <t xml:space="preserve">方形横流式冷却塔 </t>
    <phoneticPr fontId="40" type="noConversion"/>
  </si>
  <si>
    <t>楼顶6台冷却塔，含清洗，含500元以下配件</t>
    <phoneticPr fontId="40" type="noConversion"/>
  </si>
  <si>
    <t>乙二醇更换</t>
    <phoneticPr fontId="40" type="noConversion"/>
  </si>
  <si>
    <t>顿</t>
    <phoneticPr fontId="40" type="noConversion"/>
  </si>
  <si>
    <t>如需补充由搜狐单独支付费用</t>
    <phoneticPr fontId="40" type="noConversion"/>
  </si>
  <si>
    <t>VAVbox箱</t>
    <phoneticPr fontId="40" type="noConversion"/>
  </si>
  <si>
    <t>日常维护调试，含500以下配件（面板）</t>
    <phoneticPr fontId="40" type="noConversion"/>
  </si>
  <si>
    <t>管道，阀门</t>
    <phoneticPr fontId="40" type="noConversion"/>
  </si>
  <si>
    <t>项</t>
    <phoneticPr fontId="40" type="noConversion"/>
  </si>
  <si>
    <t>包含空调系统和采暖系统阀门日常维护，含500元以下配件</t>
    <phoneticPr fontId="40" type="noConversion"/>
  </si>
  <si>
    <t xml:space="preserve"> 全自动软化器</t>
    <phoneticPr fontId="40" type="noConversion"/>
  </si>
  <si>
    <t>空调、风机控制箱</t>
    <phoneticPr fontId="40" type="noConversion"/>
  </si>
  <si>
    <t>个</t>
    <phoneticPr fontId="40" type="noConversion"/>
  </si>
  <si>
    <t>中央工作站</t>
    <phoneticPr fontId="4" type="noConversion"/>
  </si>
  <si>
    <t>台</t>
    <phoneticPr fontId="4" type="noConversion"/>
  </si>
  <si>
    <t>两台控制电脑，含软硬件（一台负责VAV，一台负责冷冻站）</t>
    <phoneticPr fontId="40" type="noConversion"/>
  </si>
  <si>
    <t>人工费</t>
    <phoneticPr fontId="40" type="noConversion"/>
  </si>
  <si>
    <t>空调系统维保</t>
    <phoneticPr fontId="40" type="noConversion"/>
  </si>
  <si>
    <t>空调系统维保</t>
    <phoneticPr fontId="4" type="noConversion"/>
  </si>
  <si>
    <t>月均费用</t>
    <phoneticPr fontId="1" type="noConversion"/>
  </si>
  <si>
    <t>总计</t>
    <phoneticPr fontId="40" type="noConversion"/>
  </si>
  <si>
    <t>高压微雾加湿系统</t>
    <phoneticPr fontId="40" type="noConversion"/>
  </si>
  <si>
    <r>
      <t>同方</t>
    </r>
    <r>
      <rPr>
        <sz val="10"/>
        <rFont val="Calibri"/>
        <family val="2"/>
      </rPr>
      <t>7</t>
    </r>
    <r>
      <rPr>
        <sz val="10"/>
        <rFont val="宋体"/>
        <family val="3"/>
        <charset val="134"/>
      </rPr>
      <t>层退租恢复费用</t>
    </r>
  </si>
  <si>
    <t>同方7层退租恢复费用</t>
    <phoneticPr fontId="1" type="noConversion"/>
  </si>
  <si>
    <r>
      <t>2014</t>
    </r>
    <r>
      <rPr>
        <b/>
        <sz val="10"/>
        <rFont val="宋体"/>
        <family val="3"/>
        <charset val="134"/>
      </rPr>
      <t>预算</t>
    </r>
    <phoneticPr fontId="4" type="noConversion"/>
  </si>
  <si>
    <r>
      <rPr>
        <b/>
        <sz val="10"/>
        <rFont val="宋体"/>
        <family val="3"/>
        <charset val="134"/>
      </rPr>
      <t>与</t>
    </r>
    <r>
      <rPr>
        <b/>
        <sz val="10"/>
        <rFont val="Calibri"/>
        <family val="2"/>
      </rPr>
      <t>2014</t>
    </r>
    <r>
      <rPr>
        <b/>
        <sz val="10"/>
        <rFont val="宋体"/>
        <family val="3"/>
        <charset val="134"/>
      </rPr>
      <t>金额差异</t>
    </r>
    <phoneticPr fontId="1" type="noConversion"/>
  </si>
  <si>
    <t>武汉研发中心</t>
    <phoneticPr fontId="1" type="noConversion"/>
  </si>
  <si>
    <r>
      <rPr>
        <b/>
        <sz val="10"/>
        <color rgb="FFFF0000"/>
        <rFont val="宋体"/>
        <family val="3"/>
        <charset val="134"/>
      </rPr>
      <t>（北京全办公区以及新增融科</t>
    </r>
    <r>
      <rPr>
        <b/>
        <sz val="10"/>
        <color rgb="FFFF0000"/>
        <rFont val="Calibri"/>
        <family val="2"/>
      </rPr>
      <t>C10F</t>
    </r>
    <r>
      <rPr>
        <b/>
        <sz val="10"/>
        <color rgb="FFFF0000"/>
        <rFont val="宋体"/>
        <family val="3"/>
        <charset val="134"/>
      </rPr>
      <t>及武汉研发中心、新增预留工位以及文化建设，不含搜狗）</t>
    </r>
    <phoneticPr fontId="1" type="noConversion"/>
  </si>
  <si>
    <t>保安费</t>
    <phoneticPr fontId="1" type="noConversion"/>
  </si>
  <si>
    <t>租金</t>
    <phoneticPr fontId="1" type="noConversion"/>
  </si>
  <si>
    <t>停车费</t>
    <phoneticPr fontId="1" type="noConversion"/>
  </si>
  <si>
    <t>项目</t>
    <phoneticPr fontId="1" type="noConversion"/>
  </si>
  <si>
    <t>电费</t>
    <phoneticPr fontId="1" type="noConversion"/>
  </si>
  <si>
    <t>饮用水</t>
    <phoneticPr fontId="1" type="noConversion"/>
  </si>
  <si>
    <t>北京视频</t>
    <phoneticPr fontId="1" type="noConversion"/>
  </si>
  <si>
    <t>保洁费</t>
    <phoneticPr fontId="1" type="noConversion"/>
  </si>
  <si>
    <t>北京焦点</t>
    <phoneticPr fontId="1" type="noConversion"/>
  </si>
  <si>
    <t>北京搜狐</t>
    <phoneticPr fontId="1" type="noConversion"/>
  </si>
  <si>
    <t>武汉研发</t>
    <phoneticPr fontId="1" type="noConversion"/>
  </si>
  <si>
    <t>年份\公司</t>
    <phoneticPr fontId="1" type="noConversion"/>
  </si>
  <si>
    <t>地毯清洁费</t>
    <phoneticPr fontId="1" type="noConversion"/>
  </si>
  <si>
    <t>茶间阿姨费</t>
    <phoneticPr fontId="1" type="noConversion"/>
  </si>
  <si>
    <t>茶水间费用</t>
    <phoneticPr fontId="1" type="noConversion"/>
  </si>
  <si>
    <t>瓷杯制作费</t>
    <phoneticPr fontId="1" type="noConversion"/>
  </si>
  <si>
    <t>纸杯制作费</t>
    <phoneticPr fontId="1" type="noConversion"/>
  </si>
  <si>
    <t>工位牌/卡壳</t>
    <phoneticPr fontId="1" type="noConversion"/>
  </si>
  <si>
    <t>RFID标签</t>
    <phoneticPr fontId="1" type="noConversion"/>
  </si>
  <si>
    <t>所有办公区家具维修</t>
    <phoneticPr fontId="4" type="noConversion"/>
  </si>
  <si>
    <t>所有办公区家具维修</t>
    <phoneticPr fontId="1" type="noConversion"/>
  </si>
  <si>
    <t>各项维护合同费用</t>
    <phoneticPr fontId="1" type="noConversion"/>
  </si>
  <si>
    <t>各项维护合同费用</t>
    <phoneticPr fontId="1" type="noConversion"/>
  </si>
  <si>
    <t>日常维护材料费用</t>
    <phoneticPr fontId="1" type="noConversion"/>
  </si>
  <si>
    <t>日常维护材料费用</t>
    <phoneticPr fontId="1" type="noConversion"/>
  </si>
  <si>
    <t>卫星电视维护使用费</t>
    <phoneticPr fontId="1" type="noConversion"/>
  </si>
  <si>
    <t>财产保险</t>
    <phoneticPr fontId="1" type="noConversion"/>
  </si>
  <si>
    <t>资产</t>
    <phoneticPr fontId="1" type="noConversion"/>
  </si>
  <si>
    <t>车辆保险</t>
    <phoneticPr fontId="1" type="noConversion"/>
  </si>
  <si>
    <t>办公用品费</t>
    <phoneticPr fontId="1" type="noConversion"/>
  </si>
  <si>
    <t>北京汽车</t>
    <phoneticPr fontId="1" type="noConversion"/>
  </si>
  <si>
    <t>水费</t>
    <phoneticPr fontId="1" type="noConversion"/>
  </si>
  <si>
    <t>电话费</t>
    <phoneticPr fontId="1" type="noConversion"/>
  </si>
  <si>
    <t>租赁税</t>
    <phoneticPr fontId="1" type="noConversion"/>
  </si>
  <si>
    <t>√</t>
    <phoneticPr fontId="1" type="noConversion"/>
  </si>
  <si>
    <t>√</t>
    <phoneticPr fontId="1" type="noConversion"/>
  </si>
  <si>
    <t>家具更新</t>
    <phoneticPr fontId="1" type="noConversion"/>
  </si>
  <si>
    <t>杀虫除蟑</t>
    <phoneticPr fontId="1" type="noConversion"/>
  </si>
  <si>
    <t>家具更新</t>
    <phoneticPr fontId="1" type="noConversion"/>
  </si>
  <si>
    <t>车辆维修保养</t>
    <phoneticPr fontId="1" type="noConversion"/>
  </si>
  <si>
    <t>企业文化活动</t>
    <phoneticPr fontId="1" type="noConversion"/>
  </si>
  <si>
    <t>工程改造及购买主材费</t>
    <phoneticPr fontId="1" type="noConversion"/>
  </si>
  <si>
    <t>租摆</t>
    <phoneticPr fontId="1" type="noConversion"/>
  </si>
  <si>
    <t>全公司</t>
  </si>
  <si>
    <t>Others日常</t>
  </si>
  <si>
    <t>Others维护费</t>
  </si>
  <si>
    <t>全公司财产保险等</t>
  </si>
  <si>
    <t>复印机及家具维护费</t>
  </si>
  <si>
    <t>班车</t>
  </si>
  <si>
    <t>绿植租摆</t>
  </si>
  <si>
    <t>茶水费、饮水费等</t>
  </si>
  <si>
    <t>车辆保险/保养等</t>
  </si>
  <si>
    <t>水电费</t>
  </si>
  <si>
    <t>租金</t>
  </si>
  <si>
    <t>同方D座7层</t>
  </si>
  <si>
    <t>保安费</t>
  </si>
  <si>
    <t>保洁费</t>
  </si>
  <si>
    <t>物业费</t>
  </si>
  <si>
    <t>车位费</t>
  </si>
  <si>
    <t>同方D座8层</t>
  </si>
  <si>
    <t>搜狐媒体大厦</t>
  </si>
  <si>
    <t>搜狐网络大厦</t>
  </si>
  <si>
    <t>卫星收视费</t>
  </si>
  <si>
    <t>清洗地毯及石材保养</t>
  </si>
  <si>
    <t>融科A座4层</t>
  </si>
  <si>
    <t>融科C座19-20层</t>
  </si>
  <si>
    <t>融科C座10层</t>
  </si>
  <si>
    <t>地点</t>
    <phoneticPr fontId="1" type="noConversion"/>
  </si>
  <si>
    <t>费用类别</t>
    <phoneticPr fontId="1" type="noConversion"/>
  </si>
  <si>
    <r>
      <rPr>
        <sz val="10"/>
        <rFont val="宋体"/>
        <family val="3"/>
        <charset val="134"/>
      </rPr>
      <t>同方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层</t>
    </r>
    <phoneticPr fontId="1" type="noConversion"/>
  </si>
  <si>
    <t>全公司</t>
    <phoneticPr fontId="1" type="noConversion"/>
  </si>
  <si>
    <t>搜狐媒体大厦</t>
    <phoneticPr fontId="1" type="noConversion"/>
  </si>
  <si>
    <r>
      <rPr>
        <sz val="10"/>
        <rFont val="宋体"/>
        <family val="3"/>
        <charset val="134"/>
      </rPr>
      <t>融科</t>
    </r>
    <r>
      <rPr>
        <sz val="10"/>
        <rFont val="Calibri"/>
        <family val="2"/>
      </rPr>
      <t>A</t>
    </r>
    <r>
      <rPr>
        <sz val="10"/>
        <rFont val="宋体"/>
        <family val="3"/>
        <charset val="134"/>
      </rPr>
      <t>座</t>
    </r>
    <r>
      <rPr>
        <sz val="10"/>
        <rFont val="Calibri"/>
        <family val="2"/>
      </rPr>
      <t>4</t>
    </r>
    <r>
      <rPr>
        <sz val="10"/>
        <rFont val="宋体"/>
        <family val="3"/>
        <charset val="134"/>
      </rPr>
      <t>层</t>
    </r>
    <phoneticPr fontId="1" type="noConversion"/>
  </si>
  <si>
    <t>皂君庙</t>
    <phoneticPr fontId="1" type="noConversion"/>
  </si>
  <si>
    <t>取暖费</t>
  </si>
  <si>
    <t>茶水费、饮水费等</t>
    <phoneticPr fontId="1" type="noConversion"/>
  </si>
  <si>
    <t>Others日常</t>
    <phoneticPr fontId="1" type="noConversion"/>
  </si>
  <si>
    <t>全公司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</si>
</sst>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4">
    <numFmt numFmtId="41" formatCode="_ * #,##0_ ;_ * \-#,##0_ ;_ * &quot;-&quot;_ ;_ @_ "/>
    <numFmt numFmtId="43" formatCode="_ * #,##0.00_ ;_ * \-#,##0.00_ ;_ * &quot;-&quot;??_ ;_ @_ "/>
    <numFmt numFmtId="176" formatCode="_ &quot;￥&quot;* #,##0.00_ ;_ &quot;￥&quot;* \-#,##0.00_ ;_ &quot;￥&quot;* &quot;-&quot;??_ ;_ @_ "/>
    <numFmt numFmtId="177" formatCode="0.00_);[Red]\(0.00\)"/>
    <numFmt numFmtId="178" formatCode="#,##0_);[Red]\(#,##0\)"/>
    <numFmt numFmtId="179" formatCode="_-* #,##0_-;\-* #,##0_-;_-* &quot;-&quot;_-;_-@_-"/>
    <numFmt numFmtId="180" formatCode="0.00_);\(0.00\)"/>
    <numFmt numFmtId="181" formatCode="#,##0_ "/>
    <numFmt numFmtId="182" formatCode="#,##0.00_ "/>
    <numFmt numFmtId="183" formatCode="_(* #,##0.00_);_(* \(#,##0.00\);_(* &quot;-&quot;??_);_(@_)"/>
    <numFmt numFmtId="184" formatCode="_-* #,##0.00_-;\-* #,##0.00_-;_-* &quot;-&quot;??_-;_-@_-"/>
    <numFmt numFmtId="185" formatCode="0_ "/>
    <numFmt numFmtId="186" formatCode="0_);[Red]\(0\)"/>
    <numFmt numFmtId="187" formatCode="0_ ;[Red]\-0\ "/>
    <numFmt numFmtId="188" formatCode="#,##0_ ;[Red]\-#,##0\ "/>
    <numFmt numFmtId="189" formatCode="_ * #,##0_ ;_ * \-#,##0_ ;_ * &quot;-&quot;??_ ;_ @_ "/>
    <numFmt numFmtId="190" formatCode="dd\-mmm\-yy_)"/>
    <numFmt numFmtId="191" formatCode="0.0%"/>
    <numFmt numFmtId="192" formatCode="_-* #,##0&quot;¥&quot;_-;\-* #,##0&quot;¥&quot;_-;_-* &quot;-&quot;&quot;¥&quot;_-;_-@_-"/>
    <numFmt numFmtId="193" formatCode="yymmmmdd"/>
    <numFmt numFmtId="194" formatCode="&quot;$&quot;#,##0;[Red]\-&quot;$&quot;#,##0"/>
    <numFmt numFmtId="195" formatCode="&quot;$&quot;#,##0;\-&quot;$&quot;#,##0"/>
    <numFmt numFmtId="196" formatCode="&quot;$&quot;#,##0.00;\-&quot;$&quot;#,##0.00"/>
    <numFmt numFmtId="197" formatCode="#,##0.0_);\(#,##0.0\)"/>
    <numFmt numFmtId="198" formatCode="_(* #,##0_);_(* \(#,##0\);_(* &quot;-&quot;_);_(@_)"/>
    <numFmt numFmtId="199" formatCode="&quot;$&quot;#,##0_);[Red]\(&quot;$&quot;#,##0\)"/>
    <numFmt numFmtId="200" formatCode="&quot;$&quot;#,##0.00_);[Red]\(&quot;$&quot;#,##0.00\)"/>
    <numFmt numFmtId="201" formatCode="_ &quot;\&quot;* #,##0.00_ ;_ &quot;\&quot;* \-#,##0.00_ ;_ &quot;\&quot;* &quot;-&quot;??_ ;_ @_ "/>
    <numFmt numFmtId="202" formatCode="&quot;$&quot;#,##0.0_);\(&quot;$&quot;#,##0.0\)"/>
    <numFmt numFmtId="203" formatCode="_(&quot;$&quot;* #,##0.00_);_(&quot;$&quot;* \(#,##0.00\);_(&quot;$&quot;* &quot;-&quot;??_);_(@_)"/>
    <numFmt numFmtId="204" formatCode="_(&quot;$&quot;* #,##0_);_(&quot;$&quot;* \(#,##0\);_(&quot;$&quot;* &quot;-&quot;_);_(@_)"/>
    <numFmt numFmtId="205" formatCode="_-&quot;$&quot;* #,##0_-;\-&quot;$&quot;* #,##0_-;_-&quot;$&quot;* &quot;-&quot;_-;_-@_-"/>
    <numFmt numFmtId="206" formatCode="_-&quot;$&quot;* #,##0.00_-;\-&quot;$&quot;* #,##0.00_-;_-&quot;$&quot;* &quot;-&quot;??_-;_-@_-"/>
    <numFmt numFmtId="207" formatCode="0.00_ "/>
  </numFmts>
  <fonts count="13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2"/>
      <name val="Arial"/>
      <family val="2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0"/>
      <name val="Times New Roman"/>
      <family val="1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</font>
    <font>
      <b/>
      <sz val="11"/>
      <color indexed="8"/>
      <name val="黑体"/>
      <family val="3"/>
      <charset val="134"/>
    </font>
    <font>
      <sz val="9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0"/>
      <color rgb="FFFF0000"/>
      <name val="Arial"/>
      <family val="2"/>
    </font>
    <font>
      <sz val="10"/>
      <color theme="1"/>
      <name val="宋体"/>
      <family val="2"/>
      <charset val="134"/>
      <scheme val="minor"/>
    </font>
    <font>
      <sz val="10"/>
      <color theme="1"/>
      <name val="Arial Unicode MS"/>
      <family val="2"/>
      <charset val="134"/>
    </font>
    <font>
      <b/>
      <sz val="10"/>
      <name val="Arial Unicode MS"/>
      <family val="2"/>
      <charset val="134"/>
    </font>
    <font>
      <sz val="10"/>
      <name val="Arial Unicode MS"/>
      <family val="2"/>
      <charset val="134"/>
    </font>
    <font>
      <sz val="10"/>
      <name val="Helv"/>
      <family val="2"/>
    </font>
    <font>
      <sz val="12"/>
      <name val="宋体"/>
      <family val="3"/>
      <charset val="134"/>
      <scheme val="minor"/>
    </font>
    <font>
      <b/>
      <sz val="12"/>
      <color indexed="8"/>
      <name val="Arial Unicode MS"/>
      <family val="2"/>
      <charset val="134"/>
    </font>
    <font>
      <b/>
      <sz val="10"/>
      <color indexed="8"/>
      <name val="Arial Unicode MS"/>
      <family val="2"/>
      <charset val="134"/>
    </font>
    <font>
      <sz val="12"/>
      <name val="宋体"/>
      <family val="3"/>
      <charset val="134"/>
    </font>
    <font>
      <sz val="10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b/>
      <u/>
      <sz val="10"/>
      <name val="Arial"/>
      <family val="2"/>
    </font>
    <font>
      <u/>
      <sz val="10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u/>
      <sz val="10"/>
      <name val="Arial"/>
      <family val="2"/>
    </font>
    <font>
      <b/>
      <u val="singleAccounting"/>
      <sz val="10"/>
      <name val="Arial"/>
      <family val="2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Arial"/>
      <family val="2"/>
    </font>
    <font>
      <sz val="9"/>
      <name val="宋体"/>
      <family val="3"/>
      <charset val="134"/>
      <scheme val="minor"/>
    </font>
    <font>
      <sz val="10"/>
      <color rgb="FFFF0000"/>
      <name val="Arial"/>
      <family val="2"/>
    </font>
    <font>
      <sz val="10"/>
      <color rgb="FFFF0000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name val="Tahoma"/>
      <family val="2"/>
    </font>
    <font>
      <sz val="10"/>
      <color rgb="FFFF0000"/>
      <name val="Tahoma"/>
      <family val="2"/>
    </font>
    <font>
      <b/>
      <sz val="10"/>
      <color rgb="FFFF0066"/>
      <name val="Arial"/>
      <family val="2"/>
    </font>
    <font>
      <b/>
      <u/>
      <sz val="10"/>
      <color rgb="FFFF0066"/>
      <name val="Arial"/>
      <family val="2"/>
    </font>
    <font>
      <b/>
      <u/>
      <sz val="10"/>
      <color rgb="FFFF0066"/>
      <name val="宋体"/>
      <family val="3"/>
      <charset val="134"/>
    </font>
    <font>
      <b/>
      <sz val="10"/>
      <name val="Calibri"/>
      <family val="2"/>
    </font>
    <font>
      <sz val="11"/>
      <color theme="1"/>
      <name val="Calibri"/>
      <family val="2"/>
    </font>
    <font>
      <sz val="10"/>
      <name val="Calibri"/>
      <family val="2"/>
    </font>
    <font>
      <b/>
      <sz val="10"/>
      <color indexed="1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.5"/>
      <color theme="1"/>
      <name val="Calibri"/>
      <family val="2"/>
    </font>
    <font>
      <sz val="12"/>
      <color theme="1"/>
      <name val="Calibri"/>
      <family val="2"/>
    </font>
    <font>
      <b/>
      <sz val="10"/>
      <color rgb="FF000000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sz val="10"/>
      <name val="Geneva"/>
      <family val="2"/>
    </font>
    <font>
      <sz val="10"/>
      <color indexed="8"/>
      <name val="Calibri"/>
      <family val="2"/>
    </font>
    <font>
      <u/>
      <sz val="10"/>
      <name val="Calibri"/>
      <family val="2"/>
    </font>
    <font>
      <b/>
      <u val="singleAccounting"/>
      <sz val="10"/>
      <name val="Calibri"/>
      <family val="2"/>
    </font>
    <font>
      <sz val="10"/>
      <color rgb="FFFF0066"/>
      <name val="Calibri"/>
      <family val="2"/>
    </font>
    <font>
      <b/>
      <sz val="10"/>
      <color rgb="FFFF33CC"/>
      <name val="Calibri"/>
      <family val="2"/>
    </font>
    <font>
      <sz val="10"/>
      <color rgb="FFFF33CC"/>
      <name val="Calibri"/>
      <family val="2"/>
    </font>
    <font>
      <u/>
      <sz val="10"/>
      <color rgb="FFFF0066"/>
      <name val="Arial"/>
      <family val="2"/>
    </font>
    <font>
      <sz val="10"/>
      <color rgb="FFFF0066"/>
      <name val="Arial"/>
      <family val="2"/>
    </font>
    <font>
      <sz val="10"/>
      <color rgb="FFFF0066"/>
      <name val="宋体"/>
      <family val="3"/>
      <charset val="134"/>
    </font>
    <font>
      <b/>
      <sz val="10"/>
      <color rgb="FFFF33CC"/>
      <name val="Arial"/>
      <family val="2"/>
    </font>
    <font>
      <u/>
      <sz val="10"/>
      <color rgb="FFFF33CC"/>
      <name val="Arial"/>
      <family val="2"/>
    </font>
    <font>
      <sz val="10"/>
      <color rgb="FFFF33CC"/>
      <name val="Arial"/>
      <family val="2"/>
    </font>
    <font>
      <sz val="10"/>
      <color rgb="FFFF33CC"/>
      <name val="宋体"/>
      <family val="3"/>
      <charset val="134"/>
    </font>
    <font>
      <b/>
      <u val="singleAccounting"/>
      <sz val="10"/>
      <color rgb="FFFF0000"/>
      <name val="Calibri"/>
      <family val="2"/>
    </font>
    <font>
      <b/>
      <sz val="12"/>
      <color rgb="FFFF0000"/>
      <name val="Calibri"/>
      <family val="2"/>
    </font>
    <font>
      <b/>
      <u/>
      <sz val="10"/>
      <color rgb="FFFF0000"/>
      <name val="Arial"/>
      <family val="2"/>
    </font>
    <font>
      <sz val="10"/>
      <color rgb="FFFF0000"/>
      <name val="Calibri"/>
      <family val="2"/>
    </font>
    <font>
      <u/>
      <sz val="10"/>
      <color rgb="FFFF0000"/>
      <name val="Calibri"/>
      <family val="2"/>
    </font>
    <font>
      <sz val="12"/>
      <name val="Times New Roman"/>
      <family val="1"/>
    </font>
    <font>
      <sz val="13"/>
      <name val="Tms Rmn"/>
      <family val="1"/>
    </font>
    <font>
      <sz val="12"/>
      <name val="??ì?"/>
      <family val="1"/>
    </font>
    <font>
      <sz val="8"/>
      <name val="Times New Roman"/>
      <family val="1"/>
    </font>
    <font>
      <sz val="12"/>
      <name val="Tms Rmn"/>
      <family val="1"/>
    </font>
    <font>
      <b/>
      <sz val="10"/>
      <name val="Helv"/>
      <family val="2"/>
    </font>
    <font>
      <b/>
      <sz val="13"/>
      <name val="Tms Rmn"/>
      <family val="1"/>
    </font>
    <font>
      <b/>
      <sz val="8"/>
      <name val="Arial"/>
      <family val="2"/>
    </font>
    <font>
      <sz val="10"/>
      <name val="MS Sans Serif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Helv"/>
      <family val="2"/>
    </font>
    <font>
      <b/>
      <sz val="8"/>
      <name val="MS Sans Serif"/>
      <family val="2"/>
    </font>
    <font>
      <sz val="12"/>
      <name val="Helv"/>
      <family val="2"/>
    </font>
    <font>
      <sz val="12"/>
      <color indexed="9"/>
      <name val="Helv"/>
      <family val="2"/>
    </font>
    <font>
      <b/>
      <sz val="11"/>
      <name val="Helv"/>
      <family val="2"/>
    </font>
    <font>
      <sz val="7"/>
      <name val="Small Fonts"/>
      <family val="2"/>
    </font>
    <font>
      <b/>
      <sz val="10"/>
      <name val="MS Sans Serif"/>
      <family val="2"/>
    </font>
    <font>
      <sz val="8"/>
      <name val="Wingdings"/>
      <charset val="2"/>
    </font>
    <font>
      <sz val="8"/>
      <name val="MS Sans Serif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8"/>
      <color indexed="8"/>
      <name val="Helv"/>
      <family val="2"/>
    </font>
    <font>
      <sz val="10"/>
      <color theme="1"/>
      <name val="宋体"/>
      <family val="3"/>
      <charset val="134"/>
      <scheme val="minor"/>
    </font>
    <font>
      <b/>
      <sz val="11"/>
      <name val="Calibri"/>
      <family val="2"/>
    </font>
    <font>
      <sz val="1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rgb="FFFF0000"/>
      <name val="Calibri"/>
      <family val="2"/>
    </font>
    <font>
      <b/>
      <u/>
      <sz val="10"/>
      <color rgb="FFFF0000"/>
      <name val="Calibri"/>
      <family val="2"/>
    </font>
    <font>
      <b/>
      <sz val="10"/>
      <color indexed="8"/>
      <name val="Calibri"/>
      <family val="2"/>
    </font>
    <font>
      <sz val="10"/>
      <color indexed="12"/>
      <name val="Calibri"/>
      <family val="2"/>
    </font>
    <font>
      <b/>
      <sz val="10"/>
      <color theme="1"/>
      <name val="宋体"/>
      <family val="2"/>
      <charset val="134"/>
    </font>
    <font>
      <b/>
      <sz val="8"/>
      <name val="Arial Unicode MS"/>
      <family val="2"/>
      <charset val="134"/>
    </font>
    <font>
      <b/>
      <sz val="20"/>
      <color indexed="8"/>
      <name val="Arial Narrow"/>
      <family val="2"/>
    </font>
    <font>
      <b/>
      <sz val="20"/>
      <color indexed="8"/>
      <name val="仿宋_GB2312"/>
      <family val="3"/>
      <charset val="134"/>
    </font>
    <font>
      <sz val="11"/>
      <color theme="1"/>
      <name val="Arial Narrow"/>
      <family val="2"/>
    </font>
    <font>
      <sz val="11"/>
      <color rgb="FFFF0000"/>
      <name val="Arial Narrow"/>
      <family val="2"/>
    </font>
    <font>
      <sz val="10"/>
      <color rgb="FFFF0000"/>
      <name val="Arial Narrow"/>
      <family val="2"/>
    </font>
    <font>
      <b/>
      <sz val="11"/>
      <name val="黑体"/>
      <family val="3"/>
      <charset val="134"/>
    </font>
    <font>
      <b/>
      <sz val="1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11"/>
      <color indexed="8"/>
      <name val="Arial Narrow"/>
      <family val="2"/>
    </font>
    <font>
      <sz val="10"/>
      <color indexed="8"/>
      <name val="Arial Narrow"/>
      <family val="2"/>
    </font>
    <font>
      <b/>
      <sz val="10"/>
      <color indexed="10"/>
      <name val="宋体"/>
      <family val="3"/>
      <charset val="134"/>
    </font>
    <font>
      <u/>
      <sz val="10"/>
      <color indexed="12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Arial Narrow"/>
      <family val="2"/>
    </font>
    <font>
      <b/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name val="Arial"/>
      <family val="2"/>
    </font>
    <font>
      <sz val="11"/>
      <color indexed="8"/>
      <name val="宋体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darkVertical"/>
    </fill>
    <fill>
      <patternFill patternType="gray0625"/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38">
    <xf numFmtId="0" fontId="0" fillId="0" borderId="0">
      <alignment vertical="center"/>
    </xf>
    <xf numFmtId="0" fontId="2" fillId="0" borderId="0"/>
    <xf numFmtId="43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41" fontId="2" fillId="0" borderId="0" applyFont="0" applyFill="0" applyBorder="0" applyAlignment="0" applyProtection="0">
      <alignment vertical="center"/>
    </xf>
    <xf numFmtId="0" fontId="6" fillId="0" borderId="0"/>
    <xf numFmtId="0" fontId="9" fillId="0" borderId="0"/>
    <xf numFmtId="0" fontId="24" fillId="0" borderId="0"/>
    <xf numFmtId="41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8" fillId="0" borderId="0"/>
    <xf numFmtId="0" fontId="2" fillId="0" borderId="0"/>
    <xf numFmtId="9" fontId="33" fillId="0" borderId="0" applyFont="0" applyFill="0" applyBorder="0" applyAlignment="0" applyProtection="0">
      <alignment vertical="center"/>
    </xf>
    <xf numFmtId="0" fontId="2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8" fillId="0" borderId="0">
      <alignment vertical="center"/>
    </xf>
    <xf numFmtId="0" fontId="2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3" fontId="33" fillId="0" borderId="0" applyFont="0" applyFill="0" applyBorder="0" applyAlignment="0" applyProtection="0">
      <alignment vertical="center"/>
    </xf>
    <xf numFmtId="0" fontId="33" fillId="0" borderId="0">
      <alignment vertical="center"/>
      <protection locked="0"/>
    </xf>
    <xf numFmtId="43" fontId="33" fillId="0" borderId="0" applyFont="0" applyFill="0" applyBorder="0" applyAlignment="0" applyProtection="0">
      <alignment vertical="center"/>
    </xf>
    <xf numFmtId="0" fontId="24" fillId="0" borderId="0"/>
    <xf numFmtId="0" fontId="24" fillId="0" borderId="0"/>
    <xf numFmtId="0" fontId="61" fillId="0" borderId="0"/>
    <xf numFmtId="0" fontId="17" fillId="0" borderId="0" applyBorder="0"/>
    <xf numFmtId="0" fontId="17" fillId="0" borderId="0" applyBorder="0"/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0" fontId="37" fillId="0" borderId="0"/>
    <xf numFmtId="0" fontId="2" fillId="0" borderId="0"/>
    <xf numFmtId="0" fontId="2" fillId="0" borderId="0"/>
    <xf numFmtId="0" fontId="2" fillId="0" borderId="0"/>
    <xf numFmtId="0" fontId="37" fillId="0" borderId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0" fillId="0" borderId="0">
      <alignment vertical="center"/>
    </xf>
    <xf numFmtId="0" fontId="17" fillId="0" borderId="0"/>
    <xf numFmtId="184" fontId="17" fillId="0" borderId="0" applyFont="0" applyFill="0" applyBorder="0" applyAlignment="0" applyProtection="0"/>
    <xf numFmtId="0" fontId="80" fillId="0" borderId="0"/>
    <xf numFmtId="190" fontId="2" fillId="0" borderId="0" applyFont="0" applyFill="0" applyBorder="0" applyAlignment="0" applyProtection="0"/>
    <xf numFmtId="0" fontId="2" fillId="0" borderId="0"/>
    <xf numFmtId="191" fontId="81" fillId="0" borderId="0" applyFont="0" applyFill="0" applyBorder="0" applyAlignment="0" applyProtection="0"/>
    <xf numFmtId="10" fontId="81" fillId="0" borderId="0" applyFont="0" applyFill="0" applyBorder="0" applyAlignment="0" applyProtection="0"/>
    <xf numFmtId="0" fontId="82" fillId="0" borderId="0"/>
    <xf numFmtId="0" fontId="24" fillId="0" borderId="0">
      <protection locked="0"/>
    </xf>
    <xf numFmtId="0" fontId="83" fillId="0" borderId="0">
      <alignment horizontal="center" wrapText="1"/>
      <protection locked="0"/>
    </xf>
    <xf numFmtId="0" fontId="84" fillId="0" borderId="0" applyNumberFormat="0" applyFill="0" applyBorder="0" applyAlignment="0" applyProtection="0"/>
    <xf numFmtId="192" fontId="2" fillId="0" borderId="0" applyFill="0" applyBorder="0" applyAlignment="0"/>
    <xf numFmtId="0" fontId="85" fillId="0" borderId="0"/>
    <xf numFmtId="0" fontId="86" fillId="0" borderId="13" applyNumberFormat="0" applyFill="0" applyProtection="0">
      <alignment horizontal="center"/>
    </xf>
    <xf numFmtId="0" fontId="87" fillId="0" borderId="1">
      <alignment horizontal="center"/>
    </xf>
    <xf numFmtId="38" fontId="88" fillId="0" borderId="0" applyFont="0" applyFill="0" applyBorder="0" applyAlignment="0" applyProtection="0"/>
    <xf numFmtId="37" fontId="81" fillId="0" borderId="0" applyFont="0" applyFill="0" applyBorder="0" applyAlignment="0" applyProtection="0"/>
    <xf numFmtId="193" fontId="2" fillId="0" borderId="0" applyFont="0" applyFill="0" applyBorder="0" applyAlignment="0" applyProtection="0"/>
    <xf numFmtId="39" fontId="81" fillId="0" borderId="0" applyFont="0" applyFill="0" applyBorder="0" applyAlignment="0" applyProtection="0"/>
    <xf numFmtId="194" fontId="2" fillId="0" borderId="0">
      <protection locked="0"/>
    </xf>
    <xf numFmtId="0" fontId="89" fillId="0" borderId="0" applyNumberFormat="0" applyAlignment="0">
      <alignment horizontal="left"/>
    </xf>
    <xf numFmtId="184" fontId="2" fillId="0" borderId="0" applyFont="0" applyFill="0" applyBorder="0" applyAlignment="0" applyProtection="0"/>
    <xf numFmtId="195" fontId="81" fillId="0" borderId="0" applyFont="0" applyFill="0" applyBorder="0" applyAlignment="0" applyProtection="0"/>
    <xf numFmtId="196" fontId="81" fillId="0" borderId="0" applyFont="0" applyFill="0" applyBorder="0" applyAlignment="0" applyProtection="0"/>
    <xf numFmtId="194" fontId="2" fillId="0" borderId="0">
      <protection locked="0"/>
    </xf>
    <xf numFmtId="15" fontId="88" fillId="0" borderId="0"/>
    <xf numFmtId="0" fontId="90" fillId="0" borderId="0" applyNumberFormat="0" applyAlignment="0">
      <alignment horizontal="left"/>
    </xf>
    <xf numFmtId="194" fontId="2" fillId="0" borderId="0">
      <protection locked="0"/>
    </xf>
    <xf numFmtId="38" fontId="91" fillId="18" borderId="0" applyNumberFormat="0" applyBorder="0" applyAlignment="0" applyProtection="0"/>
    <xf numFmtId="0" fontId="92" fillId="0" borderId="0">
      <alignment horizontal="left"/>
    </xf>
    <xf numFmtId="0" fontId="3" fillId="0" borderId="45" applyNumberFormat="0" applyAlignment="0" applyProtection="0">
      <alignment horizontal="left" vertical="center"/>
    </xf>
    <xf numFmtId="0" fontId="3" fillId="0" borderId="5">
      <alignment horizontal="left" vertical="center"/>
    </xf>
    <xf numFmtId="194" fontId="2" fillId="0" borderId="0">
      <protection locked="0"/>
    </xf>
    <xf numFmtId="194" fontId="2" fillId="0" borderId="0">
      <protection locked="0"/>
    </xf>
    <xf numFmtId="0" fontId="93" fillId="0" borderId="20">
      <alignment horizontal="center"/>
    </xf>
    <xf numFmtId="0" fontId="93" fillId="0" borderId="0">
      <alignment horizontal="center"/>
    </xf>
    <xf numFmtId="10" fontId="91" fillId="19" borderId="3" applyNumberFormat="0" applyBorder="0" applyAlignment="0" applyProtection="0"/>
    <xf numFmtId="197" fontId="94" fillId="20" borderId="0"/>
    <xf numFmtId="0" fontId="61" fillId="0" borderId="0"/>
    <xf numFmtId="197" fontId="95" fillId="21" borderId="0"/>
    <xf numFmtId="0" fontId="2" fillId="0" borderId="0" applyNumberFormat="0" applyBorder="0" applyAlignment="0"/>
    <xf numFmtId="38" fontId="88" fillId="0" borderId="0" applyFont="0" applyFill="0" applyBorder="0" applyAlignment="0" applyProtection="0"/>
    <xf numFmtId="40" fontId="88" fillId="0" borderId="0" applyFont="0" applyFill="0" applyBorder="0" applyAlignment="0" applyProtection="0"/>
    <xf numFmtId="198" fontId="2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96" fillId="0" borderId="20"/>
    <xf numFmtId="199" fontId="88" fillId="0" borderId="0" applyFont="0" applyFill="0" applyBorder="0" applyAlignment="0" applyProtection="0"/>
    <xf numFmtId="200" fontId="88" fillId="0" borderId="0" applyFont="0" applyFill="0" applyBorder="0" applyAlignment="0" applyProtection="0"/>
    <xf numFmtId="201" fontId="2" fillId="0" borderId="0" applyFont="0" applyFill="0" applyBorder="0" applyAlignment="0" applyProtection="0"/>
    <xf numFmtId="198" fontId="2" fillId="0" borderId="0" applyFont="0" applyFill="0" applyBorder="0" applyAlignment="0" applyProtection="0"/>
    <xf numFmtId="0" fontId="6" fillId="0" borderId="0"/>
    <xf numFmtId="37" fontId="97" fillId="0" borderId="0"/>
    <xf numFmtId="0" fontId="6" fillId="0" borderId="0"/>
    <xf numFmtId="14" fontId="83" fillId="0" borderId="0">
      <alignment horizontal="center" wrapText="1"/>
      <protection locked="0"/>
    </xf>
    <xf numFmtId="10" fontId="17" fillId="0" borderId="0" applyFont="0" applyFill="0" applyBorder="0" applyAlignment="0" applyProtection="0"/>
    <xf numFmtId="13" fontId="17" fillId="0" borderId="0" applyFont="0" applyFill="0" applyProtection="0"/>
    <xf numFmtId="0" fontId="88" fillId="0" borderId="0" applyNumberFormat="0">
      <alignment horizontal="left"/>
    </xf>
    <xf numFmtId="0" fontId="88" fillId="0" borderId="0" applyNumberFormat="0" applyFont="0" applyFill="0" applyBorder="0" applyAlignment="0" applyProtection="0">
      <alignment horizontal="left"/>
    </xf>
    <xf numFmtId="15" fontId="88" fillId="0" borderId="0" applyFont="0" applyFill="0" applyBorder="0" applyAlignment="0" applyProtection="0"/>
    <xf numFmtId="4" fontId="88" fillId="0" borderId="0" applyFont="0" applyFill="0" applyBorder="0" applyAlignment="0" applyProtection="0"/>
    <xf numFmtId="0" fontId="98" fillId="0" borderId="20">
      <alignment horizontal="center"/>
    </xf>
    <xf numFmtId="3" fontId="88" fillId="0" borderId="0" applyFont="0" applyFill="0" applyBorder="0" applyAlignment="0" applyProtection="0"/>
    <xf numFmtId="0" fontId="88" fillId="22" borderId="0" applyNumberFormat="0" applyFont="0" applyBorder="0" applyAlignment="0" applyProtection="0"/>
    <xf numFmtId="0" fontId="99" fillId="23" borderId="0" applyNumberFormat="0" applyFont="0" applyBorder="0" applyAlignment="0">
      <alignment horizontal="center"/>
    </xf>
    <xf numFmtId="202" fontId="2" fillId="0" borderId="0" applyNumberFormat="0" applyFill="0" applyBorder="0" applyAlignment="0" applyProtection="0">
      <alignment horizontal="left"/>
    </xf>
    <xf numFmtId="0" fontId="99" fillId="1" borderId="5" applyNumberFormat="0" applyFont="0" applyAlignment="0">
      <alignment horizontal="center"/>
    </xf>
    <xf numFmtId="0" fontId="100" fillId="0" borderId="0" applyNumberFormat="0" applyFill="0" applyBorder="0" applyAlignment="0">
      <alignment horizontal="center"/>
    </xf>
    <xf numFmtId="0" fontId="101" fillId="24" borderId="7">
      <protection locked="0"/>
    </xf>
    <xf numFmtId="0" fontId="102" fillId="0" borderId="0"/>
    <xf numFmtId="0" fontId="96" fillId="0" borderId="0"/>
    <xf numFmtId="40" fontId="103" fillId="0" borderId="0" applyBorder="0">
      <alignment horizontal="right"/>
    </xf>
    <xf numFmtId="0" fontId="101" fillId="24" borderId="7">
      <protection locked="0"/>
    </xf>
    <xf numFmtId="0" fontId="101" fillId="24" borderId="7">
      <protection locked="0"/>
    </xf>
    <xf numFmtId="194" fontId="2" fillId="0" borderId="46">
      <protection locked="0"/>
    </xf>
    <xf numFmtId="203" fontId="17" fillId="0" borderId="0" applyFont="0" applyFill="0" applyBorder="0" applyAlignment="0" applyProtection="0"/>
    <xf numFmtId="204" fontId="17" fillId="0" borderId="0" applyFont="0" applyFill="0" applyBorder="0" applyAlignment="0" applyProtection="0"/>
    <xf numFmtId="3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205" fontId="91" fillId="0" borderId="0" applyFont="0" applyFill="0" applyBorder="0" applyAlignment="0" applyProtection="0"/>
    <xf numFmtId="206" fontId="91" fillId="0" borderId="0" applyFont="0" applyFill="0" applyBorder="0" applyAlignment="0" applyProtection="0"/>
    <xf numFmtId="0" fontId="80" fillId="0" borderId="0"/>
    <xf numFmtId="179" fontId="91" fillId="0" borderId="0" applyFont="0" applyFill="0" applyBorder="0" applyAlignment="0" applyProtection="0"/>
    <xf numFmtId="184" fontId="91" fillId="0" borderId="0" applyFont="0" applyFill="0" applyBorder="0" applyAlignment="0" applyProtection="0"/>
    <xf numFmtId="179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0" fontId="17" fillId="0" borderId="0"/>
    <xf numFmtId="0" fontId="88" fillId="0" borderId="0"/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0" fontId="8" fillId="0" borderId="0"/>
    <xf numFmtId="0" fontId="132" fillId="0" borderId="0">
      <alignment vertical="center"/>
    </xf>
    <xf numFmtId="43" fontId="132" fillId="0" borderId="0" applyFont="0" applyFill="0" applyBorder="0" applyAlignment="0" applyProtection="0">
      <alignment vertical="center"/>
    </xf>
    <xf numFmtId="9" fontId="132" fillId="0" borderId="0" applyFont="0" applyFill="0" applyBorder="0" applyAlignment="0" applyProtection="0">
      <alignment vertical="center"/>
    </xf>
  </cellStyleXfs>
  <cellXfs count="1573">
    <xf numFmtId="0" fontId="0" fillId="0" borderId="0" xfId="0">
      <alignment vertical="center"/>
    </xf>
    <xf numFmtId="0" fontId="17" fillId="0" borderId="0" xfId="1" applyFont="1" applyFill="1" applyAlignment="1">
      <alignment vertical="center"/>
    </xf>
    <xf numFmtId="0" fontId="16" fillId="0" borderId="0" xfId="1" applyFont="1" applyFill="1" applyAlignment="1">
      <alignment vertical="center"/>
    </xf>
    <xf numFmtId="49" fontId="16" fillId="0" borderId="20" xfId="1" applyNumberFormat="1" applyFont="1" applyFill="1" applyBorder="1" applyAlignment="1">
      <alignment horizontal="center" vertical="center" wrapText="1"/>
    </xf>
    <xf numFmtId="0" fontId="17" fillId="0" borderId="0" xfId="0" applyFont="1" applyFill="1" applyAlignment="1">
      <alignment vertical="center"/>
    </xf>
    <xf numFmtId="41" fontId="16" fillId="0" borderId="20" xfId="1" applyNumberFormat="1" applyFont="1" applyFill="1" applyBorder="1" applyAlignment="1">
      <alignment horizontal="center" vertical="center"/>
    </xf>
    <xf numFmtId="41" fontId="17" fillId="0" borderId="0" xfId="1" applyNumberFormat="1" applyFont="1" applyFill="1" applyAlignment="1">
      <alignment horizontal="center" vertical="center"/>
    </xf>
    <xf numFmtId="49" fontId="16" fillId="0" borderId="20" xfId="1" applyNumberFormat="1" applyFont="1" applyFill="1" applyBorder="1" applyAlignment="1">
      <alignment horizontal="center" vertical="center"/>
    </xf>
    <xf numFmtId="49" fontId="16" fillId="0" borderId="20" xfId="1" applyNumberFormat="1" applyFont="1" applyFill="1" applyBorder="1" applyAlignment="1">
      <alignment horizontal="left" vertical="center"/>
    </xf>
    <xf numFmtId="49" fontId="16" fillId="0" borderId="0" xfId="1" applyNumberFormat="1" applyFont="1" applyFill="1" applyAlignment="1">
      <alignment vertical="center"/>
    </xf>
    <xf numFmtId="49" fontId="16" fillId="0" borderId="0" xfId="1" applyNumberFormat="1" applyFont="1" applyFill="1" applyAlignment="1">
      <alignment horizontal="left" vertical="center" wrapText="1"/>
    </xf>
    <xf numFmtId="49" fontId="17" fillId="0" borderId="0" xfId="1" applyNumberFormat="1" applyFont="1" applyFill="1" applyAlignment="1">
      <alignment vertical="center"/>
    </xf>
    <xf numFmtId="49" fontId="17" fillId="0" borderId="0" xfId="1" applyNumberFormat="1" applyFont="1" applyFill="1" applyAlignment="1">
      <alignment horizontal="left" vertical="center" wrapText="1"/>
    </xf>
    <xf numFmtId="49" fontId="31" fillId="0" borderId="0" xfId="1" applyNumberFormat="1" applyFont="1" applyFill="1" applyAlignment="1">
      <alignment horizontal="left" vertical="center" wrapText="1"/>
    </xf>
    <xf numFmtId="0" fontId="16" fillId="0" borderId="0" xfId="5" applyFont="1" applyFill="1" applyAlignment="1">
      <alignment horizontal="left" vertical="center"/>
    </xf>
    <xf numFmtId="41" fontId="17" fillId="0" borderId="0" xfId="0" applyNumberFormat="1" applyFont="1" applyFill="1" applyAlignment="1">
      <alignment vertical="center"/>
    </xf>
    <xf numFmtId="49" fontId="17" fillId="0" borderId="0" xfId="0" applyNumberFormat="1" applyFont="1" applyFill="1" applyAlignment="1">
      <alignment vertical="center"/>
    </xf>
    <xf numFmtId="43" fontId="17" fillId="0" borderId="0" xfId="0" applyNumberFormat="1" applyFont="1" applyFill="1" applyAlignment="1">
      <alignment vertical="center"/>
    </xf>
    <xf numFmtId="10" fontId="17" fillId="0" borderId="0" xfId="12" applyNumberFormat="1" applyFont="1" applyFill="1" applyAlignment="1">
      <alignment vertical="center"/>
    </xf>
    <xf numFmtId="0" fontId="11" fillId="0" borderId="6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180" fontId="10" fillId="0" borderId="6" xfId="0" applyNumberFormat="1" applyFont="1" applyFill="1" applyBorder="1" applyAlignment="1">
      <alignment horizontal="left" vertical="center"/>
    </xf>
    <xf numFmtId="0" fontId="36" fillId="0" borderId="3" xfId="0" applyFont="1" applyFill="1" applyBorder="1" applyAlignment="1">
      <alignment horizontal="left" vertical="center"/>
    </xf>
    <xf numFmtId="177" fontId="32" fillId="0" borderId="0" xfId="3" applyNumberFormat="1" applyFont="1" applyFill="1" applyBorder="1" applyAlignment="1" applyProtection="1">
      <alignment vertical="center" wrapText="1"/>
    </xf>
    <xf numFmtId="177" fontId="32" fillId="0" borderId="0" xfId="3" applyNumberFormat="1" applyFont="1" applyFill="1" applyBorder="1" applyAlignment="1" applyProtection="1">
      <alignment horizontal="left" vertical="center" wrapText="1"/>
    </xf>
    <xf numFmtId="0" fontId="17" fillId="0" borderId="0" xfId="1" applyFont="1" applyFill="1" applyAlignment="1">
      <alignment horizontal="left" vertical="center" wrapText="1"/>
    </xf>
    <xf numFmtId="0" fontId="32" fillId="0" borderId="0" xfId="3" applyFont="1" applyFill="1" applyAlignment="1" applyProtection="1">
      <alignment horizontal="left" vertical="center" wrapText="1"/>
    </xf>
    <xf numFmtId="0" fontId="32" fillId="0" borderId="0" xfId="3" applyFont="1" applyFill="1" applyAlignment="1" applyProtection="1">
      <alignment vertical="center" wrapText="1"/>
    </xf>
    <xf numFmtId="0" fontId="17" fillId="0" borderId="0" xfId="1" applyFont="1" applyFill="1" applyBorder="1" applyAlignment="1">
      <alignment vertical="center"/>
    </xf>
    <xf numFmtId="0" fontId="7" fillId="0" borderId="0" xfId="13" applyFont="1" applyAlignment="1">
      <alignment horizontal="center" vertical="center" wrapText="1"/>
    </xf>
    <xf numFmtId="0" fontId="44" fillId="0" borderId="0" xfId="13" applyFont="1" applyAlignment="1">
      <alignment horizontal="center" vertical="center" wrapText="1"/>
    </xf>
    <xf numFmtId="49" fontId="18" fillId="0" borderId="0" xfId="13" applyNumberFormat="1" applyFont="1" applyAlignment="1">
      <alignment horizontal="left" vertical="center" wrapText="1"/>
    </xf>
    <xf numFmtId="49" fontId="44" fillId="0" borderId="0" xfId="13" applyNumberFormat="1" applyFont="1" applyBorder="1" applyAlignment="1">
      <alignment horizontal="left" vertical="center" wrapText="1"/>
    </xf>
    <xf numFmtId="41" fontId="44" fillId="7" borderId="5" xfId="13" applyNumberFormat="1" applyFont="1" applyFill="1" applyBorder="1" applyAlignment="1">
      <alignment horizontal="center" vertical="center" wrapText="1"/>
    </xf>
    <xf numFmtId="49" fontId="18" fillId="0" borderId="5" xfId="13" applyNumberFormat="1" applyFont="1" applyBorder="1" applyAlignment="1">
      <alignment horizontal="left" vertical="center" wrapText="1"/>
    </xf>
    <xf numFmtId="0" fontId="44" fillId="0" borderId="0" xfId="13" applyFont="1" applyAlignment="1">
      <alignment horizontal="left" vertical="center" wrapText="1"/>
    </xf>
    <xf numFmtId="0" fontId="7" fillId="0" borderId="0" xfId="13" applyFont="1" applyAlignment="1">
      <alignment horizontal="left" vertical="center" wrapText="1"/>
    </xf>
    <xf numFmtId="49" fontId="17" fillId="0" borderId="0" xfId="1" applyNumberFormat="1" applyFont="1" applyFill="1" applyAlignment="1">
      <alignment horizontal="right" vertical="center" wrapText="1"/>
    </xf>
    <xf numFmtId="41" fontId="17" fillId="0" borderId="0" xfId="0" applyNumberFormat="1" applyFont="1" applyFill="1" applyBorder="1" applyAlignment="1">
      <alignment vertical="center"/>
    </xf>
    <xf numFmtId="49" fontId="34" fillId="0" borderId="0" xfId="1" applyNumberFormat="1" applyFont="1" applyFill="1" applyAlignment="1">
      <alignment vertical="center"/>
    </xf>
    <xf numFmtId="41" fontId="17" fillId="0" borderId="0" xfId="1" applyNumberFormat="1" applyFont="1" applyFill="1" applyAlignment="1">
      <alignment vertical="center"/>
    </xf>
    <xf numFmtId="49" fontId="17" fillId="0" borderId="0" xfId="1" applyNumberFormat="1" applyFont="1" applyFill="1" applyAlignment="1">
      <alignment horizontal="right" vertical="center"/>
    </xf>
    <xf numFmtId="49" fontId="34" fillId="0" borderId="0" xfId="1" applyNumberFormat="1" applyFont="1" applyFill="1" applyBorder="1" applyAlignment="1">
      <alignment vertical="center"/>
    </xf>
    <xf numFmtId="49" fontId="17" fillId="0" borderId="0" xfId="1" applyNumberFormat="1" applyFont="1" applyFill="1" applyBorder="1" applyAlignment="1">
      <alignment vertical="center"/>
    </xf>
    <xf numFmtId="41" fontId="17" fillId="0" borderId="0" xfId="3" applyNumberFormat="1" applyFont="1" applyFill="1" applyAlignment="1" applyProtection="1">
      <alignment vertical="center"/>
    </xf>
    <xf numFmtId="178" fontId="17" fillId="0" borderId="0" xfId="0" applyNumberFormat="1" applyFont="1" applyFill="1" applyAlignment="1">
      <alignment vertical="center"/>
    </xf>
    <xf numFmtId="178" fontId="16" fillId="0" borderId="20" xfId="1" applyNumberFormat="1" applyFont="1" applyFill="1" applyBorder="1" applyAlignment="1">
      <alignment horizontal="center" vertical="center"/>
    </xf>
    <xf numFmtId="178" fontId="17" fillId="0" borderId="0" xfId="1" applyNumberFormat="1" applyFont="1" applyFill="1" applyAlignment="1">
      <alignment horizontal="center" vertical="center"/>
    </xf>
    <xf numFmtId="178" fontId="17" fillId="0" borderId="0" xfId="1" applyNumberFormat="1" applyFont="1" applyFill="1" applyAlignment="1">
      <alignment vertical="center"/>
    </xf>
    <xf numFmtId="178" fontId="35" fillId="0" borderId="0" xfId="1" applyNumberFormat="1" applyFont="1" applyFill="1" applyAlignment="1">
      <alignment vertical="center"/>
    </xf>
    <xf numFmtId="178" fontId="35" fillId="0" borderId="0" xfId="0" applyNumberFormat="1" applyFont="1" applyFill="1" applyAlignment="1">
      <alignment vertical="center"/>
    </xf>
    <xf numFmtId="178" fontId="17" fillId="0" borderId="0" xfId="1" applyNumberFormat="1" applyFont="1" applyFill="1" applyAlignment="1">
      <alignment horizontal="right" vertical="center"/>
    </xf>
    <xf numFmtId="178" fontId="35" fillId="0" borderId="0" xfId="0" applyNumberFormat="1" applyFont="1" applyFill="1" applyBorder="1" applyAlignment="1">
      <alignment vertical="center"/>
    </xf>
    <xf numFmtId="178" fontId="16" fillId="0" borderId="0" xfId="1" applyNumberFormat="1" applyFont="1" applyFill="1" applyAlignment="1">
      <alignment vertical="center"/>
    </xf>
    <xf numFmtId="178" fontId="17" fillId="0" borderId="0" xfId="0" applyNumberFormat="1" applyFont="1" applyFill="1" applyBorder="1" applyAlignment="1">
      <alignment vertical="center"/>
    </xf>
    <xf numFmtId="178" fontId="16" fillId="0" borderId="0" xfId="0" applyNumberFormat="1" applyFont="1" applyFill="1" applyAlignment="1">
      <alignment vertical="center"/>
    </xf>
    <xf numFmtId="41" fontId="17" fillId="0" borderId="0" xfId="0" applyNumberFormat="1" applyFont="1" applyFill="1" applyAlignment="1">
      <alignment horizontal="right" vertical="center"/>
    </xf>
    <xf numFmtId="178" fontId="17" fillId="0" borderId="0" xfId="0" applyNumberFormat="1" applyFont="1" applyFill="1">
      <alignment vertical="center"/>
    </xf>
    <xf numFmtId="178" fontId="17" fillId="0" borderId="0" xfId="13" applyNumberFormat="1" applyFont="1" applyFill="1" applyBorder="1" applyAlignment="1">
      <alignment vertical="center" wrapText="1"/>
    </xf>
    <xf numFmtId="178" fontId="35" fillId="0" borderId="0" xfId="0" applyNumberFormat="1" applyFont="1" applyFill="1" applyBorder="1" applyAlignment="1">
      <alignment horizontal="right" vertical="center"/>
    </xf>
    <xf numFmtId="49" fontId="34" fillId="0" borderId="0" xfId="1" applyNumberFormat="1" applyFont="1" applyFill="1" applyAlignment="1">
      <alignment horizontal="left" vertical="center" wrapText="1"/>
    </xf>
    <xf numFmtId="10" fontId="17" fillId="0" borderId="0" xfId="0" applyNumberFormat="1" applyFont="1" applyFill="1" applyAlignment="1">
      <alignment vertical="center"/>
    </xf>
    <xf numFmtId="49" fontId="34" fillId="0" borderId="0" xfId="1" applyNumberFormat="1" applyFont="1" applyFill="1" applyAlignment="1">
      <alignment vertical="center" wrapText="1"/>
    </xf>
    <xf numFmtId="181" fontId="17" fillId="0" borderId="0" xfId="0" applyNumberFormat="1" applyFont="1" applyFill="1">
      <alignment vertical="center"/>
    </xf>
    <xf numFmtId="0" fontId="46" fillId="0" borderId="0" xfId="1" applyFont="1" applyFill="1" applyAlignment="1">
      <alignment vertical="center"/>
    </xf>
    <xf numFmtId="49" fontId="46" fillId="0" borderId="0" xfId="1" applyNumberFormat="1" applyFont="1" applyFill="1" applyAlignment="1">
      <alignment vertical="center"/>
    </xf>
    <xf numFmtId="49" fontId="47" fillId="0" borderId="0" xfId="1" applyNumberFormat="1" applyFont="1" applyFill="1" applyAlignment="1">
      <alignment horizontal="left" vertical="center" wrapText="1"/>
    </xf>
    <xf numFmtId="41" fontId="46" fillId="0" borderId="0" xfId="0" applyNumberFormat="1" applyFont="1" applyFill="1" applyAlignment="1">
      <alignment vertical="center"/>
    </xf>
    <xf numFmtId="178" fontId="46" fillId="0" borderId="0" xfId="0" applyNumberFormat="1" applyFont="1" applyFill="1" applyAlignment="1">
      <alignment vertical="center"/>
    </xf>
    <xf numFmtId="10" fontId="46" fillId="0" borderId="0" xfId="0" applyNumberFormat="1" applyFont="1" applyFill="1" applyAlignment="1">
      <alignment vertical="center"/>
    </xf>
    <xf numFmtId="0" fontId="46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49" fontId="41" fillId="0" borderId="0" xfId="1" applyNumberFormat="1" applyFont="1" applyFill="1" applyAlignment="1">
      <alignment horizontal="left" vertical="center" wrapText="1"/>
    </xf>
    <xf numFmtId="49" fontId="8" fillId="0" borderId="0" xfId="1" applyNumberFormat="1" applyFont="1" applyFill="1" applyAlignment="1">
      <alignment vertical="center"/>
    </xf>
    <xf numFmtId="49" fontId="8" fillId="0" borderId="0" xfId="1" applyNumberFormat="1" applyFont="1" applyFill="1" applyAlignment="1">
      <alignment horizontal="right" vertical="center"/>
    </xf>
    <xf numFmtId="0" fontId="50" fillId="0" borderId="0" xfId="0" applyFont="1" applyAlignment="1">
      <alignment vertical="center"/>
    </xf>
    <xf numFmtId="0" fontId="51" fillId="0" borderId="0" xfId="0" applyFont="1" applyFill="1" applyAlignment="1">
      <alignment horizontal="center" vertical="center" wrapText="1"/>
    </xf>
    <xf numFmtId="0" fontId="50" fillId="0" borderId="0" xfId="0" applyFont="1" applyAlignment="1">
      <alignment horizontal="center" vertical="center"/>
    </xf>
    <xf numFmtId="49" fontId="51" fillId="0" borderId="3" xfId="0" applyNumberFormat="1" applyFont="1" applyFill="1" applyBorder="1" applyAlignment="1">
      <alignment horizontal="center" vertical="center" wrapText="1"/>
    </xf>
    <xf numFmtId="43" fontId="51" fillId="0" borderId="3" xfId="0" applyNumberFormat="1" applyFont="1" applyFill="1" applyBorder="1" applyAlignment="1">
      <alignment horizontal="center" vertical="center" wrapText="1"/>
    </xf>
    <xf numFmtId="43" fontId="51" fillId="0" borderId="0" xfId="0" applyNumberFormat="1" applyFont="1" applyFill="1" applyAlignment="1">
      <alignment vertical="center" wrapText="1"/>
    </xf>
    <xf numFmtId="49" fontId="51" fillId="0" borderId="3" xfId="0" applyNumberFormat="1" applyFont="1" applyFill="1" applyBorder="1" applyAlignment="1">
      <alignment vertical="center" wrapText="1"/>
    </xf>
    <xf numFmtId="41" fontId="51" fillId="0" borderId="3" xfId="0" applyNumberFormat="1" applyFont="1" applyFill="1" applyBorder="1" applyAlignment="1">
      <alignment vertical="center" wrapText="1"/>
    </xf>
    <xf numFmtId="43" fontId="51" fillId="0" borderId="0" xfId="0" applyNumberFormat="1" applyFont="1" applyFill="1" applyAlignment="1">
      <alignment horizontal="right" vertical="center" wrapText="1"/>
    </xf>
    <xf numFmtId="0" fontId="51" fillId="0" borderId="0" xfId="0" applyFont="1" applyFill="1" applyAlignment="1">
      <alignment vertical="center" wrapText="1"/>
    </xf>
    <xf numFmtId="49" fontId="51" fillId="0" borderId="0" xfId="0" applyNumberFormat="1" applyFont="1" applyFill="1" applyAlignment="1">
      <alignment vertical="center" wrapText="1"/>
    </xf>
    <xf numFmtId="41" fontId="51" fillId="0" borderId="0" xfId="0" applyNumberFormat="1" applyFont="1" applyFill="1" applyAlignment="1">
      <alignment vertical="center" wrapText="1"/>
    </xf>
    <xf numFmtId="49" fontId="51" fillId="0" borderId="1" xfId="0" applyNumberFormat="1" applyFont="1" applyFill="1" applyBorder="1" applyAlignment="1">
      <alignment horizontal="center" vertical="center"/>
    </xf>
    <xf numFmtId="49" fontId="51" fillId="0" borderId="9" xfId="0" applyNumberFormat="1" applyFont="1" applyFill="1" applyBorder="1" applyAlignment="1">
      <alignment horizontal="center" vertical="center"/>
    </xf>
    <xf numFmtId="0" fontId="51" fillId="0" borderId="3" xfId="0" applyFont="1" applyFill="1" applyBorder="1" applyAlignment="1">
      <alignment vertical="center"/>
    </xf>
    <xf numFmtId="9" fontId="51" fillId="0" borderId="3" xfId="12" applyFont="1" applyFill="1" applyBorder="1" applyAlignment="1">
      <alignment vertical="center" wrapText="1"/>
    </xf>
    <xf numFmtId="43" fontId="51" fillId="0" borderId="0" xfId="0" applyNumberFormat="1" applyFont="1" applyFill="1" applyBorder="1" applyAlignment="1">
      <alignment vertical="center" wrapText="1"/>
    </xf>
    <xf numFmtId="43" fontId="52" fillId="0" borderId="0" xfId="0" applyNumberFormat="1" applyFont="1" applyFill="1" applyBorder="1" applyAlignment="1">
      <alignment vertical="center" wrapText="1"/>
    </xf>
    <xf numFmtId="49" fontId="51" fillId="0" borderId="0" xfId="0" applyNumberFormat="1" applyFont="1" applyFill="1" applyAlignment="1">
      <alignment horizontal="center" vertical="center" wrapText="1"/>
    </xf>
    <xf numFmtId="43" fontId="51" fillId="0" borderId="0" xfId="0" applyNumberFormat="1" applyFont="1" applyFill="1" applyAlignment="1">
      <alignment horizontal="center" vertical="center" wrapText="1"/>
    </xf>
    <xf numFmtId="0" fontId="49" fillId="0" borderId="0" xfId="0" applyFont="1" applyBorder="1" applyAlignment="1">
      <alignment horizontal="center" vertical="center"/>
    </xf>
    <xf numFmtId="0" fontId="51" fillId="0" borderId="0" xfId="0" applyFont="1" applyAlignment="1">
      <alignment vertical="center"/>
    </xf>
    <xf numFmtId="0" fontId="49" fillId="0" borderId="0" xfId="0" applyFont="1" applyAlignment="1">
      <alignment horizontal="right" vertical="center"/>
    </xf>
    <xf numFmtId="0" fontId="53" fillId="0" borderId="0" xfId="0" applyFont="1" applyAlignment="1">
      <alignment vertical="center"/>
    </xf>
    <xf numFmtId="43" fontId="51" fillId="0" borderId="11" xfId="0" applyNumberFormat="1" applyFont="1" applyBorder="1" applyAlignment="1">
      <alignment horizontal="center" vertical="center" wrapText="1"/>
    </xf>
    <xf numFmtId="43" fontId="51" fillId="0" borderId="27" xfId="0" applyNumberFormat="1" applyFont="1" applyBorder="1" applyAlignment="1">
      <alignment horizontal="center" vertical="center" wrapText="1"/>
    </xf>
    <xf numFmtId="0" fontId="51" fillId="0" borderId="14" xfId="0" applyFont="1" applyBorder="1" applyAlignment="1">
      <alignment horizontal="center" vertical="center" wrapText="1"/>
    </xf>
    <xf numFmtId="41" fontId="51" fillId="0" borderId="3" xfId="0" applyNumberFormat="1" applyFont="1" applyBorder="1" applyAlignment="1">
      <alignment horizontal="center" vertical="center"/>
    </xf>
    <xf numFmtId="41" fontId="51" fillId="0" borderId="6" xfId="0" applyNumberFormat="1" applyFont="1" applyBorder="1" applyAlignment="1">
      <alignment horizontal="right" vertical="center"/>
    </xf>
    <xf numFmtId="43" fontId="51" fillId="0" borderId="2" xfId="0" applyNumberFormat="1" applyFont="1" applyBorder="1" applyAlignment="1">
      <alignment horizontal="right" vertical="center"/>
    </xf>
    <xf numFmtId="49" fontId="51" fillId="9" borderId="3" xfId="0" applyNumberFormat="1" applyFont="1" applyFill="1" applyBorder="1" applyAlignment="1">
      <alignment horizontal="center" vertical="center"/>
    </xf>
    <xf numFmtId="41" fontId="49" fillId="9" borderId="6" xfId="0" applyNumberFormat="1" applyFont="1" applyFill="1" applyBorder="1" applyAlignment="1">
      <alignment horizontal="right" vertical="center"/>
    </xf>
    <xf numFmtId="43" fontId="49" fillId="9" borderId="25" xfId="0" applyNumberFormat="1" applyFont="1" applyFill="1" applyBorder="1" applyAlignment="1">
      <alignment vertical="center"/>
    </xf>
    <xf numFmtId="43" fontId="49" fillId="9" borderId="2" xfId="0" applyNumberFormat="1" applyFont="1" applyFill="1" applyBorder="1" applyAlignment="1">
      <alignment horizontal="right" vertical="center"/>
    </xf>
    <xf numFmtId="49" fontId="51" fillId="0" borderId="3" xfId="0" applyNumberFormat="1" applyFont="1" applyBorder="1" applyAlignment="1">
      <alignment vertical="center"/>
    </xf>
    <xf numFmtId="43" fontId="51" fillId="0" borderId="25" xfId="0" applyNumberFormat="1" applyFont="1" applyBorder="1" applyAlignment="1">
      <alignment vertical="center"/>
    </xf>
    <xf numFmtId="49" fontId="51" fillId="10" borderId="3" xfId="0" applyNumberFormat="1" applyFont="1" applyFill="1" applyBorder="1" applyAlignment="1">
      <alignment vertical="center"/>
    </xf>
    <xf numFmtId="41" fontId="49" fillId="10" borderId="6" xfId="0" applyNumberFormat="1" applyFont="1" applyFill="1" applyBorder="1" applyAlignment="1">
      <alignment horizontal="right" vertical="center"/>
    </xf>
    <xf numFmtId="43" fontId="49" fillId="10" borderId="25" xfId="0" applyNumberFormat="1" applyFont="1" applyFill="1" applyBorder="1" applyAlignment="1">
      <alignment vertical="center"/>
    </xf>
    <xf numFmtId="43" fontId="49" fillId="10" borderId="2" xfId="0" applyNumberFormat="1" applyFont="1" applyFill="1" applyBorder="1" applyAlignment="1">
      <alignment horizontal="right" vertical="center"/>
    </xf>
    <xf numFmtId="49" fontId="51" fillId="0" borderId="0" xfId="0" applyNumberFormat="1" applyFont="1" applyBorder="1" applyAlignment="1">
      <alignment horizontal="center" vertical="center"/>
    </xf>
    <xf numFmtId="0" fontId="51" fillId="0" borderId="0" xfId="0" applyNumberFormat="1" applyFont="1" applyBorder="1" applyAlignment="1">
      <alignment vertical="center"/>
    </xf>
    <xf numFmtId="43" fontId="51" fillId="0" borderId="0" xfId="0" applyNumberFormat="1" applyFont="1" applyBorder="1" applyAlignment="1">
      <alignment horizontal="right" vertical="center"/>
    </xf>
    <xf numFmtId="49" fontId="51" fillId="0" borderId="8" xfId="0" applyNumberFormat="1" applyFont="1" applyBorder="1" applyAlignment="1">
      <alignment horizontal="center" vertical="center" wrapText="1"/>
    </xf>
    <xf numFmtId="49" fontId="51" fillId="0" borderId="11" xfId="0" applyNumberFormat="1" applyFont="1" applyBorder="1" applyAlignment="1">
      <alignment horizontal="center" vertical="center" wrapText="1"/>
    </xf>
    <xf numFmtId="43" fontId="51" fillId="0" borderId="40" xfId="0" applyNumberFormat="1" applyFont="1" applyBorder="1" applyAlignment="1">
      <alignment horizontal="center" vertical="center" wrapText="1"/>
    </xf>
    <xf numFmtId="41" fontId="51" fillId="0" borderId="24" xfId="0" applyNumberFormat="1" applyFont="1" applyBorder="1" applyAlignment="1">
      <alignment vertical="center"/>
    </xf>
    <xf numFmtId="43" fontId="51" fillId="0" borderId="2" xfId="0" applyNumberFormat="1" applyFont="1" applyFill="1" applyBorder="1" applyAlignment="1">
      <alignment vertical="center" wrapText="1"/>
    </xf>
    <xf numFmtId="0" fontId="51" fillId="9" borderId="3" xfId="0" applyFont="1" applyFill="1" applyBorder="1" applyAlignment="1">
      <alignment horizontal="center" vertical="center" wrapText="1"/>
    </xf>
    <xf numFmtId="43" fontId="51" fillId="9" borderId="2" xfId="0" applyNumberFormat="1" applyFont="1" applyFill="1" applyBorder="1" applyAlignment="1">
      <alignment horizontal="right" vertical="center"/>
    </xf>
    <xf numFmtId="41" fontId="49" fillId="9" borderId="24" xfId="0" applyNumberFormat="1" applyFont="1" applyFill="1" applyBorder="1" applyAlignment="1">
      <alignment vertical="center"/>
    </xf>
    <xf numFmtId="43" fontId="49" fillId="9" borderId="2" xfId="0" applyNumberFormat="1" applyFont="1" applyFill="1" applyBorder="1" applyAlignment="1">
      <alignment vertical="center" wrapText="1"/>
    </xf>
    <xf numFmtId="43" fontId="51" fillId="10" borderId="2" xfId="0" applyNumberFormat="1" applyFont="1" applyFill="1" applyBorder="1" applyAlignment="1">
      <alignment horizontal="right" vertical="center"/>
    </xf>
    <xf numFmtId="41" fontId="49" fillId="10" borderId="24" xfId="0" applyNumberFormat="1" applyFont="1" applyFill="1" applyBorder="1" applyAlignment="1">
      <alignment vertical="center"/>
    </xf>
    <xf numFmtId="43" fontId="49" fillId="10" borderId="2" xfId="0" applyNumberFormat="1" applyFont="1" applyFill="1" applyBorder="1" applyAlignment="1">
      <alignment vertical="center" wrapText="1"/>
    </xf>
    <xf numFmtId="0" fontId="51" fillId="0" borderId="0" xfId="0" applyFont="1" applyFill="1" applyBorder="1" applyAlignment="1">
      <alignment horizontal="center" vertical="center" wrapText="1"/>
    </xf>
    <xf numFmtId="43" fontId="51" fillId="0" borderId="0" xfId="0" applyNumberFormat="1" applyFont="1" applyFill="1" applyBorder="1" applyAlignment="1">
      <alignment horizontal="center" vertical="center" wrapText="1"/>
    </xf>
    <xf numFmtId="0" fontId="53" fillId="0" borderId="8" xfId="0" applyFont="1" applyBorder="1" applyAlignment="1">
      <alignment horizontal="center" vertical="center"/>
    </xf>
    <xf numFmtId="0" fontId="51" fillId="0" borderId="9" xfId="0" applyFont="1" applyBorder="1" applyAlignment="1">
      <alignment horizontal="center" vertical="center" wrapText="1"/>
    </xf>
    <xf numFmtId="49" fontId="51" fillId="0" borderId="0" xfId="0" applyNumberFormat="1" applyFont="1" applyFill="1" applyBorder="1" applyAlignment="1">
      <alignment vertical="center"/>
    </xf>
    <xf numFmtId="43" fontId="49" fillId="0" borderId="0" xfId="0" applyNumberFormat="1" applyFont="1" applyFill="1" applyBorder="1" applyAlignment="1">
      <alignment vertical="center" wrapText="1"/>
    </xf>
    <xf numFmtId="9" fontId="51" fillId="0" borderId="3" xfId="0" applyNumberFormat="1" applyFont="1" applyBorder="1" applyAlignment="1">
      <alignment vertical="center"/>
    </xf>
    <xf numFmtId="43" fontId="53" fillId="0" borderId="3" xfId="0" applyNumberFormat="1" applyFont="1" applyFill="1" applyBorder="1" applyAlignment="1">
      <alignment horizontal="left" vertical="center"/>
    </xf>
    <xf numFmtId="43" fontId="53" fillId="0" borderId="3" xfId="0" applyNumberFormat="1" applyFont="1" applyFill="1" applyBorder="1" applyAlignment="1">
      <alignment horizontal="left" vertical="center" wrapText="1"/>
    </xf>
    <xf numFmtId="0" fontId="54" fillId="0" borderId="3" xfId="0" applyFont="1" applyBorder="1" applyAlignment="1">
      <alignment vertical="center"/>
    </xf>
    <xf numFmtId="0" fontId="54" fillId="10" borderId="3" xfId="0" applyFont="1" applyFill="1" applyBorder="1" applyAlignment="1">
      <alignment vertical="center"/>
    </xf>
    <xf numFmtId="0" fontId="56" fillId="0" borderId="0" xfId="0" applyFont="1" applyBorder="1" applyAlignment="1">
      <alignment vertical="center"/>
    </xf>
    <xf numFmtId="0" fontId="57" fillId="0" borderId="0" xfId="0" applyFont="1" applyBorder="1" applyAlignment="1">
      <alignment horizontal="left" vertical="center" wrapText="1"/>
    </xf>
    <xf numFmtId="0" fontId="58" fillId="0" borderId="0" xfId="0" applyFont="1" applyBorder="1" applyAlignment="1">
      <alignment vertical="center"/>
    </xf>
    <xf numFmtId="0" fontId="54" fillId="0" borderId="0" xfId="0" applyFont="1" applyBorder="1" applyAlignment="1">
      <alignment vertical="center"/>
    </xf>
    <xf numFmtId="0" fontId="58" fillId="0" borderId="0" xfId="0" applyFont="1" applyBorder="1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43" fontId="51" fillId="0" borderId="3" xfId="0" applyNumberFormat="1" applyFont="1" applyBorder="1" applyAlignment="1">
      <alignment horizontal="left" vertical="center"/>
    </xf>
    <xf numFmtId="0" fontId="51" fillId="9" borderId="3" xfId="0" applyFont="1" applyFill="1" applyBorder="1" applyAlignment="1">
      <alignment horizontal="center" vertical="center"/>
    </xf>
    <xf numFmtId="43" fontId="49" fillId="9" borderId="3" xfId="0" applyNumberFormat="1" applyFont="1" applyFill="1" applyBorder="1" applyAlignment="1">
      <alignment horizontal="left" vertical="center"/>
    </xf>
    <xf numFmtId="0" fontId="51" fillId="0" borderId="3" xfId="0" applyFont="1" applyBorder="1" applyAlignment="1">
      <alignment vertical="center"/>
    </xf>
    <xf numFmtId="0" fontId="51" fillId="10" borderId="3" xfId="0" applyFont="1" applyFill="1" applyBorder="1" applyAlignment="1">
      <alignment vertical="center"/>
    </xf>
    <xf numFmtId="43" fontId="49" fillId="10" borderId="3" xfId="0" applyNumberFormat="1" applyFont="1" applyFill="1" applyBorder="1" applyAlignment="1">
      <alignment horizontal="left" vertical="center"/>
    </xf>
    <xf numFmtId="0" fontId="51" fillId="0" borderId="0" xfId="0" applyFont="1" applyBorder="1" applyAlignment="1">
      <alignment vertical="center"/>
    </xf>
    <xf numFmtId="43" fontId="51" fillId="0" borderId="0" xfId="0" applyNumberFormat="1" applyFont="1" applyBorder="1" applyAlignment="1">
      <alignment horizontal="left" vertical="center"/>
    </xf>
    <xf numFmtId="0" fontId="53" fillId="0" borderId="3" xfId="0" applyFont="1" applyBorder="1" applyAlignment="1">
      <alignment horizontal="center" vertical="center"/>
    </xf>
    <xf numFmtId="43" fontId="51" fillId="0" borderId="3" xfId="0" applyNumberFormat="1" applyFont="1" applyFill="1" applyBorder="1" applyAlignment="1">
      <alignment vertical="center" wrapText="1"/>
    </xf>
    <xf numFmtId="0" fontId="59" fillId="0" borderId="0" xfId="13" applyFont="1" applyAlignment="1">
      <alignment horizontal="center" vertical="center"/>
    </xf>
    <xf numFmtId="0" fontId="60" fillId="0" borderId="0" xfId="13" applyFont="1" applyFill="1" applyAlignment="1">
      <alignment horizontal="right" vertical="center"/>
    </xf>
    <xf numFmtId="181" fontId="60" fillId="0" borderId="0" xfId="13" applyNumberFormat="1" applyFont="1" applyFill="1" applyAlignment="1">
      <alignment horizontal="right" vertical="center"/>
    </xf>
    <xf numFmtId="0" fontId="53" fillId="0" borderId="0" xfId="0" applyFont="1">
      <alignment vertical="center"/>
    </xf>
    <xf numFmtId="0" fontId="53" fillId="0" borderId="0" xfId="0" applyFont="1" applyBorder="1">
      <alignment vertical="center"/>
    </xf>
    <xf numFmtId="43" fontId="53" fillId="0" borderId="0" xfId="0" applyNumberFormat="1" applyFont="1" applyFill="1" applyBorder="1">
      <alignment vertical="center"/>
    </xf>
    <xf numFmtId="43" fontId="53" fillId="0" borderId="0" xfId="0" applyNumberFormat="1" applyFont="1" applyBorder="1">
      <alignment vertical="center"/>
    </xf>
    <xf numFmtId="41" fontId="53" fillId="0" borderId="0" xfId="0" applyNumberFormat="1" applyFont="1" applyBorder="1">
      <alignment vertical="center"/>
    </xf>
    <xf numFmtId="49" fontId="51" fillId="0" borderId="1" xfId="0" applyNumberFormat="1" applyFont="1" applyFill="1" applyBorder="1" applyAlignment="1">
      <alignment horizontal="center" vertical="center" wrapText="1"/>
    </xf>
    <xf numFmtId="49" fontId="51" fillId="0" borderId="7" xfId="0" applyNumberFormat="1" applyFont="1" applyFill="1" applyBorder="1" applyAlignment="1">
      <alignment horizontal="center" vertical="center" wrapText="1"/>
    </xf>
    <xf numFmtId="49" fontId="51" fillId="0" borderId="7" xfId="0" applyNumberFormat="1" applyFont="1" applyFill="1" applyBorder="1" applyAlignment="1">
      <alignment vertical="center" wrapText="1"/>
    </xf>
    <xf numFmtId="43" fontId="51" fillId="0" borderId="29" xfId="0" applyNumberFormat="1" applyFont="1" applyFill="1" applyBorder="1" applyAlignment="1">
      <alignment horizontal="center" vertical="center" wrapText="1"/>
    </xf>
    <xf numFmtId="43" fontId="51" fillId="0" borderId="31" xfId="0" applyNumberFormat="1" applyFont="1" applyFill="1" applyBorder="1" applyAlignment="1">
      <alignment horizontal="center" vertical="center" wrapText="1"/>
    </xf>
    <xf numFmtId="43" fontId="51" fillId="0" borderId="34" xfId="0" applyNumberFormat="1" applyFont="1" applyFill="1" applyBorder="1" applyAlignment="1">
      <alignment horizontal="center" vertical="center" wrapText="1"/>
    </xf>
    <xf numFmtId="49" fontId="51" fillId="0" borderId="9" xfId="0" applyNumberFormat="1" applyFont="1" applyFill="1" applyBorder="1" applyAlignment="1">
      <alignment horizontal="center" vertical="center" wrapText="1"/>
    </xf>
    <xf numFmtId="43" fontId="51" fillId="0" borderId="32" xfId="0" applyNumberFormat="1" applyFont="1" applyFill="1" applyBorder="1" applyAlignment="1">
      <alignment horizontal="center" vertical="center" wrapText="1"/>
    </xf>
    <xf numFmtId="43" fontId="51" fillId="0" borderId="33" xfId="0" quotePrefix="1" applyNumberFormat="1" applyFont="1" applyFill="1" applyBorder="1" applyAlignment="1">
      <alignment horizontal="center" vertical="center" wrapText="1"/>
    </xf>
    <xf numFmtId="43" fontId="51" fillId="0" borderId="35" xfId="0" applyNumberFormat="1" applyFont="1" applyFill="1" applyBorder="1" applyAlignment="1">
      <alignment horizontal="center" vertical="center" wrapText="1"/>
    </xf>
    <xf numFmtId="43" fontId="51" fillId="0" borderId="33" xfId="0" applyNumberFormat="1" applyFont="1" applyFill="1" applyBorder="1" applyAlignment="1">
      <alignment horizontal="center" vertical="center" wrapText="1"/>
    </xf>
    <xf numFmtId="49" fontId="51" fillId="0" borderId="3" xfId="0" applyNumberFormat="1" applyFont="1" applyFill="1" applyBorder="1" applyAlignment="1">
      <alignment vertical="center"/>
    </xf>
    <xf numFmtId="43" fontId="51" fillId="0" borderId="24" xfId="0" applyNumberFormat="1" applyFont="1" applyFill="1" applyBorder="1" applyAlignment="1">
      <alignment vertical="center" wrapText="1"/>
    </xf>
    <xf numFmtId="43" fontId="51" fillId="0" borderId="26" xfId="0" applyNumberFormat="1" applyFont="1" applyFill="1" applyBorder="1" applyAlignment="1">
      <alignment vertical="center" wrapText="1"/>
    </xf>
    <xf numFmtId="43" fontId="51" fillId="0" borderId="36" xfId="0" applyNumberFormat="1" applyFont="1" applyFill="1" applyBorder="1" applyAlignment="1">
      <alignment vertical="center" wrapText="1"/>
    </xf>
    <xf numFmtId="43" fontId="51" fillId="0" borderId="35" xfId="0" applyNumberFormat="1" applyFont="1" applyFill="1" applyBorder="1" applyAlignment="1">
      <alignment vertical="center" wrapText="1"/>
    </xf>
    <xf numFmtId="0" fontId="51" fillId="0" borderId="3" xfId="0" applyFont="1" applyFill="1" applyBorder="1" applyAlignment="1">
      <alignment vertical="center" wrapText="1"/>
    </xf>
    <xf numFmtId="0" fontId="51" fillId="9" borderId="3" xfId="0" applyFont="1" applyFill="1" applyBorder="1" applyAlignment="1">
      <alignment vertical="center" wrapText="1"/>
    </xf>
    <xf numFmtId="49" fontId="51" fillId="9" borderId="3" xfId="0" applyNumberFormat="1" applyFont="1" applyFill="1" applyBorder="1" applyAlignment="1">
      <alignment vertical="center"/>
    </xf>
    <xf numFmtId="43" fontId="51" fillId="9" borderId="3" xfId="0" applyNumberFormat="1" applyFont="1" applyFill="1" applyBorder="1" applyAlignment="1">
      <alignment vertical="center" wrapText="1"/>
    </xf>
    <xf numFmtId="43" fontId="51" fillId="9" borderId="24" xfId="0" applyNumberFormat="1" applyFont="1" applyFill="1" applyBorder="1" applyAlignment="1">
      <alignment vertical="center" wrapText="1"/>
    </xf>
    <xf numFmtId="43" fontId="51" fillId="9" borderId="26" xfId="0" applyNumberFormat="1" applyFont="1" applyFill="1" applyBorder="1" applyAlignment="1">
      <alignment vertical="center" wrapText="1"/>
    </xf>
    <xf numFmtId="43" fontId="49" fillId="9" borderId="36" xfId="0" applyNumberFormat="1" applyFont="1" applyFill="1" applyBorder="1" applyAlignment="1">
      <alignment vertical="center" wrapText="1"/>
    </xf>
    <xf numFmtId="43" fontId="49" fillId="9" borderId="26" xfId="0" applyNumberFormat="1" applyFont="1" applyFill="1" applyBorder="1" applyAlignment="1">
      <alignment vertical="center" wrapText="1"/>
    </xf>
    <xf numFmtId="0" fontId="51" fillId="10" borderId="3" xfId="0" applyFont="1" applyFill="1" applyBorder="1" applyAlignment="1">
      <alignment vertical="center" wrapText="1"/>
    </xf>
    <xf numFmtId="49" fontId="51" fillId="10" borderId="6" xfId="0" applyNumberFormat="1" applyFont="1" applyFill="1" applyBorder="1" applyAlignment="1">
      <alignment vertical="center"/>
    </xf>
    <xf numFmtId="43" fontId="51" fillId="10" borderId="5" xfId="0" applyNumberFormat="1" applyFont="1" applyFill="1" applyBorder="1" applyAlignment="1">
      <alignment vertical="center" wrapText="1"/>
    </xf>
    <xf numFmtId="43" fontId="49" fillId="10" borderId="5" xfId="0" applyNumberFormat="1" applyFont="1" applyFill="1" applyBorder="1" applyAlignment="1">
      <alignment vertical="center" wrapText="1"/>
    </xf>
    <xf numFmtId="43" fontId="52" fillId="10" borderId="2" xfId="0" applyNumberFormat="1" applyFont="1" applyFill="1" applyBorder="1" applyAlignment="1">
      <alignment vertical="center" wrapText="1"/>
    </xf>
    <xf numFmtId="0" fontId="51" fillId="0" borderId="0" xfId="0" applyFont="1" applyFill="1" applyAlignment="1">
      <alignment vertical="center"/>
    </xf>
    <xf numFmtId="41" fontId="51" fillId="0" borderId="2" xfId="0" applyNumberFormat="1" applyFont="1" applyFill="1" applyBorder="1" applyAlignment="1">
      <alignment vertical="center" wrapText="1"/>
    </xf>
    <xf numFmtId="41" fontId="51" fillId="9" borderId="3" xfId="0" applyNumberFormat="1" applyFont="1" applyFill="1" applyBorder="1" applyAlignment="1">
      <alignment vertical="center" wrapText="1"/>
    </xf>
    <xf numFmtId="41" fontId="51" fillId="10" borderId="5" xfId="0" applyNumberFormat="1" applyFont="1" applyFill="1" applyBorder="1" applyAlignment="1">
      <alignment vertical="center" wrapText="1"/>
    </xf>
    <xf numFmtId="43" fontId="49" fillId="0" borderId="0" xfId="0" applyNumberFormat="1" applyFont="1" applyFill="1" applyAlignment="1">
      <alignment vertical="center" wrapText="1"/>
    </xf>
    <xf numFmtId="43" fontId="51" fillId="0" borderId="13" xfId="0" applyNumberFormat="1" applyFont="1" applyFill="1" applyBorder="1" applyAlignment="1">
      <alignment vertical="center" wrapText="1"/>
    </xf>
    <xf numFmtId="43" fontId="49" fillId="0" borderId="13" xfId="0" applyNumberFormat="1" applyFont="1" applyFill="1" applyBorder="1" applyAlignment="1">
      <alignment vertical="center" wrapText="1"/>
    </xf>
    <xf numFmtId="43" fontId="52" fillId="0" borderId="0" xfId="0" applyNumberFormat="1" applyFont="1" applyFill="1" applyBorder="1" applyAlignment="1">
      <alignment horizontal="right" vertical="center" wrapText="1"/>
    </xf>
    <xf numFmtId="0" fontId="53" fillId="0" borderId="0" xfId="0" applyFont="1" applyAlignment="1">
      <alignment horizontal="center" vertical="center"/>
    </xf>
    <xf numFmtId="43" fontId="51" fillId="0" borderId="0" xfId="0" applyNumberFormat="1" applyFont="1" applyFill="1" applyAlignment="1">
      <alignment vertical="center"/>
    </xf>
    <xf numFmtId="41" fontId="51" fillId="0" borderId="3" xfId="0" quotePrefix="1" applyNumberFormat="1" applyFont="1" applyBorder="1" applyAlignment="1">
      <alignment horizontal="center" vertical="center"/>
    </xf>
    <xf numFmtId="9" fontId="53" fillId="0" borderId="3" xfId="0" applyNumberFormat="1" applyFont="1" applyBorder="1" applyAlignment="1">
      <alignment vertical="center"/>
    </xf>
    <xf numFmtId="0" fontId="51" fillId="0" borderId="0" xfId="1" applyFont="1" applyAlignment="1">
      <alignment vertical="center"/>
    </xf>
    <xf numFmtId="0" fontId="51" fillId="0" borderId="0" xfId="1" applyFont="1" applyAlignment="1">
      <alignment horizontal="justify" vertical="center"/>
    </xf>
    <xf numFmtId="0" fontId="51" fillId="0" borderId="9" xfId="1" applyFont="1" applyBorder="1" applyAlignment="1">
      <alignment horizontal="center" vertical="center"/>
    </xf>
    <xf numFmtId="0" fontId="51" fillId="0" borderId="3" xfId="1" applyFont="1" applyBorder="1" applyAlignment="1">
      <alignment vertical="center" wrapText="1"/>
    </xf>
    <xf numFmtId="0" fontId="51" fillId="0" borderId="3" xfId="1" applyFont="1" applyBorder="1" applyAlignment="1">
      <alignment vertical="center"/>
    </xf>
    <xf numFmtId="41" fontId="51" fillId="0" borderId="14" xfId="1" applyNumberFormat="1" applyFont="1" applyBorder="1" applyAlignment="1">
      <alignment vertical="center" wrapText="1"/>
    </xf>
    <xf numFmtId="41" fontId="51" fillId="0" borderId="9" xfId="1" applyNumberFormat="1" applyFont="1" applyBorder="1" applyAlignment="1">
      <alignment vertical="center" wrapText="1"/>
    </xf>
    <xf numFmtId="43" fontId="51" fillId="0" borderId="9" xfId="1" applyNumberFormat="1" applyFont="1" applyBorder="1" applyAlignment="1">
      <alignment vertical="center" wrapText="1"/>
    </xf>
    <xf numFmtId="43" fontId="51" fillId="0" borderId="9" xfId="1" applyNumberFormat="1" applyFont="1" applyFill="1" applyBorder="1" applyAlignment="1">
      <alignment vertical="center" wrapText="1"/>
    </xf>
    <xf numFmtId="41" fontId="51" fillId="0" borderId="3" xfId="1" applyNumberFormat="1" applyFont="1" applyBorder="1" applyAlignment="1">
      <alignment vertical="center" wrapText="1"/>
    </xf>
    <xf numFmtId="43" fontId="51" fillId="0" borderId="3" xfId="1" applyNumberFormat="1" applyFont="1" applyFill="1" applyBorder="1" applyAlignment="1">
      <alignment vertical="center" wrapText="1"/>
    </xf>
    <xf numFmtId="0" fontId="51" fillId="10" borderId="3" xfId="1" applyFont="1" applyFill="1" applyBorder="1" applyAlignment="1">
      <alignment vertical="center" wrapText="1"/>
    </xf>
    <xf numFmtId="41" fontId="51" fillId="10" borderId="2" xfId="1" applyNumberFormat="1" applyFont="1" applyFill="1" applyBorder="1" applyAlignment="1">
      <alignment vertical="center" wrapText="1"/>
    </xf>
    <xf numFmtId="41" fontId="51" fillId="10" borderId="3" xfId="1" applyNumberFormat="1" applyFont="1" applyFill="1" applyBorder="1" applyAlignment="1">
      <alignment vertical="center" wrapText="1"/>
    </xf>
    <xf numFmtId="43" fontId="51" fillId="10" borderId="3" xfId="1" applyNumberFormat="1" applyFont="1" applyFill="1" applyBorder="1" applyAlignment="1">
      <alignment vertical="center" wrapText="1"/>
    </xf>
    <xf numFmtId="0" fontId="51" fillId="0" borderId="6" xfId="1" applyFont="1" applyFill="1" applyBorder="1" applyAlignment="1">
      <alignment vertical="center"/>
    </xf>
    <xf numFmtId="0" fontId="51" fillId="0" borderId="2" xfId="1" applyFont="1" applyFill="1" applyBorder="1" applyAlignment="1">
      <alignment vertical="center" wrapText="1"/>
    </xf>
    <xf numFmtId="41" fontId="51" fillId="0" borderId="2" xfId="1" applyNumberFormat="1" applyFont="1" applyFill="1" applyBorder="1" applyAlignment="1">
      <alignment vertical="center" wrapText="1"/>
    </xf>
    <xf numFmtId="41" fontId="51" fillId="0" borderId="3" xfId="1" applyNumberFormat="1" applyFont="1" applyFill="1" applyBorder="1" applyAlignment="1">
      <alignment vertical="center" wrapText="1"/>
    </xf>
    <xf numFmtId="0" fontId="51" fillId="10" borderId="6" xfId="1" applyFont="1" applyFill="1" applyBorder="1" applyAlignment="1">
      <alignment vertical="center"/>
    </xf>
    <xf numFmtId="0" fontId="51" fillId="10" borderId="2" xfId="1" applyFont="1" applyFill="1" applyBorder="1" applyAlignment="1">
      <alignment vertical="center"/>
    </xf>
    <xf numFmtId="0" fontId="51" fillId="0" borderId="13" xfId="1" applyFont="1" applyBorder="1" applyAlignment="1">
      <alignment vertical="center" wrapText="1"/>
    </xf>
    <xf numFmtId="41" fontId="51" fillId="10" borderId="14" xfId="1" applyNumberFormat="1" applyFont="1" applyFill="1" applyBorder="1" applyAlignment="1">
      <alignment vertical="center" wrapText="1"/>
    </xf>
    <xf numFmtId="0" fontId="62" fillId="0" borderId="0" xfId="1" applyFont="1" applyAlignment="1">
      <alignment vertical="center"/>
    </xf>
    <xf numFmtId="0" fontId="51" fillId="0" borderId="1" xfId="1" applyFont="1" applyBorder="1" applyAlignment="1">
      <alignment vertical="center"/>
    </xf>
    <xf numFmtId="41" fontId="51" fillId="0" borderId="1" xfId="1" applyNumberFormat="1" applyFont="1" applyBorder="1" applyAlignment="1">
      <alignment vertical="center" wrapText="1"/>
    </xf>
    <xf numFmtId="0" fontId="51" fillId="0" borderId="0" xfId="1" applyFont="1" applyBorder="1" applyAlignment="1">
      <alignment vertical="center"/>
    </xf>
    <xf numFmtId="0" fontId="51" fillId="0" borderId="3" xfId="1" applyFont="1" applyBorder="1" applyAlignment="1">
      <alignment horizontal="center" vertical="center"/>
    </xf>
    <xf numFmtId="0" fontId="53" fillId="0" borderId="3" xfId="0" applyFont="1" applyBorder="1">
      <alignment vertical="center"/>
    </xf>
    <xf numFmtId="43" fontId="53" fillId="0" borderId="3" xfId="0" applyNumberFormat="1" applyFont="1" applyBorder="1">
      <alignment vertical="center"/>
    </xf>
    <xf numFmtId="41" fontId="53" fillId="0" borderId="3" xfId="0" applyNumberFormat="1" applyFont="1" applyBorder="1">
      <alignment vertical="center"/>
    </xf>
    <xf numFmtId="0" fontId="53" fillId="0" borderId="3" xfId="0" applyNumberFormat="1" applyFont="1" applyBorder="1">
      <alignment vertical="center"/>
    </xf>
    <xf numFmtId="43" fontId="53" fillId="0" borderId="3" xfId="0" applyNumberFormat="1" applyFont="1" applyFill="1" applyBorder="1">
      <alignment vertical="center"/>
    </xf>
    <xf numFmtId="0" fontId="53" fillId="0" borderId="0" xfId="0" applyNumberFormat="1" applyFont="1" applyBorder="1">
      <alignment vertical="center"/>
    </xf>
    <xf numFmtId="0" fontId="51" fillId="0" borderId="0" xfId="1" applyNumberFormat="1" applyFont="1" applyBorder="1" applyAlignment="1">
      <alignment vertical="center"/>
    </xf>
    <xf numFmtId="0" fontId="62" fillId="0" borderId="0" xfId="1" applyFont="1" applyBorder="1" applyAlignment="1">
      <alignment vertical="center"/>
    </xf>
    <xf numFmtId="0" fontId="49" fillId="0" borderId="0" xfId="0" applyFont="1" applyFill="1" applyBorder="1" applyAlignment="1">
      <alignment vertical="center"/>
    </xf>
    <xf numFmtId="0" fontId="53" fillId="0" borderId="0" xfId="0" applyFont="1" applyFill="1" applyAlignment="1">
      <alignment vertical="center"/>
    </xf>
    <xf numFmtId="0" fontId="49" fillId="0" borderId="13" xfId="0" applyFont="1" applyFill="1" applyBorder="1" applyAlignment="1">
      <alignment horizontal="center" vertical="center"/>
    </xf>
    <xf numFmtId="41" fontId="51" fillId="0" borderId="9" xfId="0" applyNumberFormat="1" applyFont="1" applyFill="1" applyBorder="1" applyAlignment="1">
      <alignment vertical="center"/>
    </xf>
    <xf numFmtId="43" fontId="51" fillId="0" borderId="9" xfId="0" applyNumberFormat="1" applyFont="1" applyFill="1" applyBorder="1" applyAlignment="1">
      <alignment vertical="center"/>
    </xf>
    <xf numFmtId="41" fontId="51" fillId="0" borderId="3" xfId="0" applyNumberFormat="1" applyFont="1" applyFill="1" applyBorder="1" applyAlignment="1">
      <alignment vertical="center"/>
    </xf>
    <xf numFmtId="0" fontId="51" fillId="9" borderId="3" xfId="0" applyFont="1" applyFill="1" applyBorder="1" applyAlignment="1">
      <alignment vertical="center"/>
    </xf>
    <xf numFmtId="41" fontId="51" fillId="9" borderId="3" xfId="0" applyNumberFormat="1" applyFont="1" applyFill="1" applyBorder="1" applyAlignment="1">
      <alignment vertical="center"/>
    </xf>
    <xf numFmtId="43" fontId="49" fillId="9" borderId="9" xfId="0" applyNumberFormat="1" applyFont="1" applyFill="1" applyBorder="1" applyAlignment="1">
      <alignment vertical="center"/>
    </xf>
    <xf numFmtId="41" fontId="49" fillId="10" borderId="3" xfId="0" applyNumberFormat="1" applyFont="1" applyFill="1" applyBorder="1" applyAlignment="1">
      <alignment vertical="center"/>
    </xf>
    <xf numFmtId="43" fontId="49" fillId="10" borderId="3" xfId="0" applyNumberFormat="1" applyFont="1" applyFill="1" applyBorder="1" applyAlignment="1">
      <alignment vertical="center"/>
    </xf>
    <xf numFmtId="0" fontId="51" fillId="0" borderId="0" xfId="0" applyFont="1" applyFill="1" applyAlignment="1">
      <alignment horizontal="right" vertical="center"/>
    </xf>
    <xf numFmtId="0" fontId="8" fillId="0" borderId="3" xfId="0" applyFont="1" applyFill="1" applyBorder="1" applyAlignment="1">
      <alignment vertical="center"/>
    </xf>
    <xf numFmtId="0" fontId="62" fillId="0" borderId="0" xfId="1" applyFont="1" applyAlignment="1">
      <alignment horizontal="center" vertical="center"/>
    </xf>
    <xf numFmtId="0" fontId="62" fillId="0" borderId="0" xfId="1" applyFont="1" applyFill="1" applyAlignment="1">
      <alignment horizontal="center" vertical="center"/>
    </xf>
    <xf numFmtId="0" fontId="62" fillId="0" borderId="1" xfId="1" applyFont="1" applyBorder="1" applyAlignment="1">
      <alignment horizontal="center" vertical="center"/>
    </xf>
    <xf numFmtId="0" fontId="51" fillId="0" borderId="3" xfId="11" applyFont="1" applyBorder="1" applyAlignment="1">
      <alignment horizontal="center"/>
    </xf>
    <xf numFmtId="43" fontId="62" fillId="0" borderId="3" xfId="1" applyNumberFormat="1" applyFont="1" applyBorder="1" applyAlignment="1">
      <alignment vertical="center"/>
    </xf>
    <xf numFmtId="0" fontId="51" fillId="0" borderId="3" xfId="11" applyFont="1" applyFill="1" applyBorder="1" applyAlignment="1">
      <alignment horizontal="center"/>
    </xf>
    <xf numFmtId="49" fontId="51" fillId="0" borderId="3" xfId="11" applyNumberFormat="1" applyFont="1" applyBorder="1" applyAlignment="1"/>
    <xf numFmtId="9" fontId="51" fillId="0" borderId="3" xfId="12" applyFont="1" applyFill="1" applyBorder="1" applyAlignment="1">
      <alignment wrapText="1"/>
    </xf>
    <xf numFmtId="0" fontId="51" fillId="0" borderId="3" xfId="11" applyFont="1" applyBorder="1" applyAlignment="1"/>
    <xf numFmtId="0" fontId="51" fillId="0" borderId="3" xfId="11" applyFont="1" applyFill="1" applyBorder="1" applyAlignment="1">
      <alignment horizontal="center" vertical="center"/>
    </xf>
    <xf numFmtId="49" fontId="51" fillId="0" borderId="3" xfId="11" applyNumberFormat="1" applyFont="1" applyBorder="1" applyAlignment="1">
      <alignment horizontal="center"/>
    </xf>
    <xf numFmtId="183" fontId="51" fillId="0" borderId="3" xfId="11" applyNumberFormat="1" applyFont="1" applyBorder="1" applyAlignment="1"/>
    <xf numFmtId="43" fontId="62" fillId="0" borderId="0" xfId="1" applyNumberFormat="1" applyFont="1" applyFill="1" applyAlignment="1">
      <alignment horizontal="center" vertical="center"/>
    </xf>
    <xf numFmtId="43" fontId="62" fillId="0" borderId="0" xfId="1" applyNumberFormat="1" applyFont="1" applyAlignment="1">
      <alignment horizontal="center" vertical="center"/>
    </xf>
    <xf numFmtId="0" fontId="62" fillId="0" borderId="0" xfId="1" applyFont="1" applyFill="1" applyAlignment="1">
      <alignment vertical="center"/>
    </xf>
    <xf numFmtId="0" fontId="62" fillId="0" borderId="3" xfId="1" applyFont="1" applyBorder="1" applyAlignment="1">
      <alignment horizontal="center" vertical="center"/>
    </xf>
    <xf numFmtId="0" fontId="62" fillId="0" borderId="3" xfId="1" applyFont="1" applyBorder="1" applyAlignment="1">
      <alignment vertical="center"/>
    </xf>
    <xf numFmtId="0" fontId="62" fillId="0" borderId="0" xfId="1" applyFont="1" applyBorder="1" applyAlignment="1">
      <alignment horizontal="center" vertical="center"/>
    </xf>
    <xf numFmtId="0" fontId="62" fillId="0" borderId="0" xfId="1" applyFont="1" applyFill="1" applyBorder="1" applyAlignment="1">
      <alignment horizontal="center" vertical="center"/>
    </xf>
    <xf numFmtId="176" fontId="62" fillId="0" borderId="0" xfId="1" applyNumberFormat="1" applyFont="1" applyFill="1" applyAlignment="1">
      <alignment horizontal="center" vertical="center"/>
    </xf>
    <xf numFmtId="176" fontId="62" fillId="0" borderId="0" xfId="1" applyNumberFormat="1" applyFont="1" applyAlignment="1">
      <alignment horizontal="center" vertical="center"/>
    </xf>
    <xf numFmtId="0" fontId="51" fillId="0" borderId="0" xfId="13" applyFont="1" applyAlignment="1">
      <alignment vertical="center"/>
    </xf>
    <xf numFmtId="0" fontId="49" fillId="0" borderId="0" xfId="13" applyFont="1" applyAlignment="1">
      <alignment vertical="center"/>
    </xf>
    <xf numFmtId="0" fontId="51" fillId="0" borderId="0" xfId="13" applyFont="1" applyBorder="1" applyAlignment="1">
      <alignment vertical="center"/>
    </xf>
    <xf numFmtId="0" fontId="54" fillId="0" borderId="6" xfId="0" applyFont="1" applyFill="1" applyBorder="1" applyAlignment="1">
      <alignment horizontal="center" vertical="center" wrapText="1"/>
    </xf>
    <xf numFmtId="0" fontId="54" fillId="0" borderId="3" xfId="0" applyFont="1" applyFill="1" applyBorder="1" applyAlignment="1">
      <alignment horizontal="center" vertical="center" wrapText="1"/>
    </xf>
    <xf numFmtId="43" fontId="56" fillId="0" borderId="0" xfId="0" applyNumberFormat="1" applyFont="1" applyBorder="1" applyAlignment="1">
      <alignment vertical="center"/>
    </xf>
    <xf numFmtId="0" fontId="11" fillId="0" borderId="9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43" fontId="51" fillId="15" borderId="9" xfId="0" applyNumberFormat="1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49" fillId="0" borderId="0" xfId="5" applyFont="1" applyFill="1" applyAlignment="1">
      <alignment horizontal="left" vertical="center"/>
    </xf>
    <xf numFmtId="49" fontId="51" fillId="0" borderId="0" xfId="0" applyNumberFormat="1" applyFont="1" applyFill="1" applyAlignment="1">
      <alignment vertical="center"/>
    </xf>
    <xf numFmtId="178" fontId="51" fillId="0" borderId="0" xfId="0" applyNumberFormat="1" applyFont="1" applyFill="1" applyAlignment="1">
      <alignment vertical="center"/>
    </xf>
    <xf numFmtId="49" fontId="49" fillId="0" borderId="20" xfId="1" applyNumberFormat="1" applyFont="1" applyFill="1" applyBorder="1" applyAlignment="1">
      <alignment horizontal="center" vertical="center"/>
    </xf>
    <xf numFmtId="49" fontId="49" fillId="0" borderId="20" xfId="1" applyNumberFormat="1" applyFont="1" applyFill="1" applyBorder="1" applyAlignment="1">
      <alignment horizontal="left" vertical="center"/>
    </xf>
    <xf numFmtId="41" fontId="49" fillId="0" borderId="20" xfId="1" applyNumberFormat="1" applyFont="1" applyFill="1" applyBorder="1" applyAlignment="1">
      <alignment horizontal="center" vertical="center"/>
    </xf>
    <xf numFmtId="49" fontId="49" fillId="0" borderId="20" xfId="1" applyNumberFormat="1" applyFont="1" applyFill="1" applyBorder="1" applyAlignment="1">
      <alignment horizontal="center" vertical="center" wrapText="1"/>
    </xf>
    <xf numFmtId="41" fontId="51" fillId="0" borderId="0" xfId="1" applyNumberFormat="1" applyFont="1" applyFill="1" applyAlignment="1">
      <alignment horizontal="center" vertical="center"/>
    </xf>
    <xf numFmtId="178" fontId="51" fillId="0" borderId="0" xfId="1" applyNumberFormat="1" applyFont="1" applyFill="1" applyAlignment="1">
      <alignment horizontal="center" vertical="center"/>
    </xf>
    <xf numFmtId="49" fontId="51" fillId="0" borderId="0" xfId="1" applyNumberFormat="1" applyFont="1" applyFill="1" applyAlignment="1">
      <alignment horizontal="center" vertical="center" wrapText="1"/>
    </xf>
    <xf numFmtId="0" fontId="51" fillId="0" borderId="0" xfId="1" applyFont="1" applyFill="1" applyAlignment="1">
      <alignment vertical="center"/>
    </xf>
    <xf numFmtId="49" fontId="49" fillId="0" borderId="0" xfId="1" applyNumberFormat="1" applyFont="1" applyFill="1" applyAlignment="1">
      <alignment vertical="center"/>
    </xf>
    <xf numFmtId="49" fontId="49" fillId="0" borderId="0" xfId="1" applyNumberFormat="1" applyFont="1" applyFill="1" applyAlignment="1">
      <alignment horizontal="left" vertical="center" wrapText="1"/>
    </xf>
    <xf numFmtId="0" fontId="51" fillId="13" borderId="0" xfId="0" applyFont="1" applyFill="1" applyAlignment="1">
      <alignment vertical="center"/>
    </xf>
    <xf numFmtId="0" fontId="65" fillId="13" borderId="0" xfId="0" applyFont="1" applyFill="1" applyAlignment="1">
      <alignment vertical="center"/>
    </xf>
    <xf numFmtId="0" fontId="67" fillId="13" borderId="0" xfId="0" applyFont="1" applyFill="1" applyAlignment="1">
      <alignment vertical="center"/>
    </xf>
    <xf numFmtId="0" fontId="49" fillId="0" borderId="0" xfId="1" applyFont="1" applyFill="1" applyAlignment="1">
      <alignment vertical="center"/>
    </xf>
    <xf numFmtId="49" fontId="63" fillId="0" borderId="0" xfId="1" applyNumberFormat="1" applyFont="1" applyFill="1" applyAlignment="1">
      <alignment vertical="center"/>
    </xf>
    <xf numFmtId="49" fontId="51" fillId="0" borderId="0" xfId="1" applyNumberFormat="1" applyFont="1" applyFill="1" applyAlignment="1">
      <alignment horizontal="left" vertical="center" wrapText="1"/>
    </xf>
    <xf numFmtId="178" fontId="64" fillId="0" borderId="0" xfId="0" applyNumberFormat="1" applyFont="1" applyFill="1" applyBorder="1" applyAlignment="1">
      <alignment vertical="center"/>
    </xf>
    <xf numFmtId="0" fontId="51" fillId="0" borderId="0" xfId="3" applyFont="1" applyFill="1" applyAlignment="1" applyProtection="1">
      <alignment vertical="center" wrapText="1"/>
    </xf>
    <xf numFmtId="0" fontId="51" fillId="14" borderId="0" xfId="0" applyFont="1" applyFill="1" applyAlignment="1">
      <alignment vertical="center"/>
    </xf>
    <xf numFmtId="41" fontId="51" fillId="0" borderId="0" xfId="0" applyNumberFormat="1" applyFont="1" applyFill="1" applyAlignment="1">
      <alignment vertical="center"/>
    </xf>
    <xf numFmtId="0" fontId="51" fillId="12" borderId="0" xfId="0" applyFont="1" applyFill="1" applyAlignment="1">
      <alignment vertical="center"/>
    </xf>
    <xf numFmtId="49" fontId="51" fillId="0" borderId="0" xfId="1" applyNumberFormat="1" applyFont="1" applyFill="1" applyAlignment="1">
      <alignment horizontal="right" vertical="center" wrapText="1"/>
    </xf>
    <xf numFmtId="178" fontId="64" fillId="0" borderId="0" xfId="0" applyNumberFormat="1" applyFont="1" applyFill="1" applyAlignment="1">
      <alignment vertical="center"/>
    </xf>
    <xf numFmtId="0" fontId="51" fillId="0" borderId="0" xfId="18" applyFont="1" applyFill="1" applyProtection="1"/>
    <xf numFmtId="0" fontId="51" fillId="8" borderId="0" xfId="0" applyFont="1" applyFill="1" applyAlignment="1">
      <alignment vertical="center"/>
    </xf>
    <xf numFmtId="0" fontId="65" fillId="0" borderId="0" xfId="1" applyFont="1" applyFill="1" applyAlignment="1">
      <alignment vertical="center"/>
    </xf>
    <xf numFmtId="0" fontId="65" fillId="0" borderId="0" xfId="0" applyFont="1" applyFill="1" applyAlignment="1">
      <alignment vertical="center"/>
    </xf>
    <xf numFmtId="41" fontId="65" fillId="0" borderId="0" xfId="0" applyNumberFormat="1" applyFont="1" applyFill="1" applyAlignment="1">
      <alignment vertical="center"/>
    </xf>
    <xf numFmtId="178" fontId="65" fillId="0" borderId="0" xfId="0" applyNumberFormat="1" applyFont="1" applyFill="1" applyAlignment="1">
      <alignment vertical="center"/>
    </xf>
    <xf numFmtId="41" fontId="65" fillId="0" borderId="0" xfId="0" applyNumberFormat="1" applyFont="1" applyFill="1" applyAlignment="1">
      <alignment horizontal="left" vertical="center" wrapText="1"/>
    </xf>
    <xf numFmtId="49" fontId="51" fillId="0" borderId="0" xfId="1" applyNumberFormat="1" applyFont="1" applyFill="1" applyAlignment="1">
      <alignment vertical="center"/>
    </xf>
    <xf numFmtId="0" fontId="51" fillId="0" borderId="0" xfId="0" applyNumberFormat="1" applyFont="1" applyFill="1" applyAlignment="1">
      <alignment horizontal="left" vertical="center" wrapText="1"/>
    </xf>
    <xf numFmtId="0" fontId="51" fillId="0" borderId="0" xfId="0" applyNumberFormat="1" applyFont="1" applyFill="1" applyAlignment="1">
      <alignment vertical="center" wrapText="1"/>
    </xf>
    <xf numFmtId="0" fontId="10" fillId="0" borderId="3" xfId="0" applyFont="1" applyFill="1" applyBorder="1" applyAlignment="1">
      <alignment horizontal="left" vertical="center"/>
    </xf>
    <xf numFmtId="0" fontId="11" fillId="0" borderId="3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3" xfId="42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34" fillId="12" borderId="0" xfId="3" applyFont="1" applyFill="1" applyAlignment="1" applyProtection="1">
      <alignment vertical="center" wrapText="1"/>
    </xf>
    <xf numFmtId="0" fontId="17" fillId="12" borderId="0" xfId="0" applyFont="1" applyFill="1" applyAlignment="1">
      <alignment vertical="center" wrapText="1"/>
    </xf>
    <xf numFmtId="0" fontId="5" fillId="14" borderId="0" xfId="3" applyFill="1" applyAlignment="1" applyProtection="1">
      <alignment vertical="center" wrapText="1"/>
    </xf>
    <xf numFmtId="178" fontId="17" fillId="12" borderId="0" xfId="0" applyNumberFormat="1" applyFont="1" applyFill="1" applyBorder="1" applyAlignment="1">
      <alignment vertical="center"/>
    </xf>
    <xf numFmtId="178" fontId="17" fillId="12" borderId="0" xfId="0" applyNumberFormat="1" applyFont="1" applyFill="1" applyAlignment="1">
      <alignment vertical="center"/>
    </xf>
    <xf numFmtId="178" fontId="35" fillId="12" borderId="0" xfId="0" applyNumberFormat="1" applyFont="1" applyFill="1" applyBorder="1" applyAlignment="1">
      <alignment vertical="center"/>
    </xf>
    <xf numFmtId="178" fontId="17" fillId="14" borderId="0" xfId="0" applyNumberFormat="1" applyFont="1" applyFill="1" applyAlignment="1">
      <alignment vertical="center"/>
    </xf>
    <xf numFmtId="0" fontId="17" fillId="0" borderId="0" xfId="18" applyFont="1" applyFill="1" applyProtection="1"/>
    <xf numFmtId="0" fontId="17" fillId="0" borderId="0" xfId="0" applyFont="1" applyFill="1" applyAlignment="1">
      <alignment vertical="center" wrapText="1"/>
    </xf>
    <xf numFmtId="49" fontId="17" fillId="0" borderId="0" xfId="1" applyNumberFormat="1" applyFont="1" applyFill="1" applyAlignment="1">
      <alignment horizontal="center" vertical="center" wrapText="1"/>
    </xf>
    <xf numFmtId="0" fontId="17" fillId="13" borderId="0" xfId="1" applyFont="1" applyFill="1" applyAlignment="1">
      <alignment vertical="center"/>
    </xf>
    <xf numFmtId="49" fontId="34" fillId="13" borderId="0" xfId="1" applyNumberFormat="1" applyFont="1" applyFill="1" applyAlignment="1">
      <alignment vertical="center"/>
    </xf>
    <xf numFmtId="49" fontId="17" fillId="13" borderId="0" xfId="1" applyNumberFormat="1" applyFont="1" applyFill="1" applyAlignment="1">
      <alignment vertical="center"/>
    </xf>
    <xf numFmtId="41" fontId="17" fillId="13" borderId="0" xfId="1" applyNumberFormat="1" applyFont="1" applyFill="1" applyAlignment="1">
      <alignment vertical="center"/>
    </xf>
    <xf numFmtId="178" fontId="17" fillId="13" borderId="0" xfId="1" applyNumberFormat="1" applyFont="1" applyFill="1" applyAlignment="1">
      <alignment vertical="center"/>
    </xf>
    <xf numFmtId="177" fontId="34" fillId="13" borderId="0" xfId="3" applyNumberFormat="1" applyFont="1" applyFill="1" applyBorder="1" applyAlignment="1" applyProtection="1">
      <alignment vertical="center" wrapText="1"/>
    </xf>
    <xf numFmtId="0" fontId="17" fillId="13" borderId="0" xfId="0" applyFont="1" applyFill="1" applyAlignment="1">
      <alignment vertical="center"/>
    </xf>
    <xf numFmtId="49" fontId="17" fillId="13" borderId="0" xfId="1" applyNumberFormat="1" applyFont="1" applyFill="1" applyAlignment="1">
      <alignment horizontal="left" vertical="center"/>
    </xf>
    <xf numFmtId="0" fontId="16" fillId="13" borderId="0" xfId="1" applyFont="1" applyFill="1" applyAlignment="1">
      <alignment vertical="center"/>
    </xf>
    <xf numFmtId="177" fontId="34" fillId="13" borderId="0" xfId="3" applyNumberFormat="1" applyFont="1" applyFill="1" applyBorder="1" applyAlignment="1" applyProtection="1">
      <alignment horizontal="left" vertical="center" wrapText="1"/>
    </xf>
    <xf numFmtId="0" fontId="34" fillId="13" borderId="0" xfId="3" applyFont="1" applyFill="1" applyAlignment="1" applyProtection="1">
      <alignment horizontal="left" vertical="center" wrapText="1"/>
    </xf>
    <xf numFmtId="41" fontId="17" fillId="13" borderId="0" xfId="0" applyNumberFormat="1" applyFont="1" applyFill="1" applyAlignment="1">
      <alignment vertical="center"/>
    </xf>
    <xf numFmtId="178" fontId="17" fillId="13" borderId="0" xfId="0" applyNumberFormat="1" applyFont="1" applyFill="1" applyAlignment="1">
      <alignment vertical="center"/>
    </xf>
    <xf numFmtId="178" fontId="35" fillId="13" borderId="0" xfId="1" applyNumberFormat="1" applyFont="1" applyFill="1" applyAlignment="1">
      <alignment vertical="center"/>
    </xf>
    <xf numFmtId="0" fontId="17" fillId="13" borderId="0" xfId="3" applyFont="1" applyFill="1" applyAlignment="1" applyProtection="1">
      <alignment horizontal="left" vertical="center" wrapText="1"/>
    </xf>
    <xf numFmtId="10" fontId="17" fillId="13" borderId="0" xfId="12" applyNumberFormat="1" applyFont="1" applyFill="1" applyAlignment="1">
      <alignment vertical="center"/>
    </xf>
    <xf numFmtId="49" fontId="17" fillId="13" borderId="0" xfId="1" applyNumberFormat="1" applyFont="1" applyFill="1" applyAlignment="1">
      <alignment horizontal="left" vertical="center" wrapText="1"/>
    </xf>
    <xf numFmtId="49" fontId="68" fillId="13" borderId="0" xfId="1" applyNumberFormat="1" applyFont="1" applyFill="1" applyAlignment="1">
      <alignment horizontal="left" vertical="center" wrapText="1"/>
    </xf>
    <xf numFmtId="41" fontId="69" fillId="13" borderId="0" xfId="0" applyNumberFormat="1" applyFont="1" applyFill="1" applyAlignment="1">
      <alignment vertical="center"/>
    </xf>
    <xf numFmtId="177" fontId="69" fillId="13" borderId="0" xfId="3" applyNumberFormat="1" applyFont="1" applyFill="1" applyBorder="1" applyAlignment="1" applyProtection="1">
      <alignment horizontal="left" vertical="center" wrapText="1"/>
    </xf>
    <xf numFmtId="49" fontId="17" fillId="13" borderId="0" xfId="1" applyNumberFormat="1" applyFont="1" applyFill="1" applyAlignment="1">
      <alignment horizontal="right" vertical="center" wrapText="1"/>
    </xf>
    <xf numFmtId="49" fontId="17" fillId="13" borderId="0" xfId="1" applyNumberFormat="1" applyFont="1" applyFill="1" applyAlignment="1">
      <alignment horizontal="right" vertical="center"/>
    </xf>
    <xf numFmtId="0" fontId="69" fillId="13" borderId="0" xfId="1" applyFont="1" applyFill="1" applyAlignment="1">
      <alignment vertical="center"/>
    </xf>
    <xf numFmtId="49" fontId="68" fillId="13" borderId="0" xfId="1" applyNumberFormat="1" applyFont="1" applyFill="1" applyAlignment="1">
      <alignment vertical="center"/>
    </xf>
    <xf numFmtId="0" fontId="69" fillId="13" borderId="0" xfId="3" applyFont="1" applyFill="1" applyAlignment="1" applyProtection="1">
      <alignment horizontal="left" vertical="center" wrapText="1"/>
    </xf>
    <xf numFmtId="0" fontId="69" fillId="13" borderId="0" xfId="0" applyFont="1" applyFill="1" applyAlignment="1">
      <alignment vertical="center"/>
    </xf>
    <xf numFmtId="0" fontId="17" fillId="13" borderId="0" xfId="1" applyFont="1" applyFill="1" applyAlignment="1">
      <alignment horizontal="left" vertical="center" wrapText="1"/>
    </xf>
    <xf numFmtId="181" fontId="17" fillId="13" borderId="0" xfId="0" applyNumberFormat="1" applyFont="1" applyFill="1">
      <alignment vertical="center"/>
    </xf>
    <xf numFmtId="178" fontId="35" fillId="13" borderId="0" xfId="0" applyNumberFormat="1" applyFont="1" applyFill="1" applyAlignment="1">
      <alignment vertical="center"/>
    </xf>
    <xf numFmtId="0" fontId="17" fillId="13" borderId="0" xfId="1" applyFont="1" applyFill="1" applyBorder="1" applyAlignment="1">
      <alignment vertical="center"/>
    </xf>
    <xf numFmtId="49" fontId="17" fillId="13" borderId="0" xfId="1" applyNumberFormat="1" applyFont="1" applyFill="1" applyBorder="1" applyAlignment="1">
      <alignment horizontal="left" vertical="center" wrapText="1"/>
    </xf>
    <xf numFmtId="0" fontId="17" fillId="13" borderId="0" xfId="3" applyFont="1" applyFill="1" applyAlignment="1" applyProtection="1">
      <alignment vertical="center" wrapText="1"/>
    </xf>
    <xf numFmtId="49" fontId="68" fillId="13" borderId="0" xfId="1" applyNumberFormat="1" applyFont="1" applyFill="1" applyAlignment="1">
      <alignment vertical="center" wrapText="1"/>
    </xf>
    <xf numFmtId="178" fontId="69" fillId="13" borderId="0" xfId="0" applyNumberFormat="1" applyFont="1" applyFill="1" applyAlignment="1">
      <alignment vertical="center"/>
    </xf>
    <xf numFmtId="0" fontId="71" fillId="13" borderId="0" xfId="1" applyFont="1" applyFill="1" applyAlignment="1">
      <alignment vertical="center"/>
    </xf>
    <xf numFmtId="49" fontId="72" fillId="13" borderId="0" xfId="1" applyNumberFormat="1" applyFont="1" applyFill="1" applyAlignment="1">
      <alignment horizontal="left" vertical="center" wrapText="1"/>
    </xf>
    <xf numFmtId="41" fontId="73" fillId="13" borderId="0" xfId="0" applyNumberFormat="1" applyFont="1" applyFill="1" applyAlignment="1">
      <alignment vertical="center"/>
    </xf>
    <xf numFmtId="178" fontId="73" fillId="13" borderId="0" xfId="0" applyNumberFormat="1" applyFont="1" applyFill="1" applyAlignment="1">
      <alignment vertical="center"/>
    </xf>
    <xf numFmtId="49" fontId="73" fillId="13" borderId="0" xfId="0" applyNumberFormat="1" applyFont="1" applyFill="1" applyAlignment="1">
      <alignment horizontal="left" vertical="center" wrapText="1"/>
    </xf>
    <xf numFmtId="0" fontId="73" fillId="13" borderId="0" xfId="0" applyFont="1" applyFill="1" applyAlignment="1">
      <alignment vertical="center"/>
    </xf>
    <xf numFmtId="0" fontId="34" fillId="13" borderId="0" xfId="3" applyFont="1" applyFill="1" applyAlignment="1" applyProtection="1">
      <alignment wrapText="1"/>
    </xf>
    <xf numFmtId="0" fontId="73" fillId="13" borderId="0" xfId="1" applyFont="1" applyFill="1" applyBorder="1" applyAlignment="1">
      <alignment vertical="center"/>
    </xf>
    <xf numFmtId="0" fontId="73" fillId="13" borderId="0" xfId="1" applyFont="1" applyFill="1" applyAlignment="1">
      <alignment vertical="center"/>
    </xf>
    <xf numFmtId="49" fontId="72" fillId="13" borderId="0" xfId="1" applyNumberFormat="1" applyFont="1" applyFill="1" applyAlignment="1">
      <alignment vertical="center" wrapText="1"/>
    </xf>
    <xf numFmtId="0" fontId="72" fillId="13" borderId="0" xfId="3" applyFont="1" applyFill="1" applyAlignment="1" applyProtection="1">
      <alignment wrapText="1"/>
    </xf>
    <xf numFmtId="49" fontId="17" fillId="12" borderId="0" xfId="1" applyNumberFormat="1" applyFont="1" applyFill="1" applyAlignment="1">
      <alignment horizontal="left" vertical="center" wrapText="1"/>
    </xf>
    <xf numFmtId="0" fontId="17" fillId="12" borderId="0" xfId="0" applyFont="1" applyFill="1">
      <alignment vertical="center"/>
    </xf>
    <xf numFmtId="178" fontId="17" fillId="12" borderId="0" xfId="0" applyNumberFormat="1" applyFont="1" applyFill="1">
      <alignment vertical="center"/>
    </xf>
    <xf numFmtId="178" fontId="17" fillId="12" borderId="0" xfId="1" applyNumberFormat="1" applyFont="1" applyFill="1" applyAlignment="1">
      <alignment horizontal="right" vertical="center"/>
    </xf>
    <xf numFmtId="0" fontId="17" fillId="12" borderId="0" xfId="3" applyFont="1" applyFill="1" applyAlignment="1" applyProtection="1">
      <alignment vertical="center" wrapText="1"/>
    </xf>
    <xf numFmtId="178" fontId="35" fillId="13" borderId="0" xfId="0" applyNumberFormat="1" applyFont="1" applyFill="1" applyBorder="1" applyAlignment="1">
      <alignment vertical="center"/>
    </xf>
    <xf numFmtId="41" fontId="69" fillId="13" borderId="0" xfId="3" applyNumberFormat="1" applyFont="1" applyFill="1" applyAlignment="1" applyProtection="1">
      <alignment vertical="center"/>
    </xf>
    <xf numFmtId="41" fontId="46" fillId="13" borderId="0" xfId="3" applyNumberFormat="1" applyFont="1" applyFill="1" applyAlignment="1" applyProtection="1">
      <alignment vertical="center"/>
    </xf>
    <xf numFmtId="41" fontId="17" fillId="13" borderId="0" xfId="3" applyNumberFormat="1" applyFont="1" applyFill="1" applyAlignment="1" applyProtection="1">
      <alignment vertical="center"/>
    </xf>
    <xf numFmtId="41" fontId="46" fillId="13" borderId="0" xfId="0" applyNumberFormat="1" applyFont="1" applyFill="1" applyAlignment="1">
      <alignment vertical="center"/>
    </xf>
    <xf numFmtId="41" fontId="17" fillId="13" borderId="0" xfId="0" applyNumberFormat="1" applyFont="1" applyFill="1" applyBorder="1" applyAlignment="1">
      <alignment vertical="center"/>
    </xf>
    <xf numFmtId="0" fontId="34" fillId="13" borderId="0" xfId="3" applyFont="1" applyFill="1" applyAlignment="1" applyProtection="1">
      <alignment vertical="center" wrapText="1"/>
    </xf>
    <xf numFmtId="178" fontId="69" fillId="13" borderId="0" xfId="1" applyNumberFormat="1" applyFont="1" applyFill="1" applyAlignment="1">
      <alignment vertical="center"/>
    </xf>
    <xf numFmtId="178" fontId="46" fillId="13" borderId="0" xfId="1" applyNumberFormat="1" applyFont="1" applyFill="1" applyAlignment="1">
      <alignment vertical="center"/>
    </xf>
    <xf numFmtId="0" fontId="17" fillId="14" borderId="0" xfId="1" applyFont="1" applyFill="1" applyAlignment="1">
      <alignment vertical="center"/>
    </xf>
    <xf numFmtId="49" fontId="34" fillId="14" borderId="0" xfId="1" applyNumberFormat="1" applyFont="1" applyFill="1" applyAlignment="1">
      <alignment vertical="center"/>
    </xf>
    <xf numFmtId="49" fontId="17" fillId="14" borderId="0" xfId="1" applyNumberFormat="1" applyFont="1" applyFill="1" applyAlignment="1">
      <alignment horizontal="left" vertical="center" wrapText="1"/>
    </xf>
    <xf numFmtId="41" fontId="17" fillId="14" borderId="0" xfId="0" applyNumberFormat="1" applyFont="1" applyFill="1" applyAlignment="1">
      <alignment vertical="center"/>
    </xf>
    <xf numFmtId="178" fontId="17" fillId="14" borderId="0" xfId="1" applyNumberFormat="1" applyFont="1" applyFill="1" applyAlignment="1">
      <alignment vertical="center"/>
    </xf>
    <xf numFmtId="0" fontId="34" fillId="14" borderId="0" xfId="3" applyFont="1" applyFill="1" applyAlignment="1" applyProtection="1">
      <alignment vertical="center" wrapText="1"/>
    </xf>
    <xf numFmtId="0" fontId="17" fillId="14" borderId="0" xfId="0" applyFont="1" applyFill="1" applyAlignment="1">
      <alignment vertical="center"/>
    </xf>
    <xf numFmtId="41" fontId="17" fillId="14" borderId="0" xfId="0" applyNumberFormat="1" applyFont="1" applyFill="1" applyBorder="1" applyAlignment="1">
      <alignment vertical="center"/>
    </xf>
    <xf numFmtId="178" fontId="17" fillId="14" borderId="0" xfId="0" applyNumberFormat="1" applyFont="1" applyFill="1" applyBorder="1" applyAlignment="1">
      <alignment vertical="center"/>
    </xf>
    <xf numFmtId="0" fontId="17" fillId="12" borderId="0" xfId="1" applyFont="1" applyFill="1" applyAlignment="1">
      <alignment vertical="center"/>
    </xf>
    <xf numFmtId="49" fontId="34" fillId="12" borderId="0" xfId="1" applyNumberFormat="1" applyFont="1" applyFill="1" applyAlignment="1">
      <alignment vertical="center"/>
    </xf>
    <xf numFmtId="41" fontId="17" fillId="12" borderId="0" xfId="0" applyNumberFormat="1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6" fillId="12" borderId="0" xfId="1" applyFont="1" applyFill="1" applyAlignment="1">
      <alignment vertical="center"/>
    </xf>
    <xf numFmtId="49" fontId="17" fillId="12" borderId="0" xfId="1" applyNumberFormat="1" applyFont="1" applyFill="1" applyAlignment="1">
      <alignment vertical="center"/>
    </xf>
    <xf numFmtId="0" fontId="17" fillId="8" borderId="0" xfId="1" applyFont="1" applyFill="1" applyAlignment="1">
      <alignment vertical="center"/>
    </xf>
    <xf numFmtId="49" fontId="34" fillId="8" borderId="0" xfId="1" applyNumberFormat="1" applyFont="1" applyFill="1" applyAlignment="1">
      <alignment vertical="center"/>
    </xf>
    <xf numFmtId="49" fontId="17" fillId="8" borderId="0" xfId="1" applyNumberFormat="1" applyFont="1" applyFill="1" applyAlignment="1">
      <alignment horizontal="left" vertical="center" wrapText="1"/>
    </xf>
    <xf numFmtId="41" fontId="17" fillId="8" borderId="0" xfId="0" applyNumberFormat="1" applyFont="1" applyFill="1" applyAlignment="1">
      <alignment vertical="center"/>
    </xf>
    <xf numFmtId="178" fontId="17" fillId="8" borderId="0" xfId="0" applyNumberFormat="1" applyFont="1" applyFill="1">
      <alignment vertical="center"/>
    </xf>
    <xf numFmtId="0" fontId="34" fillId="8" borderId="0" xfId="3" applyFont="1" applyFill="1" applyAlignment="1" applyProtection="1">
      <alignment vertical="center"/>
    </xf>
    <xf numFmtId="0" fontId="17" fillId="8" borderId="0" xfId="0" applyFont="1" applyFill="1" applyAlignment="1">
      <alignment vertical="center"/>
    </xf>
    <xf numFmtId="41" fontId="46" fillId="0" borderId="0" xfId="0" applyNumberFormat="1" applyFont="1" applyFill="1" applyAlignment="1">
      <alignment horizontal="left" vertical="center" wrapText="1"/>
    </xf>
    <xf numFmtId="181" fontId="46" fillId="0" borderId="0" xfId="0" applyNumberFormat="1" applyFont="1" applyFill="1" applyAlignment="1">
      <alignment vertical="center"/>
    </xf>
    <xf numFmtId="0" fontId="69" fillId="0" borderId="0" xfId="1" applyFont="1" applyFill="1" applyAlignment="1">
      <alignment vertical="center"/>
    </xf>
    <xf numFmtId="0" fontId="69" fillId="0" borderId="0" xfId="0" applyFont="1" applyFill="1" applyAlignment="1">
      <alignment vertical="center"/>
    </xf>
    <xf numFmtId="41" fontId="69" fillId="0" borderId="0" xfId="0" applyNumberFormat="1" applyFont="1" applyFill="1" applyAlignment="1">
      <alignment vertical="center"/>
    </xf>
    <xf numFmtId="178" fontId="69" fillId="0" borderId="0" xfId="0" applyNumberFormat="1" applyFont="1" applyFill="1" applyAlignment="1">
      <alignment vertical="center"/>
    </xf>
    <xf numFmtId="41" fontId="69" fillId="0" borderId="0" xfId="0" applyNumberFormat="1" applyFont="1" applyFill="1" applyAlignment="1">
      <alignment horizontal="left" vertical="center" wrapText="1"/>
    </xf>
    <xf numFmtId="0" fontId="17" fillId="0" borderId="0" xfId="0" applyNumberFormat="1" applyFont="1" applyFill="1" applyAlignment="1">
      <alignment horizontal="left" vertical="center" wrapText="1"/>
    </xf>
    <xf numFmtId="0" fontId="17" fillId="0" borderId="0" xfId="0" applyNumberFormat="1" applyFont="1" applyFill="1" applyAlignment="1">
      <alignment vertical="center" wrapText="1"/>
    </xf>
    <xf numFmtId="49" fontId="8" fillId="0" borderId="0" xfId="0" applyNumberFormat="1" applyFont="1" applyFill="1" applyAlignment="1">
      <alignment vertical="center"/>
    </xf>
    <xf numFmtId="178" fontId="17" fillId="12" borderId="0" xfId="1" applyNumberFormat="1" applyFont="1" applyFill="1" applyAlignment="1">
      <alignment vertical="center"/>
    </xf>
    <xf numFmtId="0" fontId="34" fillId="12" borderId="0" xfId="3" applyFont="1" applyFill="1" applyAlignment="1" applyProtection="1">
      <alignment wrapText="1"/>
    </xf>
    <xf numFmtId="178" fontId="75" fillId="0" borderId="0" xfId="0" applyNumberFormat="1" applyFont="1" applyFill="1" applyBorder="1" applyAlignment="1">
      <alignment vertical="center"/>
    </xf>
    <xf numFmtId="178" fontId="75" fillId="0" borderId="0" xfId="0" applyNumberFormat="1" applyFont="1" applyFill="1" applyBorder="1" applyAlignment="1">
      <alignment horizontal="right" vertical="center"/>
    </xf>
    <xf numFmtId="178" fontId="76" fillId="0" borderId="0" xfId="0" applyNumberFormat="1" applyFont="1" applyFill="1" applyAlignment="1">
      <alignment vertical="center"/>
    </xf>
    <xf numFmtId="0" fontId="17" fillId="16" borderId="0" xfId="1" applyFont="1" applyFill="1" applyAlignment="1">
      <alignment horizontal="left" vertical="center"/>
    </xf>
    <xf numFmtId="41" fontId="17" fillId="16" borderId="0" xfId="0" applyNumberFormat="1" applyFont="1" applyFill="1" applyAlignment="1">
      <alignment vertical="center"/>
    </xf>
    <xf numFmtId="0" fontId="17" fillId="16" borderId="0" xfId="0" applyFont="1" applyFill="1" applyAlignment="1">
      <alignment vertical="center"/>
    </xf>
    <xf numFmtId="178" fontId="17" fillId="16" borderId="0" xfId="0" applyNumberFormat="1" applyFont="1" applyFill="1" applyAlignment="1">
      <alignment vertical="center"/>
    </xf>
    <xf numFmtId="0" fontId="17" fillId="16" borderId="0" xfId="0" applyNumberFormat="1" applyFont="1" applyFill="1" applyAlignment="1">
      <alignment horizontal="left" vertical="center" wrapText="1"/>
    </xf>
    <xf numFmtId="0" fontId="17" fillId="16" borderId="0" xfId="1" applyFont="1" applyFill="1" applyAlignment="1">
      <alignment horizontal="right" vertical="center"/>
    </xf>
    <xf numFmtId="49" fontId="17" fillId="16" borderId="0" xfId="1" applyNumberFormat="1" applyFont="1" applyFill="1" applyBorder="1" applyAlignment="1">
      <alignment horizontal="left" vertical="center" wrapText="1"/>
    </xf>
    <xf numFmtId="178" fontId="17" fillId="16" borderId="0" xfId="1" applyNumberFormat="1" applyFont="1" applyFill="1" applyAlignment="1">
      <alignment vertical="center"/>
    </xf>
    <xf numFmtId="0" fontId="34" fillId="16" borderId="0" xfId="3" applyFont="1" applyFill="1" applyAlignment="1" applyProtection="1">
      <alignment horizontal="left" vertical="center" wrapText="1"/>
    </xf>
    <xf numFmtId="49" fontId="7" fillId="0" borderId="20" xfId="1" applyNumberFormat="1" applyFont="1" applyFill="1" applyBorder="1" applyAlignment="1">
      <alignment horizontal="center" vertical="center"/>
    </xf>
    <xf numFmtId="178" fontId="16" fillId="0" borderId="20" xfId="1" quotePrefix="1" applyNumberFormat="1" applyFont="1" applyFill="1" applyBorder="1" applyAlignment="1">
      <alignment horizontal="center" vertical="center"/>
    </xf>
    <xf numFmtId="178" fontId="7" fillId="0" borderId="20" xfId="1" applyNumberFormat="1" applyFont="1" applyFill="1" applyBorder="1" applyAlignment="1">
      <alignment horizontal="center" vertical="center"/>
    </xf>
    <xf numFmtId="10" fontId="8" fillId="0" borderId="0" xfId="0" applyNumberFormat="1" applyFont="1" applyFill="1" applyAlignment="1">
      <alignment vertical="center"/>
    </xf>
    <xf numFmtId="49" fontId="8" fillId="0" borderId="0" xfId="1" applyNumberFormat="1" applyFont="1" applyFill="1" applyAlignment="1">
      <alignment horizontal="left" vertical="center" wrapText="1"/>
    </xf>
    <xf numFmtId="178" fontId="19" fillId="13" borderId="0" xfId="0" applyNumberFormat="1" applyFont="1" applyFill="1" applyAlignment="1">
      <alignment horizontal="left" vertical="center" wrapText="1"/>
    </xf>
    <xf numFmtId="178" fontId="19" fillId="13" borderId="0" xfId="3" applyNumberFormat="1" applyFont="1" applyFill="1" applyAlignment="1" applyProtection="1">
      <alignment horizontal="left" vertical="center" wrapText="1"/>
    </xf>
    <xf numFmtId="177" fontId="77" fillId="13" borderId="0" xfId="3" applyNumberFormat="1" applyFont="1" applyFill="1" applyBorder="1" applyAlignment="1" applyProtection="1">
      <alignment horizontal="left" vertical="center" wrapText="1"/>
    </xf>
    <xf numFmtId="178" fontId="19" fillId="0" borderId="0" xfId="3" applyNumberFormat="1" applyFont="1" applyFill="1" applyAlignment="1" applyProtection="1">
      <alignment horizontal="left" vertical="center" wrapText="1"/>
    </xf>
    <xf numFmtId="49" fontId="48" fillId="0" borderId="0" xfId="1" applyNumberFormat="1" applyFont="1" applyFill="1" applyAlignment="1">
      <alignment horizontal="center" vertical="center" wrapText="1"/>
    </xf>
    <xf numFmtId="186" fontId="17" fillId="0" borderId="0" xfId="0" applyNumberFormat="1" applyFont="1" applyFill="1" applyAlignment="1">
      <alignment vertical="center"/>
    </xf>
    <xf numFmtId="187" fontId="17" fillId="0" borderId="0" xfId="0" applyNumberFormat="1" applyFont="1" applyFill="1" applyAlignment="1">
      <alignment vertical="center"/>
    </xf>
    <xf numFmtId="10" fontId="8" fillId="0" borderId="0" xfId="0" applyNumberFormat="1" applyFont="1" applyFill="1" applyAlignment="1">
      <alignment horizontal="left" vertical="center"/>
    </xf>
    <xf numFmtId="188" fontId="46" fillId="0" borderId="0" xfId="0" applyNumberFormat="1" applyFont="1" applyFill="1" applyAlignment="1">
      <alignment vertical="center"/>
    </xf>
    <xf numFmtId="10" fontId="8" fillId="3" borderId="0" xfId="0" applyNumberFormat="1" applyFont="1" applyFill="1" applyAlignment="1">
      <alignment vertical="center"/>
    </xf>
    <xf numFmtId="0" fontId="42" fillId="0" borderId="0" xfId="3" applyFont="1" applyFill="1" applyAlignment="1" applyProtection="1">
      <alignment vertical="center" wrapText="1"/>
    </xf>
    <xf numFmtId="178" fontId="51" fillId="0" borderId="0" xfId="0" applyNumberFormat="1" applyFont="1" applyFill="1">
      <alignment vertical="center"/>
    </xf>
    <xf numFmtId="0" fontId="5" fillId="0" borderId="0" xfId="3" applyFill="1" applyAlignment="1" applyProtection="1">
      <alignment vertical="center"/>
    </xf>
    <xf numFmtId="177" fontId="63" fillId="0" borderId="0" xfId="3" applyNumberFormat="1" applyFont="1" applyFill="1" applyBorder="1" applyAlignment="1" applyProtection="1">
      <alignment vertical="center" wrapText="1"/>
    </xf>
    <xf numFmtId="177" fontId="63" fillId="0" borderId="0" xfId="3" applyNumberFormat="1" applyFont="1" applyFill="1" applyBorder="1" applyAlignment="1" applyProtection="1">
      <alignment horizontal="left" vertical="center" wrapText="1"/>
    </xf>
    <xf numFmtId="0" fontId="63" fillId="0" borderId="0" xfId="3" applyFont="1" applyFill="1" applyAlignment="1" applyProtection="1">
      <alignment horizontal="left" vertical="center" wrapText="1"/>
    </xf>
    <xf numFmtId="0" fontId="51" fillId="0" borderId="0" xfId="3" applyFont="1" applyFill="1" applyAlignment="1" applyProtection="1">
      <alignment horizontal="left" vertical="center" wrapText="1"/>
    </xf>
    <xf numFmtId="177" fontId="51" fillId="0" borderId="0" xfId="3" applyNumberFormat="1" applyFont="1" applyFill="1" applyBorder="1" applyAlignment="1" applyProtection="1">
      <alignment horizontal="left" vertical="center" wrapText="1"/>
    </xf>
    <xf numFmtId="0" fontId="5" fillId="0" borderId="0" xfId="3" applyFill="1" applyAlignment="1" applyProtection="1">
      <alignment horizontal="left" vertical="center" wrapText="1"/>
    </xf>
    <xf numFmtId="49" fontId="51" fillId="0" borderId="0" xfId="0" applyNumberFormat="1" applyFont="1" applyFill="1" applyAlignment="1">
      <alignment horizontal="left" vertical="center" wrapText="1"/>
    </xf>
    <xf numFmtId="0" fontId="67" fillId="0" borderId="0" xfId="0" applyFont="1" applyFill="1" applyAlignment="1">
      <alignment vertical="center"/>
    </xf>
    <xf numFmtId="0" fontId="5" fillId="0" borderId="0" xfId="3" applyFill="1" applyAlignment="1" applyProtection="1">
      <alignment wrapText="1"/>
    </xf>
    <xf numFmtId="0" fontId="63" fillId="0" borderId="0" xfId="3" applyFont="1" applyFill="1" applyAlignment="1" applyProtection="1">
      <alignment wrapText="1"/>
    </xf>
    <xf numFmtId="0" fontId="63" fillId="0" borderId="0" xfId="3" applyFont="1" applyFill="1" applyAlignment="1" applyProtection="1">
      <alignment vertical="center" wrapText="1"/>
    </xf>
    <xf numFmtId="0" fontId="34" fillId="0" borderId="0" xfId="3" applyFont="1" applyFill="1" applyAlignment="1" applyProtection="1">
      <alignment vertical="center" wrapText="1"/>
    </xf>
    <xf numFmtId="0" fontId="63" fillId="0" borderId="0" xfId="3" applyFont="1" applyFill="1" applyAlignment="1" applyProtection="1">
      <alignment vertical="center"/>
    </xf>
    <xf numFmtId="10" fontId="51" fillId="0" borderId="0" xfId="12" applyNumberFormat="1" applyFont="1" applyFill="1" applyAlignment="1">
      <alignment vertical="center"/>
    </xf>
    <xf numFmtId="41" fontId="51" fillId="0" borderId="0" xfId="0" applyNumberFormat="1" applyFont="1" applyFill="1">
      <alignment vertical="center"/>
    </xf>
    <xf numFmtId="41" fontId="51" fillId="0" borderId="0" xfId="1" applyNumberFormat="1" applyFont="1" applyFill="1" applyAlignment="1">
      <alignment horizontal="right" vertical="center"/>
    </xf>
    <xf numFmtId="41" fontId="51" fillId="0" borderId="0" xfId="1" applyNumberFormat="1" applyFont="1" applyFill="1" applyAlignment="1">
      <alignment vertical="center"/>
    </xf>
    <xf numFmtId="41" fontId="64" fillId="0" borderId="0" xfId="1" applyNumberFormat="1" applyFont="1" applyFill="1" applyAlignment="1">
      <alignment vertical="center"/>
    </xf>
    <xf numFmtId="41" fontId="75" fillId="0" borderId="0" xfId="1" applyNumberFormat="1" applyFont="1" applyFill="1" applyAlignment="1">
      <alignment vertical="center"/>
    </xf>
    <xf numFmtId="49" fontId="63" fillId="0" borderId="0" xfId="1" applyNumberFormat="1" applyFont="1" applyFill="1" applyAlignment="1">
      <alignment horizontal="left" vertical="center" wrapText="1"/>
    </xf>
    <xf numFmtId="41" fontId="49" fillId="0" borderId="0" xfId="0" applyNumberFormat="1" applyFont="1" applyFill="1" applyAlignment="1">
      <alignment vertical="center"/>
    </xf>
    <xf numFmtId="49" fontId="51" fillId="0" borderId="0" xfId="1" applyNumberFormat="1" applyFont="1" applyFill="1" applyAlignment="1">
      <alignment horizontal="right" vertical="center"/>
    </xf>
    <xf numFmtId="41" fontId="64" fillId="0" borderId="0" xfId="0" applyNumberFormat="1" applyFont="1" applyFill="1" applyAlignment="1">
      <alignment vertical="center"/>
    </xf>
    <xf numFmtId="0" fontId="51" fillId="0" borderId="0" xfId="1" applyFont="1" applyFill="1" applyAlignment="1">
      <alignment horizontal="left" vertical="center" wrapText="1"/>
    </xf>
    <xf numFmtId="41" fontId="75" fillId="0" borderId="0" xfId="0" applyNumberFormat="1" applyFont="1" applyFill="1" applyAlignment="1">
      <alignment vertical="center"/>
    </xf>
    <xf numFmtId="0" fontId="51" fillId="0" borderId="0" xfId="1" applyFont="1" applyFill="1" applyBorder="1" applyAlignment="1">
      <alignment vertical="center"/>
    </xf>
    <xf numFmtId="49" fontId="63" fillId="0" borderId="0" xfId="1" applyNumberFormat="1" applyFont="1" applyFill="1" applyAlignment="1">
      <alignment vertical="center" wrapText="1"/>
    </xf>
    <xf numFmtId="0" fontId="66" fillId="0" borderId="0" xfId="1" applyFont="1" applyFill="1" applyAlignment="1">
      <alignment vertical="center"/>
    </xf>
    <xf numFmtId="0" fontId="67" fillId="0" borderId="0" xfId="1" applyFont="1" applyFill="1" applyBorder="1" applyAlignment="1">
      <alignment vertical="center"/>
    </xf>
    <xf numFmtId="0" fontId="67" fillId="0" borderId="0" xfId="1" applyFont="1" applyFill="1" applyAlignment="1">
      <alignment vertical="center"/>
    </xf>
    <xf numFmtId="41" fontId="64" fillId="0" borderId="0" xfId="0" applyNumberFormat="1" applyFont="1" applyFill="1" applyBorder="1" applyAlignment="1">
      <alignment vertical="center"/>
    </xf>
    <xf numFmtId="41" fontId="75" fillId="0" borderId="0" xfId="0" applyNumberFormat="1" applyFont="1" applyFill="1" applyBorder="1" applyAlignment="1">
      <alignment vertical="center"/>
    </xf>
    <xf numFmtId="41" fontId="64" fillId="0" borderId="0" xfId="1" applyNumberFormat="1" applyFont="1" applyFill="1" applyBorder="1" applyAlignment="1">
      <alignment vertical="center"/>
    </xf>
    <xf numFmtId="41" fontId="75" fillId="0" borderId="0" xfId="1" applyNumberFormat="1" applyFont="1" applyFill="1" applyBorder="1" applyAlignment="1">
      <alignment vertical="center"/>
    </xf>
    <xf numFmtId="178" fontId="51" fillId="0" borderId="0" xfId="1" applyNumberFormat="1" applyFont="1" applyFill="1" applyAlignment="1">
      <alignment vertical="center"/>
    </xf>
    <xf numFmtId="41" fontId="51" fillId="0" borderId="0" xfId="0" applyNumberFormat="1" applyFont="1" applyFill="1" applyBorder="1" applyAlignment="1">
      <alignment vertical="center"/>
    </xf>
    <xf numFmtId="49" fontId="51" fillId="0" borderId="0" xfId="1" applyNumberFormat="1" applyFont="1" applyFill="1" applyAlignment="1">
      <alignment horizontal="left" vertical="center"/>
    </xf>
    <xf numFmtId="9" fontId="51" fillId="0" borderId="0" xfId="1" applyNumberFormat="1" applyFont="1" applyFill="1" applyAlignment="1">
      <alignment vertical="center"/>
    </xf>
    <xf numFmtId="41" fontId="64" fillId="0" borderId="0" xfId="0" applyNumberFormat="1" applyFont="1" applyFill="1" applyBorder="1" applyAlignment="1">
      <alignment horizontal="right" vertical="center"/>
    </xf>
    <xf numFmtId="41" fontId="76" fillId="0" borderId="0" xfId="0" applyNumberFormat="1" applyFont="1" applyFill="1" applyAlignment="1">
      <alignment vertical="center"/>
    </xf>
    <xf numFmtId="0" fontId="78" fillId="0" borderId="0" xfId="1" applyFont="1" applyFill="1" applyAlignment="1">
      <alignment vertical="center"/>
    </xf>
    <xf numFmtId="49" fontId="79" fillId="0" borderId="0" xfId="1" applyNumberFormat="1" applyFont="1" applyFill="1" applyAlignment="1">
      <alignment vertical="center"/>
    </xf>
    <xf numFmtId="49" fontId="78" fillId="0" borderId="0" xfId="1" applyNumberFormat="1" applyFont="1" applyFill="1" applyAlignment="1">
      <alignment horizontal="right" vertical="center" wrapText="1"/>
    </xf>
    <xf numFmtId="41" fontId="78" fillId="0" borderId="0" xfId="0" applyNumberFormat="1" applyFont="1" applyFill="1" applyAlignment="1">
      <alignment vertical="center"/>
    </xf>
    <xf numFmtId="41" fontId="78" fillId="0" borderId="0" xfId="1" applyNumberFormat="1" applyFont="1" applyFill="1" applyAlignment="1">
      <alignment vertical="center"/>
    </xf>
    <xf numFmtId="9" fontId="78" fillId="0" borderId="0" xfId="1" applyNumberFormat="1" applyFont="1" applyFill="1" applyAlignment="1">
      <alignment vertical="center"/>
    </xf>
    <xf numFmtId="0" fontId="79" fillId="0" borderId="0" xfId="3" applyFont="1" applyFill="1" applyAlignment="1" applyProtection="1">
      <alignment horizontal="left" vertical="center" wrapText="1"/>
    </xf>
    <xf numFmtId="0" fontId="78" fillId="0" borderId="0" xfId="0" applyFont="1" applyFill="1" applyAlignment="1">
      <alignment vertical="center"/>
    </xf>
    <xf numFmtId="0" fontId="78" fillId="13" borderId="0" xfId="0" applyFont="1" applyFill="1" applyAlignment="1">
      <alignment vertical="center"/>
    </xf>
    <xf numFmtId="49" fontId="78" fillId="0" borderId="0" xfId="1" applyNumberFormat="1" applyFont="1" applyFill="1" applyAlignment="1">
      <alignment horizontal="left" vertical="center" wrapText="1"/>
    </xf>
    <xf numFmtId="49" fontId="78" fillId="0" borderId="0" xfId="1" applyNumberFormat="1" applyFont="1" applyFill="1" applyBorder="1" applyAlignment="1">
      <alignment horizontal="left" vertical="center" wrapText="1"/>
    </xf>
    <xf numFmtId="0" fontId="78" fillId="0" borderId="0" xfId="3" applyFont="1" applyFill="1" applyAlignment="1" applyProtection="1">
      <alignment horizontal="left" vertical="center" wrapText="1"/>
    </xf>
    <xf numFmtId="49" fontId="78" fillId="0" borderId="0" xfId="1" applyNumberFormat="1" applyFont="1" applyFill="1" applyAlignment="1">
      <alignment horizontal="right" vertical="center"/>
    </xf>
    <xf numFmtId="189" fontId="53" fillId="0" borderId="5" xfId="0" applyNumberFormat="1" applyFont="1" applyFill="1" applyBorder="1" applyAlignment="1">
      <alignment vertical="center"/>
    </xf>
    <xf numFmtId="189" fontId="53" fillId="0" borderId="2" xfId="0" applyNumberFormat="1" applyFont="1" applyFill="1" applyBorder="1" applyAlignment="1">
      <alignment vertical="center"/>
    </xf>
    <xf numFmtId="43" fontId="55" fillId="10" borderId="3" xfId="0" applyNumberFormat="1" applyFont="1" applyFill="1" applyBorder="1" applyAlignment="1">
      <alignment vertical="center"/>
    </xf>
    <xf numFmtId="189" fontId="53" fillId="0" borderId="3" xfId="0" applyNumberFormat="1" applyFont="1" applyFill="1" applyBorder="1" applyAlignment="1">
      <alignment vertical="center"/>
    </xf>
    <xf numFmtId="0" fontId="63" fillId="0" borderId="0" xfId="3" applyFont="1" applyFill="1" applyAlignment="1" applyProtection="1"/>
    <xf numFmtId="49" fontId="63" fillId="0" borderId="0" xfId="1" applyNumberFormat="1" applyFont="1" applyFill="1" applyAlignment="1">
      <alignment horizontal="right" vertical="center"/>
    </xf>
    <xf numFmtId="0" fontId="55" fillId="0" borderId="0" xfId="0" applyFont="1">
      <alignment vertical="center"/>
    </xf>
    <xf numFmtId="0" fontId="51" fillId="11" borderId="0" xfId="1" applyFont="1" applyFill="1" applyAlignment="1">
      <alignment vertical="center"/>
    </xf>
    <xf numFmtId="49" fontId="63" fillId="11" borderId="0" xfId="1" applyNumberFormat="1" applyFont="1" applyFill="1" applyAlignment="1">
      <alignment vertical="center"/>
    </xf>
    <xf numFmtId="49" fontId="51" fillId="11" borderId="0" xfId="1" applyNumberFormat="1" applyFont="1" applyFill="1" applyAlignment="1">
      <alignment horizontal="left" vertical="center" wrapText="1"/>
    </xf>
    <xf numFmtId="41" fontId="51" fillId="11" borderId="0" xfId="0" applyNumberFormat="1" applyFont="1" applyFill="1" applyAlignment="1">
      <alignment vertical="center"/>
    </xf>
    <xf numFmtId="0" fontId="5" fillId="11" borderId="0" xfId="3" applyFill="1" applyAlignment="1" applyProtection="1">
      <alignment vertical="center" wrapText="1"/>
    </xf>
    <xf numFmtId="0" fontId="51" fillId="11" borderId="0" xfId="0" applyFont="1" applyFill="1" applyAlignment="1">
      <alignment vertical="center"/>
    </xf>
    <xf numFmtId="0" fontId="49" fillId="11" borderId="0" xfId="1" applyFont="1" applyFill="1" applyAlignment="1">
      <alignment vertical="center"/>
    </xf>
    <xf numFmtId="0" fontId="53" fillId="0" borderId="1" xfId="0" applyFont="1" applyBorder="1">
      <alignment vertical="center"/>
    </xf>
    <xf numFmtId="0" fontId="51" fillId="0" borderId="0" xfId="13" applyFont="1" applyAlignment="1">
      <alignment horizontal="center" vertical="center"/>
    </xf>
    <xf numFmtId="0" fontId="49" fillId="0" borderId="0" xfId="13" applyFont="1" applyAlignment="1">
      <alignment horizontal="center" vertical="center"/>
    </xf>
    <xf numFmtId="0" fontId="51" fillId="0" borderId="3" xfId="13" applyFont="1" applyBorder="1" applyAlignment="1">
      <alignment horizontal="center" vertical="center"/>
    </xf>
    <xf numFmtId="49" fontId="8" fillId="0" borderId="0" xfId="0" applyNumberFormat="1" applyFont="1" applyFill="1" applyAlignment="1">
      <alignment horizontal="right" vertical="center"/>
    </xf>
    <xf numFmtId="49" fontId="51" fillId="0" borderId="0" xfId="0" applyNumberFormat="1" applyFont="1" applyFill="1" applyAlignment="1">
      <alignment horizontal="right" vertical="center"/>
    </xf>
    <xf numFmtId="49" fontId="32" fillId="0" borderId="0" xfId="0" applyNumberFormat="1" applyFont="1" applyFill="1" applyAlignment="1">
      <alignment vertical="center"/>
    </xf>
    <xf numFmtId="0" fontId="5" fillId="0" borderId="0" xfId="3" applyFill="1" applyAlignment="1" applyProtection="1">
      <alignment vertical="center" wrapText="1"/>
    </xf>
    <xf numFmtId="41" fontId="43" fillId="0" borderId="0" xfId="0" applyNumberFormat="1" applyFont="1" applyFill="1" applyAlignment="1">
      <alignment vertical="center"/>
    </xf>
    <xf numFmtId="41" fontId="51" fillId="3" borderId="3" xfId="0" applyNumberFormat="1" applyFont="1" applyFill="1" applyBorder="1" applyAlignment="1">
      <alignment vertical="center" wrapText="1"/>
    </xf>
    <xf numFmtId="0" fontId="49" fillId="10" borderId="3" xfId="0" applyFont="1" applyFill="1" applyBorder="1" applyAlignment="1">
      <alignment vertical="center" wrapText="1"/>
    </xf>
    <xf numFmtId="41" fontId="49" fillId="10" borderId="3" xfId="0" applyNumberFormat="1" applyFont="1" applyFill="1" applyBorder="1" applyAlignment="1">
      <alignment vertical="center" wrapText="1"/>
    </xf>
    <xf numFmtId="178" fontId="49" fillId="0" borderId="20" xfId="1" applyNumberFormat="1" applyFont="1" applyFill="1" applyBorder="1" applyAlignment="1">
      <alignment horizontal="center" vertical="center"/>
    </xf>
    <xf numFmtId="0" fontId="53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vertical="center"/>
    </xf>
    <xf numFmtId="0" fontId="51" fillId="0" borderId="9" xfId="0" applyFont="1" applyFill="1" applyBorder="1" applyAlignment="1">
      <alignment vertical="center"/>
    </xf>
    <xf numFmtId="0" fontId="54" fillId="0" borderId="6" xfId="0" applyFont="1" applyFill="1" applyBorder="1" applyAlignment="1">
      <alignment horizontal="center" vertical="center"/>
    </xf>
    <xf numFmtId="4" fontId="10" fillId="2" borderId="15" xfId="0" applyNumberFormat="1" applyFont="1" applyFill="1" applyBorder="1" applyAlignment="1">
      <alignment vertical="center"/>
    </xf>
    <xf numFmtId="4" fontId="12" fillId="0" borderId="0" xfId="0" applyNumberFormat="1" applyFont="1" applyFill="1" applyBorder="1" applyAlignment="1">
      <alignment vertical="center"/>
    </xf>
    <xf numFmtId="4" fontId="27" fillId="0" borderId="0" xfId="0" applyNumberFormat="1" applyFont="1" applyFill="1" applyBorder="1" applyAlignment="1">
      <alignment vertical="center"/>
    </xf>
    <xf numFmtId="0" fontId="15" fillId="0" borderId="0" xfId="0" applyFont="1" applyBorder="1" applyAlignment="1">
      <alignment horizontal="center"/>
    </xf>
    <xf numFmtId="0" fontId="10" fillId="3" borderId="3" xfId="0" applyFont="1" applyFill="1" applyBorder="1" applyAlignment="1">
      <alignment horizontal="left" vertical="center"/>
    </xf>
    <xf numFmtId="0" fontId="2" fillId="0" borderId="0" xfId="13" applyFill="1" applyAlignment="1">
      <alignment vertical="center"/>
    </xf>
    <xf numFmtId="0" fontId="10" fillId="0" borderId="17" xfId="0" applyFont="1" applyFill="1" applyBorder="1" applyAlignment="1">
      <alignment horizontal="center"/>
    </xf>
    <xf numFmtId="4" fontId="27" fillId="0" borderId="17" xfId="0" applyNumberFormat="1" applyFont="1" applyFill="1" applyBorder="1" applyAlignment="1"/>
    <xf numFmtId="4" fontId="27" fillId="0" borderId="19" xfId="0" applyNumberFormat="1" applyFont="1" applyFill="1" applyBorder="1" applyAlignment="1">
      <alignment vertical="center"/>
    </xf>
    <xf numFmtId="0" fontId="49" fillId="0" borderId="0" xfId="13" applyFont="1" applyBorder="1" applyAlignment="1">
      <alignment vertical="center"/>
    </xf>
    <xf numFmtId="0" fontId="49" fillId="0" borderId="0" xfId="13" applyFont="1" applyBorder="1" applyAlignment="1">
      <alignment horizontal="center" vertical="center"/>
    </xf>
    <xf numFmtId="0" fontId="49" fillId="0" borderId="0" xfId="13" applyFont="1" applyBorder="1" applyAlignment="1">
      <alignment horizontal="right" vertical="center"/>
    </xf>
    <xf numFmtId="0" fontId="51" fillId="0" borderId="0" xfId="13" applyFont="1" applyFill="1" applyBorder="1" applyAlignment="1">
      <alignment vertical="center"/>
    </xf>
    <xf numFmtId="0" fontId="49" fillId="13" borderId="0" xfId="13" applyFont="1" applyFill="1" applyBorder="1" applyAlignment="1">
      <alignment vertical="center"/>
    </xf>
    <xf numFmtId="0" fontId="51" fillId="13" borderId="0" xfId="13" applyFont="1" applyFill="1" applyBorder="1" applyAlignment="1">
      <alignment vertical="center"/>
    </xf>
    <xf numFmtId="0" fontId="51" fillId="13" borderId="3" xfId="13" applyFont="1" applyFill="1" applyBorder="1" applyAlignment="1">
      <alignment vertical="center"/>
    </xf>
    <xf numFmtId="0" fontId="59" fillId="13" borderId="3" xfId="13" applyFont="1" applyFill="1" applyBorder="1" applyAlignment="1">
      <alignment horizontal="center" vertical="center"/>
    </xf>
    <xf numFmtId="0" fontId="49" fillId="13" borderId="3" xfId="0" applyFont="1" applyFill="1" applyBorder="1" applyAlignment="1">
      <alignment horizontal="center" vertical="center"/>
    </xf>
    <xf numFmtId="0" fontId="51" fillId="13" borderId="3" xfId="0" applyFont="1" applyFill="1" applyBorder="1" applyAlignment="1">
      <alignment horizontal="center" vertical="center"/>
    </xf>
    <xf numFmtId="185" fontId="51" fillId="13" borderId="3" xfId="13" applyNumberFormat="1" applyFont="1" applyFill="1" applyBorder="1" applyAlignment="1">
      <alignment vertical="center"/>
    </xf>
    <xf numFmtId="0" fontId="18" fillId="2" borderId="0" xfId="13" applyFont="1" applyFill="1" applyAlignment="1">
      <alignment vertical="center" wrapText="1"/>
    </xf>
    <xf numFmtId="0" fontId="18" fillId="2" borderId="5" xfId="13" applyFont="1" applyFill="1" applyBorder="1" applyAlignment="1">
      <alignment horizontal="left" vertical="center" wrapText="1"/>
    </xf>
    <xf numFmtId="0" fontId="18" fillId="2" borderId="5" xfId="13" applyFont="1" applyFill="1" applyBorder="1" applyAlignment="1">
      <alignment horizontal="center" vertical="center" wrapText="1"/>
    </xf>
    <xf numFmtId="41" fontId="8" fillId="2" borderId="5" xfId="13" applyNumberFormat="1" applyFont="1" applyFill="1" applyBorder="1" applyAlignment="1">
      <alignment horizontal="left" vertical="center" wrapText="1"/>
    </xf>
    <xf numFmtId="0" fontId="44" fillId="2" borderId="0" xfId="13" applyFont="1" applyFill="1" applyAlignment="1">
      <alignment horizontal="center" vertical="center" wrapText="1"/>
    </xf>
    <xf numFmtId="41" fontId="18" fillId="2" borderId="5" xfId="13" applyNumberFormat="1" applyFont="1" applyFill="1" applyBorder="1" applyAlignment="1">
      <alignment horizontal="left" vertical="center" wrapText="1"/>
    </xf>
    <xf numFmtId="0" fontId="44" fillId="2" borderId="0" xfId="13" applyFont="1" applyFill="1" applyAlignment="1">
      <alignment horizontal="left" vertical="center" wrapText="1"/>
    </xf>
    <xf numFmtId="49" fontId="18" fillId="2" borderId="0" xfId="13" applyNumberFormat="1" applyFont="1" applyFill="1" applyAlignment="1">
      <alignment horizontal="left" vertical="center" wrapText="1"/>
    </xf>
    <xf numFmtId="0" fontId="7" fillId="2" borderId="0" xfId="13" applyFont="1" applyFill="1" applyAlignment="1">
      <alignment horizontal="left" vertical="center" wrapText="1"/>
    </xf>
    <xf numFmtId="0" fontId="54" fillId="0" borderId="0" xfId="0" applyFont="1" applyFill="1" applyBorder="1" applyAlignment="1">
      <alignment horizontal="center" vertical="center" wrapText="1"/>
    </xf>
    <xf numFmtId="9" fontId="53" fillId="0" borderId="0" xfId="0" applyNumberFormat="1" applyFont="1" applyBorder="1" applyAlignment="1">
      <alignment vertical="center"/>
    </xf>
    <xf numFmtId="0" fontId="53" fillId="2" borderId="8" xfId="0" applyFont="1" applyFill="1" applyBorder="1" applyAlignment="1">
      <alignment horizontal="center" vertical="center"/>
    </xf>
    <xf numFmtId="0" fontId="51" fillId="2" borderId="9" xfId="0" applyFont="1" applyFill="1" applyBorder="1" applyAlignment="1">
      <alignment horizontal="center" vertical="center" wrapText="1"/>
    </xf>
    <xf numFmtId="0" fontId="51" fillId="2" borderId="14" xfId="0" applyFont="1" applyFill="1" applyBorder="1" applyAlignment="1">
      <alignment horizontal="center" vertical="center" wrapText="1"/>
    </xf>
    <xf numFmtId="43" fontId="51" fillId="2" borderId="2" xfId="0" applyNumberFormat="1" applyFont="1" applyFill="1" applyBorder="1" applyAlignment="1">
      <alignment vertical="center" wrapText="1"/>
    </xf>
    <xf numFmtId="0" fontId="54" fillId="2" borderId="0" xfId="0" applyFont="1" applyFill="1" applyBorder="1" applyAlignment="1">
      <alignment vertical="center"/>
    </xf>
    <xf numFmtId="43" fontId="55" fillId="2" borderId="0" xfId="0" applyNumberFormat="1" applyFont="1" applyFill="1" applyBorder="1" applyAlignment="1">
      <alignment vertical="center"/>
    </xf>
    <xf numFmtId="0" fontId="53" fillId="2" borderId="0" xfId="0" applyFont="1" applyFill="1" applyAlignment="1">
      <alignment vertical="center"/>
    </xf>
    <xf numFmtId="43" fontId="53" fillId="2" borderId="3" xfId="0" applyNumberFormat="1" applyFont="1" applyFill="1" applyBorder="1" applyAlignment="1">
      <alignment horizontal="left" vertical="center"/>
    </xf>
    <xf numFmtId="43" fontId="53" fillId="2" borderId="0" xfId="0" applyNumberFormat="1" applyFont="1" applyFill="1" applyBorder="1" applyAlignment="1">
      <alignment horizontal="left" vertical="center"/>
    </xf>
    <xf numFmtId="0" fontId="51" fillId="0" borderId="3" xfId="13" applyFont="1" applyBorder="1" applyAlignment="1">
      <alignment vertical="center"/>
    </xf>
    <xf numFmtId="41" fontId="51" fillId="2" borderId="3" xfId="0" applyNumberFormat="1" applyFont="1" applyFill="1" applyBorder="1" applyAlignment="1">
      <alignment vertical="center" wrapText="1"/>
    </xf>
    <xf numFmtId="0" fontId="51" fillId="2" borderId="3" xfId="0" applyFont="1" applyFill="1" applyBorder="1" applyAlignment="1">
      <alignment vertical="center"/>
    </xf>
    <xf numFmtId="9" fontId="51" fillId="2" borderId="3" xfId="12" applyFont="1" applyFill="1" applyBorder="1" applyAlignment="1">
      <alignment vertical="center" wrapText="1"/>
    </xf>
    <xf numFmtId="41" fontId="51" fillId="0" borderId="3" xfId="0" applyNumberFormat="1" applyFont="1" applyBorder="1" applyAlignment="1">
      <alignment horizontal="right" vertical="center"/>
    </xf>
    <xf numFmtId="41" fontId="49" fillId="9" borderId="3" xfId="0" applyNumberFormat="1" applyFont="1" applyFill="1" applyBorder="1" applyAlignment="1">
      <alignment horizontal="right" vertical="center"/>
    </xf>
    <xf numFmtId="41" fontId="49" fillId="10" borderId="3" xfId="0" applyNumberFormat="1" applyFont="1" applyFill="1" applyBorder="1" applyAlignment="1">
      <alignment horizontal="right" vertical="center"/>
    </xf>
    <xf numFmtId="41" fontId="53" fillId="0" borderId="0" xfId="0" applyNumberFormat="1" applyFont="1">
      <alignment vertical="center"/>
    </xf>
    <xf numFmtId="49" fontId="51" fillId="2" borderId="0" xfId="0" applyNumberFormat="1" applyFont="1" applyFill="1" applyBorder="1" applyAlignment="1">
      <alignment vertical="center"/>
    </xf>
    <xf numFmtId="41" fontId="49" fillId="2" borderId="0" xfId="0" applyNumberFormat="1" applyFont="1" applyFill="1" applyBorder="1" applyAlignment="1">
      <alignment horizontal="right" vertical="center"/>
    </xf>
    <xf numFmtId="49" fontId="51" fillId="9" borderId="3" xfId="0" applyNumberFormat="1" applyFont="1" applyFill="1" applyBorder="1" applyAlignment="1">
      <alignment horizontal="right" vertical="center"/>
    </xf>
    <xf numFmtId="41" fontId="51" fillId="9" borderId="3" xfId="0" applyNumberFormat="1" applyFont="1" applyFill="1" applyBorder="1" applyAlignment="1">
      <alignment horizontal="center" vertical="center"/>
    </xf>
    <xf numFmtId="0" fontId="78" fillId="0" borderId="7" xfId="0" applyFont="1" applyFill="1" applyBorder="1" applyAlignment="1">
      <alignment horizontal="center" vertical="center" wrapText="1"/>
    </xf>
    <xf numFmtId="43" fontId="51" fillId="2" borderId="26" xfId="0" applyNumberFormat="1" applyFont="1" applyFill="1" applyBorder="1" applyAlignment="1">
      <alignment vertical="center" wrapText="1"/>
    </xf>
    <xf numFmtId="0" fontId="51" fillId="2" borderId="0" xfId="0" applyFont="1" applyFill="1" applyAlignment="1">
      <alignment vertical="center"/>
    </xf>
    <xf numFmtId="41" fontId="51" fillId="2" borderId="2" xfId="0" applyNumberFormat="1" applyFont="1" applyFill="1" applyBorder="1" applyAlignment="1">
      <alignment vertical="center" wrapText="1"/>
    </xf>
    <xf numFmtId="0" fontId="53" fillId="2" borderId="3" xfId="0" applyFont="1" applyFill="1" applyBorder="1">
      <alignment vertical="center"/>
    </xf>
    <xf numFmtId="43" fontId="53" fillId="2" borderId="3" xfId="0" applyNumberFormat="1" applyFont="1" applyFill="1" applyBorder="1">
      <alignment vertical="center"/>
    </xf>
    <xf numFmtId="41" fontId="53" fillId="2" borderId="3" xfId="0" applyNumberFormat="1" applyFont="1" applyFill="1" applyBorder="1">
      <alignment vertical="center"/>
    </xf>
    <xf numFmtId="0" fontId="51" fillId="0" borderId="0" xfId="13" applyFont="1" applyFill="1" applyAlignment="1">
      <alignment vertical="center"/>
    </xf>
    <xf numFmtId="0" fontId="59" fillId="0" borderId="0" xfId="13" applyFont="1" applyBorder="1" applyAlignment="1">
      <alignment horizontal="center" vertical="center"/>
    </xf>
    <xf numFmtId="0" fontId="59" fillId="0" borderId="3" xfId="13" applyFont="1" applyBorder="1" applyAlignment="1">
      <alignment horizontal="center" vertical="center"/>
    </xf>
    <xf numFmtId="0" fontId="105" fillId="0" borderId="0" xfId="13" applyFont="1" applyBorder="1" applyAlignment="1">
      <alignment horizontal="left" vertical="center"/>
    </xf>
    <xf numFmtId="0" fontId="59" fillId="0" borderId="0" xfId="13" applyFont="1" applyBorder="1" applyAlignment="1">
      <alignment horizontal="left" vertical="center"/>
    </xf>
    <xf numFmtId="49" fontId="51" fillId="10" borderId="3" xfId="0" applyNumberFormat="1" applyFont="1" applyFill="1" applyBorder="1" applyAlignment="1">
      <alignment horizontal="right" vertical="center"/>
    </xf>
    <xf numFmtId="41" fontId="51" fillId="10" borderId="3" xfId="0" applyNumberFormat="1" applyFont="1" applyFill="1" applyBorder="1" applyAlignment="1">
      <alignment horizontal="right" vertical="center"/>
    </xf>
    <xf numFmtId="0" fontId="62" fillId="0" borderId="0" xfId="1" applyFont="1" applyAlignment="1">
      <alignment horizontal="left" vertical="center"/>
    </xf>
    <xf numFmtId="0" fontId="10" fillId="0" borderId="0" xfId="1" applyFont="1" applyAlignment="1">
      <alignment horizontal="left" vertical="center"/>
    </xf>
    <xf numFmtId="178" fontId="75" fillId="0" borderId="0" xfId="0" applyNumberFormat="1" applyFont="1" applyFill="1" applyAlignment="1">
      <alignment vertical="center"/>
    </xf>
    <xf numFmtId="41" fontId="64" fillId="14" borderId="0" xfId="0" applyNumberFormat="1" applyFont="1" applyFill="1" applyBorder="1" applyAlignment="1">
      <alignment vertical="center"/>
    </xf>
    <xf numFmtId="41" fontId="49" fillId="0" borderId="0" xfId="1" applyNumberFormat="1" applyFont="1" applyFill="1" applyAlignment="1">
      <alignment vertical="center"/>
    </xf>
    <xf numFmtId="0" fontId="0" fillId="0" borderId="0" xfId="0" applyAlignment="1">
      <alignment vertical="center"/>
    </xf>
    <xf numFmtId="0" fontId="107" fillId="0" borderId="3" xfId="0" applyFont="1" applyBorder="1" applyAlignment="1">
      <alignment horizontal="center" vertical="center"/>
    </xf>
    <xf numFmtId="207" fontId="107" fillId="0" borderId="3" xfId="0" applyNumberFormat="1" applyFont="1" applyBorder="1" applyAlignment="1">
      <alignment horizontal="center" vertical="center"/>
    </xf>
    <xf numFmtId="0" fontId="107" fillId="27" borderId="3" xfId="0" applyFont="1" applyFill="1" applyBorder="1" applyAlignment="1">
      <alignment horizontal="center" vertical="center"/>
    </xf>
    <xf numFmtId="207" fontId="107" fillId="27" borderId="3" xfId="0" applyNumberFormat="1" applyFont="1" applyFill="1" applyBorder="1" applyAlignment="1">
      <alignment horizontal="center" vertical="center"/>
    </xf>
    <xf numFmtId="0" fontId="107" fillId="27" borderId="1" xfId="0" applyFont="1" applyFill="1" applyBorder="1" applyAlignment="1">
      <alignment horizontal="center" vertical="center"/>
    </xf>
    <xf numFmtId="207" fontId="107" fillId="27" borderId="1" xfId="0" applyNumberFormat="1" applyFont="1" applyFill="1" applyBorder="1" applyAlignment="1">
      <alignment horizontal="center" vertical="center"/>
    </xf>
    <xf numFmtId="0" fontId="107" fillId="0" borderId="5" xfId="0" applyFont="1" applyBorder="1" applyAlignment="1">
      <alignment horizontal="center" vertical="center"/>
    </xf>
    <xf numFmtId="207" fontId="107" fillId="0" borderId="5" xfId="0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207" fontId="107" fillId="0" borderId="9" xfId="0" applyNumberFormat="1" applyFont="1" applyBorder="1" applyAlignment="1">
      <alignment horizontal="center" vertical="center"/>
    </xf>
    <xf numFmtId="177" fontId="107" fillId="0" borderId="3" xfId="0" applyNumberFormat="1" applyFont="1" applyBorder="1" applyAlignment="1">
      <alignment horizontal="center" vertical="center"/>
    </xf>
    <xf numFmtId="177" fontId="107" fillId="27" borderId="3" xfId="0" applyNumberFormat="1" applyFont="1" applyFill="1" applyBorder="1" applyAlignment="1">
      <alignment horizontal="center" vertical="center"/>
    </xf>
    <xf numFmtId="177" fontId="107" fillId="0" borderId="5" xfId="0" applyNumberFormat="1" applyFont="1" applyBorder="1" applyAlignment="1">
      <alignment horizontal="center" vertical="center"/>
    </xf>
    <xf numFmtId="177" fontId="107" fillId="0" borderId="9" xfId="0" applyNumberFormat="1" applyFont="1" applyBorder="1" applyAlignment="1">
      <alignment horizontal="center" vertical="center"/>
    </xf>
    <xf numFmtId="177" fontId="107" fillId="27" borderId="1" xfId="0" applyNumberFormat="1" applyFont="1" applyFill="1" applyBorder="1" applyAlignment="1">
      <alignment horizontal="center" vertical="center"/>
    </xf>
    <xf numFmtId="186" fontId="107" fillId="27" borderId="3" xfId="0" applyNumberFormat="1" applyFont="1" applyFill="1" applyBorder="1" applyAlignment="1">
      <alignment horizontal="center" vertical="center"/>
    </xf>
    <xf numFmtId="178" fontId="49" fillId="0" borderId="0" xfId="0" applyNumberFormat="1" applyFont="1" applyFill="1" applyAlignment="1">
      <alignment horizontal="right" vertical="center"/>
    </xf>
    <xf numFmtId="177" fontId="53" fillId="0" borderId="0" xfId="0" applyNumberFormat="1" applyFont="1" applyFill="1" applyBorder="1" applyAlignment="1">
      <alignment horizontal="right" vertical="center"/>
    </xf>
    <xf numFmtId="41" fontId="75" fillId="3" borderId="0" xfId="1" applyNumberFormat="1" applyFont="1" applyFill="1" applyAlignment="1">
      <alignment vertical="center"/>
    </xf>
    <xf numFmtId="178" fontId="51" fillId="3" borderId="0" xfId="0" applyNumberFormat="1" applyFont="1" applyFill="1">
      <alignment vertical="center"/>
    </xf>
    <xf numFmtId="41" fontId="75" fillId="3" borderId="0" xfId="0" applyNumberFormat="1" applyFont="1" applyFill="1" applyAlignment="1">
      <alignment vertical="center"/>
    </xf>
    <xf numFmtId="41" fontId="64" fillId="3" borderId="0" xfId="0" applyNumberFormat="1" applyFont="1" applyFill="1" applyBorder="1" applyAlignment="1">
      <alignment vertical="center"/>
    </xf>
    <xf numFmtId="41" fontId="75" fillId="3" borderId="0" xfId="0" applyNumberFormat="1" applyFont="1" applyFill="1" applyBorder="1" applyAlignment="1">
      <alignment vertical="center"/>
    </xf>
    <xf numFmtId="178" fontId="75" fillId="3" borderId="0" xfId="0" applyNumberFormat="1" applyFont="1" applyFill="1" applyBorder="1" applyAlignment="1">
      <alignment vertical="center"/>
    </xf>
    <xf numFmtId="178" fontId="75" fillId="3" borderId="0" xfId="0" applyNumberFormat="1" applyFont="1" applyFill="1" applyAlignment="1">
      <alignment vertical="center"/>
    </xf>
    <xf numFmtId="178" fontId="75" fillId="3" borderId="0" xfId="0" applyNumberFormat="1" applyFont="1" applyFill="1" applyBorder="1" applyAlignment="1">
      <alignment horizontal="right" vertical="center"/>
    </xf>
    <xf numFmtId="178" fontId="49" fillId="3" borderId="0" xfId="0" applyNumberFormat="1" applyFont="1" applyFill="1">
      <alignment vertical="center"/>
    </xf>
    <xf numFmtId="49" fontId="51" fillId="0" borderId="0" xfId="1" applyNumberFormat="1" applyFont="1" applyFill="1" applyBorder="1" applyAlignment="1">
      <alignment horizontal="left" vertical="center" wrapText="1"/>
    </xf>
    <xf numFmtId="41" fontId="49" fillId="0" borderId="0" xfId="0" applyNumberFormat="1" applyFont="1" applyFill="1" applyAlignment="1">
      <alignment horizontal="right" vertical="center"/>
    </xf>
    <xf numFmtId="49" fontId="63" fillId="0" borderId="0" xfId="0" applyNumberFormat="1" applyFont="1" applyFill="1" applyAlignment="1">
      <alignment vertical="center"/>
    </xf>
    <xf numFmtId="49" fontId="108" fillId="0" borderId="0" xfId="0" applyNumberFormat="1" applyFont="1" applyFill="1" applyAlignment="1">
      <alignment vertical="center"/>
    </xf>
    <xf numFmtId="41" fontId="108" fillId="0" borderId="0" xfId="0" applyNumberFormat="1" applyFont="1" applyFill="1" applyAlignment="1">
      <alignment vertical="center"/>
    </xf>
    <xf numFmtId="49" fontId="108" fillId="0" borderId="0" xfId="0" applyNumberFormat="1" applyFont="1" applyFill="1" applyAlignment="1">
      <alignment horizontal="left" vertical="center"/>
    </xf>
    <xf numFmtId="41" fontId="75" fillId="0" borderId="0" xfId="0" applyNumberFormat="1" applyFont="1" applyFill="1" applyBorder="1" applyAlignment="1">
      <alignment horizontal="right" vertical="center"/>
    </xf>
    <xf numFmtId="0" fontId="51" fillId="0" borderId="0" xfId="0" applyFont="1" applyBorder="1" applyAlignment="1">
      <alignment horizontal="center" vertical="center"/>
    </xf>
    <xf numFmtId="178" fontId="109" fillId="0" borderId="0" xfId="0" applyNumberFormat="1" applyFont="1" applyFill="1" applyAlignment="1">
      <alignment vertical="center"/>
    </xf>
    <xf numFmtId="0" fontId="53" fillId="0" borderId="0" xfId="0" applyFont="1" applyBorder="1" applyAlignment="1">
      <alignment vertical="center"/>
    </xf>
    <xf numFmtId="43" fontId="51" fillId="0" borderId="3" xfId="0" applyNumberFormat="1" applyFont="1" applyBorder="1" applyAlignment="1">
      <alignment horizontal="center" vertical="center" wrapText="1"/>
    </xf>
    <xf numFmtId="0" fontId="53" fillId="0" borderId="10" xfId="0" applyFont="1" applyBorder="1" applyAlignment="1">
      <alignment horizontal="center" vertical="center"/>
    </xf>
    <xf numFmtId="0" fontId="53" fillId="0" borderId="3" xfId="0" applyFont="1" applyBorder="1" applyAlignment="1">
      <alignment horizontal="left" vertical="center"/>
    </xf>
    <xf numFmtId="0" fontId="110" fillId="0" borderId="0" xfId="1" applyFont="1" applyBorder="1" applyAlignment="1">
      <alignment vertical="center"/>
    </xf>
    <xf numFmtId="43" fontId="51" fillId="0" borderId="0" xfId="0" applyNumberFormat="1" applyFont="1" applyFill="1" applyBorder="1" applyAlignment="1">
      <alignment horizontal="left" vertical="center"/>
    </xf>
    <xf numFmtId="0" fontId="53" fillId="2" borderId="1" xfId="0" applyFont="1" applyFill="1" applyBorder="1" applyAlignment="1">
      <alignment horizontal="center" vertical="center"/>
    </xf>
    <xf numFmtId="0" fontId="54" fillId="0" borderId="3" xfId="0" applyFont="1" applyBorder="1" applyAlignment="1">
      <alignment horizontal="left"/>
    </xf>
    <xf numFmtId="41" fontId="51" fillId="0" borderId="3" xfId="0" applyNumberFormat="1" applyFont="1" applyBorder="1" applyAlignment="1">
      <alignment horizontal="right"/>
    </xf>
    <xf numFmtId="41" fontId="51" fillId="0" borderId="5" xfId="0" applyNumberFormat="1" applyFont="1" applyBorder="1" applyAlignment="1"/>
    <xf numFmtId="41" fontId="51" fillId="0" borderId="6" xfId="0" applyNumberFormat="1" applyFont="1" applyBorder="1" applyAlignment="1"/>
    <xf numFmtId="41" fontId="51" fillId="0" borderId="3" xfId="0" applyNumberFormat="1" applyFont="1" applyBorder="1" applyAlignment="1">
      <alignment horizontal="center"/>
    </xf>
    <xf numFmtId="0" fontId="54" fillId="2" borderId="1" xfId="0" applyFont="1" applyFill="1" applyBorder="1" applyAlignment="1">
      <alignment horizontal="left"/>
    </xf>
    <xf numFmtId="41" fontId="51" fillId="2" borderId="1" xfId="0" applyNumberFormat="1" applyFont="1" applyFill="1" applyBorder="1" applyAlignment="1">
      <alignment horizontal="right"/>
    </xf>
    <xf numFmtId="0" fontId="54" fillId="3" borderId="3" xfId="0" applyFont="1" applyFill="1" applyBorder="1" applyAlignment="1">
      <alignment horizontal="left"/>
    </xf>
    <xf numFmtId="41" fontId="51" fillId="3" borderId="3" xfId="0" applyNumberFormat="1" applyFont="1" applyFill="1" applyBorder="1" applyAlignment="1">
      <alignment horizontal="right"/>
    </xf>
    <xf numFmtId="41" fontId="53" fillId="0" borderId="3" xfId="0" applyNumberFormat="1" applyFont="1" applyBorder="1" applyAlignment="1">
      <alignment vertical="center"/>
    </xf>
    <xf numFmtId="0" fontId="53" fillId="0" borderId="0" xfId="0" applyFont="1" applyBorder="1" applyAlignment="1">
      <alignment vertical="center" wrapText="1"/>
    </xf>
    <xf numFmtId="0" fontId="51" fillId="0" borderId="3" xfId="0" applyFont="1" applyBorder="1" applyAlignment="1">
      <alignment horizontal="center"/>
    </xf>
    <xf numFmtId="0" fontId="51" fillId="0" borderId="6" xfId="0" applyFont="1" applyBorder="1" applyAlignment="1">
      <alignment horizontal="center"/>
    </xf>
    <xf numFmtId="0" fontId="54" fillId="0" borderId="1" xfId="0" applyFont="1" applyBorder="1" applyAlignment="1">
      <alignment horizontal="left"/>
    </xf>
    <xf numFmtId="41" fontId="51" fillId="0" borderId="1" xfId="0" applyNumberFormat="1" applyFont="1" applyBorder="1" applyAlignment="1">
      <alignment horizontal="right"/>
    </xf>
    <xf numFmtId="0" fontId="54" fillId="15" borderId="1" xfId="0" applyFont="1" applyFill="1" applyBorder="1" applyAlignment="1">
      <alignment horizontal="left"/>
    </xf>
    <xf numFmtId="41" fontId="51" fillId="15" borderId="1" xfId="0" applyNumberFormat="1" applyFont="1" applyFill="1" applyBorder="1" applyAlignment="1">
      <alignment horizontal="right"/>
    </xf>
    <xf numFmtId="41" fontId="51" fillId="15" borderId="1" xfId="0" applyNumberFormat="1" applyFont="1" applyFill="1" applyBorder="1" applyAlignment="1">
      <alignment horizontal="center"/>
    </xf>
    <xf numFmtId="0" fontId="78" fillId="3" borderId="3" xfId="0" applyFont="1" applyFill="1" applyBorder="1" applyAlignment="1">
      <alignment vertical="center"/>
    </xf>
    <xf numFmtId="0" fontId="51" fillId="0" borderId="0" xfId="0" applyFont="1" applyFill="1" applyAlignment="1">
      <alignment horizontal="center" vertical="center"/>
    </xf>
    <xf numFmtId="0" fontId="53" fillId="0" borderId="0" xfId="0" applyFont="1" applyFill="1" applyAlignment="1">
      <alignment horizontal="center" vertical="center" wrapText="1"/>
    </xf>
    <xf numFmtId="0" fontId="51" fillId="0" borderId="13" xfId="0" applyFont="1" applyFill="1" applyBorder="1" applyAlignment="1">
      <alignment horizontal="center" vertical="center"/>
    </xf>
    <xf numFmtId="0" fontId="53" fillId="0" borderId="0" xfId="0" applyFont="1" applyFill="1" applyBorder="1" applyAlignment="1">
      <alignment horizontal="center" vertical="center"/>
    </xf>
    <xf numFmtId="0" fontId="53" fillId="0" borderId="0" xfId="0" applyFont="1" applyFill="1" applyBorder="1" applyAlignment="1">
      <alignment horizontal="center" vertical="center" wrapText="1"/>
    </xf>
    <xf numFmtId="9" fontId="53" fillId="0" borderId="0" xfId="0" applyNumberFormat="1" applyFont="1" applyFill="1" applyBorder="1" applyAlignment="1">
      <alignment horizontal="center" vertical="center"/>
    </xf>
    <xf numFmtId="0" fontId="51" fillId="0" borderId="3" xfId="0" applyFont="1" applyFill="1" applyBorder="1" applyAlignment="1">
      <alignment horizontal="center" vertical="center"/>
    </xf>
    <xf numFmtId="43" fontId="51" fillId="0" borderId="0" xfId="0" applyNumberFormat="1" applyFont="1" applyFill="1" applyBorder="1" applyAlignment="1">
      <alignment horizontal="center" vertical="center"/>
    </xf>
    <xf numFmtId="43" fontId="51" fillId="0" borderId="0" xfId="22" applyFont="1" applyFill="1" applyAlignment="1">
      <alignment horizontal="center" vertical="center"/>
    </xf>
    <xf numFmtId="43" fontId="53" fillId="0" borderId="0" xfId="0" applyNumberFormat="1" applyFont="1" applyFill="1" applyBorder="1" applyAlignment="1">
      <alignment horizontal="center" vertical="center"/>
    </xf>
    <xf numFmtId="0" fontId="51" fillId="0" borderId="0" xfId="0" applyFont="1" applyFill="1" applyBorder="1" applyAlignment="1">
      <alignment horizontal="center" vertical="center"/>
    </xf>
    <xf numFmtId="0" fontId="51" fillId="0" borderId="0" xfId="18" applyFont="1" applyFill="1" applyAlignment="1" applyProtection="1">
      <alignment horizontal="center" vertical="center"/>
    </xf>
    <xf numFmtId="177" fontId="53" fillId="0" borderId="9" xfId="0" applyNumberFormat="1" applyFont="1" applyFill="1" applyBorder="1" applyAlignment="1">
      <alignment horizontal="center" vertical="center"/>
    </xf>
    <xf numFmtId="177" fontId="53" fillId="0" borderId="14" xfId="0" applyNumberFormat="1" applyFont="1" applyFill="1" applyBorder="1" applyAlignment="1">
      <alignment horizontal="center" vertical="center" wrapText="1"/>
    </xf>
    <xf numFmtId="182" fontId="51" fillId="0" borderId="0" xfId="0" applyNumberFormat="1" applyFont="1" applyFill="1" applyBorder="1" applyAlignment="1">
      <alignment horizontal="center" vertical="center"/>
    </xf>
    <xf numFmtId="182" fontId="51" fillId="0" borderId="0" xfId="0" applyNumberFormat="1" applyFont="1" applyFill="1" applyBorder="1" applyAlignment="1">
      <alignment horizontal="center" vertical="center" wrapText="1"/>
    </xf>
    <xf numFmtId="0" fontId="51" fillId="2" borderId="0" xfId="18" applyFont="1" applyFill="1" applyAlignment="1" applyProtection="1">
      <alignment vertical="center"/>
    </xf>
    <xf numFmtId="0" fontId="51" fillId="0" borderId="0" xfId="0" applyFont="1" applyFill="1" applyBorder="1" applyAlignment="1">
      <alignment vertical="center" wrapText="1"/>
    </xf>
    <xf numFmtId="43" fontId="53" fillId="0" borderId="2" xfId="0" applyNumberFormat="1" applyFont="1" applyFill="1" applyBorder="1" applyAlignment="1">
      <alignment vertical="center"/>
    </xf>
    <xf numFmtId="177" fontId="53" fillId="0" borderId="9" xfId="0" applyNumberFormat="1" applyFont="1" applyFill="1" applyBorder="1" applyAlignment="1">
      <alignment horizontal="center" vertical="center" wrapText="1"/>
    </xf>
    <xf numFmtId="177" fontId="53" fillId="0" borderId="14" xfId="0" applyNumberFormat="1" applyFont="1" applyFill="1" applyBorder="1" applyAlignment="1">
      <alignment horizontal="center" vertical="center" wrapText="1" shrinkToFit="1"/>
    </xf>
    <xf numFmtId="177" fontId="53" fillId="0" borderId="9" xfId="0" quotePrefix="1" applyNumberFormat="1" applyFont="1" applyFill="1" applyBorder="1" applyAlignment="1">
      <alignment horizontal="center" vertical="center" wrapText="1"/>
    </xf>
    <xf numFmtId="177" fontId="53" fillId="0" borderId="0" xfId="0" applyNumberFormat="1" applyFont="1" applyFill="1" applyAlignment="1">
      <alignment horizontal="center" vertical="center"/>
    </xf>
    <xf numFmtId="0" fontId="53" fillId="0" borderId="0" xfId="0" applyFont="1" applyFill="1" applyAlignment="1">
      <alignment horizontal="center" vertical="center"/>
    </xf>
    <xf numFmtId="0" fontId="51" fillId="0" borderId="0" xfId="18" applyFont="1" applyFill="1" applyAlignment="1" applyProtection="1">
      <alignment vertical="center"/>
    </xf>
    <xf numFmtId="41" fontId="51" fillId="3" borderId="0" xfId="0" applyNumberFormat="1" applyFont="1" applyFill="1" applyAlignment="1">
      <alignment vertical="center"/>
    </xf>
    <xf numFmtId="41" fontId="51" fillId="3" borderId="0" xfId="1" applyNumberFormat="1" applyFont="1" applyFill="1" applyAlignment="1">
      <alignment vertical="center"/>
    </xf>
    <xf numFmtId="178" fontId="51" fillId="3" borderId="0" xfId="0" applyNumberFormat="1" applyFont="1" applyFill="1" applyAlignment="1">
      <alignment vertical="center"/>
    </xf>
    <xf numFmtId="9" fontId="51" fillId="3" borderId="0" xfId="1" applyNumberFormat="1" applyFont="1" applyFill="1" applyAlignment="1">
      <alignment vertical="center"/>
    </xf>
    <xf numFmtId="0" fontId="51" fillId="2" borderId="0" xfId="18" applyFont="1" applyFill="1" applyProtection="1"/>
    <xf numFmtId="9" fontId="51" fillId="2" borderId="0" xfId="18" applyNumberFormat="1" applyFont="1" applyFill="1" applyProtection="1"/>
    <xf numFmtId="0" fontId="51" fillId="2" borderId="3" xfId="18" applyFont="1" applyFill="1" applyBorder="1" applyProtection="1"/>
    <xf numFmtId="0" fontId="51" fillId="0" borderId="2" xfId="18" applyFont="1" applyFill="1" applyBorder="1" applyProtection="1"/>
    <xf numFmtId="0" fontId="51" fillId="0" borderId="3" xfId="18" applyFont="1" applyFill="1" applyBorder="1" applyAlignment="1" applyProtection="1">
      <alignment horizontal="center" vertical="center"/>
    </xf>
    <xf numFmtId="179" fontId="49" fillId="0" borderId="3" xfId="18" applyNumberFormat="1" applyFont="1" applyFill="1" applyBorder="1" applyProtection="1"/>
    <xf numFmtId="179" fontId="51" fillId="0" borderId="3" xfId="18" applyNumberFormat="1" applyFont="1" applyFill="1" applyBorder="1" applyProtection="1"/>
    <xf numFmtId="179" fontId="51" fillId="2" borderId="0" xfId="18" applyNumberFormat="1" applyFont="1" applyFill="1" applyProtection="1"/>
    <xf numFmtId="0" fontId="51" fillId="0" borderId="2" xfId="18" applyFont="1" applyFill="1" applyBorder="1" applyAlignment="1" applyProtection="1">
      <alignment wrapText="1"/>
    </xf>
    <xf numFmtId="0" fontId="51" fillId="0" borderId="2" xfId="18" applyFont="1" applyFill="1" applyBorder="1" applyAlignment="1" applyProtection="1">
      <alignment horizontal="left" wrapText="1"/>
    </xf>
    <xf numFmtId="0" fontId="51" fillId="0" borderId="3" xfId="18" applyFont="1" applyFill="1" applyBorder="1" applyAlignment="1" applyProtection="1">
      <alignment vertical="center"/>
    </xf>
    <xf numFmtId="179" fontId="51" fillId="0" borderId="9" xfId="18" applyNumberFormat="1" applyFont="1" applyFill="1" applyBorder="1" applyAlignment="1" applyProtection="1">
      <alignment vertical="center"/>
    </xf>
    <xf numFmtId="179" fontId="49" fillId="0" borderId="9" xfId="18" applyNumberFormat="1" applyFont="1" applyFill="1" applyBorder="1" applyAlignment="1" applyProtection="1">
      <alignment vertical="center"/>
    </xf>
    <xf numFmtId="179" fontId="49" fillId="0" borderId="9" xfId="18" applyNumberFormat="1" applyFont="1" applyFill="1" applyBorder="1" applyProtection="1"/>
    <xf numFmtId="179" fontId="51" fillId="0" borderId="9" xfId="18" applyNumberFormat="1" applyFont="1" applyFill="1" applyBorder="1" applyProtection="1"/>
    <xf numFmtId="179" fontId="49" fillId="0" borderId="11" xfId="18" applyNumberFormat="1" applyFont="1" applyFill="1" applyBorder="1" applyProtection="1"/>
    <xf numFmtId="179" fontId="51" fillId="0" borderId="3" xfId="18" applyNumberFormat="1" applyFont="1" applyFill="1" applyBorder="1" applyAlignment="1" applyProtection="1">
      <alignment vertical="center"/>
    </xf>
    <xf numFmtId="179" fontId="49" fillId="0" borderId="6" xfId="18" applyNumberFormat="1" applyFont="1" applyFill="1" applyBorder="1" applyProtection="1"/>
    <xf numFmtId="179" fontId="51" fillId="0" borderId="43" xfId="18" applyNumberFormat="1" applyFont="1" applyFill="1" applyBorder="1" applyProtection="1"/>
    <xf numFmtId="179" fontId="52" fillId="0" borderId="44" xfId="18" applyNumberFormat="1" applyFont="1" applyFill="1" applyBorder="1" applyProtection="1"/>
    <xf numFmtId="179" fontId="51" fillId="0" borderId="44" xfId="18" applyNumberFormat="1" applyFont="1" applyFill="1" applyBorder="1" applyProtection="1"/>
    <xf numFmtId="179" fontId="49" fillId="0" borderId="42" xfId="18" applyNumberFormat="1" applyFont="1" applyFill="1" applyBorder="1" applyAlignment="1" applyProtection="1">
      <alignment horizontal="center" vertical="center"/>
    </xf>
    <xf numFmtId="41" fontId="49" fillId="17" borderId="3" xfId="0" applyNumberFormat="1" applyFont="1" applyFill="1" applyBorder="1" applyAlignment="1">
      <alignment vertical="center" wrapText="1"/>
    </xf>
    <xf numFmtId="41" fontId="49" fillId="0" borderId="3" xfId="18" applyNumberFormat="1" applyFont="1" applyFill="1" applyBorder="1" applyProtection="1"/>
    <xf numFmtId="41" fontId="51" fillId="0" borderId="3" xfId="18" applyNumberFormat="1" applyFont="1" applyFill="1" applyBorder="1" applyProtection="1"/>
    <xf numFmtId="41" fontId="111" fillId="0" borderId="3" xfId="18" applyNumberFormat="1" applyFont="1" applyFill="1" applyBorder="1" applyAlignment="1" applyProtection="1">
      <alignment vertical="center"/>
    </xf>
    <xf numFmtId="41" fontId="49" fillId="0" borderId="3" xfId="18" applyNumberFormat="1" applyFont="1" applyFill="1" applyBorder="1" applyAlignment="1" applyProtection="1">
      <alignment vertical="center"/>
    </xf>
    <xf numFmtId="41" fontId="51" fillId="0" borderId="3" xfId="18" applyNumberFormat="1" applyFont="1" applyFill="1" applyBorder="1" applyAlignment="1" applyProtection="1">
      <alignment horizontal="center" vertical="center"/>
    </xf>
    <xf numFmtId="41" fontId="49" fillId="0" borderId="3" xfId="18" applyNumberFormat="1" applyFont="1" applyFill="1" applyBorder="1" applyAlignment="1" applyProtection="1">
      <alignment horizontal="center" vertical="center"/>
    </xf>
    <xf numFmtId="41" fontId="108" fillId="0" borderId="3" xfId="18" applyNumberFormat="1" applyFont="1" applyFill="1" applyBorder="1" applyAlignment="1" applyProtection="1">
      <alignment horizontal="center" vertical="center"/>
    </xf>
    <xf numFmtId="41" fontId="49" fillId="0" borderId="1" xfId="18" applyNumberFormat="1" applyFont="1" applyFill="1" applyBorder="1" applyProtection="1"/>
    <xf numFmtId="41" fontId="108" fillId="0" borderId="3" xfId="18" applyNumberFormat="1" applyFont="1" applyFill="1" applyBorder="1" applyProtection="1"/>
    <xf numFmtId="0" fontId="51" fillId="0" borderId="2" xfId="18" applyFont="1" applyFill="1" applyBorder="1" applyAlignment="1" applyProtection="1">
      <alignment horizontal="center" vertical="center"/>
    </xf>
    <xf numFmtId="0" fontId="51" fillId="0" borderId="9" xfId="1" applyFont="1" applyBorder="1" applyAlignment="1">
      <alignment horizontal="center"/>
    </xf>
    <xf numFmtId="49" fontId="51" fillId="0" borderId="9" xfId="11" applyNumberFormat="1" applyFont="1" applyBorder="1" applyAlignment="1"/>
    <xf numFmtId="0" fontId="8" fillId="0" borderId="3" xfId="11" applyFont="1" applyFill="1" applyBorder="1" applyAlignment="1"/>
    <xf numFmtId="0" fontId="11" fillId="0" borderId="8" xfId="0" applyFont="1" applyBorder="1" applyAlignment="1">
      <alignment horizontal="center" vertical="center"/>
    </xf>
    <xf numFmtId="0" fontId="29" fillId="2" borderId="3" xfId="0" applyFont="1" applyFill="1" applyBorder="1" applyAlignment="1">
      <alignment horizontal="center" vertical="center"/>
    </xf>
    <xf numFmtId="0" fontId="54" fillId="0" borderId="3" xfId="0" applyFont="1" applyFill="1" applyBorder="1" applyAlignment="1">
      <alignment vertical="center"/>
    </xf>
    <xf numFmtId="0" fontId="53" fillId="0" borderId="6" xfId="0" applyFont="1" applyFill="1" applyBorder="1" applyAlignment="1">
      <alignment vertical="center"/>
    </xf>
    <xf numFmtId="0" fontId="53" fillId="0" borderId="5" xfId="0" applyFont="1" applyFill="1" applyBorder="1" applyAlignment="1">
      <alignment vertical="center"/>
    </xf>
    <xf numFmtId="0" fontId="53" fillId="0" borderId="2" xfId="0" applyFont="1" applyFill="1" applyBorder="1" applyAlignment="1">
      <alignment vertical="center"/>
    </xf>
    <xf numFmtId="0" fontId="51" fillId="0" borderId="0" xfId="3" applyNumberFormat="1" applyFont="1" applyFill="1" applyAlignment="1" applyProtection="1">
      <alignment vertical="center" wrapText="1"/>
    </xf>
    <xf numFmtId="0" fontId="51" fillId="3" borderId="0" xfId="3" applyNumberFormat="1" applyFont="1" applyFill="1" applyAlignment="1" applyProtection="1">
      <alignment vertical="center" wrapText="1"/>
    </xf>
    <xf numFmtId="41" fontId="51" fillId="3" borderId="0" xfId="0" applyNumberFormat="1" applyFont="1" applyFill="1" applyBorder="1" applyAlignment="1">
      <alignment vertical="center"/>
    </xf>
    <xf numFmtId="178" fontId="51" fillId="3" borderId="0" xfId="1" applyNumberFormat="1" applyFont="1" applyFill="1" applyAlignment="1">
      <alignment vertical="center"/>
    </xf>
    <xf numFmtId="0" fontId="11" fillId="2" borderId="8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3" fontId="51" fillId="0" borderId="48" xfId="0" applyNumberFormat="1" applyFont="1" applyBorder="1" applyAlignment="1">
      <alignment horizontal="center" vertical="center" wrapText="1"/>
    </xf>
    <xf numFmtId="0" fontId="53" fillId="25" borderId="9" xfId="0" applyFont="1" applyFill="1" applyBorder="1">
      <alignment vertical="center"/>
    </xf>
    <xf numFmtId="0" fontId="51" fillId="0" borderId="0" xfId="3" applyNumberFormat="1" applyFont="1" applyFill="1" applyBorder="1" applyAlignment="1" applyProtection="1">
      <alignment vertical="center" wrapText="1"/>
    </xf>
    <xf numFmtId="0" fontId="51" fillId="3" borderId="0" xfId="0" applyNumberFormat="1" applyFont="1" applyFill="1" applyAlignment="1">
      <alignment vertical="center" wrapText="1"/>
    </xf>
    <xf numFmtId="0" fontId="63" fillId="0" borderId="0" xfId="3" applyNumberFormat="1" applyFont="1" applyFill="1" applyBorder="1" applyAlignment="1" applyProtection="1">
      <alignment horizontal="left" vertical="center" wrapText="1"/>
    </xf>
    <xf numFmtId="0" fontId="63" fillId="0" borderId="0" xfId="3" applyNumberFormat="1" applyFont="1" applyFill="1" applyAlignment="1" applyProtection="1">
      <alignment horizontal="left" vertical="center" wrapText="1"/>
    </xf>
    <xf numFmtId="0" fontId="51" fillId="0" borderId="0" xfId="3" applyNumberFormat="1" applyFont="1" applyFill="1" applyAlignment="1" applyProtection="1">
      <alignment horizontal="left" vertical="center" wrapText="1"/>
    </xf>
    <xf numFmtId="0" fontId="51" fillId="0" borderId="0" xfId="3" applyNumberFormat="1" applyFont="1" applyFill="1" applyBorder="1" applyAlignment="1" applyProtection="1">
      <alignment horizontal="left" vertical="center" wrapText="1"/>
    </xf>
    <xf numFmtId="0" fontId="51" fillId="3" borderId="0" xfId="3" applyNumberFormat="1" applyFont="1" applyFill="1" applyBorder="1" applyAlignment="1" applyProtection="1">
      <alignment horizontal="left" vertical="center" wrapText="1"/>
    </xf>
    <xf numFmtId="0" fontId="51" fillId="3" borderId="0" xfId="3" applyNumberFormat="1" applyFont="1" applyFill="1" applyAlignment="1" applyProtection="1">
      <alignment horizontal="left" vertical="center" wrapText="1"/>
    </xf>
    <xf numFmtId="0" fontId="51" fillId="0" borderId="0" xfId="3" applyNumberFormat="1" applyFont="1" applyFill="1" applyAlignment="1" applyProtection="1">
      <alignment wrapText="1"/>
    </xf>
    <xf numFmtId="0" fontId="51" fillId="0" borderId="0" xfId="18" applyNumberFormat="1" applyFont="1" applyFill="1" applyProtection="1"/>
    <xf numFmtId="0" fontId="51" fillId="0" borderId="0" xfId="0" applyNumberFormat="1" applyFont="1" applyFill="1">
      <alignment vertical="center"/>
    </xf>
    <xf numFmtId="0" fontId="51" fillId="0" borderId="0" xfId="0" applyNumberFormat="1" applyFont="1">
      <alignment vertical="center"/>
    </xf>
    <xf numFmtId="0" fontId="51" fillId="0" borderId="0" xfId="3" applyNumberFormat="1" applyFont="1" applyFill="1" applyAlignment="1" applyProtection="1">
      <alignment vertical="center"/>
    </xf>
    <xf numFmtId="41" fontId="51" fillId="3" borderId="0" xfId="1" applyNumberFormat="1" applyFont="1" applyFill="1" applyAlignment="1">
      <alignment horizontal="right" vertical="center"/>
    </xf>
    <xf numFmtId="41" fontId="64" fillId="3" borderId="0" xfId="1" applyNumberFormat="1" applyFont="1" applyFill="1" applyAlignment="1">
      <alignment vertical="center"/>
    </xf>
    <xf numFmtId="178" fontId="49" fillId="0" borderId="20" xfId="1" applyNumberFormat="1" applyFont="1" applyFill="1" applyBorder="1" applyAlignment="1">
      <alignment horizontal="center" vertical="center"/>
    </xf>
    <xf numFmtId="0" fontId="49" fillId="0" borderId="0" xfId="0" applyFont="1" applyFill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51" fillId="0" borderId="9" xfId="0" applyFont="1" applyFill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 wrapText="1"/>
    </xf>
    <xf numFmtId="0" fontId="51" fillId="0" borderId="7" xfId="0" applyFont="1" applyFill="1" applyBorder="1" applyAlignment="1">
      <alignment horizontal="center" vertical="center" wrapText="1"/>
    </xf>
    <xf numFmtId="0" fontId="51" fillId="0" borderId="9" xfId="0" applyFont="1" applyFill="1" applyBorder="1" applyAlignment="1">
      <alignment horizontal="center" vertical="center" wrapText="1"/>
    </xf>
    <xf numFmtId="0" fontId="53" fillId="0" borderId="38" xfId="0" applyFont="1" applyBorder="1" applyAlignment="1">
      <alignment horizontal="center" vertical="center"/>
    </xf>
    <xf numFmtId="43" fontId="51" fillId="0" borderId="28" xfId="0" applyNumberFormat="1" applyFont="1" applyBorder="1" applyAlignment="1">
      <alignment vertical="center"/>
    </xf>
    <xf numFmtId="43" fontId="51" fillId="0" borderId="30" xfId="0" applyNumberFormat="1" applyFont="1" applyBorder="1" applyAlignment="1">
      <alignment vertical="center"/>
    </xf>
    <xf numFmtId="43" fontId="51" fillId="0" borderId="27" xfId="0" applyNumberFormat="1" applyFont="1" applyBorder="1" applyAlignment="1">
      <alignment vertical="center"/>
    </xf>
    <xf numFmtId="0" fontId="54" fillId="0" borderId="3" xfId="0" applyFont="1" applyFill="1" applyBorder="1" applyAlignment="1">
      <alignment horizontal="center" vertical="center"/>
    </xf>
    <xf numFmtId="0" fontId="54" fillId="0" borderId="0" xfId="0" applyFont="1" applyFill="1" applyBorder="1" applyAlignment="1">
      <alignment horizontal="center" vertical="center"/>
    </xf>
    <xf numFmtId="43" fontId="55" fillId="0" borderId="0" xfId="0" applyNumberFormat="1" applyFont="1" applyFill="1" applyBorder="1" applyAlignment="1">
      <alignment horizontal="center" vertical="center"/>
    </xf>
    <xf numFmtId="0" fontId="51" fillId="0" borderId="1" xfId="1" applyFont="1" applyBorder="1" applyAlignment="1">
      <alignment horizontal="center" vertical="center" wrapText="1"/>
    </xf>
    <xf numFmtId="0" fontId="51" fillId="0" borderId="9" xfId="1" applyFont="1" applyBorder="1" applyAlignment="1">
      <alignment horizontal="center" vertical="center" wrapText="1"/>
    </xf>
    <xf numFmtId="0" fontId="51" fillId="0" borderId="7" xfId="11" applyFont="1" applyBorder="1" applyAlignment="1">
      <alignment horizontal="center" vertical="center"/>
    </xf>
    <xf numFmtId="0" fontId="51" fillId="0" borderId="9" xfId="11" applyFont="1" applyBorder="1" applyAlignment="1">
      <alignment horizontal="center" vertical="center"/>
    </xf>
    <xf numFmtId="0" fontId="49" fillId="0" borderId="0" xfId="0" applyFont="1" applyFill="1" applyBorder="1" applyAlignment="1">
      <alignment horizontal="center" vertical="center"/>
    </xf>
    <xf numFmtId="9" fontId="51" fillId="0" borderId="3" xfId="0" applyNumberFormat="1" applyFont="1" applyBorder="1" applyAlignment="1">
      <alignment horizontal="center" vertical="center"/>
    </xf>
    <xf numFmtId="0" fontId="54" fillId="0" borderId="3" xfId="0" applyFont="1" applyBorder="1" applyAlignment="1">
      <alignment horizontal="center"/>
    </xf>
    <xf numFmtId="0" fontId="53" fillId="0" borderId="0" xfId="0" applyFont="1" applyBorder="1" applyAlignment="1">
      <alignment horizontal="center" vertical="center"/>
    </xf>
    <xf numFmtId="0" fontId="53" fillId="2" borderId="3" xfId="0" applyFont="1" applyFill="1" applyBorder="1" applyAlignment="1">
      <alignment horizontal="center" vertical="center"/>
    </xf>
    <xf numFmtId="0" fontId="53" fillId="0" borderId="3" xfId="0" applyFont="1" applyBorder="1" applyAlignment="1">
      <alignment vertical="center"/>
    </xf>
    <xf numFmtId="177" fontId="53" fillId="0" borderId="3" xfId="0" applyNumberFormat="1" applyFont="1" applyFill="1" applyBorder="1" applyAlignment="1">
      <alignment horizontal="center" vertical="center" wrapText="1"/>
    </xf>
    <xf numFmtId="0" fontId="51" fillId="0" borderId="9" xfId="18" applyFont="1" applyFill="1" applyBorder="1" applyAlignment="1" applyProtection="1">
      <alignment vertical="center"/>
    </xf>
    <xf numFmtId="0" fontId="51" fillId="0" borderId="0" xfId="0" applyFont="1" applyFill="1" applyAlignment="1">
      <alignment horizontal="left" vertical="center" wrapText="1"/>
    </xf>
    <xf numFmtId="0" fontId="51" fillId="0" borderId="3" xfId="0" applyFont="1" applyFill="1" applyBorder="1" applyAlignment="1">
      <alignment horizontal="center" vertical="center" wrapText="1"/>
    </xf>
    <xf numFmtId="0" fontId="107" fillId="0" borderId="9" xfId="0" applyFont="1" applyBorder="1" applyAlignment="1">
      <alignment horizontal="center" vertical="center"/>
    </xf>
    <xf numFmtId="0" fontId="25" fillId="0" borderId="0" xfId="13" applyFont="1" applyFill="1" applyAlignment="1">
      <alignment vertical="center"/>
    </xf>
    <xf numFmtId="0" fontId="14" fillId="0" borderId="3" xfId="0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/>
    </xf>
    <xf numFmtId="4" fontId="14" fillId="0" borderId="11" xfId="0" applyNumberFormat="1" applyFont="1" applyFill="1" applyBorder="1" applyAlignment="1">
      <alignment horizontal="center" vertical="center" wrapText="1"/>
    </xf>
    <xf numFmtId="4" fontId="14" fillId="0" borderId="3" xfId="0" applyNumberFormat="1" applyFont="1" applyFill="1" applyBorder="1" applyAlignment="1">
      <alignment horizontal="center" vertical="center" wrapText="1"/>
    </xf>
    <xf numFmtId="180" fontId="14" fillId="0" borderId="3" xfId="0" applyNumberFormat="1" applyFont="1" applyFill="1" applyBorder="1" applyAlignment="1">
      <alignment horizontal="center" vertical="center" wrapText="1"/>
    </xf>
    <xf numFmtId="4" fontId="14" fillId="0" borderId="13" xfId="0" applyNumberFormat="1" applyFont="1" applyFill="1" applyBorder="1" applyAlignment="1">
      <alignment horizontal="center" vertical="center" wrapText="1"/>
    </xf>
    <xf numFmtId="4" fontId="14" fillId="0" borderId="16" xfId="0" applyNumberFormat="1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/>
    </xf>
    <xf numFmtId="4" fontId="104" fillId="0" borderId="3" xfId="0" applyNumberFormat="1" applyFont="1" applyFill="1" applyBorder="1">
      <alignment vertical="center"/>
    </xf>
    <xf numFmtId="4" fontId="8" fillId="0" borderId="3" xfId="0" applyNumberFormat="1" applyFont="1" applyFill="1" applyBorder="1" applyAlignment="1">
      <alignment vertical="center"/>
    </xf>
    <xf numFmtId="0" fontId="8" fillId="0" borderId="1" xfId="0" applyFont="1" applyFill="1" applyBorder="1" applyAlignment="1">
      <alignment horizontal="left" vertical="center"/>
    </xf>
    <xf numFmtId="4" fontId="10" fillId="0" borderId="8" xfId="0" applyNumberFormat="1" applyFont="1" applyFill="1" applyBorder="1" applyAlignment="1">
      <alignment vertical="center"/>
    </xf>
    <xf numFmtId="0" fontId="104" fillId="0" borderId="3" xfId="0" applyFont="1" applyFill="1" applyBorder="1">
      <alignment vertical="center"/>
    </xf>
    <xf numFmtId="0" fontId="8" fillId="0" borderId="0" xfId="13" applyFont="1" applyFill="1" applyAlignment="1">
      <alignment vertical="center"/>
    </xf>
    <xf numFmtId="0" fontId="8" fillId="3" borderId="3" xfId="42" applyFont="1" applyFill="1" applyBorder="1" applyAlignment="1">
      <alignment horizontal="left" vertical="center"/>
    </xf>
    <xf numFmtId="4" fontId="10" fillId="0" borderId="15" xfId="0" applyNumberFormat="1" applyFont="1" applyFill="1" applyBorder="1" applyAlignment="1">
      <alignment vertical="center"/>
    </xf>
    <xf numFmtId="0" fontId="11" fillId="0" borderId="18" xfId="0" applyFont="1" applyFill="1" applyBorder="1" applyAlignment="1">
      <alignment horizontal="center"/>
    </xf>
    <xf numFmtId="4" fontId="14" fillId="0" borderId="18" xfId="0" applyNumberFormat="1" applyFont="1" applyFill="1" applyBorder="1" applyAlignment="1">
      <alignment vertical="center"/>
    </xf>
    <xf numFmtId="4" fontId="27" fillId="0" borderId="18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4" fontId="10" fillId="0" borderId="0" xfId="0" applyNumberFormat="1" applyFont="1" applyFill="1" applyBorder="1" applyAlignment="1">
      <alignment vertical="center"/>
    </xf>
    <xf numFmtId="4" fontId="14" fillId="0" borderId="0" xfId="0" applyNumberFormat="1" applyFont="1" applyFill="1" applyBorder="1" applyAlignment="1"/>
    <xf numFmtId="180" fontId="14" fillId="0" borderId="0" xfId="0" applyNumberFormat="1" applyFont="1" applyFill="1" applyBorder="1" applyAlignment="1">
      <alignment horizontal="center"/>
    </xf>
    <xf numFmtId="4" fontId="8" fillId="0" borderId="0" xfId="0" applyNumberFormat="1" applyFont="1" applyFill="1" applyBorder="1" applyAlignment="1">
      <alignment horizontal="right" vertical="center"/>
    </xf>
    <xf numFmtId="4" fontId="2" fillId="0" borderId="0" xfId="13" applyNumberFormat="1" applyFill="1" applyAlignment="1">
      <alignment vertical="center"/>
    </xf>
    <xf numFmtId="4" fontId="22" fillId="0" borderId="0" xfId="13" applyNumberFormat="1" applyFont="1" applyFill="1" applyAlignment="1">
      <alignment horizontal="center" vertical="center"/>
    </xf>
    <xf numFmtId="4" fontId="10" fillId="0" borderId="0" xfId="0" applyNumberFormat="1" applyFont="1" applyFill="1" applyBorder="1" applyAlignment="1">
      <alignment horizontal="center"/>
    </xf>
    <xf numFmtId="4" fontId="11" fillId="0" borderId="0" xfId="0" applyNumberFormat="1" applyFont="1" applyFill="1" applyBorder="1" applyAlignment="1">
      <alignment horizontal="center"/>
    </xf>
    <xf numFmtId="0" fontId="22" fillId="0" borderId="0" xfId="13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1" fillId="0" borderId="0" xfId="0" applyNumberFormat="1" applyFont="1" applyFill="1" applyAlignment="1">
      <alignment horizontal="center"/>
    </xf>
    <xf numFmtId="185" fontId="11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4" fontId="10" fillId="0" borderId="0" xfId="0" applyNumberFormat="1" applyFont="1" applyFill="1" applyAlignment="1"/>
    <xf numFmtId="180" fontId="10" fillId="0" borderId="0" xfId="0" applyNumberFormat="1" applyFont="1" applyFill="1" applyAlignment="1"/>
    <xf numFmtId="4" fontId="0" fillId="0" borderId="0" xfId="0" applyNumberFormat="1" applyFill="1" applyAlignment="1">
      <alignment vertical="center"/>
    </xf>
    <xf numFmtId="0" fontId="10" fillId="0" borderId="0" xfId="0" applyFont="1" applyFill="1" applyAlignment="1">
      <alignment horizontal="center"/>
    </xf>
    <xf numFmtId="0" fontId="8" fillId="3" borderId="0" xfId="13" applyFont="1" applyFill="1" applyAlignment="1">
      <alignment vertical="center"/>
    </xf>
    <xf numFmtId="0" fontId="7" fillId="0" borderId="0" xfId="13" applyFont="1" applyFill="1" applyAlignment="1">
      <alignment vertical="center"/>
    </xf>
    <xf numFmtId="4" fontId="8" fillId="0" borderId="0" xfId="13" applyNumberFormat="1" applyFont="1" applyFill="1" applyAlignment="1">
      <alignment vertical="center"/>
    </xf>
    <xf numFmtId="0" fontId="7" fillId="0" borderId="0" xfId="5" applyFont="1" applyAlignment="1">
      <alignment horizontal="center" vertical="center" wrapText="1"/>
    </xf>
    <xf numFmtId="0" fontId="18" fillId="0" borderId="0" xfId="13" applyFont="1" applyAlignment="1">
      <alignment horizontal="center" vertical="center" wrapText="1"/>
    </xf>
    <xf numFmtId="41" fontId="18" fillId="0" borderId="0" xfId="13" applyNumberFormat="1" applyFont="1" applyAlignment="1">
      <alignment horizontal="left" vertical="center" wrapText="1"/>
    </xf>
    <xf numFmtId="41" fontId="18" fillId="0" borderId="0" xfId="13" applyNumberFormat="1" applyFont="1" applyAlignment="1">
      <alignment horizontal="right" vertical="center" wrapText="1"/>
    </xf>
    <xf numFmtId="0" fontId="18" fillId="0" borderId="0" xfId="13" applyFont="1" applyAlignment="1">
      <alignment vertical="center" wrapText="1"/>
    </xf>
    <xf numFmtId="0" fontId="44" fillId="2" borderId="0" xfId="13" applyFont="1" applyFill="1" applyAlignment="1">
      <alignment vertical="center" wrapText="1"/>
    </xf>
    <xf numFmtId="0" fontId="44" fillId="0" borderId="0" xfId="13" applyFont="1" applyBorder="1" applyAlignment="1">
      <alignment horizontal="center" vertical="center" wrapText="1"/>
    </xf>
    <xf numFmtId="0" fontId="44" fillId="0" borderId="0" xfId="13" applyFont="1" applyBorder="1" applyAlignment="1">
      <alignment horizontal="left" vertical="center" wrapText="1"/>
    </xf>
    <xf numFmtId="41" fontId="44" fillId="0" borderId="0" xfId="13" applyNumberFormat="1" applyFont="1" applyBorder="1" applyAlignment="1">
      <alignment horizontal="left" vertical="center" wrapText="1"/>
    </xf>
    <xf numFmtId="41" fontId="44" fillId="0" borderId="0" xfId="13" applyNumberFormat="1" applyFont="1" applyBorder="1" applyAlignment="1">
      <alignment horizontal="right" vertical="center" wrapText="1"/>
    </xf>
    <xf numFmtId="0" fontId="44" fillId="0" borderId="0" xfId="13" applyFont="1" applyAlignment="1">
      <alignment vertical="center" wrapText="1"/>
    </xf>
    <xf numFmtId="0" fontId="44" fillId="0" borderId="5" xfId="13" applyFont="1" applyBorder="1" applyAlignment="1">
      <alignment vertical="center" wrapText="1"/>
    </xf>
    <xf numFmtId="0" fontId="18" fillId="0" borderId="5" xfId="13" applyFont="1" applyBorder="1" applyAlignment="1">
      <alignment vertical="center" wrapText="1"/>
    </xf>
    <xf numFmtId="0" fontId="44" fillId="0" borderId="5" xfId="13" applyFont="1" applyBorder="1" applyAlignment="1">
      <alignment horizontal="left" vertical="center" wrapText="1"/>
    </xf>
    <xf numFmtId="0" fontId="44" fillId="0" borderId="5" xfId="13" applyFont="1" applyBorder="1" applyAlignment="1">
      <alignment horizontal="center" vertical="center" wrapText="1"/>
    </xf>
    <xf numFmtId="41" fontId="18" fillId="0" borderId="5" xfId="13" applyNumberFormat="1" applyFont="1" applyBorder="1" applyAlignment="1">
      <alignment horizontal="left" vertical="center" wrapText="1"/>
    </xf>
    <xf numFmtId="0" fontId="18" fillId="2" borderId="5" xfId="13" applyFont="1" applyFill="1" applyBorder="1" applyAlignment="1">
      <alignment vertical="center" wrapText="1"/>
    </xf>
    <xf numFmtId="0" fontId="20" fillId="0" borderId="0" xfId="0" applyFont="1" applyFill="1" applyAlignment="1">
      <alignment vertical="center" wrapText="1"/>
    </xf>
    <xf numFmtId="0" fontId="18" fillId="12" borderId="0" xfId="0" applyFont="1" applyFill="1" applyAlignment="1">
      <alignment vertical="center" wrapText="1"/>
    </xf>
    <xf numFmtId="0" fontId="18" fillId="12" borderId="0" xfId="0" applyFont="1" applyFill="1" applyAlignment="1">
      <alignment horizontal="left" vertical="center" wrapText="1"/>
    </xf>
    <xf numFmtId="49" fontId="18" fillId="12" borderId="0" xfId="0" applyNumberFormat="1" applyFont="1" applyFill="1" applyAlignment="1">
      <alignment vertical="center" wrapText="1"/>
    </xf>
    <xf numFmtId="0" fontId="42" fillId="12" borderId="0" xfId="1" applyFont="1" applyFill="1" applyAlignment="1">
      <alignment horizontal="left" vertical="center" wrapText="1"/>
    </xf>
    <xf numFmtId="41" fontId="18" fillId="12" borderId="0" xfId="0" applyNumberFormat="1" applyFont="1" applyFill="1" applyBorder="1" applyAlignment="1">
      <alignment horizontal="right" vertical="center" wrapText="1"/>
    </xf>
    <xf numFmtId="41" fontId="8" fillId="12" borderId="0" xfId="0" applyNumberFormat="1" applyFont="1" applyFill="1" applyAlignment="1">
      <alignment horizontal="left" vertical="center" wrapText="1"/>
    </xf>
    <xf numFmtId="0" fontId="18" fillId="12" borderId="0" xfId="13" applyFont="1" applyFill="1" applyAlignment="1">
      <alignment vertical="center" wrapText="1"/>
    </xf>
    <xf numFmtId="49" fontId="8" fillId="12" borderId="0" xfId="0" applyNumberFormat="1" applyFont="1" applyFill="1" applyAlignment="1">
      <alignment vertical="center" wrapText="1"/>
    </xf>
    <xf numFmtId="0" fontId="18" fillId="2" borderId="0" xfId="13" applyFont="1" applyFill="1" applyBorder="1" applyAlignment="1">
      <alignment vertical="center" wrapText="1"/>
    </xf>
    <xf numFmtId="49" fontId="18" fillId="2" borderId="5" xfId="13" applyNumberFormat="1" applyFont="1" applyFill="1" applyBorder="1" applyAlignment="1">
      <alignment vertical="center" wrapText="1"/>
    </xf>
    <xf numFmtId="41" fontId="18" fillId="2" borderId="0" xfId="13" applyNumberFormat="1" applyFont="1" applyFill="1" applyAlignment="1">
      <alignment horizontal="left" vertical="center" wrapText="1"/>
    </xf>
    <xf numFmtId="41" fontId="18" fillId="2" borderId="0" xfId="13" applyNumberFormat="1" applyFont="1" applyFill="1" applyAlignment="1">
      <alignment horizontal="right" vertical="center" wrapText="1"/>
    </xf>
    <xf numFmtId="41" fontId="44" fillId="2" borderId="0" xfId="13" applyNumberFormat="1" applyFont="1" applyFill="1" applyAlignment="1">
      <alignment horizontal="right" vertical="center" wrapText="1"/>
    </xf>
    <xf numFmtId="0" fontId="18" fillId="0" borderId="0" xfId="13" applyFont="1" applyFill="1" applyAlignment="1">
      <alignment vertical="center" wrapText="1"/>
    </xf>
    <xf numFmtId="0" fontId="8" fillId="0" borderId="0" xfId="13" applyFont="1" applyFill="1" applyAlignment="1">
      <alignment horizontal="left" vertical="center" wrapText="1"/>
    </xf>
    <xf numFmtId="49" fontId="18" fillId="0" borderId="0" xfId="13" applyNumberFormat="1" applyFont="1" applyFill="1" applyAlignment="1">
      <alignment vertical="center" wrapText="1"/>
    </xf>
    <xf numFmtId="41" fontId="8" fillId="0" borderId="0" xfId="13" applyNumberFormat="1" applyFont="1" applyFill="1" applyBorder="1" applyAlignment="1">
      <alignment horizontal="left" vertical="center" wrapText="1"/>
    </xf>
    <xf numFmtId="41" fontId="18" fillId="0" borderId="0" xfId="13" applyNumberFormat="1" applyFont="1" applyFill="1" applyAlignment="1">
      <alignment vertical="center" wrapText="1"/>
    </xf>
    <xf numFmtId="41" fontId="45" fillId="0" borderId="0" xfId="13" applyNumberFormat="1" applyFont="1" applyFill="1" applyAlignment="1">
      <alignment vertical="center" wrapText="1"/>
    </xf>
    <xf numFmtId="41" fontId="18" fillId="0" borderId="5" xfId="13" applyNumberFormat="1" applyFont="1" applyFill="1" applyBorder="1" applyAlignment="1">
      <alignment horizontal="right" vertical="center" wrapText="1"/>
    </xf>
    <xf numFmtId="49" fontId="18" fillId="0" borderId="0" xfId="13" applyNumberFormat="1" applyFont="1" applyFill="1" applyAlignment="1">
      <alignment horizontal="left" vertical="center" wrapText="1"/>
    </xf>
    <xf numFmtId="0" fontId="18" fillId="0" borderId="0" xfId="13" applyFont="1" applyFill="1" applyAlignment="1">
      <alignment horizontal="left" vertical="center" wrapText="1"/>
    </xf>
    <xf numFmtId="0" fontId="18" fillId="0" borderId="0" xfId="13" applyNumberFormat="1" applyFont="1" applyFill="1" applyAlignment="1">
      <alignment horizontal="left" vertical="center" wrapText="1"/>
    </xf>
    <xf numFmtId="0" fontId="8" fillId="0" borderId="0" xfId="13" applyFont="1" applyFill="1" applyAlignment="1">
      <alignment vertical="center" wrapText="1"/>
    </xf>
    <xf numFmtId="41" fontId="8" fillId="0" borderId="0" xfId="13" applyNumberFormat="1" applyFont="1" applyFill="1" applyAlignment="1">
      <alignment horizontal="left" vertical="center" wrapText="1"/>
    </xf>
    <xf numFmtId="178" fontId="23" fillId="0" borderId="0" xfId="1" applyNumberFormat="1" applyFont="1" applyFill="1" applyAlignment="1">
      <alignment horizontal="right" vertical="center" wrapText="1"/>
    </xf>
    <xf numFmtId="0" fontId="45" fillId="0" borderId="0" xfId="13" applyFont="1" applyFill="1" applyAlignment="1">
      <alignment vertical="center" wrapText="1"/>
    </xf>
    <xf numFmtId="181" fontId="21" fillId="0" borderId="0" xfId="0" applyNumberFormat="1" applyFont="1" applyFill="1" applyAlignment="1">
      <alignment vertical="center" wrapText="1"/>
    </xf>
    <xf numFmtId="49" fontId="8" fillId="0" borderId="0" xfId="13" applyNumberFormat="1" applyFont="1" applyFill="1" applyAlignment="1">
      <alignment horizontal="left" vertical="center" wrapText="1"/>
    </xf>
    <xf numFmtId="49" fontId="8" fillId="0" borderId="0" xfId="13" applyNumberFormat="1" applyFont="1" applyFill="1" applyBorder="1" applyAlignment="1">
      <alignment horizontal="left" vertical="center" wrapText="1"/>
    </xf>
    <xf numFmtId="0" fontId="8" fillId="0" borderId="0" xfId="1" applyFont="1" applyFill="1" applyAlignment="1">
      <alignment vertical="center" wrapText="1"/>
    </xf>
    <xf numFmtId="0" fontId="17" fillId="0" borderId="0" xfId="1" applyFont="1" applyFill="1" applyAlignment="1">
      <alignment vertical="center" wrapText="1"/>
    </xf>
    <xf numFmtId="0" fontId="20" fillId="0" borderId="0" xfId="0" applyFont="1" applyFill="1" applyBorder="1" applyAlignment="1">
      <alignment vertical="center" wrapText="1"/>
    </xf>
    <xf numFmtId="49" fontId="8" fillId="0" borderId="0" xfId="13" applyNumberFormat="1" applyFont="1" applyFill="1" applyAlignment="1">
      <alignment vertical="center" wrapText="1"/>
    </xf>
    <xf numFmtId="0" fontId="18" fillId="0" borderId="5" xfId="13" applyFont="1" applyFill="1" applyBorder="1" applyAlignment="1">
      <alignment vertical="center" wrapText="1"/>
    </xf>
    <xf numFmtId="0" fontId="18" fillId="0" borderId="5" xfId="13" applyFont="1" applyFill="1" applyBorder="1" applyAlignment="1">
      <alignment horizontal="left" vertical="center" wrapText="1"/>
    </xf>
    <xf numFmtId="0" fontId="18" fillId="0" borderId="5" xfId="13" applyFont="1" applyFill="1" applyBorder="1" applyAlignment="1">
      <alignment horizontal="center" vertical="center" wrapText="1"/>
    </xf>
    <xf numFmtId="41" fontId="18" fillId="0" borderId="13" xfId="13" applyNumberFormat="1" applyFont="1" applyFill="1" applyBorder="1" applyAlignment="1">
      <alignment horizontal="left" vertical="center" wrapText="1"/>
    </xf>
    <xf numFmtId="0" fontId="18" fillId="0" borderId="0" xfId="0" applyFont="1" applyFill="1" applyAlignment="1">
      <alignment horizontal="left" vertical="center" wrapText="1"/>
    </xf>
    <xf numFmtId="49" fontId="18" fillId="0" borderId="0" xfId="0" applyNumberFormat="1" applyFont="1" applyFill="1" applyAlignment="1">
      <alignment vertical="center" wrapText="1"/>
    </xf>
    <xf numFmtId="41" fontId="8" fillId="0" borderId="0" xfId="0" applyNumberFormat="1" applyFont="1" applyFill="1" applyAlignment="1">
      <alignment horizontal="left" vertical="center" wrapText="1"/>
    </xf>
    <xf numFmtId="41" fontId="18" fillId="0" borderId="0" xfId="0" applyNumberFormat="1" applyFont="1" applyFill="1" applyBorder="1" applyAlignment="1">
      <alignment horizontal="right" vertical="center" wrapText="1"/>
    </xf>
    <xf numFmtId="41" fontId="8" fillId="0" borderId="0" xfId="0" applyNumberFormat="1" applyFont="1" applyFill="1" applyBorder="1" applyAlignment="1">
      <alignment horizontal="left" vertical="center" wrapText="1"/>
    </xf>
    <xf numFmtId="0" fontId="18" fillId="0" borderId="0" xfId="0" applyFont="1" applyFill="1" applyAlignment="1">
      <alignment vertical="center" wrapText="1"/>
    </xf>
    <xf numFmtId="41" fontId="18" fillId="0" borderId="0" xfId="0" applyNumberFormat="1" applyFont="1" applyFill="1" applyAlignment="1">
      <alignment vertical="center" wrapText="1"/>
    </xf>
    <xf numFmtId="41" fontId="18" fillId="0" borderId="0" xfId="13" applyNumberFormat="1" applyFont="1" applyFill="1" applyAlignment="1">
      <alignment horizontal="right" vertical="center" wrapText="1"/>
    </xf>
    <xf numFmtId="0" fontId="18" fillId="0" borderId="0" xfId="13" applyFont="1" applyFill="1" applyBorder="1" applyAlignment="1">
      <alignment vertical="center" wrapText="1"/>
    </xf>
    <xf numFmtId="0" fontId="18" fillId="0" borderId="0" xfId="13" applyFont="1" applyFill="1" applyBorder="1" applyAlignment="1">
      <alignment horizontal="left" vertical="center" wrapText="1"/>
    </xf>
    <xf numFmtId="41" fontId="18" fillId="0" borderId="0" xfId="13" applyNumberFormat="1" applyFont="1" applyFill="1" applyBorder="1" applyAlignment="1">
      <alignment vertical="center" wrapText="1"/>
    </xf>
    <xf numFmtId="41" fontId="7" fillId="0" borderId="5" xfId="13" applyNumberFormat="1" applyFont="1" applyFill="1" applyBorder="1" applyAlignment="1">
      <alignment horizontal="left" vertical="center" wrapText="1"/>
    </xf>
    <xf numFmtId="41" fontId="44" fillId="0" borderId="5" xfId="13" applyNumberFormat="1" applyFont="1" applyFill="1" applyBorder="1" applyAlignment="1">
      <alignment vertical="center" wrapText="1"/>
    </xf>
    <xf numFmtId="41" fontId="7" fillId="2" borderId="5" xfId="13" applyNumberFormat="1" applyFont="1" applyFill="1" applyBorder="1" applyAlignment="1">
      <alignment horizontal="left" vertical="center" wrapText="1"/>
    </xf>
    <xf numFmtId="41" fontId="44" fillId="2" borderId="5" xfId="13" applyNumberFormat="1" applyFont="1" applyFill="1" applyBorder="1" applyAlignment="1">
      <alignment horizontal="right" vertical="center" wrapText="1"/>
    </xf>
    <xf numFmtId="10" fontId="51" fillId="0" borderId="0" xfId="0" applyNumberFormat="1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/>
    </xf>
    <xf numFmtId="177" fontId="11" fillId="30" borderId="3" xfId="0" applyNumberFormat="1" applyFont="1" applyFill="1" applyBorder="1" applyAlignment="1">
      <alignment horizontal="center" vertical="center" wrapText="1"/>
    </xf>
    <xf numFmtId="177" fontId="53" fillId="30" borderId="9" xfId="0" applyNumberFormat="1" applyFont="1" applyFill="1" applyBorder="1" applyAlignment="1">
      <alignment horizontal="center" vertical="center" wrapText="1" shrinkToFit="1"/>
    </xf>
    <xf numFmtId="177" fontId="53" fillId="30" borderId="9" xfId="0" quotePrefix="1" applyNumberFormat="1" applyFont="1" applyFill="1" applyBorder="1" applyAlignment="1">
      <alignment horizontal="center" vertical="center" wrapText="1"/>
    </xf>
    <xf numFmtId="177" fontId="53" fillId="30" borderId="9" xfId="0" applyNumberFormat="1" applyFont="1" applyFill="1" applyBorder="1" applyAlignment="1">
      <alignment horizontal="center" vertical="center" wrapText="1"/>
    </xf>
    <xf numFmtId="177" fontId="78" fillId="30" borderId="14" xfId="0" applyNumberFormat="1" applyFont="1" applyFill="1" applyBorder="1" applyAlignment="1">
      <alignment horizontal="center" vertical="center" wrapText="1" shrinkToFit="1"/>
    </xf>
    <xf numFmtId="177" fontId="53" fillId="30" borderId="14" xfId="0" applyNumberFormat="1" applyFont="1" applyFill="1" applyBorder="1" applyAlignment="1">
      <alignment horizontal="center" vertical="center" wrapText="1" shrinkToFit="1"/>
    </xf>
    <xf numFmtId="177" fontId="53" fillId="30" borderId="14" xfId="0" applyNumberFormat="1" applyFont="1" applyFill="1" applyBorder="1" applyAlignment="1">
      <alignment horizontal="center" vertical="center" wrapText="1"/>
    </xf>
    <xf numFmtId="177" fontId="53" fillId="30" borderId="9" xfId="0" applyNumberFormat="1" applyFont="1" applyFill="1" applyBorder="1" applyAlignment="1">
      <alignment horizontal="center" vertical="center"/>
    </xf>
    <xf numFmtId="43" fontId="53" fillId="30" borderId="3" xfId="0" applyNumberFormat="1" applyFont="1" applyFill="1" applyBorder="1" applyAlignment="1">
      <alignment horizontal="center" vertical="center"/>
    </xf>
    <xf numFmtId="43" fontId="53" fillId="30" borderId="3" xfId="0" applyNumberFormat="1" applyFont="1" applyFill="1" applyBorder="1" applyAlignment="1">
      <alignment horizontal="center" vertical="center" wrapText="1"/>
    </xf>
    <xf numFmtId="43" fontId="53" fillId="30" borderId="2" xfId="0" applyNumberFormat="1" applyFont="1" applyFill="1" applyBorder="1" applyAlignment="1">
      <alignment horizontal="center" vertical="center"/>
    </xf>
    <xf numFmtId="10" fontId="53" fillId="30" borderId="2" xfId="0" applyNumberFormat="1" applyFont="1" applyFill="1" applyBorder="1" applyAlignment="1">
      <alignment horizontal="center" vertical="center"/>
    </xf>
    <xf numFmtId="43" fontId="55" fillId="30" borderId="2" xfId="0" applyNumberFormat="1" applyFont="1" applyFill="1" applyBorder="1" applyAlignment="1">
      <alignment horizontal="center" vertical="center"/>
    </xf>
    <xf numFmtId="177" fontId="11" fillId="0" borderId="3" xfId="0" applyNumberFormat="1" applyFont="1" applyFill="1" applyBorder="1" applyAlignment="1">
      <alignment horizontal="center" vertical="center" wrapText="1"/>
    </xf>
    <xf numFmtId="177" fontId="53" fillId="0" borderId="3" xfId="0" applyNumberFormat="1" applyFont="1" applyFill="1" applyBorder="1" applyAlignment="1">
      <alignment horizontal="center" vertical="center" wrapText="1" shrinkToFit="1"/>
    </xf>
    <xf numFmtId="177" fontId="53" fillId="0" borderId="3" xfId="0" quotePrefix="1" applyNumberFormat="1" applyFont="1" applyFill="1" applyBorder="1" applyAlignment="1">
      <alignment horizontal="center" vertical="center" wrapText="1"/>
    </xf>
    <xf numFmtId="177" fontId="78" fillId="0" borderId="3" xfId="0" applyNumberFormat="1" applyFont="1" applyFill="1" applyBorder="1" applyAlignment="1">
      <alignment horizontal="center" vertical="center" wrapText="1" shrinkToFit="1"/>
    </xf>
    <xf numFmtId="43" fontId="53" fillId="0" borderId="3" xfId="0" applyNumberFormat="1" applyFont="1" applyFill="1" applyBorder="1" applyAlignment="1">
      <alignment horizontal="center" vertical="center"/>
    </xf>
    <xf numFmtId="43" fontId="53" fillId="0" borderId="3" xfId="0" applyNumberFormat="1" applyFont="1" applyFill="1" applyBorder="1" applyAlignment="1">
      <alignment horizontal="center" vertical="center" wrapText="1"/>
    </xf>
    <xf numFmtId="10" fontId="53" fillId="0" borderId="3" xfId="0" applyNumberFormat="1" applyFont="1" applyFill="1" applyBorder="1" applyAlignment="1">
      <alignment horizontal="center" vertical="center"/>
    </xf>
    <xf numFmtId="43" fontId="55" fillId="3" borderId="2" xfId="0" applyNumberFormat="1" applyFont="1" applyFill="1" applyBorder="1" applyAlignment="1">
      <alignment horizontal="center" vertical="center"/>
    </xf>
    <xf numFmtId="177" fontId="53" fillId="0" borderId="3" xfId="0" applyNumberFormat="1" applyFont="1" applyFill="1" applyBorder="1" applyAlignment="1">
      <alignment horizontal="center" vertical="center"/>
    </xf>
    <xf numFmtId="43" fontId="55" fillId="3" borderId="3" xfId="0" applyNumberFormat="1" applyFont="1" applyFill="1" applyBorder="1" applyAlignment="1">
      <alignment horizontal="center" vertical="center"/>
    </xf>
    <xf numFmtId="43" fontId="53" fillId="0" borderId="0" xfId="0" applyNumberFormat="1" applyFont="1" applyFill="1" applyBorder="1" applyAlignment="1">
      <alignment horizontal="center" vertical="center" wrapText="1"/>
    </xf>
    <xf numFmtId="10" fontId="53" fillId="0" borderId="0" xfId="0" applyNumberFormat="1" applyFont="1" applyFill="1" applyBorder="1" applyAlignment="1">
      <alignment horizontal="center" vertical="center"/>
    </xf>
    <xf numFmtId="177" fontId="53" fillId="0" borderId="9" xfId="0" applyNumberFormat="1" applyFont="1" applyFill="1" applyBorder="1" applyAlignment="1">
      <alignment horizontal="center" vertical="center" wrapText="1" shrinkToFit="1"/>
    </xf>
    <xf numFmtId="177" fontId="78" fillId="0" borderId="14" xfId="0" applyNumberFormat="1" applyFont="1" applyFill="1" applyBorder="1" applyAlignment="1">
      <alignment horizontal="center" vertical="center" wrapText="1" shrinkToFit="1"/>
    </xf>
    <xf numFmtId="43" fontId="53" fillId="0" borderId="2" xfId="0" applyNumberFormat="1" applyFont="1" applyFill="1" applyBorder="1" applyAlignment="1">
      <alignment horizontal="center" vertical="center"/>
    </xf>
    <xf numFmtId="10" fontId="53" fillId="0" borderId="2" xfId="0" applyNumberFormat="1" applyFont="1" applyFill="1" applyBorder="1" applyAlignment="1">
      <alignment horizontal="center" vertical="center"/>
    </xf>
    <xf numFmtId="0" fontId="55" fillId="0" borderId="0" xfId="0" applyFont="1" applyFill="1" applyBorder="1" applyAlignment="1">
      <alignment vertical="center"/>
    </xf>
    <xf numFmtId="0" fontId="51" fillId="31" borderId="0" xfId="0" applyFont="1" applyFill="1" applyAlignment="1">
      <alignment horizontal="center" vertical="center"/>
    </xf>
    <xf numFmtId="43" fontId="11" fillId="0" borderId="3" xfId="0" applyNumberFormat="1" applyFont="1" applyFill="1" applyBorder="1" applyAlignment="1">
      <alignment horizontal="center" vertical="center"/>
    </xf>
    <xf numFmtId="0" fontId="51" fillId="29" borderId="3" xfId="0" applyFont="1" applyFill="1" applyBorder="1" applyAlignment="1">
      <alignment vertical="center"/>
    </xf>
    <xf numFmtId="0" fontId="8" fillId="29" borderId="3" xfId="0" applyFont="1" applyFill="1" applyBorder="1" applyAlignment="1">
      <alignment horizontal="left" vertical="center"/>
    </xf>
    <xf numFmtId="0" fontId="53" fillId="29" borderId="5" xfId="0" applyFont="1" applyFill="1" applyBorder="1" applyAlignment="1">
      <alignment vertical="center"/>
    </xf>
    <xf numFmtId="0" fontId="53" fillId="29" borderId="2" xfId="0" applyFont="1" applyFill="1" applyBorder="1" applyAlignment="1">
      <alignment vertical="center"/>
    </xf>
    <xf numFmtId="43" fontId="11" fillId="29" borderId="3" xfId="0" applyNumberFormat="1" applyFont="1" applyFill="1" applyBorder="1" applyAlignment="1">
      <alignment horizontal="center" vertical="center"/>
    </xf>
    <xf numFmtId="43" fontId="8" fillId="0" borderId="3" xfId="0" applyNumberFormat="1" applyFont="1" applyFill="1" applyBorder="1" applyAlignment="1">
      <alignment horizontal="center" vertical="center"/>
    </xf>
    <xf numFmtId="0" fontId="51" fillId="32" borderId="0" xfId="0" applyFont="1" applyFill="1" applyAlignment="1">
      <alignment horizontal="center" vertical="center"/>
    </xf>
    <xf numFmtId="0" fontId="53" fillId="29" borderId="6" xfId="0" applyFont="1" applyFill="1" applyBorder="1" applyAlignment="1">
      <alignment vertical="center"/>
    </xf>
    <xf numFmtId="43" fontId="53" fillId="29" borderId="2" xfId="0" applyNumberFormat="1" applyFont="1" applyFill="1" applyBorder="1" applyAlignment="1">
      <alignment vertical="center"/>
    </xf>
    <xf numFmtId="0" fontId="51" fillId="28" borderId="0" xfId="0" applyFont="1" applyFill="1" applyAlignment="1">
      <alignment horizontal="center" vertical="center"/>
    </xf>
    <xf numFmtId="0" fontId="51" fillId="33" borderId="0" xfId="0" applyFont="1" applyFill="1" applyAlignment="1">
      <alignment horizontal="center" vertical="center"/>
    </xf>
    <xf numFmtId="0" fontId="49" fillId="2" borderId="0" xfId="18" applyFont="1" applyFill="1" applyAlignment="1" applyProtection="1">
      <alignment horizontal="center"/>
    </xf>
    <xf numFmtId="0" fontId="51" fillId="2" borderId="0" xfId="18" applyFont="1" applyFill="1" applyAlignment="1" applyProtection="1">
      <alignment horizontal="left"/>
    </xf>
    <xf numFmtId="41" fontId="51" fillId="2" borderId="0" xfId="18" applyNumberFormat="1" applyFont="1" applyFill="1" applyProtection="1"/>
    <xf numFmtId="186" fontId="51" fillId="2" borderId="0" xfId="18" applyNumberFormat="1" applyFont="1" applyFill="1" applyProtection="1"/>
    <xf numFmtId="0" fontId="51" fillId="2" borderId="0" xfId="18" applyFont="1" applyFill="1" applyAlignment="1" applyProtection="1">
      <alignment horizontal="center"/>
    </xf>
    <xf numFmtId="0" fontId="51" fillId="2" borderId="3" xfId="18" applyFont="1" applyFill="1" applyBorder="1" applyAlignment="1" applyProtection="1">
      <alignment horizontal="center"/>
    </xf>
    <xf numFmtId="0" fontId="49" fillId="2" borderId="3" xfId="18" applyFont="1" applyFill="1" applyBorder="1" applyAlignment="1" applyProtection="1">
      <alignment horizontal="left" vertical="center"/>
    </xf>
    <xf numFmtId="0" fontId="51" fillId="2" borderId="3" xfId="18" applyFont="1" applyFill="1" applyBorder="1" applyAlignment="1" applyProtection="1">
      <alignment horizontal="left" vertical="center"/>
    </xf>
    <xf numFmtId="186" fontId="51" fillId="0" borderId="3" xfId="18" applyNumberFormat="1" applyFont="1" applyFill="1" applyBorder="1" applyAlignment="1" applyProtection="1">
      <alignment horizontal="center" vertical="center"/>
    </xf>
    <xf numFmtId="0" fontId="7" fillId="3" borderId="3" xfId="18" applyFont="1" applyFill="1" applyBorder="1" applyAlignment="1" applyProtection="1">
      <alignment horizontal="center"/>
    </xf>
    <xf numFmtId="0" fontId="7" fillId="3" borderId="3" xfId="18" applyFont="1" applyFill="1" applyBorder="1" applyAlignment="1" applyProtection="1">
      <alignment horizontal="left"/>
    </xf>
    <xf numFmtId="41" fontId="111" fillId="3" borderId="3" xfId="18" applyNumberFormat="1" applyFont="1" applyFill="1" applyBorder="1" applyProtection="1"/>
    <xf numFmtId="186" fontId="111" fillId="3" borderId="3" xfId="18" applyNumberFormat="1" applyFont="1" applyFill="1" applyBorder="1" applyProtection="1"/>
    <xf numFmtId="0" fontId="51" fillId="2" borderId="3" xfId="18" applyFont="1" applyFill="1" applyBorder="1" applyAlignment="1" applyProtection="1">
      <alignment horizontal="left"/>
    </xf>
    <xf numFmtId="186" fontId="51" fillId="0" borderId="3" xfId="18" applyNumberFormat="1" applyFont="1" applyFill="1" applyBorder="1" applyProtection="1"/>
    <xf numFmtId="0" fontId="78" fillId="0" borderId="2" xfId="18" applyFont="1" applyFill="1" applyBorder="1" applyProtection="1"/>
    <xf numFmtId="41" fontId="111" fillId="3" borderId="3" xfId="18" applyNumberFormat="1" applyFont="1" applyFill="1" applyBorder="1" applyAlignment="1" applyProtection="1">
      <alignment vertical="center"/>
    </xf>
    <xf numFmtId="186" fontId="111" fillId="3" borderId="3" xfId="18" applyNumberFormat="1" applyFont="1" applyFill="1" applyBorder="1" applyAlignment="1" applyProtection="1">
      <alignment vertical="center"/>
    </xf>
    <xf numFmtId="41" fontId="49" fillId="3" borderId="3" xfId="18" applyNumberFormat="1" applyFont="1" applyFill="1" applyBorder="1" applyAlignment="1" applyProtection="1">
      <alignment vertical="center"/>
    </xf>
    <xf numFmtId="0" fontId="51" fillId="31" borderId="3" xfId="18" applyFont="1" applyFill="1" applyBorder="1" applyAlignment="1" applyProtection="1">
      <alignment horizontal="center"/>
    </xf>
    <xf numFmtId="0" fontId="49" fillId="2" borderId="3" xfId="18" applyFont="1" applyFill="1" applyBorder="1" applyAlignment="1" applyProtection="1">
      <alignment horizontal="left"/>
    </xf>
    <xf numFmtId="186" fontId="111" fillId="0" borderId="3" xfId="18" applyNumberFormat="1" applyFont="1" applyFill="1" applyBorder="1" applyAlignment="1" applyProtection="1">
      <alignment vertical="center"/>
    </xf>
    <xf numFmtId="0" fontId="8" fillId="32" borderId="3" xfId="18" applyFont="1" applyFill="1" applyBorder="1" applyAlignment="1" applyProtection="1">
      <alignment horizontal="center"/>
    </xf>
    <xf numFmtId="0" fontId="8" fillId="33" borderId="3" xfId="18" applyFont="1" applyFill="1" applyBorder="1" applyAlignment="1" applyProtection="1">
      <alignment horizontal="center"/>
    </xf>
    <xf numFmtId="0" fontId="8" fillId="34" borderId="3" xfId="18" applyFont="1" applyFill="1" applyBorder="1" applyAlignment="1" applyProtection="1">
      <alignment horizontal="center"/>
    </xf>
    <xf numFmtId="41" fontId="49" fillId="3" borderId="3" xfId="18" applyNumberFormat="1" applyFont="1" applyFill="1" applyBorder="1" applyProtection="1"/>
    <xf numFmtId="0" fontId="49" fillId="3" borderId="3" xfId="18" applyFont="1" applyFill="1" applyBorder="1" applyAlignment="1" applyProtection="1">
      <alignment horizontal="center"/>
    </xf>
    <xf numFmtId="0" fontId="8" fillId="0" borderId="3" xfId="18" applyFont="1" applyFill="1" applyBorder="1" applyAlignment="1" applyProtection="1">
      <alignment horizontal="left"/>
    </xf>
    <xf numFmtId="0" fontId="51" fillId="0" borderId="3" xfId="18" applyFont="1" applyFill="1" applyBorder="1" applyAlignment="1" applyProtection="1">
      <alignment horizontal="left"/>
    </xf>
    <xf numFmtId="0" fontId="8" fillId="0" borderId="2" xfId="18" applyFont="1" applyFill="1" applyBorder="1" applyProtection="1"/>
    <xf numFmtId="0" fontId="8" fillId="8" borderId="9" xfId="18" applyFont="1" applyFill="1" applyBorder="1" applyAlignment="1" applyProtection="1">
      <alignment horizontal="center"/>
    </xf>
    <xf numFmtId="0" fontId="51" fillId="8" borderId="3" xfId="18" applyFont="1" applyFill="1" applyBorder="1" applyAlignment="1" applyProtection="1">
      <alignment horizontal="left"/>
    </xf>
    <xf numFmtId="41" fontId="51" fillId="8" borderId="3" xfId="18" applyNumberFormat="1" applyFont="1" applyFill="1" applyBorder="1" applyProtection="1"/>
    <xf numFmtId="186" fontId="51" fillId="8" borderId="3" xfId="18" applyNumberFormat="1" applyFont="1" applyFill="1" applyBorder="1" applyProtection="1"/>
    <xf numFmtId="0" fontId="108" fillId="0" borderId="3" xfId="18" applyFont="1" applyFill="1" applyBorder="1" applyAlignment="1" applyProtection="1">
      <alignment horizontal="left"/>
    </xf>
    <xf numFmtId="0" fontId="8" fillId="0" borderId="3" xfId="18" applyFont="1" applyFill="1" applyBorder="1" applyAlignment="1" applyProtection="1">
      <alignment vertical="center"/>
    </xf>
    <xf numFmtId="0" fontId="51" fillId="0" borderId="3" xfId="18" applyFont="1" applyFill="1" applyBorder="1" applyAlignment="1" applyProtection="1">
      <alignment horizontal="center"/>
    </xf>
    <xf numFmtId="0" fontId="7" fillId="0" borderId="3" xfId="18" applyFont="1" applyFill="1" applyBorder="1" applyAlignment="1" applyProtection="1">
      <alignment horizontal="left"/>
    </xf>
    <xf numFmtId="186" fontId="49" fillId="0" borderId="1" xfId="18" applyNumberFormat="1" applyFont="1" applyFill="1" applyBorder="1" applyProtection="1"/>
    <xf numFmtId="0" fontId="8" fillId="0" borderId="10" xfId="18" applyFont="1" applyFill="1" applyBorder="1" applyAlignment="1" applyProtection="1">
      <alignment vertical="center"/>
    </xf>
    <xf numFmtId="0" fontId="51" fillId="0" borderId="9" xfId="18" applyFont="1" applyFill="1" applyBorder="1" applyAlignment="1" applyProtection="1">
      <alignment horizontal="center"/>
    </xf>
    <xf numFmtId="0" fontId="49" fillId="0" borderId="9" xfId="18" applyFont="1" applyFill="1" applyBorder="1" applyAlignment="1" applyProtection="1">
      <alignment horizontal="left"/>
    </xf>
    <xf numFmtId="186" fontId="49" fillId="0" borderId="9" xfId="18" applyNumberFormat="1" applyFont="1" applyFill="1" applyBorder="1" applyAlignment="1" applyProtection="1">
      <alignment vertical="center"/>
    </xf>
    <xf numFmtId="0" fontId="49" fillId="0" borderId="3" xfId="18" applyFont="1" applyFill="1" applyBorder="1" applyAlignment="1" applyProtection="1">
      <alignment horizontal="left"/>
    </xf>
    <xf numFmtId="186" fontId="49" fillId="0" borderId="3" xfId="18" applyNumberFormat="1" applyFont="1" applyFill="1" applyBorder="1" applyProtection="1"/>
    <xf numFmtId="186" fontId="51" fillId="0" borderId="44" xfId="18" applyNumberFormat="1" applyFont="1" applyFill="1" applyBorder="1" applyProtection="1"/>
    <xf numFmtId="0" fontId="49" fillId="2" borderId="0" xfId="18" applyFont="1" applyFill="1" applyAlignment="1" applyProtection="1">
      <alignment horizontal="left" vertical="center"/>
    </xf>
    <xf numFmtId="0" fontId="51" fillId="2" borderId="0" xfId="18" applyFont="1" applyFill="1" applyAlignment="1" applyProtection="1">
      <alignment horizontal="left" vertical="center"/>
    </xf>
    <xf numFmtId="186" fontId="51" fillId="2" borderId="0" xfId="18" applyNumberFormat="1" applyFont="1" applyFill="1" applyAlignment="1" applyProtection="1">
      <alignment vertical="center"/>
    </xf>
    <xf numFmtId="0" fontId="7" fillId="2" borderId="3" xfId="18" applyFont="1" applyFill="1" applyBorder="1" applyAlignment="1" applyProtection="1">
      <alignment horizontal="center" vertical="center"/>
    </xf>
    <xf numFmtId="9" fontId="51" fillId="12" borderId="3" xfId="18" applyNumberFormat="1" applyFont="1" applyFill="1" applyBorder="1" applyAlignment="1" applyProtection="1">
      <alignment horizontal="center" vertical="center"/>
    </xf>
    <xf numFmtId="0" fontId="49" fillId="0" borderId="0" xfId="18" applyFont="1" applyFill="1" applyAlignment="1" applyProtection="1">
      <alignment horizontal="left" vertical="center"/>
    </xf>
    <xf numFmtId="9" fontId="51" fillId="0" borderId="0" xfId="18" applyNumberFormat="1" applyFont="1" applyFill="1" applyAlignment="1" applyProtection="1">
      <alignment vertical="center"/>
    </xf>
    <xf numFmtId="186" fontId="51" fillId="0" borderId="0" xfId="18" applyNumberFormat="1" applyFont="1" applyFill="1" applyAlignment="1" applyProtection="1">
      <alignment vertical="center"/>
    </xf>
    <xf numFmtId="43" fontId="113" fillId="0" borderId="9" xfId="0" applyNumberFormat="1" applyFont="1" applyFill="1" applyBorder="1" applyAlignment="1">
      <alignment horizontal="center" vertical="center" wrapText="1"/>
    </xf>
    <xf numFmtId="0" fontId="23" fillId="0" borderId="3" xfId="18" applyFont="1" applyFill="1" applyBorder="1" applyAlignment="1" applyProtection="1">
      <alignment horizontal="center" vertical="center"/>
    </xf>
    <xf numFmtId="185" fontId="23" fillId="0" borderId="3" xfId="18" applyNumberFormat="1" applyFont="1" applyFill="1" applyBorder="1" applyAlignment="1" applyProtection="1">
      <alignment horizontal="center" vertical="center"/>
    </xf>
    <xf numFmtId="9" fontId="23" fillId="0" borderId="3" xfId="18" applyNumberFormat="1" applyFont="1" applyFill="1" applyBorder="1" applyAlignment="1" applyProtection="1">
      <alignment horizontal="center" vertical="center"/>
    </xf>
    <xf numFmtId="186" fontId="23" fillId="0" borderId="3" xfId="18" applyNumberFormat="1" applyFont="1" applyFill="1" applyBorder="1" applyAlignment="1" applyProtection="1">
      <alignment horizontal="center" vertical="center"/>
    </xf>
    <xf numFmtId="0" fontId="8" fillId="2" borderId="3" xfId="18" applyFont="1" applyFill="1" applyBorder="1" applyAlignment="1" applyProtection="1">
      <alignment horizontal="center" vertical="center"/>
    </xf>
    <xf numFmtId="0" fontId="23" fillId="26" borderId="3" xfId="18" applyFont="1" applyFill="1" applyBorder="1" applyAlignment="1" applyProtection="1">
      <alignment horizontal="center" vertical="center"/>
    </xf>
    <xf numFmtId="185" fontId="23" fillId="26" borderId="3" xfId="18" applyNumberFormat="1" applyFont="1" applyFill="1" applyBorder="1" applyAlignment="1" applyProtection="1">
      <alignment horizontal="center" vertical="center"/>
    </xf>
    <xf numFmtId="9" fontId="23" fillId="26" borderId="3" xfId="18" applyNumberFormat="1" applyFont="1" applyFill="1" applyBorder="1" applyAlignment="1" applyProtection="1">
      <alignment horizontal="center" vertical="center"/>
    </xf>
    <xf numFmtId="43" fontId="22" fillId="0" borderId="3" xfId="0" applyNumberFormat="1" applyFont="1" applyFill="1" applyBorder="1" applyAlignment="1">
      <alignment horizontal="center" vertical="center" wrapText="1"/>
    </xf>
    <xf numFmtId="43" fontId="113" fillId="0" borderId="1" xfId="0" applyNumberFormat="1" applyFont="1" applyFill="1" applyBorder="1" applyAlignment="1">
      <alignment horizontal="center" vertical="center" wrapText="1"/>
    </xf>
    <xf numFmtId="0" fontId="23" fillId="0" borderId="3" xfId="18" applyNumberFormat="1" applyFont="1" applyFill="1" applyBorder="1" applyAlignment="1" applyProtection="1">
      <alignment horizontal="center" vertical="center"/>
    </xf>
    <xf numFmtId="0" fontId="51" fillId="2" borderId="3" xfId="18" applyNumberFormat="1" applyFont="1" applyFill="1" applyBorder="1" applyAlignment="1" applyProtection="1">
      <alignment horizontal="center" vertical="center"/>
    </xf>
    <xf numFmtId="9" fontId="51" fillId="2" borderId="3" xfId="18" applyNumberFormat="1" applyFont="1" applyFill="1" applyBorder="1" applyAlignment="1" applyProtection="1">
      <alignment horizontal="center" vertical="center"/>
    </xf>
    <xf numFmtId="185" fontId="51" fillId="2" borderId="3" xfId="18" applyNumberFormat="1" applyFont="1" applyFill="1" applyBorder="1" applyAlignment="1" applyProtection="1">
      <alignment horizontal="center" vertical="center"/>
    </xf>
    <xf numFmtId="0" fontId="22" fillId="26" borderId="3" xfId="18" applyFont="1" applyFill="1" applyBorder="1" applyAlignment="1" applyProtection="1">
      <alignment horizontal="center" vertical="center"/>
    </xf>
    <xf numFmtId="0" fontId="22" fillId="26" borderId="3" xfId="18" applyNumberFormat="1" applyFont="1" applyFill="1" applyBorder="1" applyAlignment="1" applyProtection="1">
      <alignment horizontal="center" vertical="center"/>
    </xf>
    <xf numFmtId="9" fontId="49" fillId="26" borderId="3" xfId="18" applyNumberFormat="1" applyFont="1" applyFill="1" applyBorder="1" applyAlignment="1" applyProtection="1">
      <alignment horizontal="center" vertical="center"/>
    </xf>
    <xf numFmtId="185" fontId="49" fillId="26" borderId="3" xfId="18" applyNumberFormat="1" applyFont="1" applyFill="1" applyBorder="1" applyAlignment="1" applyProtection="1">
      <alignment horizontal="center" vertical="center"/>
    </xf>
    <xf numFmtId="0" fontId="22" fillId="2" borderId="0" xfId="18" applyFont="1" applyFill="1" applyBorder="1" applyAlignment="1" applyProtection="1">
      <alignment horizontal="center" vertical="center"/>
    </xf>
    <xf numFmtId="0" fontId="23" fillId="2" borderId="0" xfId="18" applyNumberFormat="1" applyFont="1" applyFill="1" applyBorder="1" applyAlignment="1" applyProtection="1">
      <alignment horizontal="center" vertical="center"/>
    </xf>
    <xf numFmtId="9" fontId="23" fillId="0" borderId="0" xfId="18" applyNumberFormat="1" applyFont="1" applyFill="1" applyBorder="1" applyAlignment="1" applyProtection="1">
      <alignment horizontal="center" vertical="center"/>
    </xf>
    <xf numFmtId="186" fontId="23" fillId="2" borderId="0" xfId="18" applyNumberFormat="1" applyFont="1" applyFill="1" applyBorder="1" applyAlignment="1" applyProtection="1">
      <alignment horizontal="center" vertical="center"/>
    </xf>
    <xf numFmtId="0" fontId="51" fillId="2" borderId="0" xfId="18" applyFont="1" applyFill="1" applyBorder="1" applyAlignment="1" applyProtection="1">
      <alignment vertical="center"/>
    </xf>
    <xf numFmtId="0" fontId="51" fillId="0" borderId="0" xfId="18" applyFont="1" applyFill="1" applyBorder="1" applyAlignment="1" applyProtection="1">
      <alignment vertical="center"/>
    </xf>
    <xf numFmtId="0" fontId="23" fillId="0" borderId="0" xfId="0" applyFont="1" applyFill="1" applyAlignment="1">
      <alignment vertical="center" wrapText="1"/>
    </xf>
    <xf numFmtId="43" fontId="49" fillId="0" borderId="3" xfId="0" applyNumberFormat="1" applyFont="1" applyFill="1" applyBorder="1" applyAlignment="1">
      <alignment horizontal="center" vertical="center" wrapText="1"/>
    </xf>
    <xf numFmtId="41" fontId="51" fillId="0" borderId="2" xfId="18" applyNumberFormat="1" applyFont="1" applyFill="1" applyBorder="1" applyAlignment="1" applyProtection="1">
      <alignment horizontal="center"/>
    </xf>
    <xf numFmtId="41" fontId="51" fillId="0" borderId="3" xfId="18" applyNumberFormat="1" applyFont="1" applyFill="1" applyBorder="1" applyAlignment="1" applyProtection="1">
      <alignment horizontal="center"/>
    </xf>
    <xf numFmtId="0" fontId="51" fillId="0" borderId="7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vertical="center" wrapText="1"/>
    </xf>
    <xf numFmtId="0" fontId="8" fillId="0" borderId="7" xfId="0" applyFont="1" applyFill="1" applyBorder="1" applyAlignment="1">
      <alignment horizontal="center" vertical="center"/>
    </xf>
    <xf numFmtId="0" fontId="49" fillId="17" borderId="9" xfId="0" applyFont="1" applyFill="1" applyBorder="1" applyAlignment="1">
      <alignment horizontal="center" vertical="center"/>
    </xf>
    <xf numFmtId="41" fontId="49" fillId="17" borderId="3" xfId="0" applyNumberFormat="1" applyFont="1" applyFill="1" applyBorder="1" applyAlignment="1">
      <alignment horizontal="left" vertical="center" wrapText="1"/>
    </xf>
    <xf numFmtId="9" fontId="23" fillId="17" borderId="3" xfId="18" applyNumberFormat="1" applyFont="1" applyFill="1" applyBorder="1" applyAlignment="1" applyProtection="1">
      <alignment horizontal="center" vertical="center"/>
    </xf>
    <xf numFmtId="186" fontId="49" fillId="26" borderId="3" xfId="0" applyNumberFormat="1" applyFont="1" applyFill="1" applyBorder="1" applyAlignment="1">
      <alignment vertical="center" wrapText="1"/>
    </xf>
    <xf numFmtId="41" fontId="49" fillId="0" borderId="0" xfId="0" applyNumberFormat="1" applyFont="1" applyFill="1" applyBorder="1" applyAlignment="1">
      <alignment horizontal="left" vertical="center" wrapText="1"/>
    </xf>
    <xf numFmtId="41" fontId="49" fillId="0" borderId="0" xfId="0" applyNumberFormat="1" applyFont="1" applyFill="1" applyBorder="1" applyAlignment="1">
      <alignment vertical="center" wrapText="1"/>
    </xf>
    <xf numFmtId="186" fontId="51" fillId="0" borderId="0" xfId="0" applyNumberFormat="1" applyFont="1" applyFill="1" applyBorder="1" applyAlignment="1">
      <alignment vertical="center" wrapText="1"/>
    </xf>
    <xf numFmtId="181" fontId="51" fillId="0" borderId="0" xfId="0" applyNumberFormat="1" applyFont="1" applyFill="1" applyBorder="1" applyAlignment="1">
      <alignment vertical="center" wrapText="1"/>
    </xf>
    <xf numFmtId="43" fontId="113" fillId="0" borderId="3" xfId="0" applyNumberFormat="1" applyFont="1" applyFill="1" applyBorder="1" applyAlignment="1">
      <alignment horizontal="center" vertical="center" wrapText="1"/>
    </xf>
    <xf numFmtId="0" fontId="104" fillId="0" borderId="47" xfId="0" applyFont="1" applyBorder="1">
      <alignment vertical="center"/>
    </xf>
    <xf numFmtId="185" fontId="51" fillId="0" borderId="3" xfId="18" applyNumberFormat="1" applyFont="1" applyFill="1" applyBorder="1" applyProtection="1"/>
    <xf numFmtId="0" fontId="20" fillId="0" borderId="47" xfId="0" applyFont="1" applyBorder="1">
      <alignment vertical="center"/>
    </xf>
    <xf numFmtId="0" fontId="49" fillId="17" borderId="3" xfId="0" applyFont="1" applyFill="1" applyBorder="1" applyAlignment="1">
      <alignment horizontal="center" vertical="center"/>
    </xf>
    <xf numFmtId="41" fontId="49" fillId="0" borderId="13" xfId="0" applyNumberFormat="1" applyFont="1" applyFill="1" applyBorder="1" applyAlignment="1">
      <alignment horizontal="left" vertical="center" wrapText="1"/>
    </xf>
    <xf numFmtId="41" fontId="49" fillId="0" borderId="13" xfId="0" applyNumberFormat="1" applyFont="1" applyFill="1" applyBorder="1" applyAlignment="1">
      <alignment vertical="center" wrapText="1"/>
    </xf>
    <xf numFmtId="186" fontId="49" fillId="0" borderId="0" xfId="0" applyNumberFormat="1" applyFont="1" applyFill="1" applyBorder="1" applyAlignment="1">
      <alignment vertical="center" wrapText="1"/>
    </xf>
    <xf numFmtId="9" fontId="49" fillId="0" borderId="0" xfId="0" applyNumberFormat="1" applyFont="1" applyFill="1" applyBorder="1" applyAlignment="1">
      <alignment vertical="center" wrapText="1"/>
    </xf>
    <xf numFmtId="0" fontId="36" fillId="0" borderId="47" xfId="0" applyFont="1" applyBorder="1">
      <alignment vertical="center"/>
    </xf>
    <xf numFmtId="186" fontId="51" fillId="0" borderId="0" xfId="0" applyNumberFormat="1" applyFont="1" applyFill="1" applyAlignment="1">
      <alignment vertical="center" wrapText="1"/>
    </xf>
    <xf numFmtId="0" fontId="51" fillId="2" borderId="0" xfId="18" applyFont="1" applyFill="1" applyAlignment="1" applyProtection="1">
      <alignment horizontal="center" vertical="center"/>
    </xf>
    <xf numFmtId="0" fontId="51" fillId="0" borderId="0" xfId="18" applyFont="1" applyFill="1" applyAlignment="1" applyProtection="1">
      <alignment horizontal="left" vertical="center"/>
    </xf>
    <xf numFmtId="0" fontId="8" fillId="0" borderId="0" xfId="18" applyFont="1" applyFill="1" applyAlignment="1" applyProtection="1">
      <alignment horizontal="left" vertical="center"/>
    </xf>
    <xf numFmtId="0" fontId="78" fillId="0" borderId="0" xfId="18" applyFont="1" applyFill="1" applyAlignment="1" applyProtection="1">
      <alignment horizontal="left" vertical="center"/>
    </xf>
    <xf numFmtId="0" fontId="78" fillId="0" borderId="0" xfId="18" applyFont="1" applyFill="1" applyAlignment="1" applyProtection="1">
      <alignment vertical="center"/>
    </xf>
    <xf numFmtId="0" fontId="51" fillId="15" borderId="0" xfId="13" applyFont="1" applyFill="1" applyBorder="1" applyAlignment="1">
      <alignment vertical="center"/>
    </xf>
    <xf numFmtId="0" fontId="56" fillId="15" borderId="0" xfId="0" applyFont="1" applyFill="1" applyBorder="1" applyAlignment="1">
      <alignment vertical="center"/>
    </xf>
    <xf numFmtId="0" fontId="54" fillId="15" borderId="3" xfId="0" applyFont="1" applyFill="1" applyBorder="1" applyAlignment="1">
      <alignment horizontal="center" vertical="center"/>
    </xf>
    <xf numFmtId="0" fontId="54" fillId="15" borderId="3" xfId="0" applyFont="1" applyFill="1" applyBorder="1" applyAlignment="1">
      <alignment horizontal="center" vertical="center" wrapText="1"/>
    </xf>
    <xf numFmtId="0" fontId="29" fillId="15" borderId="3" xfId="0" applyFont="1" applyFill="1" applyBorder="1" applyAlignment="1">
      <alignment horizontal="center" vertical="center"/>
    </xf>
    <xf numFmtId="43" fontId="53" fillId="15" borderId="3" xfId="0" applyNumberFormat="1" applyFont="1" applyFill="1" applyBorder="1" applyAlignment="1">
      <alignment horizontal="left" vertical="center"/>
    </xf>
    <xf numFmtId="9" fontId="53" fillId="15" borderId="3" xfId="0" applyNumberFormat="1" applyFont="1" applyFill="1" applyBorder="1" applyAlignment="1">
      <alignment vertical="center"/>
    </xf>
    <xf numFmtId="0" fontId="58" fillId="15" borderId="0" xfId="0" applyFont="1" applyFill="1" applyBorder="1" applyAlignment="1">
      <alignment vertical="center"/>
    </xf>
    <xf numFmtId="0" fontId="54" fillId="15" borderId="0" xfId="0" applyFont="1" applyFill="1" applyBorder="1" applyAlignment="1">
      <alignment vertical="center"/>
    </xf>
    <xf numFmtId="0" fontId="58" fillId="15" borderId="0" xfId="0" applyFont="1" applyFill="1" applyBorder="1" applyAlignment="1">
      <alignment horizontal="center" vertical="center"/>
    </xf>
    <xf numFmtId="43" fontId="51" fillId="0" borderId="3" xfId="0" applyNumberFormat="1" applyFont="1" applyFill="1" applyBorder="1" applyAlignment="1">
      <alignment horizontal="left" vertical="center"/>
    </xf>
    <xf numFmtId="0" fontId="105" fillId="15" borderId="0" xfId="13" applyFont="1" applyFill="1" applyBorder="1" applyAlignment="1">
      <alignment horizontal="left" vertical="center"/>
    </xf>
    <xf numFmtId="0" fontId="51" fillId="15" borderId="0" xfId="13" applyFont="1" applyFill="1" applyAlignment="1">
      <alignment horizontal="center" vertical="center"/>
    </xf>
    <xf numFmtId="0" fontId="51" fillId="15" borderId="0" xfId="13" applyFont="1" applyFill="1" applyAlignment="1">
      <alignment vertical="center"/>
    </xf>
    <xf numFmtId="0" fontId="59" fillId="15" borderId="0" xfId="13" applyFont="1" applyFill="1" applyBorder="1" applyAlignment="1">
      <alignment horizontal="left" vertical="center"/>
    </xf>
    <xf numFmtId="0" fontId="59" fillId="15" borderId="3" xfId="13" applyFont="1" applyFill="1" applyBorder="1" applyAlignment="1">
      <alignment horizontal="center" vertical="center"/>
    </xf>
    <xf numFmtId="0" fontId="51" fillId="15" borderId="3" xfId="13" applyFont="1" applyFill="1" applyBorder="1" applyAlignment="1">
      <alignment vertical="center"/>
    </xf>
    <xf numFmtId="0" fontId="51" fillId="15" borderId="3" xfId="13" applyFont="1" applyFill="1" applyBorder="1" applyAlignment="1">
      <alignment horizontal="center" vertical="center"/>
    </xf>
    <xf numFmtId="0" fontId="8" fillId="15" borderId="3" xfId="13" applyFont="1" applyFill="1" applyBorder="1" applyAlignment="1">
      <alignment horizontal="center" vertical="center"/>
    </xf>
    <xf numFmtId="0" fontId="51" fillId="15" borderId="3" xfId="13" applyFont="1" applyFill="1" applyBorder="1" applyAlignment="1">
      <alignment horizontal="left" vertical="center"/>
    </xf>
    <xf numFmtId="185" fontId="51" fillId="15" borderId="3" xfId="13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53" fillId="3" borderId="37" xfId="0" applyFont="1" applyFill="1" applyBorder="1" applyAlignment="1">
      <alignment horizontal="center" vertical="center"/>
    </xf>
    <xf numFmtId="0" fontId="53" fillId="3" borderId="38" xfId="0" applyFont="1" applyFill="1" applyBorder="1" applyAlignment="1">
      <alignment horizontal="center" vertical="center"/>
    </xf>
    <xf numFmtId="0" fontId="53" fillId="3" borderId="39" xfId="0" applyFont="1" applyFill="1" applyBorder="1" applyAlignment="1">
      <alignment horizontal="center" vertical="center"/>
    </xf>
    <xf numFmtId="0" fontId="51" fillId="0" borderId="47" xfId="0" applyFont="1" applyBorder="1" applyAlignment="1">
      <alignment horizontal="center" vertical="center" wrapText="1"/>
    </xf>
    <xf numFmtId="43" fontId="51" fillId="0" borderId="30" xfId="0" applyNumberFormat="1" applyFont="1" applyBorder="1" applyAlignment="1">
      <alignment horizontal="center" vertical="center" wrapText="1"/>
    </xf>
    <xf numFmtId="43" fontId="51" fillId="0" borderId="3" xfId="0" applyNumberFormat="1" applyFont="1" applyBorder="1" applyAlignment="1">
      <alignment vertical="center"/>
    </xf>
    <xf numFmtId="43" fontId="51" fillId="0" borderId="49" xfId="0" applyNumberFormat="1" applyFont="1" applyBorder="1" applyAlignment="1">
      <alignment vertical="center"/>
    </xf>
    <xf numFmtId="43" fontId="51" fillId="0" borderId="1" xfId="0" applyNumberFormat="1" applyFont="1" applyBorder="1" applyAlignment="1">
      <alignment horizontal="center" vertical="center"/>
    </xf>
    <xf numFmtId="43" fontId="51" fillId="0" borderId="7" xfId="0" applyNumberFormat="1" applyFont="1" applyBorder="1" applyAlignment="1">
      <alignment horizontal="center" vertical="center"/>
    </xf>
    <xf numFmtId="43" fontId="51" fillId="0" borderId="50" xfId="0" applyNumberFormat="1" applyFont="1" applyBorder="1" applyAlignment="1">
      <alignment vertical="center"/>
    </xf>
    <xf numFmtId="43" fontId="49" fillId="9" borderId="14" xfId="0" applyNumberFormat="1" applyFont="1" applyFill="1" applyBorder="1" applyAlignment="1">
      <alignment horizontal="right" vertical="center"/>
    </xf>
    <xf numFmtId="43" fontId="49" fillId="9" borderId="27" xfId="0" applyNumberFormat="1" applyFont="1" applyFill="1" applyBorder="1" applyAlignment="1">
      <alignment vertical="center"/>
    </xf>
    <xf numFmtId="0" fontId="51" fillId="0" borderId="48" xfId="0" applyFont="1" applyBorder="1" applyAlignment="1">
      <alignment horizontal="center" vertical="center" wrapText="1"/>
    </xf>
    <xf numFmtId="43" fontId="51" fillId="0" borderId="51" xfId="0" applyNumberFormat="1" applyFont="1" applyBorder="1" applyAlignment="1">
      <alignment horizontal="center" vertical="center" wrapText="1"/>
    </xf>
    <xf numFmtId="43" fontId="8" fillId="0" borderId="51" xfId="0" applyNumberFormat="1" applyFont="1" applyBorder="1" applyAlignment="1">
      <alignment horizontal="center" vertical="center" wrapText="1"/>
    </xf>
    <xf numFmtId="43" fontId="51" fillId="0" borderId="1" xfId="0" applyNumberFormat="1" applyFont="1" applyBorder="1" applyAlignment="1">
      <alignment vertical="center"/>
    </xf>
    <xf numFmtId="43" fontId="51" fillId="0" borderId="25" xfId="0" applyNumberFormat="1" applyFont="1" applyFill="1" applyBorder="1" applyAlignment="1">
      <alignment vertical="center" wrapText="1"/>
    </xf>
    <xf numFmtId="41" fontId="51" fillId="0" borderId="36" xfId="0" applyNumberFormat="1" applyFont="1" applyBorder="1" applyAlignment="1">
      <alignment vertical="center"/>
    </xf>
    <xf numFmtId="43" fontId="51" fillId="0" borderId="7" xfId="0" applyNumberFormat="1" applyFont="1" applyBorder="1" applyAlignment="1">
      <alignment vertical="center"/>
    </xf>
    <xf numFmtId="43" fontId="51" fillId="0" borderId="9" xfId="0" applyNumberFormat="1" applyFont="1" applyBorder="1" applyAlignment="1">
      <alignment vertical="center"/>
    </xf>
    <xf numFmtId="43" fontId="49" fillId="9" borderId="25" xfId="0" applyNumberFormat="1" applyFont="1" applyFill="1" applyBorder="1" applyAlignment="1">
      <alignment vertical="center" wrapText="1"/>
    </xf>
    <xf numFmtId="41" fontId="49" fillId="9" borderId="36" xfId="0" applyNumberFormat="1" applyFont="1" applyFill="1" applyBorder="1" applyAlignment="1">
      <alignment vertical="center"/>
    </xf>
    <xf numFmtId="41" fontId="51" fillId="2" borderId="24" xfId="0" applyNumberFormat="1" applyFont="1" applyFill="1" applyBorder="1" applyAlignment="1">
      <alignment vertical="center"/>
    </xf>
    <xf numFmtId="0" fontId="49" fillId="2" borderId="0" xfId="13" applyFont="1" applyFill="1" applyAlignment="1">
      <alignment vertical="center"/>
    </xf>
    <xf numFmtId="0" fontId="51" fillId="2" borderId="0" xfId="13" applyFont="1" applyFill="1" applyBorder="1" applyAlignment="1">
      <alignment vertical="center"/>
    </xf>
    <xf numFmtId="0" fontId="53" fillId="3" borderId="1" xfId="0" applyFont="1" applyFill="1" applyBorder="1" applyAlignment="1">
      <alignment horizontal="center" vertical="center"/>
    </xf>
    <xf numFmtId="0" fontId="51" fillId="3" borderId="14" xfId="0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49" fillId="0" borderId="0" xfId="0" applyFont="1">
      <alignment vertical="center"/>
    </xf>
    <xf numFmtId="0" fontId="51" fillId="0" borderId="3" xfId="0" applyFont="1" applyBorder="1" applyAlignment="1">
      <alignment horizontal="center" vertical="center" wrapText="1"/>
    </xf>
    <xf numFmtId="43" fontId="51" fillId="0" borderId="3" xfId="0" applyNumberFormat="1" applyFont="1" applyBorder="1" applyAlignment="1">
      <alignment horizontal="right" vertical="center"/>
    </xf>
    <xf numFmtId="43" fontId="49" fillId="9" borderId="3" xfId="0" applyNumberFormat="1" applyFont="1" applyFill="1" applyBorder="1" applyAlignment="1">
      <alignment vertical="center"/>
    </xf>
    <xf numFmtId="43" fontId="49" fillId="9" borderId="3" xfId="0" applyNumberFormat="1" applyFont="1" applyFill="1" applyBorder="1" applyAlignment="1">
      <alignment horizontal="right" vertical="center"/>
    </xf>
    <xf numFmtId="43" fontId="49" fillId="10" borderId="3" xfId="0" applyNumberFormat="1" applyFont="1" applyFill="1" applyBorder="1" applyAlignment="1">
      <alignment horizontal="right" vertical="center"/>
    </xf>
    <xf numFmtId="0" fontId="116" fillId="2" borderId="0" xfId="0" applyFont="1" applyFill="1">
      <alignment vertical="center"/>
    </xf>
    <xf numFmtId="0" fontId="117" fillId="2" borderId="0" xfId="0" applyFont="1" applyFill="1" applyAlignment="1">
      <alignment horizontal="center" vertical="center"/>
    </xf>
    <xf numFmtId="0" fontId="117" fillId="2" borderId="0" xfId="0" applyFont="1" applyFill="1">
      <alignment vertical="center"/>
    </xf>
    <xf numFmtId="43" fontId="118" fillId="2" borderId="0" xfId="38" applyFont="1" applyFill="1">
      <alignment vertical="center"/>
    </xf>
    <xf numFmtId="0" fontId="119" fillId="35" borderId="1" xfId="0" applyFont="1" applyFill="1" applyBorder="1" applyAlignment="1">
      <alignment horizontal="center" vertical="center" wrapText="1"/>
    </xf>
    <xf numFmtId="0" fontId="122" fillId="0" borderId="3" xfId="0" applyFont="1" applyFill="1" applyBorder="1" applyAlignment="1">
      <alignment horizontal="center" vertical="center"/>
    </xf>
    <xf numFmtId="0" fontId="122" fillId="2" borderId="3" xfId="0" applyFont="1" applyFill="1" applyBorder="1" applyAlignment="1">
      <alignment horizontal="left" vertical="center" wrapText="1"/>
    </xf>
    <xf numFmtId="43" fontId="122" fillId="2" borderId="6" xfId="38" applyFont="1" applyFill="1" applyBorder="1" applyAlignment="1">
      <alignment vertical="center" wrapText="1"/>
    </xf>
    <xf numFmtId="43" fontId="122" fillId="2" borderId="2" xfId="38" applyFont="1" applyFill="1" applyBorder="1" applyAlignment="1">
      <alignment vertical="center" wrapText="1"/>
    </xf>
    <xf numFmtId="43" fontId="122" fillId="2" borderId="3" xfId="38" applyFont="1" applyFill="1" applyBorder="1" applyAlignment="1">
      <alignment horizontal="center" vertical="center" wrapText="1"/>
    </xf>
    <xf numFmtId="0" fontId="117" fillId="2" borderId="0" xfId="0" applyFont="1" applyFill="1" applyBorder="1">
      <alignment vertical="center"/>
    </xf>
    <xf numFmtId="0" fontId="8" fillId="2" borderId="3" xfId="1" applyFont="1" applyFill="1" applyBorder="1" applyAlignment="1">
      <alignment vertical="center" wrapText="1"/>
    </xf>
    <xf numFmtId="0" fontId="8" fillId="2" borderId="3" xfId="0" applyFont="1" applyFill="1" applyBorder="1" applyAlignment="1">
      <alignment horizontal="left" vertical="center" wrapText="1"/>
    </xf>
    <xf numFmtId="43" fontId="122" fillId="0" borderId="6" xfId="38" applyFont="1" applyBorder="1" applyAlignment="1">
      <alignment vertical="center"/>
    </xf>
    <xf numFmtId="43" fontId="122" fillId="0" borderId="2" xfId="38" applyFont="1" applyBorder="1" applyAlignment="1">
      <alignment vertical="center"/>
    </xf>
    <xf numFmtId="43" fontId="122" fillId="0" borderId="3" xfId="38" applyFont="1" applyBorder="1" applyAlignment="1">
      <alignment horizontal="center" vertical="center"/>
    </xf>
    <xf numFmtId="43" fontId="122" fillId="2" borderId="6" xfId="38" applyFont="1" applyFill="1" applyBorder="1" applyAlignment="1">
      <alignment vertical="center"/>
    </xf>
    <xf numFmtId="43" fontId="122" fillId="2" borderId="2" xfId="38" applyFont="1" applyFill="1" applyBorder="1" applyAlignment="1">
      <alignment vertical="center"/>
    </xf>
    <xf numFmtId="43" fontId="120" fillId="11" borderId="6" xfId="38" quotePrefix="1" applyFont="1" applyFill="1" applyBorder="1" applyAlignment="1">
      <alignment vertical="center"/>
    </xf>
    <xf numFmtId="43" fontId="118" fillId="2" borderId="2" xfId="38" applyFont="1" applyFill="1" applyBorder="1" applyAlignment="1">
      <alignment vertical="center"/>
    </xf>
    <xf numFmtId="0" fontId="122" fillId="3" borderId="3" xfId="0" applyFont="1" applyFill="1" applyBorder="1" applyAlignment="1">
      <alignment horizontal="left" vertical="center" wrapText="1"/>
    </xf>
    <xf numFmtId="43" fontId="122" fillId="2" borderId="2" xfId="38" applyFont="1" applyFill="1" applyBorder="1" applyAlignment="1">
      <alignment horizontal="center" vertical="center"/>
    </xf>
    <xf numFmtId="43" fontId="123" fillId="11" borderId="6" xfId="38" applyFont="1" applyFill="1" applyBorder="1" applyAlignment="1">
      <alignment vertical="center" wrapText="1"/>
    </xf>
    <xf numFmtId="0" fontId="116" fillId="2" borderId="0" xfId="0" applyFont="1" applyFill="1" applyAlignment="1">
      <alignment horizontal="center" vertical="center"/>
    </xf>
    <xf numFmtId="43" fontId="124" fillId="2" borderId="0" xfId="38" applyFont="1" applyFill="1">
      <alignment vertical="center"/>
    </xf>
    <xf numFmtId="0" fontId="51" fillId="3" borderId="3" xfId="1" applyFont="1" applyFill="1" applyBorder="1" applyAlignment="1">
      <alignment vertical="center" wrapText="1"/>
    </xf>
    <xf numFmtId="0" fontId="51" fillId="3" borderId="3" xfId="1" applyFont="1" applyFill="1" applyBorder="1" applyAlignment="1">
      <alignment vertical="center"/>
    </xf>
    <xf numFmtId="41" fontId="51" fillId="3" borderId="14" xfId="1" applyNumberFormat="1" applyFont="1" applyFill="1" applyBorder="1" applyAlignment="1">
      <alignment vertical="center" wrapText="1"/>
    </xf>
    <xf numFmtId="41" fontId="51" fillId="3" borderId="3" xfId="1" applyNumberFormat="1" applyFont="1" applyFill="1" applyBorder="1" applyAlignment="1">
      <alignment vertical="center" wrapText="1"/>
    </xf>
    <xf numFmtId="43" fontId="51" fillId="3" borderId="9" xfId="1" applyNumberFormat="1" applyFont="1" applyFill="1" applyBorder="1" applyAlignment="1">
      <alignment vertical="center" wrapText="1"/>
    </xf>
    <xf numFmtId="43" fontId="51" fillId="3" borderId="3" xfId="1" applyNumberFormat="1" applyFont="1" applyFill="1" applyBorder="1" applyAlignment="1">
      <alignment vertical="center" wrapText="1"/>
    </xf>
    <xf numFmtId="0" fontId="51" fillId="3" borderId="13" xfId="1" applyFont="1" applyFill="1" applyBorder="1" applyAlignment="1">
      <alignment vertical="center" wrapText="1"/>
    </xf>
    <xf numFmtId="0" fontId="51" fillId="3" borderId="1" xfId="1" applyFont="1" applyFill="1" applyBorder="1" applyAlignment="1">
      <alignment horizontal="center" vertical="center" wrapText="1"/>
    </xf>
    <xf numFmtId="0" fontId="51" fillId="3" borderId="9" xfId="1" applyFont="1" applyFill="1" applyBorder="1" applyAlignment="1">
      <alignment horizontal="center" vertical="center" wrapText="1"/>
    </xf>
    <xf numFmtId="0" fontId="51" fillId="3" borderId="9" xfId="1" applyFont="1" applyFill="1" applyBorder="1" applyAlignment="1">
      <alignment horizontal="center" vertical="center"/>
    </xf>
    <xf numFmtId="41" fontId="51" fillId="3" borderId="9" xfId="1" applyNumberFormat="1" applyFont="1" applyFill="1" applyBorder="1" applyAlignment="1">
      <alignment vertical="center" wrapText="1"/>
    </xf>
    <xf numFmtId="0" fontId="51" fillId="3" borderId="6" xfId="1" applyFont="1" applyFill="1" applyBorder="1" applyAlignment="1">
      <alignment vertical="center"/>
    </xf>
    <xf numFmtId="41" fontId="51" fillId="3" borderId="2" xfId="1" applyNumberFormat="1" applyFont="1" applyFill="1" applyBorder="1" applyAlignment="1">
      <alignment vertical="center" wrapText="1"/>
    </xf>
    <xf numFmtId="0" fontId="51" fillId="3" borderId="2" xfId="1" applyFont="1" applyFill="1" applyBorder="1" applyAlignment="1">
      <alignment vertical="center" wrapText="1"/>
    </xf>
    <xf numFmtId="0" fontId="51" fillId="3" borderId="2" xfId="1" applyFont="1" applyFill="1" applyBorder="1" applyAlignment="1">
      <alignment vertical="center"/>
    </xf>
    <xf numFmtId="0" fontId="8" fillId="0" borderId="3" xfId="1" applyFont="1" applyBorder="1" applyAlignment="1">
      <alignment vertical="center"/>
    </xf>
    <xf numFmtId="49" fontId="51" fillId="3" borderId="3" xfId="0" applyNumberFormat="1" applyFont="1" applyFill="1" applyBorder="1" applyAlignment="1">
      <alignment vertical="center"/>
    </xf>
    <xf numFmtId="0" fontId="51" fillId="2" borderId="0" xfId="0" applyFont="1" applyFill="1" applyAlignment="1">
      <alignment vertical="center" wrapText="1"/>
    </xf>
    <xf numFmtId="49" fontId="51" fillId="2" borderId="3" xfId="0" applyNumberFormat="1" applyFont="1" applyFill="1" applyBorder="1" applyAlignment="1">
      <alignment vertical="center"/>
    </xf>
    <xf numFmtId="0" fontId="51" fillId="3" borderId="3" xfId="0" applyFont="1" applyFill="1" applyBorder="1" applyAlignment="1">
      <alignment vertical="center"/>
    </xf>
    <xf numFmtId="9" fontId="51" fillId="3" borderId="3" xfId="12" applyFont="1" applyFill="1" applyBorder="1" applyAlignment="1">
      <alignment vertical="center" wrapText="1"/>
    </xf>
    <xf numFmtId="9" fontId="51" fillId="0" borderId="3" xfId="0" applyNumberFormat="1" applyFont="1" applyFill="1" applyBorder="1" applyAlignment="1">
      <alignment vertical="center" wrapText="1"/>
    </xf>
    <xf numFmtId="0" fontId="51" fillId="36" borderId="0" xfId="13" applyFont="1" applyFill="1" applyBorder="1" applyAlignment="1">
      <alignment vertical="center"/>
    </xf>
    <xf numFmtId="0" fontId="51" fillId="36" borderId="0" xfId="13" applyFont="1" applyFill="1" applyAlignment="1">
      <alignment vertical="center"/>
    </xf>
    <xf numFmtId="0" fontId="51" fillId="36" borderId="3" xfId="13" applyFont="1" applyFill="1" applyBorder="1" applyAlignment="1">
      <alignment vertical="center"/>
    </xf>
    <xf numFmtId="0" fontId="59" fillId="36" borderId="3" xfId="13" applyFont="1" applyFill="1" applyBorder="1" applyAlignment="1">
      <alignment horizontal="center" vertical="center"/>
    </xf>
    <xf numFmtId="0" fontId="49" fillId="36" borderId="3" xfId="0" applyFont="1" applyFill="1" applyBorder="1" applyAlignment="1">
      <alignment horizontal="center" vertical="center"/>
    </xf>
    <xf numFmtId="0" fontId="51" fillId="36" borderId="3" xfId="0" applyFont="1" applyFill="1" applyBorder="1" applyAlignment="1">
      <alignment horizontal="center" vertical="center"/>
    </xf>
    <xf numFmtId="185" fontId="51" fillId="36" borderId="3" xfId="13" applyNumberFormat="1" applyFont="1" applyFill="1" applyBorder="1" applyAlignment="1">
      <alignment vertical="center"/>
    </xf>
    <xf numFmtId="43" fontId="51" fillId="0" borderId="0" xfId="13" applyNumberFormat="1" applyFont="1" applyAlignment="1">
      <alignment vertical="center"/>
    </xf>
    <xf numFmtId="0" fontId="8" fillId="0" borderId="0" xfId="13" applyFont="1" applyAlignment="1">
      <alignment horizontal="center" vertical="center"/>
    </xf>
    <xf numFmtId="0" fontId="51" fillId="36" borderId="2" xfId="13" applyFont="1" applyFill="1" applyBorder="1" applyAlignment="1">
      <alignment vertical="center"/>
    </xf>
    <xf numFmtId="0" fontId="49" fillId="36" borderId="2" xfId="0" applyFont="1" applyFill="1" applyBorder="1" applyAlignment="1">
      <alignment horizontal="center" vertical="center"/>
    </xf>
    <xf numFmtId="4" fontId="37" fillId="0" borderId="0" xfId="0" applyNumberFormat="1" applyFont="1" applyBorder="1">
      <alignment vertical="center"/>
    </xf>
    <xf numFmtId="0" fontId="8" fillId="0" borderId="0" xfId="0" applyFont="1" applyFill="1" applyAlignment="1">
      <alignment horizontal="right" vertical="center"/>
    </xf>
    <xf numFmtId="43" fontId="49" fillId="10" borderId="6" xfId="0" applyNumberFormat="1" applyFont="1" applyFill="1" applyBorder="1" applyAlignment="1">
      <alignment vertical="center"/>
    </xf>
    <xf numFmtId="43" fontId="49" fillId="10" borderId="5" xfId="0" applyNumberFormat="1" applyFont="1" applyFill="1" applyBorder="1" applyAlignment="1">
      <alignment vertical="center"/>
    </xf>
    <xf numFmtId="43" fontId="49" fillId="0" borderId="26" xfId="0" applyNumberFormat="1" applyFont="1" applyFill="1" applyBorder="1" applyAlignment="1">
      <alignment vertical="center" wrapText="1"/>
    </xf>
    <xf numFmtId="41" fontId="51" fillId="0" borderId="0" xfId="0" applyNumberFormat="1" applyFont="1" applyFill="1" applyAlignment="1">
      <alignment horizontal="center" vertical="center"/>
    </xf>
    <xf numFmtId="0" fontId="8" fillId="0" borderId="0" xfId="3" applyNumberFormat="1" applyFont="1" applyFill="1" applyAlignment="1" applyProtection="1">
      <alignment horizontal="left" vertical="center" wrapText="1"/>
    </xf>
    <xf numFmtId="43" fontId="119" fillId="35" borderId="10" xfId="38" applyFont="1" applyFill="1" applyBorder="1" applyAlignment="1">
      <alignment horizontal="center" vertical="center" wrapText="1"/>
    </xf>
    <xf numFmtId="43" fontId="122" fillId="2" borderId="3" xfId="38" applyFont="1" applyFill="1" applyBorder="1" applyAlignment="1">
      <alignment vertical="center" wrapText="1"/>
    </xf>
    <xf numFmtId="43" fontId="122" fillId="0" borderId="3" xfId="38" applyFont="1" applyBorder="1" applyAlignment="1">
      <alignment vertical="center"/>
    </xf>
    <xf numFmtId="43" fontId="119" fillId="35" borderId="3" xfId="38" applyFont="1" applyFill="1" applyBorder="1" applyAlignment="1">
      <alignment horizontal="center" vertical="center" wrapText="1"/>
    </xf>
    <xf numFmtId="43" fontId="121" fillId="11" borderId="3" xfId="0" applyNumberFormat="1" applyFont="1" applyFill="1" applyBorder="1" applyAlignment="1">
      <alignment horizontal="center" vertical="center" wrapText="1"/>
    </xf>
    <xf numFmtId="43" fontId="122" fillId="2" borderId="3" xfId="38" applyFont="1" applyFill="1" applyBorder="1" applyAlignment="1">
      <alignment horizontal="center" vertical="center"/>
    </xf>
    <xf numFmtId="43" fontId="121" fillId="11" borderId="3" xfId="0" quotePrefix="1" applyNumberFormat="1" applyFont="1" applyFill="1" applyBorder="1" applyAlignment="1">
      <alignment horizontal="left" vertical="center" wrapText="1"/>
    </xf>
    <xf numFmtId="0" fontId="127" fillId="2" borderId="0" xfId="0" applyFont="1" applyFill="1">
      <alignment vertical="center"/>
    </xf>
    <xf numFmtId="43" fontId="128" fillId="2" borderId="0" xfId="0" applyNumberFormat="1" applyFont="1" applyFill="1" applyAlignment="1">
      <alignment horizontal="center" vertical="center"/>
    </xf>
    <xf numFmtId="41" fontId="51" fillId="0" borderId="0" xfId="0" applyNumberFormat="1" applyFont="1" applyFill="1" applyAlignment="1">
      <alignment horizontal="left" vertical="center" wrapText="1"/>
    </xf>
    <xf numFmtId="41" fontId="51" fillId="0" borderId="0" xfId="0" applyNumberFormat="1" applyFont="1" applyFill="1" applyAlignment="1">
      <alignment vertical="top" wrapText="1"/>
    </xf>
    <xf numFmtId="0" fontId="51" fillId="3" borderId="3" xfId="0" applyFont="1" applyFill="1" applyBorder="1" applyAlignment="1">
      <alignment horizontal="center"/>
    </xf>
    <xf numFmtId="43" fontId="122" fillId="0" borderId="3" xfId="38" applyFont="1" applyFill="1" applyBorder="1" applyAlignment="1">
      <alignment vertical="center" wrapText="1"/>
    </xf>
    <xf numFmtId="43" fontId="122" fillId="0" borderId="2" xfId="38" applyFont="1" applyFill="1" applyBorder="1" applyAlignment="1">
      <alignment horizontal="center" vertical="center"/>
    </xf>
    <xf numFmtId="43" fontId="122" fillId="3" borderId="3" xfId="38" applyFont="1" applyFill="1" applyBorder="1" applyAlignment="1">
      <alignment horizontal="center" vertical="center" wrapText="1"/>
    </xf>
    <xf numFmtId="43" fontId="122" fillId="3" borderId="2" xfId="38" applyFont="1" applyFill="1" applyBorder="1" applyAlignment="1">
      <alignment vertical="center" wrapText="1"/>
    </xf>
    <xf numFmtId="43" fontId="122" fillId="3" borderId="6" xfId="38" applyFont="1" applyFill="1" applyBorder="1" applyAlignment="1">
      <alignment vertical="center" wrapText="1"/>
    </xf>
    <xf numFmtId="0" fontId="8" fillId="3" borderId="3" xfId="0" applyFont="1" applyFill="1" applyBorder="1" applyAlignment="1">
      <alignment horizontal="left" vertical="center" wrapText="1"/>
    </xf>
    <xf numFmtId="43" fontId="122" fillId="3" borderId="3" xfId="38" applyFont="1" applyFill="1" applyBorder="1" applyAlignment="1">
      <alignment vertical="center" wrapText="1"/>
    </xf>
    <xf numFmtId="0" fontId="0" fillId="0" borderId="3" xfId="0" applyBorder="1" applyAlignment="1"/>
    <xf numFmtId="207" fontId="0" fillId="0" borderId="3" xfId="0" applyNumberFormat="1" applyBorder="1" applyAlignment="1">
      <alignment wrapText="1"/>
    </xf>
    <xf numFmtId="0" fontId="0" fillId="0" borderId="3" xfId="0" applyFont="1" applyBorder="1" applyAlignment="1"/>
    <xf numFmtId="0" fontId="0" fillId="2" borderId="3" xfId="0" applyFill="1" applyBorder="1" applyAlignment="1">
      <alignment wrapText="1"/>
    </xf>
    <xf numFmtId="0" fontId="0" fillId="2" borderId="3" xfId="0" applyFont="1" applyFill="1" applyBorder="1" applyAlignment="1"/>
    <xf numFmtId="9" fontId="0" fillId="2" borderId="3" xfId="0" applyNumberFormat="1" applyFont="1" applyFill="1" applyBorder="1" applyAlignment="1"/>
    <xf numFmtId="0" fontId="0" fillId="0" borderId="3" xfId="0" applyBorder="1" applyAlignment="1">
      <alignment wrapText="1"/>
    </xf>
    <xf numFmtId="9" fontId="0" fillId="0" borderId="3" xfId="0" applyNumberFormat="1" applyBorder="1" applyAlignment="1"/>
    <xf numFmtId="0" fontId="0" fillId="2" borderId="3" xfId="0" applyFill="1" applyBorder="1" applyAlignment="1"/>
    <xf numFmtId="9" fontId="0" fillId="2" borderId="3" xfId="0" applyNumberFormat="1" applyFill="1" applyBorder="1" applyAlignment="1"/>
    <xf numFmtId="0" fontId="130" fillId="0" borderId="3" xfId="0" applyNumberFormat="1" applyFont="1" applyFill="1" applyBorder="1" applyAlignment="1" applyProtection="1">
      <alignment horizontal="left" vertical="center" wrapText="1"/>
    </xf>
    <xf numFmtId="0" fontId="130" fillId="0" borderId="3" xfId="0" applyNumberFormat="1" applyFont="1" applyFill="1" applyBorder="1" applyAlignment="1" applyProtection="1">
      <alignment horizontal="center" vertical="center" wrapText="1"/>
    </xf>
    <xf numFmtId="9" fontId="37" fillId="0" borderId="3" xfId="0" applyNumberFormat="1" applyFont="1" applyBorder="1" applyAlignment="1"/>
    <xf numFmtId="0" fontId="4" fillId="0" borderId="3" xfId="0" applyNumberFormat="1" applyFont="1" applyFill="1" applyBorder="1" applyAlignment="1" applyProtection="1">
      <alignment horizontal="left" vertical="center" wrapText="1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8" fillId="0" borderId="3" xfId="134" applyFont="1" applyFill="1" applyBorder="1" applyAlignment="1">
      <alignment horizontal="left" vertical="center"/>
    </xf>
    <xf numFmtId="0" fontId="8" fillId="0" borderId="3" xfId="134" applyFont="1" applyFill="1" applyBorder="1" applyAlignment="1">
      <alignment horizontal="center" vertical="center"/>
    </xf>
    <xf numFmtId="0" fontId="129" fillId="0" borderId="3" xfId="0" applyFont="1" applyBorder="1" applyAlignment="1">
      <alignment horizontal="center" vertical="center"/>
    </xf>
    <xf numFmtId="207" fontId="129" fillId="0" borderId="3" xfId="0" applyNumberFormat="1" applyFont="1" applyBorder="1" applyAlignment="1">
      <alignment horizontal="center" vertical="center" wrapText="1"/>
    </xf>
    <xf numFmtId="178" fontId="49" fillId="0" borderId="20" xfId="1" applyNumberFormat="1" applyFont="1" applyFill="1" applyBorder="1" applyAlignment="1">
      <alignment horizontal="center" vertical="center"/>
    </xf>
    <xf numFmtId="0" fontId="42" fillId="8" borderId="0" xfId="1" applyFont="1" applyFill="1" applyAlignment="1">
      <alignment horizontal="left" vertical="center" wrapText="1"/>
    </xf>
    <xf numFmtId="41" fontId="18" fillId="8" borderId="0" xfId="0" applyNumberFormat="1" applyFont="1" applyFill="1" applyBorder="1" applyAlignment="1">
      <alignment horizontal="right" vertical="center" wrapText="1"/>
    </xf>
    <xf numFmtId="0" fontId="42" fillId="8" borderId="0" xfId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 wrapText="1"/>
    </xf>
    <xf numFmtId="0" fontId="126" fillId="0" borderId="0" xfId="3" applyNumberFormat="1" applyFont="1" applyFill="1" applyAlignment="1" applyProtection="1">
      <alignment vertical="center" wrapText="1"/>
    </xf>
    <xf numFmtId="0" fontId="126" fillId="0" borderId="0" xfId="3" applyNumberFormat="1" applyFont="1" applyFill="1" applyAlignment="1" applyProtection="1">
      <alignment vertical="center"/>
    </xf>
    <xf numFmtId="0" fontId="8" fillId="0" borderId="0" xfId="3" applyNumberFormat="1" applyFont="1" applyFill="1" applyAlignment="1" applyProtection="1">
      <alignment vertical="center" wrapText="1"/>
    </xf>
    <xf numFmtId="0" fontId="8" fillId="0" borderId="0" xfId="0" applyNumberFormat="1" applyFont="1" applyFill="1" applyAlignment="1">
      <alignment vertical="center" wrapText="1"/>
    </xf>
    <xf numFmtId="9" fontId="49" fillId="0" borderId="0" xfId="1" applyNumberFormat="1" applyFont="1" applyFill="1" applyAlignment="1">
      <alignment vertical="center"/>
    </xf>
    <xf numFmtId="178" fontId="49" fillId="0" borderId="0" xfId="0" applyNumberFormat="1" applyFont="1" applyFill="1" applyBorder="1" applyAlignment="1">
      <alignment vertical="center"/>
    </xf>
    <xf numFmtId="0" fontId="8" fillId="0" borderId="0" xfId="0" applyFont="1" applyFill="1" applyAlignment="1">
      <alignment vertical="center" wrapText="1"/>
    </xf>
    <xf numFmtId="49" fontId="7" fillId="0" borderId="0" xfId="0" applyNumberFormat="1" applyFont="1" applyFill="1" applyAlignment="1">
      <alignment vertical="center"/>
    </xf>
    <xf numFmtId="49" fontId="32" fillId="0" borderId="0" xfId="1" applyNumberFormat="1" applyFont="1" applyFill="1" applyAlignment="1">
      <alignment vertical="center"/>
    </xf>
    <xf numFmtId="0" fontId="129" fillId="0" borderId="0" xfId="0" applyFont="1" applyAlignment="1">
      <alignment horizontal="center" vertical="center"/>
    </xf>
    <xf numFmtId="0" fontId="129" fillId="0" borderId="0" xfId="0" applyFont="1">
      <alignment vertical="center"/>
    </xf>
    <xf numFmtId="0" fontId="8" fillId="0" borderId="0" xfId="1" applyFont="1" applyFill="1" applyAlignment="1">
      <alignment horizontal="left" vertical="center" wrapText="1"/>
    </xf>
    <xf numFmtId="43" fontId="122" fillId="3" borderId="2" xfId="38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>
      <alignment vertical="center"/>
    </xf>
    <xf numFmtId="0" fontId="129" fillId="0" borderId="47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7" fillId="0" borderId="0" xfId="135" applyFont="1" applyAlignment="1"/>
    <xf numFmtId="49" fontId="7" fillId="0" borderId="20" xfId="1" applyNumberFormat="1" applyFont="1" applyFill="1" applyBorder="1" applyAlignment="1">
      <alignment horizontal="left" vertical="center"/>
    </xf>
    <xf numFmtId="49" fontId="8" fillId="0" borderId="0" xfId="1" applyNumberFormat="1" applyFont="1" applyFill="1" applyAlignment="1">
      <alignment horizontal="right" vertical="center" wrapText="1"/>
    </xf>
    <xf numFmtId="4" fontId="104" fillId="0" borderId="0" xfId="0" applyNumberFormat="1" applyFont="1">
      <alignment vertical="center"/>
    </xf>
    <xf numFmtId="49" fontId="7" fillId="0" borderId="20" xfId="1" applyNumberFormat="1" applyFont="1" applyFill="1" applyBorder="1" applyAlignment="1">
      <alignment horizontal="right" vertical="center"/>
    </xf>
    <xf numFmtId="49" fontId="49" fillId="0" borderId="0" xfId="1" applyNumberFormat="1" applyFont="1" applyFill="1" applyAlignment="1">
      <alignment horizontal="right" vertical="center" wrapText="1"/>
    </xf>
    <xf numFmtId="0" fontId="17" fillId="0" borderId="0" xfId="135" applyFont="1" applyAlignment="1">
      <alignment horizontal="right"/>
    </xf>
    <xf numFmtId="49" fontId="63" fillId="0" borderId="0" xfId="1" applyNumberFormat="1" applyFont="1" applyFill="1" applyAlignment="1">
      <alignment horizontal="right" vertical="center" wrapText="1"/>
    </xf>
    <xf numFmtId="0" fontId="8" fillId="0" borderId="0" xfId="1" applyFont="1" applyFill="1" applyAlignment="1">
      <alignment horizontal="right" vertical="center" wrapText="1"/>
    </xf>
    <xf numFmtId="49" fontId="32" fillId="0" borderId="0" xfId="0" applyNumberFormat="1" applyFont="1" applyFill="1" applyAlignment="1">
      <alignment horizontal="right" vertical="center"/>
    </xf>
    <xf numFmtId="49" fontId="108" fillId="0" borderId="0" xfId="0" applyNumberFormat="1" applyFont="1" applyFill="1" applyAlignment="1">
      <alignment horizontal="right" vertical="center"/>
    </xf>
    <xf numFmtId="0" fontId="65" fillId="0" borderId="0" xfId="0" applyFont="1" applyFill="1" applyAlignment="1">
      <alignment horizontal="right" vertical="center"/>
    </xf>
    <xf numFmtId="49" fontId="7" fillId="0" borderId="0" xfId="0" applyNumberFormat="1" applyFont="1" applyFill="1" applyAlignment="1">
      <alignment horizontal="right" vertical="center"/>
    </xf>
    <xf numFmtId="49" fontId="63" fillId="0" borderId="0" xfId="0" applyNumberFormat="1" applyFont="1" applyFill="1" applyAlignment="1">
      <alignment horizontal="right" vertical="center"/>
    </xf>
    <xf numFmtId="49" fontId="8" fillId="0" borderId="0" xfId="1" applyNumberFormat="1" applyFont="1" applyFill="1" applyBorder="1" applyAlignment="1">
      <alignment horizontal="right" vertical="center" wrapText="1"/>
    </xf>
    <xf numFmtId="0" fontId="49" fillId="3" borderId="0" xfId="1" applyFont="1" applyFill="1" applyAlignment="1">
      <alignment vertical="center"/>
    </xf>
    <xf numFmtId="49" fontId="63" fillId="3" borderId="0" xfId="1" applyNumberFormat="1" applyFont="1" applyFill="1" applyAlignment="1">
      <alignment vertical="center"/>
    </xf>
    <xf numFmtId="49" fontId="8" fillId="3" borderId="0" xfId="1" applyNumberFormat="1" applyFont="1" applyFill="1" applyAlignment="1">
      <alignment vertical="center"/>
    </xf>
    <xf numFmtId="49" fontId="8" fillId="3" borderId="0" xfId="1" applyNumberFormat="1" applyFont="1" applyFill="1" applyAlignment="1">
      <alignment horizontal="right" vertical="center"/>
    </xf>
    <xf numFmtId="0" fontId="51" fillId="3" borderId="0" xfId="0" applyFont="1" applyFill="1" applyAlignment="1">
      <alignment vertical="center"/>
    </xf>
    <xf numFmtId="0" fontId="51" fillId="37" borderId="0" xfId="1" applyFont="1" applyFill="1" applyAlignment="1">
      <alignment vertical="center"/>
    </xf>
    <xf numFmtId="49" fontId="63" fillId="37" borderId="0" xfId="1" applyNumberFormat="1" applyFont="1" applyFill="1" applyAlignment="1">
      <alignment vertical="center"/>
    </xf>
    <xf numFmtId="49" fontId="51" fillId="37" borderId="0" xfId="1" applyNumberFormat="1" applyFont="1" applyFill="1" applyAlignment="1">
      <alignment vertical="center"/>
    </xf>
    <xf numFmtId="49" fontId="51" fillId="37" borderId="0" xfId="1" applyNumberFormat="1" applyFont="1" applyFill="1" applyAlignment="1">
      <alignment horizontal="right" vertical="center"/>
    </xf>
    <xf numFmtId="41" fontId="51" fillId="37" borderId="0" xfId="0" applyNumberFormat="1" applyFont="1" applyFill="1" applyAlignment="1">
      <alignment vertical="center"/>
    </xf>
    <xf numFmtId="178" fontId="51" fillId="37" borderId="0" xfId="0" applyNumberFormat="1" applyFont="1" applyFill="1" applyAlignment="1">
      <alignment vertical="center"/>
    </xf>
    <xf numFmtId="41" fontId="51" fillId="37" borderId="0" xfId="1" applyNumberFormat="1" applyFont="1" applyFill="1" applyAlignment="1">
      <alignment vertical="center"/>
    </xf>
    <xf numFmtId="9" fontId="51" fillId="37" borderId="0" xfId="1" applyNumberFormat="1" applyFont="1" applyFill="1" applyAlignment="1">
      <alignment vertical="center"/>
    </xf>
    <xf numFmtId="0" fontId="51" fillId="37" borderId="0" xfId="3" applyNumberFormat="1" applyFont="1" applyFill="1" applyAlignment="1" applyProtection="1">
      <alignment vertical="center" wrapText="1"/>
    </xf>
    <xf numFmtId="0" fontId="51" fillId="37" borderId="0" xfId="0" applyFont="1" applyFill="1" applyAlignment="1">
      <alignment vertical="center"/>
    </xf>
    <xf numFmtId="49" fontId="32" fillId="37" borderId="0" xfId="0" applyNumberFormat="1" applyFont="1" applyFill="1" applyAlignment="1">
      <alignment vertical="center"/>
    </xf>
    <xf numFmtId="49" fontId="32" fillId="37" borderId="0" xfId="0" applyNumberFormat="1" applyFont="1" applyFill="1" applyAlignment="1">
      <alignment horizontal="right" vertical="center"/>
    </xf>
    <xf numFmtId="43" fontId="51" fillId="37" borderId="0" xfId="0" applyNumberFormat="1" applyFont="1" applyFill="1" applyAlignment="1">
      <alignment vertical="center"/>
    </xf>
    <xf numFmtId="178" fontId="51" fillId="37" borderId="0" xfId="0" applyNumberFormat="1" applyFont="1" applyFill="1">
      <alignment vertical="center"/>
    </xf>
    <xf numFmtId="0" fontId="51" fillId="37" borderId="0" xfId="0" applyNumberFormat="1" applyFont="1" applyFill="1" applyAlignment="1">
      <alignment vertical="center" wrapText="1"/>
    </xf>
    <xf numFmtId="0" fontId="17" fillId="0" borderId="0" xfId="135" applyFont="1" applyAlignment="1">
      <alignment horizontal="left"/>
    </xf>
    <xf numFmtId="4" fontId="104" fillId="0" borderId="0" xfId="0" applyNumberFormat="1" applyFont="1" applyAlignment="1">
      <alignment horizontal="left" vertical="center"/>
    </xf>
    <xf numFmtId="49" fontId="51" fillId="0" borderId="0" xfId="1" applyNumberFormat="1" applyFont="1" applyFill="1" applyBorder="1" applyAlignment="1">
      <alignment vertical="center" wrapText="1"/>
    </xf>
    <xf numFmtId="49" fontId="51" fillId="0" borderId="0" xfId="1" applyNumberFormat="1" applyFont="1" applyFill="1" applyAlignment="1">
      <alignment vertical="center" wrapText="1"/>
    </xf>
    <xf numFmtId="49" fontId="8" fillId="0" borderId="0" xfId="1" applyNumberFormat="1" applyFont="1" applyFill="1" applyAlignment="1">
      <alignment vertical="center" wrapText="1"/>
    </xf>
    <xf numFmtId="49" fontId="8" fillId="37" borderId="0" xfId="1" applyNumberFormat="1" applyFont="1" applyFill="1" applyAlignment="1">
      <alignment horizontal="left" vertical="center" wrapText="1"/>
    </xf>
    <xf numFmtId="49" fontId="8" fillId="37" borderId="0" xfId="1" applyNumberFormat="1" applyFont="1" applyFill="1" applyAlignment="1">
      <alignment horizontal="right" vertical="center" wrapText="1"/>
    </xf>
    <xf numFmtId="49" fontId="8" fillId="37" borderId="0" xfId="1" applyNumberFormat="1" applyFont="1" applyFill="1" applyAlignment="1">
      <alignment vertical="center" wrapText="1"/>
    </xf>
    <xf numFmtId="0" fontId="0" fillId="37" borderId="0" xfId="0" applyFill="1">
      <alignment vertical="center"/>
    </xf>
    <xf numFmtId="0" fontId="17" fillId="0" borderId="0" xfId="135" applyFont="1" applyFill="1" applyAlignment="1"/>
    <xf numFmtId="0" fontId="8" fillId="0" borderId="0" xfId="3" applyNumberFormat="1" applyFont="1" applyFill="1" applyBorder="1" applyAlignment="1" applyProtection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8" fontId="49" fillId="0" borderId="20" xfId="1" applyNumberFormat="1" applyFont="1" applyFill="1" applyBorder="1" applyAlignment="1">
      <alignment horizontal="center" vertical="center"/>
    </xf>
    <xf numFmtId="178" fontId="49" fillId="0" borderId="41" xfId="1" applyNumberFormat="1" applyFont="1" applyFill="1" applyBorder="1" applyAlignment="1">
      <alignment horizontal="right" vertical="center"/>
    </xf>
    <xf numFmtId="178" fontId="49" fillId="0" borderId="0" xfId="1" applyNumberFormat="1" applyFont="1" applyFill="1" applyAlignment="1">
      <alignment horizontal="right" vertical="center"/>
    </xf>
    <xf numFmtId="178" fontId="49" fillId="0" borderId="41" xfId="1" applyNumberFormat="1" applyFont="1" applyFill="1" applyBorder="1" applyAlignment="1">
      <alignment horizontal="center" vertical="center"/>
    </xf>
    <xf numFmtId="178" fontId="49" fillId="0" borderId="0" xfId="1" applyNumberFormat="1" applyFont="1" applyFill="1" applyAlignment="1">
      <alignment horizontal="center" vertical="center"/>
    </xf>
    <xf numFmtId="178" fontId="49" fillId="0" borderId="0" xfId="1" applyNumberFormat="1" applyFont="1" applyFill="1" applyBorder="1" applyAlignment="1">
      <alignment horizontal="center" vertical="center"/>
    </xf>
    <xf numFmtId="0" fontId="107" fillId="0" borderId="1" xfId="0" applyFont="1" applyBorder="1" applyAlignment="1">
      <alignment horizontal="center" vertical="center" wrapText="1"/>
    </xf>
    <xf numFmtId="0" fontId="107" fillId="0" borderId="9" xfId="0" applyFont="1" applyBorder="1" applyAlignment="1">
      <alignment horizontal="center" vertical="center" wrapText="1"/>
    </xf>
    <xf numFmtId="0" fontId="107" fillId="3" borderId="13" xfId="0" applyFont="1" applyFill="1" applyBorder="1" applyAlignment="1">
      <alignment horizontal="left" vertical="center"/>
    </xf>
    <xf numFmtId="0" fontId="107" fillId="0" borderId="7" xfId="0" applyFont="1" applyBorder="1" applyAlignment="1">
      <alignment horizontal="center" vertical="center" wrapText="1"/>
    </xf>
    <xf numFmtId="0" fontId="107" fillId="0" borderId="1" xfId="0" applyFont="1" applyBorder="1" applyAlignment="1">
      <alignment horizontal="center" vertical="center"/>
    </xf>
    <xf numFmtId="0" fontId="107" fillId="0" borderId="7" xfId="0" applyFont="1" applyBorder="1" applyAlignment="1">
      <alignment horizontal="center" vertical="center"/>
    </xf>
    <xf numFmtId="0" fontId="107" fillId="0" borderId="9" xfId="0" applyFont="1" applyBorder="1" applyAlignment="1">
      <alignment horizontal="center" vertical="center"/>
    </xf>
    <xf numFmtId="0" fontId="107" fillId="0" borderId="1" xfId="0" applyFont="1" applyFill="1" applyBorder="1" applyAlignment="1">
      <alignment horizontal="center" vertical="center" wrapText="1"/>
    </xf>
    <xf numFmtId="0" fontId="107" fillId="0" borderId="7" xfId="0" applyFont="1" applyFill="1" applyBorder="1" applyAlignment="1">
      <alignment horizontal="center" vertical="center" wrapText="1"/>
    </xf>
    <xf numFmtId="0" fontId="107" fillId="0" borderId="9" xfId="0" applyFont="1" applyFill="1" applyBorder="1" applyAlignment="1">
      <alignment horizontal="center" vertical="center" wrapText="1"/>
    </xf>
    <xf numFmtId="0" fontId="49" fillId="0" borderId="0" xfId="0" applyFont="1" applyFill="1" applyAlignment="1">
      <alignment horizontal="center" vertical="center"/>
    </xf>
    <xf numFmtId="43" fontId="51" fillId="0" borderId="6" xfId="0" applyNumberFormat="1" applyFont="1" applyFill="1" applyBorder="1" applyAlignment="1">
      <alignment horizontal="center" vertical="center" wrapText="1"/>
    </xf>
    <xf numFmtId="43" fontId="51" fillId="0" borderId="5" xfId="0" applyNumberFormat="1" applyFont="1" applyFill="1" applyBorder="1" applyAlignment="1">
      <alignment horizontal="center" vertical="center" wrapText="1"/>
    </xf>
    <xf numFmtId="43" fontId="51" fillId="0" borderId="2" xfId="0" applyNumberFormat="1" applyFont="1" applyFill="1" applyBorder="1" applyAlignment="1">
      <alignment horizontal="center" vertical="center" wrapText="1"/>
    </xf>
    <xf numFmtId="43" fontId="51" fillId="0" borderId="37" xfId="0" applyNumberFormat="1" applyFont="1" applyFill="1" applyBorder="1" applyAlignment="1">
      <alignment horizontal="center" vertical="center" wrapText="1"/>
    </xf>
    <xf numFmtId="43" fontId="51" fillId="0" borderId="39" xfId="0" applyNumberFormat="1" applyFont="1" applyFill="1" applyBorder="1" applyAlignment="1">
      <alignment horizontal="center" vertical="center" wrapText="1"/>
    </xf>
    <xf numFmtId="0" fontId="51" fillId="0" borderId="1" xfId="0" applyFont="1" applyFill="1" applyBorder="1" applyAlignment="1">
      <alignment horizontal="center" vertical="center" wrapText="1"/>
    </xf>
    <xf numFmtId="0" fontId="51" fillId="0" borderId="7" xfId="0" applyFont="1" applyFill="1" applyBorder="1" applyAlignment="1">
      <alignment horizontal="center" vertical="center" wrapText="1"/>
    </xf>
    <xf numFmtId="0" fontId="51" fillId="0" borderId="9" xfId="0" applyFont="1" applyFill="1" applyBorder="1" applyAlignment="1">
      <alignment horizontal="center" vertical="center" wrapText="1"/>
    </xf>
    <xf numFmtId="0" fontId="51" fillId="0" borderId="1" xfId="0" applyFont="1" applyFill="1" applyBorder="1" applyAlignment="1">
      <alignment vertical="center" wrapText="1"/>
    </xf>
    <xf numFmtId="0" fontId="51" fillId="0" borderId="7" xfId="0" applyFont="1" applyFill="1" applyBorder="1" applyAlignment="1">
      <alignment vertical="center" wrapText="1"/>
    </xf>
    <xf numFmtId="0" fontId="51" fillId="0" borderId="9" xfId="0" applyFont="1" applyFill="1" applyBorder="1" applyAlignment="1">
      <alignment vertical="center" wrapText="1"/>
    </xf>
    <xf numFmtId="49" fontId="51" fillId="0" borderId="1" xfId="0" applyNumberFormat="1" applyFont="1" applyFill="1" applyBorder="1" applyAlignment="1">
      <alignment vertical="center"/>
    </xf>
    <xf numFmtId="49" fontId="51" fillId="0" borderId="7" xfId="0" applyNumberFormat="1" applyFont="1" applyFill="1" applyBorder="1" applyAlignment="1">
      <alignment vertical="center"/>
    </xf>
    <xf numFmtId="49" fontId="51" fillId="3" borderId="1" xfId="0" applyNumberFormat="1" applyFont="1" applyFill="1" applyBorder="1" applyAlignment="1">
      <alignment vertical="center"/>
    </xf>
    <xf numFmtId="49" fontId="51" fillId="3" borderId="9" xfId="0" applyNumberFormat="1" applyFont="1" applyFill="1" applyBorder="1" applyAlignment="1">
      <alignment vertical="center"/>
    </xf>
    <xf numFmtId="0" fontId="51" fillId="0" borderId="4" xfId="0" applyFont="1" applyFill="1" applyBorder="1" applyAlignment="1">
      <alignment horizontal="left" vertical="center" wrapText="1"/>
    </xf>
    <xf numFmtId="49" fontId="51" fillId="0" borderId="9" xfId="0" applyNumberFormat="1" applyFont="1" applyFill="1" applyBorder="1" applyAlignment="1">
      <alignment vertical="center"/>
    </xf>
    <xf numFmtId="0" fontId="7" fillId="11" borderId="3" xfId="0" applyFont="1" applyFill="1" applyBorder="1" applyAlignment="1">
      <alignment horizontal="center" vertical="center"/>
    </xf>
    <xf numFmtId="0" fontId="121" fillId="11" borderId="3" xfId="0" applyFont="1" applyFill="1" applyBorder="1" applyAlignment="1">
      <alignment horizontal="center" vertical="center"/>
    </xf>
    <xf numFmtId="0" fontId="114" fillId="2" borderId="0" xfId="0" applyFont="1" applyFill="1" applyAlignment="1">
      <alignment horizontal="center" vertical="center"/>
    </xf>
    <xf numFmtId="0" fontId="119" fillId="35" borderId="8" xfId="0" applyFont="1" applyFill="1" applyBorder="1" applyAlignment="1">
      <alignment horizontal="center" vertical="center" wrapText="1"/>
    </xf>
    <xf numFmtId="0" fontId="119" fillId="35" borderId="10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121" fillId="2" borderId="3" xfId="0" applyFont="1" applyFill="1" applyBorder="1" applyAlignment="1">
      <alignment horizontal="center" vertical="center" wrapText="1"/>
    </xf>
    <xf numFmtId="207" fontId="0" fillId="0" borderId="1" xfId="0" applyNumberFormat="1" applyBorder="1" applyAlignment="1">
      <alignment horizontal="center" vertical="center" wrapText="1"/>
    </xf>
    <xf numFmtId="207" fontId="0" fillId="0" borderId="7" xfId="0" applyNumberFormat="1" applyBorder="1" applyAlignment="1">
      <alignment horizontal="center" vertical="center" wrapText="1"/>
    </xf>
    <xf numFmtId="207" fontId="0" fillId="0" borderId="9" xfId="0" applyNumberFormat="1" applyBorder="1" applyAlignment="1">
      <alignment horizontal="center" vertical="center" wrapText="1"/>
    </xf>
    <xf numFmtId="43" fontId="122" fillId="2" borderId="1" xfId="38" applyFont="1" applyFill="1" applyBorder="1" applyAlignment="1">
      <alignment horizontal="center" vertical="center" wrapText="1"/>
    </xf>
    <xf numFmtId="43" fontId="122" fillId="2" borderId="9" xfId="38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122" fillId="2" borderId="9" xfId="0" applyFont="1" applyFill="1" applyBorder="1" applyAlignment="1">
      <alignment horizontal="left" vertical="center" wrapText="1"/>
    </xf>
    <xf numFmtId="0" fontId="121" fillId="2" borderId="7" xfId="0" applyFont="1" applyFill="1" applyBorder="1" applyAlignment="1">
      <alignment horizontal="center" vertical="center" wrapText="1"/>
    </xf>
    <xf numFmtId="43" fontId="122" fillId="2" borderId="3" xfId="38" applyFont="1" applyFill="1" applyBorder="1" applyAlignment="1">
      <alignment horizontal="center" vertical="center" wrapText="1"/>
    </xf>
    <xf numFmtId="43" fontId="122" fillId="2" borderId="10" xfId="38" applyFont="1" applyFill="1" applyBorder="1" applyAlignment="1">
      <alignment horizontal="center" vertical="center" wrapText="1"/>
    </xf>
    <xf numFmtId="43" fontId="122" fillId="2" borderId="14" xfId="38" applyFont="1" applyFill="1" applyBorder="1" applyAlignment="1">
      <alignment horizontal="center" vertical="center" wrapText="1"/>
    </xf>
    <xf numFmtId="0" fontId="51" fillId="0" borderId="6" xfId="0" applyFont="1" applyFill="1" applyBorder="1" applyAlignment="1">
      <alignment horizontal="center" vertical="center" wrapText="1"/>
    </xf>
    <xf numFmtId="0" fontId="51" fillId="0" borderId="5" xfId="0" applyFont="1" applyFill="1" applyBorder="1" applyAlignment="1">
      <alignment horizontal="center" vertical="center" wrapText="1"/>
    </xf>
    <xf numFmtId="0" fontId="51" fillId="0" borderId="2" xfId="0" applyFont="1" applyFill="1" applyBorder="1" applyAlignment="1">
      <alignment horizontal="center" vertical="center" wrapText="1"/>
    </xf>
    <xf numFmtId="9" fontId="51" fillId="0" borderId="6" xfId="12" applyFont="1" applyFill="1" applyBorder="1" applyAlignment="1">
      <alignment horizontal="center" vertical="center" wrapText="1"/>
    </xf>
    <xf numFmtId="9" fontId="51" fillId="0" borderId="5" xfId="12" applyFont="1" applyFill="1" applyBorder="1" applyAlignment="1">
      <alignment horizontal="center" vertical="center" wrapText="1"/>
    </xf>
    <xf numFmtId="9" fontId="51" fillId="0" borderId="2" xfId="12" applyFont="1" applyFill="1" applyBorder="1" applyAlignment="1">
      <alignment horizontal="center" vertical="center" wrapText="1"/>
    </xf>
    <xf numFmtId="0" fontId="51" fillId="0" borderId="1" xfId="0" applyFont="1" applyFill="1" applyBorder="1" applyAlignment="1">
      <alignment horizontal="center" vertical="center"/>
    </xf>
    <xf numFmtId="0" fontId="51" fillId="0" borderId="9" xfId="0" applyFont="1" applyFill="1" applyBorder="1" applyAlignment="1">
      <alignment horizontal="center" vertical="center"/>
    </xf>
    <xf numFmtId="43" fontId="125" fillId="0" borderId="4" xfId="0" applyNumberFormat="1" applyFont="1" applyFill="1" applyBorder="1" applyAlignment="1">
      <alignment horizontal="left" vertical="center" wrapText="1"/>
    </xf>
    <xf numFmtId="43" fontId="125" fillId="0" borderId="0" xfId="0" applyNumberFormat="1" applyFont="1" applyFill="1" applyBorder="1" applyAlignment="1">
      <alignment horizontal="left" vertical="center" wrapText="1"/>
    </xf>
    <xf numFmtId="0" fontId="49" fillId="0" borderId="0" xfId="1" applyFont="1" applyAlignment="1">
      <alignment horizontal="center" vertical="center"/>
    </xf>
    <xf numFmtId="0" fontId="51" fillId="0" borderId="1" xfId="1" applyFont="1" applyBorder="1" applyAlignment="1">
      <alignment horizontal="center" vertical="center" wrapText="1"/>
    </xf>
    <xf numFmtId="0" fontId="51" fillId="0" borderId="7" xfId="1" applyFont="1" applyBorder="1" applyAlignment="1">
      <alignment horizontal="center" vertical="center" wrapText="1"/>
    </xf>
    <xf numFmtId="0" fontId="51" fillId="0" borderId="9" xfId="1" applyFont="1" applyBorder="1" applyAlignment="1">
      <alignment horizontal="center" vertical="center" wrapText="1"/>
    </xf>
    <xf numFmtId="0" fontId="51" fillId="0" borderId="6" xfId="1" applyFont="1" applyBorder="1" applyAlignment="1">
      <alignment horizontal="center" vertical="center" wrapText="1"/>
    </xf>
    <xf numFmtId="0" fontId="51" fillId="0" borderId="2" xfId="1" applyFont="1" applyBorder="1" applyAlignment="1">
      <alignment horizontal="center" vertical="center" wrapText="1"/>
    </xf>
    <xf numFmtId="0" fontId="49" fillId="3" borderId="0" xfId="1" applyFont="1" applyFill="1" applyAlignment="1">
      <alignment horizontal="center" vertical="center"/>
    </xf>
    <xf numFmtId="0" fontId="51" fillId="3" borderId="1" xfId="1" applyFont="1" applyFill="1" applyBorder="1" applyAlignment="1">
      <alignment horizontal="center" vertical="center" wrapText="1"/>
    </xf>
    <xf numFmtId="0" fontId="51" fillId="3" borderId="7" xfId="1" applyFont="1" applyFill="1" applyBorder="1" applyAlignment="1">
      <alignment horizontal="center" vertical="center" wrapText="1"/>
    </xf>
    <xf numFmtId="0" fontId="51" fillId="3" borderId="9" xfId="1" applyFont="1" applyFill="1" applyBorder="1" applyAlignment="1">
      <alignment horizontal="center" vertical="center" wrapText="1"/>
    </xf>
    <xf numFmtId="0" fontId="51" fillId="3" borderId="6" xfId="1" applyFont="1" applyFill="1" applyBorder="1" applyAlignment="1">
      <alignment horizontal="center" vertical="center" wrapText="1"/>
    </xf>
    <xf numFmtId="0" fontId="51" fillId="3" borderId="2" xfId="1" applyFont="1" applyFill="1" applyBorder="1" applyAlignment="1">
      <alignment horizontal="center" vertical="center" wrapText="1"/>
    </xf>
    <xf numFmtId="0" fontId="49" fillId="0" borderId="0" xfId="1" applyFont="1" applyBorder="1" applyAlignment="1">
      <alignment horizontal="center" vertical="center"/>
    </xf>
    <xf numFmtId="0" fontId="49" fillId="3" borderId="0" xfId="1" applyFont="1" applyFill="1" applyBorder="1" applyAlignment="1">
      <alignment horizontal="center" vertical="center"/>
    </xf>
    <xf numFmtId="49" fontId="51" fillId="0" borderId="1" xfId="0" applyNumberFormat="1" applyFont="1" applyBorder="1" applyAlignment="1">
      <alignment horizontal="center" vertical="center" wrapText="1"/>
    </xf>
    <xf numFmtId="49" fontId="51" fillId="0" borderId="9" xfId="0" applyNumberFormat="1" applyFont="1" applyBorder="1" applyAlignment="1">
      <alignment horizontal="center" vertical="center" wrapText="1"/>
    </xf>
    <xf numFmtId="0" fontId="53" fillId="0" borderId="37" xfId="0" applyFont="1" applyBorder="1" applyAlignment="1">
      <alignment horizontal="center" vertical="center"/>
    </xf>
    <xf numFmtId="0" fontId="53" fillId="0" borderId="38" xfId="0" applyFont="1" applyBorder="1" applyAlignment="1">
      <alignment horizontal="center" vertical="center"/>
    </xf>
    <xf numFmtId="0" fontId="53" fillId="0" borderId="39" xfId="0" applyFont="1" applyBorder="1" applyAlignment="1">
      <alignment horizontal="center" vertical="center"/>
    </xf>
    <xf numFmtId="41" fontId="51" fillId="0" borderId="1" xfId="0" applyNumberFormat="1" applyFont="1" applyBorder="1" applyAlignment="1">
      <alignment horizontal="center" vertical="center"/>
    </xf>
    <xf numFmtId="41" fontId="51" fillId="0" borderId="9" xfId="0" applyNumberFormat="1" applyFont="1" applyBorder="1" applyAlignment="1">
      <alignment horizontal="center" vertical="center"/>
    </xf>
    <xf numFmtId="43" fontId="51" fillId="0" borderId="1" xfId="0" applyNumberFormat="1" applyFont="1" applyBorder="1" applyAlignment="1">
      <alignment horizontal="center" vertical="center"/>
    </xf>
    <xf numFmtId="43" fontId="51" fillId="0" borderId="9" xfId="0" applyNumberFormat="1" applyFont="1" applyBorder="1" applyAlignment="1">
      <alignment horizontal="center" vertical="center"/>
    </xf>
    <xf numFmtId="9" fontId="51" fillId="0" borderId="3" xfId="0" applyNumberFormat="1" applyFont="1" applyBorder="1" applyAlignment="1">
      <alignment horizontal="center" vertical="center"/>
    </xf>
    <xf numFmtId="49" fontId="51" fillId="0" borderId="3" xfId="0" applyNumberFormat="1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/>
    </xf>
    <xf numFmtId="0" fontId="53" fillId="2" borderId="3" xfId="0" applyFont="1" applyFill="1" applyBorder="1" applyAlignment="1">
      <alignment horizontal="center" vertical="center"/>
    </xf>
    <xf numFmtId="43" fontId="51" fillId="0" borderId="3" xfId="0" applyNumberFormat="1" applyFont="1" applyBorder="1" applyAlignment="1">
      <alignment horizontal="center" vertical="center"/>
    </xf>
    <xf numFmtId="9" fontId="51" fillId="0" borderId="11" xfId="0" applyNumberFormat="1" applyFont="1" applyBorder="1" applyAlignment="1">
      <alignment horizontal="center" vertical="center"/>
    </xf>
    <xf numFmtId="9" fontId="51" fillId="0" borderId="13" xfId="0" applyNumberFormat="1" applyFont="1" applyBorder="1" applyAlignment="1">
      <alignment horizontal="center" vertical="center"/>
    </xf>
    <xf numFmtId="9" fontId="51" fillId="0" borderId="14" xfId="0" applyNumberFormat="1" applyFont="1" applyBorder="1" applyAlignment="1">
      <alignment horizontal="center" vertical="center"/>
    </xf>
    <xf numFmtId="43" fontId="51" fillId="0" borderId="28" xfId="0" applyNumberFormat="1" applyFont="1" applyBorder="1" applyAlignment="1">
      <alignment vertical="center"/>
    </xf>
    <xf numFmtId="43" fontId="51" fillId="0" borderId="30" xfId="0" applyNumberFormat="1" applyFont="1" applyBorder="1" applyAlignment="1">
      <alignment vertical="center"/>
    </xf>
    <xf numFmtId="43" fontId="51" fillId="0" borderId="27" xfId="0" applyNumberFormat="1" applyFont="1" applyBorder="1" applyAlignment="1">
      <alignment vertical="center"/>
    </xf>
    <xf numFmtId="43" fontId="51" fillId="0" borderId="28" xfId="0" applyNumberFormat="1" applyFont="1" applyBorder="1" applyAlignment="1">
      <alignment horizontal="center" vertical="center"/>
    </xf>
    <xf numFmtId="43" fontId="51" fillId="0" borderId="30" xfId="0" applyNumberFormat="1" applyFont="1" applyBorder="1" applyAlignment="1">
      <alignment horizontal="center" vertical="center"/>
    </xf>
    <xf numFmtId="43" fontId="51" fillId="0" borderId="27" xfId="0" applyNumberFormat="1" applyFont="1" applyBorder="1" applyAlignment="1">
      <alignment horizontal="center" vertical="center"/>
    </xf>
    <xf numFmtId="0" fontId="11" fillId="2" borderId="37" xfId="0" applyFont="1" applyFill="1" applyBorder="1" applyAlignment="1">
      <alignment horizontal="center" vertical="center"/>
    </xf>
    <xf numFmtId="0" fontId="53" fillId="2" borderId="38" xfId="0" applyFont="1" applyFill="1" applyBorder="1" applyAlignment="1">
      <alignment horizontal="center" vertical="center"/>
    </xf>
    <xf numFmtId="0" fontId="53" fillId="2" borderId="39" xfId="0" applyFont="1" applyFill="1" applyBorder="1" applyAlignment="1">
      <alignment horizontal="center" vertical="center"/>
    </xf>
    <xf numFmtId="0" fontId="11" fillId="2" borderId="38" xfId="0" applyFont="1" applyFill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9" fontId="51" fillId="0" borderId="6" xfId="0" applyNumberFormat="1" applyFont="1" applyBorder="1" applyAlignment="1">
      <alignment horizontal="center" vertical="center"/>
    </xf>
    <xf numFmtId="9" fontId="51" fillId="0" borderId="5" xfId="0" applyNumberFormat="1" applyFont="1" applyBorder="1" applyAlignment="1">
      <alignment horizontal="center" vertical="center"/>
    </xf>
    <xf numFmtId="9" fontId="51" fillId="0" borderId="2" xfId="0" applyNumberFormat="1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53" fillId="2" borderId="37" xfId="0" applyFont="1" applyFill="1" applyBorder="1" applyAlignment="1">
      <alignment horizontal="center" vertical="center"/>
    </xf>
    <xf numFmtId="0" fontId="51" fillId="2" borderId="6" xfId="0" applyNumberFormat="1" applyFont="1" applyFill="1" applyBorder="1" applyAlignment="1">
      <alignment horizontal="center" vertical="center"/>
    </xf>
    <xf numFmtId="0" fontId="51" fillId="2" borderId="2" xfId="0" applyNumberFormat="1" applyFont="1" applyFill="1" applyBorder="1" applyAlignment="1">
      <alignment horizontal="center" vertical="center"/>
    </xf>
    <xf numFmtId="10" fontId="51" fillId="2" borderId="6" xfId="0" applyNumberFormat="1" applyFont="1" applyFill="1" applyBorder="1" applyAlignment="1">
      <alignment horizontal="center" vertical="center"/>
    </xf>
    <xf numFmtId="10" fontId="51" fillId="2" borderId="2" xfId="0" applyNumberFormat="1" applyFont="1" applyFill="1" applyBorder="1" applyAlignment="1">
      <alignment horizontal="center" vertical="center"/>
    </xf>
    <xf numFmtId="10" fontId="51" fillId="2" borderId="5" xfId="0" applyNumberFormat="1" applyFont="1" applyFill="1" applyBorder="1" applyAlignment="1">
      <alignment horizontal="center" vertical="center"/>
    </xf>
    <xf numFmtId="0" fontId="54" fillId="0" borderId="0" xfId="0" applyFont="1" applyFill="1" applyBorder="1" applyAlignment="1">
      <alignment horizontal="center" vertical="center"/>
    </xf>
    <xf numFmtId="9" fontId="51" fillId="0" borderId="36" xfId="0" applyNumberFormat="1" applyFont="1" applyBorder="1" applyAlignment="1">
      <alignment horizontal="center" vertical="center"/>
    </xf>
    <xf numFmtId="189" fontId="53" fillId="0" borderId="6" xfId="0" applyNumberFormat="1" applyFont="1" applyFill="1" applyBorder="1" applyAlignment="1">
      <alignment horizontal="center" vertical="center"/>
    </xf>
    <xf numFmtId="189" fontId="53" fillId="0" borderId="2" xfId="0" applyNumberFormat="1" applyFont="1" applyFill="1" applyBorder="1" applyAlignment="1">
      <alignment horizontal="center" vertical="center"/>
    </xf>
    <xf numFmtId="0" fontId="54" fillId="0" borderId="1" xfId="0" applyFont="1" applyFill="1" applyBorder="1" applyAlignment="1">
      <alignment horizontal="center" vertical="center"/>
    </xf>
    <xf numFmtId="0" fontId="54" fillId="0" borderId="9" xfId="0" applyFont="1" applyFill="1" applyBorder="1" applyAlignment="1">
      <alignment horizontal="center" vertical="center"/>
    </xf>
    <xf numFmtId="0" fontId="54" fillId="0" borderId="3" xfId="0" applyFont="1" applyFill="1" applyBorder="1" applyAlignment="1">
      <alignment horizontal="center" vertical="center"/>
    </xf>
    <xf numFmtId="43" fontId="55" fillId="10" borderId="6" xfId="0" applyNumberFormat="1" applyFont="1" applyFill="1" applyBorder="1" applyAlignment="1">
      <alignment horizontal="center" vertical="center"/>
    </xf>
    <xf numFmtId="43" fontId="55" fillId="10" borderId="5" xfId="0" applyNumberFormat="1" applyFont="1" applyFill="1" applyBorder="1" applyAlignment="1">
      <alignment horizontal="center" vertical="center"/>
    </xf>
    <xf numFmtId="43" fontId="55" fillId="10" borderId="2" xfId="0" applyNumberFormat="1" applyFont="1" applyFill="1" applyBorder="1" applyAlignment="1">
      <alignment horizontal="center" vertical="center"/>
    </xf>
    <xf numFmtId="43" fontId="55" fillId="0" borderId="0" xfId="0" applyNumberFormat="1" applyFont="1" applyFill="1" applyBorder="1" applyAlignment="1">
      <alignment horizontal="center" vertical="center"/>
    </xf>
    <xf numFmtId="9" fontId="50" fillId="0" borderId="3" xfId="0" applyNumberFormat="1" applyFont="1" applyBorder="1" applyAlignment="1">
      <alignment horizontal="center" vertical="center"/>
    </xf>
    <xf numFmtId="9" fontId="50" fillId="0" borderId="0" xfId="0" applyNumberFormat="1" applyFont="1" applyBorder="1" applyAlignment="1">
      <alignment horizontal="center" vertical="center"/>
    </xf>
    <xf numFmtId="0" fontId="54" fillId="15" borderId="1" xfId="0" applyFont="1" applyFill="1" applyBorder="1" applyAlignment="1">
      <alignment horizontal="center" vertical="center"/>
    </xf>
    <xf numFmtId="0" fontId="54" fillId="15" borderId="9" xfId="0" applyFont="1" applyFill="1" applyBorder="1" applyAlignment="1">
      <alignment horizontal="center" vertical="center"/>
    </xf>
    <xf numFmtId="0" fontId="54" fillId="15" borderId="3" xfId="0" applyFont="1" applyFill="1" applyBorder="1" applyAlignment="1">
      <alignment horizontal="center" vertical="center"/>
    </xf>
    <xf numFmtId="9" fontId="50" fillId="15" borderId="3" xfId="0" applyNumberFormat="1" applyFont="1" applyFill="1" applyBorder="1" applyAlignment="1">
      <alignment horizontal="center" vertical="center"/>
    </xf>
    <xf numFmtId="0" fontId="54" fillId="15" borderId="10" xfId="0" applyFont="1" applyFill="1" applyBorder="1" applyAlignment="1">
      <alignment horizontal="center" vertical="center"/>
    </xf>
    <xf numFmtId="0" fontId="54" fillId="15" borderId="14" xfId="0" applyFont="1" applyFill="1" applyBorder="1" applyAlignment="1">
      <alignment horizontal="center" vertical="center"/>
    </xf>
    <xf numFmtId="0" fontId="62" fillId="0" borderId="8" xfId="1" applyFont="1" applyBorder="1" applyAlignment="1">
      <alignment horizontal="center" vertical="center"/>
    </xf>
    <xf numFmtId="0" fontId="62" fillId="0" borderId="12" xfId="1" applyFont="1" applyBorder="1" applyAlignment="1">
      <alignment horizontal="center" vertical="center"/>
    </xf>
    <xf numFmtId="0" fontId="62" fillId="0" borderId="10" xfId="1" applyFont="1" applyBorder="1" applyAlignment="1">
      <alignment horizontal="center" vertical="center"/>
    </xf>
    <xf numFmtId="0" fontId="51" fillId="0" borderId="1" xfId="11" applyFont="1" applyBorder="1" applyAlignment="1">
      <alignment horizontal="center" vertical="center" wrapText="1"/>
    </xf>
    <xf numFmtId="0" fontId="51" fillId="0" borderId="7" xfId="11" applyFont="1" applyBorder="1" applyAlignment="1">
      <alignment horizontal="center" vertical="center" wrapText="1"/>
    </xf>
    <xf numFmtId="0" fontId="51" fillId="0" borderId="9" xfId="11" applyFont="1" applyBorder="1" applyAlignment="1">
      <alignment horizontal="center" vertical="center" wrapText="1"/>
    </xf>
    <xf numFmtId="0" fontId="51" fillId="0" borderId="7" xfId="11" applyFont="1" applyBorder="1" applyAlignment="1">
      <alignment horizontal="center" vertical="center"/>
    </xf>
    <xf numFmtId="0" fontId="51" fillId="0" borderId="9" xfId="11" applyFont="1" applyBorder="1" applyAlignment="1">
      <alignment horizontal="center" vertical="center"/>
    </xf>
    <xf numFmtId="0" fontId="51" fillId="0" borderId="3" xfId="11" applyFont="1" applyBorder="1" applyAlignment="1">
      <alignment horizontal="center" vertical="center"/>
    </xf>
    <xf numFmtId="0" fontId="51" fillId="0" borderId="1" xfId="18" applyFont="1" applyFill="1" applyBorder="1" applyAlignment="1" applyProtection="1">
      <alignment vertical="center" wrapText="1"/>
    </xf>
    <xf numFmtId="0" fontId="51" fillId="0" borderId="7" xfId="18" applyFont="1" applyFill="1" applyBorder="1" applyAlignment="1" applyProtection="1">
      <alignment vertical="center"/>
    </xf>
    <xf numFmtId="0" fontId="51" fillId="0" borderId="9" xfId="18" applyFont="1" applyFill="1" applyBorder="1" applyAlignment="1" applyProtection="1">
      <alignment vertical="center"/>
    </xf>
    <xf numFmtId="0" fontId="49" fillId="2" borderId="3" xfId="18" applyFont="1" applyFill="1" applyBorder="1" applyAlignment="1" applyProtection="1">
      <alignment horizontal="center" vertical="center"/>
    </xf>
    <xf numFmtId="0" fontId="51" fillId="31" borderId="1" xfId="18" applyFont="1" applyFill="1" applyBorder="1" applyAlignment="1" applyProtection="1">
      <alignment horizontal="center"/>
    </xf>
    <xf numFmtId="0" fontId="51" fillId="31" borderId="9" xfId="18" applyFont="1" applyFill="1" applyBorder="1" applyAlignment="1" applyProtection="1">
      <alignment horizontal="center"/>
    </xf>
    <xf numFmtId="0" fontId="51" fillId="0" borderId="1" xfId="18" applyFont="1" applyFill="1" applyBorder="1" applyAlignment="1" applyProtection="1">
      <alignment horizontal="center"/>
    </xf>
    <xf numFmtId="0" fontId="51" fillId="0" borderId="9" xfId="18" applyFont="1" applyFill="1" applyBorder="1" applyAlignment="1" applyProtection="1">
      <alignment horizontal="center"/>
    </xf>
    <xf numFmtId="0" fontId="8" fillId="32" borderId="1" xfId="18" applyFont="1" applyFill="1" applyBorder="1" applyAlignment="1" applyProtection="1">
      <alignment horizontal="center"/>
    </xf>
    <xf numFmtId="0" fontId="8" fillId="32" borderId="9" xfId="18" applyFont="1" applyFill="1" applyBorder="1" applyAlignment="1" applyProtection="1">
      <alignment horizontal="center"/>
    </xf>
    <xf numFmtId="0" fontId="8" fillId="33" borderId="1" xfId="18" applyFont="1" applyFill="1" applyBorder="1" applyAlignment="1" applyProtection="1">
      <alignment horizontal="center"/>
    </xf>
    <xf numFmtId="0" fontId="8" fillId="33" borderId="9" xfId="18" applyFont="1" applyFill="1" applyBorder="1" applyAlignment="1" applyProtection="1">
      <alignment horizontal="center"/>
    </xf>
    <xf numFmtId="0" fontId="8" fillId="34" borderId="1" xfId="18" applyFont="1" applyFill="1" applyBorder="1" applyAlignment="1" applyProtection="1">
      <alignment horizontal="center"/>
    </xf>
    <xf numFmtId="0" fontId="8" fillId="34" borderId="9" xfId="18" applyFont="1" applyFill="1" applyBorder="1" applyAlignment="1" applyProtection="1">
      <alignment horizontal="center"/>
    </xf>
    <xf numFmtId="0" fontId="8" fillId="0" borderId="1" xfId="18" applyFont="1" applyFill="1" applyBorder="1" applyAlignment="1" applyProtection="1">
      <alignment horizontal="center"/>
    </xf>
    <xf numFmtId="0" fontId="8" fillId="0" borderId="9" xfId="18" applyFont="1" applyFill="1" applyBorder="1" applyAlignment="1" applyProtection="1">
      <alignment horizontal="center"/>
    </xf>
    <xf numFmtId="9" fontId="49" fillId="2" borderId="3" xfId="18" applyNumberFormat="1" applyFont="1" applyFill="1" applyBorder="1" applyAlignment="1" applyProtection="1">
      <alignment horizontal="center" vertical="center"/>
    </xf>
    <xf numFmtId="0" fontId="22" fillId="0" borderId="3" xfId="0" applyFont="1" applyFill="1" applyBorder="1" applyAlignment="1">
      <alignment horizontal="center" vertical="center" wrapText="1"/>
    </xf>
    <xf numFmtId="186" fontId="22" fillId="0" borderId="1" xfId="0" applyNumberFormat="1" applyFont="1" applyFill="1" applyBorder="1" applyAlignment="1">
      <alignment horizontal="center" vertical="center" wrapText="1"/>
    </xf>
    <xf numFmtId="186" fontId="22" fillId="0" borderId="9" xfId="0" applyNumberFormat="1" applyFont="1" applyFill="1" applyBorder="1" applyAlignment="1">
      <alignment horizontal="center" vertical="center" wrapText="1"/>
    </xf>
    <xf numFmtId="0" fontId="22" fillId="2" borderId="3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 wrapText="1"/>
    </xf>
    <xf numFmtId="0" fontId="49" fillId="2" borderId="3" xfId="0" applyFont="1" applyFill="1" applyBorder="1" applyAlignment="1">
      <alignment horizontal="center" vertical="center" wrapText="1"/>
    </xf>
    <xf numFmtId="186" fontId="49" fillId="2" borderId="1" xfId="0" applyNumberFormat="1" applyFont="1" applyFill="1" applyBorder="1" applyAlignment="1">
      <alignment horizontal="center" vertical="center" wrapText="1"/>
    </xf>
    <xf numFmtId="186" fontId="49" fillId="2" borderId="9" xfId="0" applyNumberFormat="1" applyFont="1" applyFill="1" applyBorder="1" applyAlignment="1">
      <alignment horizontal="center" vertical="center" wrapText="1"/>
    </xf>
    <xf numFmtId="43" fontId="113" fillId="0" borderId="6" xfId="0" applyNumberFormat="1" applyFont="1" applyFill="1" applyBorder="1" applyAlignment="1">
      <alignment horizontal="center" vertical="center" wrapText="1"/>
    </xf>
    <xf numFmtId="43" fontId="113" fillId="0" borderId="2" xfId="0" applyNumberFormat="1" applyFont="1" applyFill="1" applyBorder="1" applyAlignment="1">
      <alignment horizontal="center" vertical="center" wrapText="1"/>
    </xf>
    <xf numFmtId="43" fontId="113" fillId="0" borderId="1" xfId="0" applyNumberFormat="1" applyFont="1" applyFill="1" applyBorder="1" applyAlignment="1">
      <alignment horizontal="center" vertical="center" wrapText="1"/>
    </xf>
    <xf numFmtId="43" fontId="113" fillId="0" borderId="9" xfId="0" applyNumberFormat="1" applyFont="1" applyFill="1" applyBorder="1" applyAlignment="1">
      <alignment horizontal="center" vertical="center" wrapText="1"/>
    </xf>
    <xf numFmtId="186" fontId="22" fillId="32" borderId="1" xfId="0" applyNumberFormat="1" applyFont="1" applyFill="1" applyBorder="1" applyAlignment="1">
      <alignment horizontal="center" vertical="center" wrapText="1"/>
    </xf>
    <xf numFmtId="186" fontId="22" fillId="32" borderId="9" xfId="0" applyNumberFormat="1" applyFont="1" applyFill="1" applyBorder="1" applyAlignment="1">
      <alignment horizontal="center" vertical="center" wrapText="1"/>
    </xf>
    <xf numFmtId="0" fontId="49" fillId="31" borderId="8" xfId="0" applyFont="1" applyFill="1" applyBorder="1" applyAlignment="1">
      <alignment horizontal="center" vertical="center" wrapText="1"/>
    </xf>
    <xf numFmtId="0" fontId="49" fillId="31" borderId="4" xfId="0" applyFont="1" applyFill="1" applyBorder="1" applyAlignment="1">
      <alignment horizontal="center" vertical="center" wrapText="1"/>
    </xf>
    <xf numFmtId="0" fontId="22" fillId="31" borderId="10" xfId="0" applyFont="1" applyFill="1" applyBorder="1" applyAlignment="1">
      <alignment horizontal="center" vertical="center"/>
    </xf>
    <xf numFmtId="0" fontId="22" fillId="31" borderId="14" xfId="0" applyFont="1" applyFill="1" applyBorder="1" applyAlignment="1">
      <alignment horizontal="center" vertical="center"/>
    </xf>
    <xf numFmtId="0" fontId="22" fillId="31" borderId="6" xfId="0" applyFont="1" applyFill="1" applyBorder="1" applyAlignment="1">
      <alignment horizontal="center" vertical="center"/>
    </xf>
    <xf numFmtId="0" fontId="22" fillId="31" borderId="5" xfId="0" applyFont="1" applyFill="1" applyBorder="1" applyAlignment="1">
      <alignment horizontal="center" vertical="center"/>
    </xf>
    <xf numFmtId="0" fontId="22" fillId="31" borderId="2" xfId="0" applyFont="1" applyFill="1" applyBorder="1" applyAlignment="1">
      <alignment horizontal="center" vertical="center"/>
    </xf>
    <xf numFmtId="0" fontId="22" fillId="31" borderId="1" xfId="0" applyFont="1" applyFill="1" applyBorder="1" applyAlignment="1">
      <alignment horizontal="center" vertical="center"/>
    </xf>
    <xf numFmtId="0" fontId="22" fillId="31" borderId="9" xfId="0" applyFont="1" applyFill="1" applyBorder="1" applyAlignment="1">
      <alignment horizontal="center" vertical="center"/>
    </xf>
    <xf numFmtId="0" fontId="7" fillId="31" borderId="3" xfId="0" applyFont="1" applyFill="1" applyBorder="1" applyAlignment="1">
      <alignment horizontal="center" vertical="center" wrapText="1"/>
    </xf>
    <xf numFmtId="0" fontId="49" fillId="31" borderId="3" xfId="0" applyFont="1" applyFill="1" applyBorder="1" applyAlignment="1">
      <alignment horizontal="center" vertical="center" wrapText="1"/>
    </xf>
    <xf numFmtId="186" fontId="49" fillId="31" borderId="1" xfId="0" applyNumberFormat="1" applyFont="1" applyFill="1" applyBorder="1" applyAlignment="1">
      <alignment horizontal="center" vertical="center" wrapText="1"/>
    </xf>
    <xf numFmtId="186" fontId="49" fillId="31" borderId="9" xfId="0" applyNumberFormat="1" applyFont="1" applyFill="1" applyBorder="1" applyAlignment="1">
      <alignment horizontal="center" vertical="center" wrapText="1"/>
    </xf>
    <xf numFmtId="0" fontId="22" fillId="32" borderId="1" xfId="0" applyFont="1" applyFill="1" applyBorder="1" applyAlignment="1">
      <alignment horizontal="center" vertical="center" wrapText="1"/>
    </xf>
    <xf numFmtId="0" fontId="22" fillId="32" borderId="9" xfId="0" applyFont="1" applyFill="1" applyBorder="1" applyAlignment="1">
      <alignment horizontal="center" vertical="center" wrapText="1"/>
    </xf>
    <xf numFmtId="43" fontId="22" fillId="32" borderId="1" xfId="0" applyNumberFormat="1" applyFont="1" applyFill="1" applyBorder="1" applyAlignment="1">
      <alignment horizontal="center" vertical="center" wrapText="1"/>
    </xf>
    <xf numFmtId="43" fontId="22" fillId="32" borderId="9" xfId="0" applyNumberFormat="1" applyFont="1" applyFill="1" applyBorder="1" applyAlignment="1">
      <alignment horizontal="center" vertical="center" wrapText="1"/>
    </xf>
    <xf numFmtId="0" fontId="22" fillId="32" borderId="6" xfId="0" applyFont="1" applyFill="1" applyBorder="1" applyAlignment="1">
      <alignment horizontal="center" vertical="center"/>
    </xf>
    <xf numFmtId="0" fontId="22" fillId="32" borderId="5" xfId="0" applyFont="1" applyFill="1" applyBorder="1" applyAlignment="1">
      <alignment horizontal="center" vertical="center"/>
    </xf>
    <xf numFmtId="0" fontId="22" fillId="32" borderId="2" xfId="0" applyFont="1" applyFill="1" applyBorder="1" applyAlignment="1">
      <alignment horizontal="center" vertical="center"/>
    </xf>
    <xf numFmtId="0" fontId="22" fillId="32" borderId="1" xfId="0" applyFont="1" applyFill="1" applyBorder="1" applyAlignment="1">
      <alignment horizontal="center" vertical="center"/>
    </xf>
    <xf numFmtId="0" fontId="22" fillId="32" borderId="9" xfId="0" applyFont="1" applyFill="1" applyBorder="1" applyAlignment="1">
      <alignment horizontal="center" vertical="center"/>
    </xf>
    <xf numFmtId="0" fontId="22" fillId="32" borderId="3" xfId="0" applyFont="1" applyFill="1" applyBorder="1" applyAlignment="1">
      <alignment horizontal="center" vertical="center" wrapText="1"/>
    </xf>
    <xf numFmtId="0" fontId="22" fillId="33" borderId="1" xfId="0" applyFont="1" applyFill="1" applyBorder="1" applyAlignment="1">
      <alignment horizontal="center" vertical="center" wrapText="1"/>
    </xf>
    <xf numFmtId="0" fontId="22" fillId="33" borderId="9" xfId="0" applyFont="1" applyFill="1" applyBorder="1" applyAlignment="1">
      <alignment horizontal="center" vertical="center" wrapText="1"/>
    </xf>
    <xf numFmtId="43" fontId="22" fillId="33" borderId="1" xfId="0" applyNumberFormat="1" applyFont="1" applyFill="1" applyBorder="1" applyAlignment="1">
      <alignment horizontal="center" vertical="center" wrapText="1"/>
    </xf>
    <xf numFmtId="43" fontId="22" fillId="33" borderId="9" xfId="0" applyNumberFormat="1" applyFont="1" applyFill="1" applyBorder="1" applyAlignment="1">
      <alignment horizontal="center" vertical="center" wrapText="1"/>
    </xf>
    <xf numFmtId="0" fontId="22" fillId="33" borderId="6" xfId="0" applyFont="1" applyFill="1" applyBorder="1" applyAlignment="1">
      <alignment horizontal="center" vertical="center"/>
    </xf>
    <xf numFmtId="0" fontId="22" fillId="33" borderId="5" xfId="0" applyFont="1" applyFill="1" applyBorder="1" applyAlignment="1">
      <alignment horizontal="center" vertical="center"/>
    </xf>
    <xf numFmtId="0" fontId="22" fillId="33" borderId="2" xfId="0" applyFont="1" applyFill="1" applyBorder="1" applyAlignment="1">
      <alignment horizontal="center" vertical="center"/>
    </xf>
    <xf numFmtId="0" fontId="22" fillId="33" borderId="1" xfId="0" applyFont="1" applyFill="1" applyBorder="1" applyAlignment="1">
      <alignment horizontal="center" vertical="center"/>
    </xf>
    <xf numFmtId="0" fontId="22" fillId="33" borderId="9" xfId="0" applyFont="1" applyFill="1" applyBorder="1" applyAlignment="1">
      <alignment horizontal="center" vertical="center"/>
    </xf>
    <xf numFmtId="0" fontId="22" fillId="33" borderId="3" xfId="0" applyFont="1" applyFill="1" applyBorder="1" applyAlignment="1">
      <alignment horizontal="center" vertical="center" wrapText="1"/>
    </xf>
    <xf numFmtId="186" fontId="22" fillId="33" borderId="1" xfId="0" applyNumberFormat="1" applyFont="1" applyFill="1" applyBorder="1" applyAlignment="1">
      <alignment horizontal="center" vertical="center" wrapText="1"/>
    </xf>
    <xf numFmtId="186" fontId="22" fillId="33" borderId="9" xfId="0" applyNumberFormat="1" applyFont="1" applyFill="1" applyBorder="1" applyAlignment="1">
      <alignment horizontal="center" vertical="center" wrapText="1"/>
    </xf>
    <xf numFmtId="177" fontId="11" fillId="30" borderId="3" xfId="0" applyNumberFormat="1" applyFont="1" applyFill="1" applyBorder="1" applyAlignment="1">
      <alignment horizontal="center" vertical="center"/>
    </xf>
    <xf numFmtId="177" fontId="53" fillId="30" borderId="3" xfId="0" applyNumberFormat="1" applyFont="1" applyFill="1" applyBorder="1" applyAlignment="1">
      <alignment horizontal="center" vertical="center" wrapText="1" shrinkToFit="1"/>
    </xf>
    <xf numFmtId="177" fontId="53" fillId="30" borderId="3" xfId="0" applyNumberFormat="1" applyFont="1" applyFill="1" applyBorder="1" applyAlignment="1">
      <alignment horizontal="center" vertical="center" wrapText="1"/>
    </xf>
    <xf numFmtId="177" fontId="53" fillId="0" borderId="3" xfId="0" applyNumberFormat="1" applyFont="1" applyFill="1" applyBorder="1" applyAlignment="1">
      <alignment horizontal="center" vertical="center"/>
    </xf>
    <xf numFmtId="177" fontId="53" fillId="0" borderId="3" xfId="0" applyNumberFormat="1" applyFont="1" applyFill="1" applyBorder="1" applyAlignment="1">
      <alignment horizontal="center" vertical="center" wrapText="1" shrinkToFit="1"/>
    </xf>
    <xf numFmtId="177" fontId="53" fillId="0" borderId="3" xfId="0" applyNumberFormat="1" applyFont="1" applyFill="1" applyBorder="1" applyAlignment="1">
      <alignment horizontal="center" vertical="center" wrapText="1"/>
    </xf>
    <xf numFmtId="177" fontId="53" fillId="30" borderId="3" xfId="0" applyNumberFormat="1" applyFont="1" applyFill="1" applyBorder="1" applyAlignment="1">
      <alignment horizontal="center" vertical="center"/>
    </xf>
    <xf numFmtId="177" fontId="11" fillId="30" borderId="3" xfId="0" applyNumberFormat="1" applyFont="1" applyFill="1" applyBorder="1" applyAlignment="1">
      <alignment horizontal="center" vertical="center" wrapText="1"/>
    </xf>
    <xf numFmtId="177" fontId="53" fillId="0" borderId="1" xfId="0" applyNumberFormat="1" applyFont="1" applyFill="1" applyBorder="1" applyAlignment="1">
      <alignment horizontal="center" vertical="center"/>
    </xf>
    <xf numFmtId="177" fontId="53" fillId="0" borderId="7" xfId="0" applyNumberFormat="1" applyFont="1" applyFill="1" applyBorder="1" applyAlignment="1">
      <alignment horizontal="center" vertical="center"/>
    </xf>
    <xf numFmtId="177" fontId="11" fillId="0" borderId="3" xfId="0" applyNumberFormat="1" applyFont="1" applyFill="1" applyBorder="1" applyAlignment="1">
      <alignment horizontal="center" vertical="center" wrapText="1"/>
    </xf>
    <xf numFmtId="177" fontId="11" fillId="0" borderId="3" xfId="0" applyNumberFormat="1" applyFont="1" applyFill="1" applyBorder="1" applyAlignment="1">
      <alignment horizontal="center" vertical="center"/>
    </xf>
    <xf numFmtId="0" fontId="53" fillId="0" borderId="6" xfId="0" applyFont="1" applyFill="1" applyBorder="1" applyAlignment="1">
      <alignment horizontal="center" vertical="center" wrapText="1"/>
    </xf>
    <xf numFmtId="0" fontId="53" fillId="0" borderId="5" xfId="0" applyFont="1" applyFill="1" applyBorder="1" applyAlignment="1">
      <alignment horizontal="center" vertical="center" wrapText="1"/>
    </xf>
    <xf numFmtId="0" fontId="53" fillId="0" borderId="2" xfId="0" applyFont="1" applyFill="1" applyBorder="1" applyAlignment="1">
      <alignment horizontal="center" vertical="center" wrapText="1"/>
    </xf>
    <xf numFmtId="0" fontId="7" fillId="0" borderId="0" xfId="13" applyFont="1" applyFill="1" applyAlignment="1">
      <alignment horizontal="left" vertical="center"/>
    </xf>
    <xf numFmtId="0" fontId="26" fillId="0" borderId="21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/>
    </xf>
    <xf numFmtId="0" fontId="26" fillId="0" borderId="23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4" fontId="12" fillId="5" borderId="13" xfId="0" applyNumberFormat="1" applyFont="1" applyFill="1" applyBorder="1" applyAlignment="1">
      <alignment horizontal="center" vertical="center"/>
    </xf>
    <xf numFmtId="4" fontId="12" fillId="6" borderId="3" xfId="0" applyNumberFormat="1" applyFont="1" applyFill="1" applyBorder="1" applyAlignment="1">
      <alignment horizontal="center" vertical="center"/>
    </xf>
    <xf numFmtId="4" fontId="12" fillId="6" borderId="15" xfId="0" applyNumberFormat="1" applyFont="1" applyFill="1" applyBorder="1" applyAlignment="1">
      <alignment horizontal="center" vertical="center"/>
    </xf>
    <xf numFmtId="0" fontId="49" fillId="0" borderId="0" xfId="0" applyFont="1" applyFill="1" applyBorder="1" applyAlignment="1">
      <alignment horizontal="center" vertical="center"/>
    </xf>
    <xf numFmtId="0" fontId="53" fillId="0" borderId="1" xfId="0" applyFont="1" applyFill="1" applyBorder="1" applyAlignment="1">
      <alignment horizontal="center" vertical="center"/>
    </xf>
    <xf numFmtId="0" fontId="53" fillId="0" borderId="9" xfId="0" applyFont="1" applyFill="1" applyBorder="1" applyAlignment="1">
      <alignment horizontal="center" vertical="center"/>
    </xf>
    <xf numFmtId="0" fontId="53" fillId="0" borderId="3" xfId="0" applyFont="1" applyFill="1" applyBorder="1" applyAlignment="1">
      <alignment horizontal="center" vertical="center"/>
    </xf>
    <xf numFmtId="0" fontId="53" fillId="0" borderId="3" xfId="0" applyFont="1" applyBorder="1" applyAlignment="1">
      <alignment vertical="center" wrapText="1"/>
    </xf>
    <xf numFmtId="0" fontId="54" fillId="0" borderId="3" xfId="0" applyFont="1" applyBorder="1" applyAlignment="1">
      <alignment horizontal="center"/>
    </xf>
    <xf numFmtId="0" fontId="54" fillId="0" borderId="6" xfId="0" applyFont="1" applyBorder="1" applyAlignment="1">
      <alignment horizontal="center"/>
    </xf>
    <xf numFmtId="0" fontId="54" fillId="0" borderId="5" xfId="0" applyFont="1" applyBorder="1" applyAlignment="1">
      <alignment horizontal="center"/>
    </xf>
    <xf numFmtId="0" fontId="54" fillId="0" borderId="2" xfId="0" applyFont="1" applyBorder="1" applyAlignment="1">
      <alignment horizontal="center"/>
    </xf>
    <xf numFmtId="0" fontId="53" fillId="0" borderId="4" xfId="0" applyFont="1" applyBorder="1" applyAlignment="1">
      <alignment horizontal="center" vertical="center"/>
    </xf>
    <xf numFmtId="0" fontId="53" fillId="0" borderId="0" xfId="0" applyFont="1" applyBorder="1" applyAlignment="1">
      <alignment horizontal="center" vertical="center"/>
    </xf>
    <xf numFmtId="0" fontId="53" fillId="0" borderId="6" xfId="0" applyFont="1" applyBorder="1" applyAlignment="1">
      <alignment vertical="center"/>
    </xf>
    <xf numFmtId="0" fontId="53" fillId="0" borderId="5" xfId="0" applyFont="1" applyBorder="1" applyAlignment="1">
      <alignment vertical="center"/>
    </xf>
    <xf numFmtId="0" fontId="53" fillId="0" borderId="2" xfId="0" applyFont="1" applyBorder="1" applyAlignment="1">
      <alignment vertical="center"/>
    </xf>
    <xf numFmtId="0" fontId="53" fillId="0" borderId="6" xfId="0" applyFont="1" applyBorder="1" applyAlignment="1">
      <alignment vertical="center" wrapText="1"/>
    </xf>
    <xf numFmtId="0" fontId="53" fillId="0" borderId="5" xfId="0" applyFont="1" applyBorder="1" applyAlignment="1">
      <alignment vertical="center" wrapText="1"/>
    </xf>
    <xf numFmtId="0" fontId="53" fillId="0" borderId="2" xfId="0" applyFont="1" applyBorder="1" applyAlignment="1">
      <alignment vertical="center" wrapText="1"/>
    </xf>
    <xf numFmtId="0" fontId="78" fillId="3" borderId="6" xfId="0" applyFont="1" applyFill="1" applyBorder="1" applyAlignment="1">
      <alignment horizontal="center" vertical="center"/>
    </xf>
    <xf numFmtId="0" fontId="78" fillId="3" borderId="5" xfId="0" applyFont="1" applyFill="1" applyBorder="1" applyAlignment="1">
      <alignment horizontal="center" vertical="center"/>
    </xf>
    <xf numFmtId="0" fontId="78" fillId="3" borderId="2" xfId="0" applyFont="1" applyFill="1" applyBorder="1" applyAlignment="1">
      <alignment horizontal="center" vertical="center"/>
    </xf>
    <xf numFmtId="0" fontId="53" fillId="0" borderId="3" xfId="0" applyFont="1" applyBorder="1" applyAlignment="1">
      <alignment vertical="center"/>
    </xf>
    <xf numFmtId="178" fontId="7" fillId="0" borderId="41" xfId="1" applyNumberFormat="1" applyFont="1" applyFill="1" applyBorder="1" applyAlignment="1">
      <alignment horizontal="center" vertical="center"/>
    </xf>
    <xf numFmtId="177" fontId="34" fillId="13" borderId="0" xfId="3" applyNumberFormat="1" applyFont="1" applyFill="1" applyBorder="1" applyAlignment="1" applyProtection="1">
      <alignment vertical="center" wrapText="1"/>
    </xf>
  </cellXfs>
  <cellStyles count="138">
    <cellStyle name="%" xfId="45"/>
    <cellStyle name="??|?Revenuenuesy L" xfId="46"/>
    <cellStyle name="??í¨_±¨??μ￥" xfId="47"/>
    <cellStyle name="_08-1" xfId="25"/>
    <cellStyle name="_09-02" xfId="26"/>
    <cellStyle name="_Sheet3" xfId="27"/>
    <cellStyle name="_移动" xfId="28"/>
    <cellStyle name="0%" xfId="48"/>
    <cellStyle name="0,0_x000d__x000a_NA_x000d__x000a_" xfId="49"/>
    <cellStyle name="0.0%" xfId="50"/>
    <cellStyle name="0.00%" xfId="51"/>
    <cellStyle name="3￡1?_fc" xfId="52"/>
    <cellStyle name="3232" xfId="29"/>
    <cellStyle name="6mal" xfId="53"/>
    <cellStyle name="args.style" xfId="54"/>
    <cellStyle name="Body" xfId="55"/>
    <cellStyle name="Calc Currency (0)" xfId="56"/>
    <cellStyle name="category" xfId="57"/>
    <cellStyle name="Col Heads" xfId="58"/>
    <cellStyle name="Column_Title" xfId="59"/>
    <cellStyle name="Comma [0]" xfId="60"/>
    <cellStyle name="Comma 3" xfId="24"/>
    <cellStyle name="Comma,0" xfId="61"/>
    <cellStyle name="Comma,1" xfId="62"/>
    <cellStyle name="Comma,2" xfId="63"/>
    <cellStyle name="Comma0" xfId="64"/>
    <cellStyle name="Copied" xfId="65"/>
    <cellStyle name="Currency [0]" xfId="66"/>
    <cellStyle name="Currency,0" xfId="67"/>
    <cellStyle name="Currency,2" xfId="68"/>
    <cellStyle name="Currency0" xfId="69"/>
    <cellStyle name="Date" xfId="70"/>
    <cellStyle name="Entered" xfId="71"/>
    <cellStyle name="Fixed" xfId="72"/>
    <cellStyle name="Grey" xfId="73"/>
    <cellStyle name="HEADER" xfId="74"/>
    <cellStyle name="Header1" xfId="75"/>
    <cellStyle name="Header2" xfId="76"/>
    <cellStyle name="Heading 1" xfId="77"/>
    <cellStyle name="Heading 2" xfId="78"/>
    <cellStyle name="HEADINGS" xfId="79"/>
    <cellStyle name="HEADINGSTOP" xfId="80"/>
    <cellStyle name="Input [yellow]" xfId="81"/>
    <cellStyle name="Input Cells" xfId="82"/>
    <cellStyle name="Jun" xfId="83"/>
    <cellStyle name="Linked Cells" xfId="84"/>
    <cellStyle name="lixq" xfId="85"/>
    <cellStyle name="Millares [0]_96 Risk" xfId="86"/>
    <cellStyle name="Millares_96 Risk" xfId="87"/>
    <cellStyle name="Milliers [0]_!!!GO" xfId="88"/>
    <cellStyle name="Milliers_!!!GO" xfId="89"/>
    <cellStyle name="Model" xfId="90"/>
    <cellStyle name="Moneda [0]_96 Risk" xfId="91"/>
    <cellStyle name="Moneda_96 Risk" xfId="92"/>
    <cellStyle name="Mon閠aire [0]_!!!GO" xfId="93"/>
    <cellStyle name="Mon閠aire_!!!GO" xfId="94"/>
    <cellStyle name="New Times Roman" xfId="95"/>
    <cellStyle name="no dec" xfId="96"/>
    <cellStyle name="Normal - Style1" xfId="97"/>
    <cellStyle name="Normal 3" xfId="23"/>
    <cellStyle name="Normal_CY-CICC Shenzhen-Qtn001(R2)-20071010" xfId="44"/>
    <cellStyle name="Normal_LP 2003RMB" xfId="134"/>
    <cellStyle name="per.style" xfId="98"/>
    <cellStyle name="Percent [2]" xfId="99"/>
    <cellStyle name="Pourcentage_pldt" xfId="100"/>
    <cellStyle name="Pricing Text" xfId="101"/>
    <cellStyle name="PSChar" xfId="102"/>
    <cellStyle name="PSDate" xfId="103"/>
    <cellStyle name="PSDec" xfId="104"/>
    <cellStyle name="PSHeading" xfId="105"/>
    <cellStyle name="PSInt" xfId="106"/>
    <cellStyle name="PSSpacer" xfId="107"/>
    <cellStyle name="regstoresfromspecstores" xfId="108"/>
    <cellStyle name="RevList" xfId="109"/>
    <cellStyle name="SHADEDSTORES" xfId="110"/>
    <cellStyle name="specstores" xfId="111"/>
    <cellStyle name="sstot" xfId="112"/>
    <cellStyle name="Standard_AREAS" xfId="113"/>
    <cellStyle name="subhead" xfId="114"/>
    <cellStyle name="Subtotal" xfId="115"/>
    <cellStyle name="t" xfId="116"/>
    <cellStyle name="t_HVAC Equipment (3)" xfId="117"/>
    <cellStyle name="Total" xfId="118"/>
    <cellStyle name="百分比" xfId="12" builtinId="5"/>
    <cellStyle name="百分比 2" xfId="30"/>
    <cellStyle name="百分比 2 2" xfId="31"/>
    <cellStyle name="百分比 2 3" xfId="32"/>
    <cellStyle name="百分比 3" xfId="137"/>
    <cellStyle name="捠壿 [0.00]_Region Orders (2)" xfId="119"/>
    <cellStyle name="捠壿_Region Orders (2)" xfId="120"/>
    <cellStyle name="常规" xfId="0" builtinId="0"/>
    <cellStyle name="常规 10" xfId="33"/>
    <cellStyle name="常规 11" xfId="135"/>
    <cellStyle name="常规 2" xfId="1"/>
    <cellStyle name="常规 2 2" xfId="34"/>
    <cellStyle name="常规 2 2 2" xfId="35"/>
    <cellStyle name="常规 2 3" xfId="41"/>
    <cellStyle name="常规 3" xfId="6"/>
    <cellStyle name="常规 3 2" xfId="13"/>
    <cellStyle name="常规 3 3" xfId="43"/>
    <cellStyle name="常规 4" xfId="10"/>
    <cellStyle name="常规 4 2" xfId="18"/>
    <cellStyle name="常规 5" xfId="14"/>
    <cellStyle name="常规 5 2" xfId="19"/>
    <cellStyle name="常规 6" xfId="15"/>
    <cellStyle name="常规 6 2" xfId="20"/>
    <cellStyle name="常规 7" xfId="16"/>
    <cellStyle name="常规 7 2" xfId="21"/>
    <cellStyle name="常规 8" xfId="17"/>
    <cellStyle name="常规 8 2" xfId="36"/>
    <cellStyle name="常规 8 3" xfId="42"/>
    <cellStyle name="常规 9" xfId="37"/>
    <cellStyle name="常规_sheet" xfId="5"/>
    <cellStyle name="常规_劳务费稿费申请表（改）" xfId="11"/>
    <cellStyle name="超链接" xfId="3" builtinId="8"/>
    <cellStyle name="分级显示行_1_05网络报价" xfId="121"/>
    <cellStyle name="分级显示列_1_05网络报价" xfId="122"/>
    <cellStyle name="貨幣 [0]_DDC Panel Order form" xfId="123"/>
    <cellStyle name="貨幣_DDC Panel Order form" xfId="124"/>
    <cellStyle name="普通_ 系统图 (2)" xfId="125"/>
    <cellStyle name="千分位[0]_DDC Panel Order form" xfId="126"/>
    <cellStyle name="千分位_DDC Panel Order form" xfId="127"/>
    <cellStyle name="千位[0]_3520" xfId="128"/>
    <cellStyle name="千位_3520" xfId="129"/>
    <cellStyle name="千位分隔" xfId="22" builtinId="3"/>
    <cellStyle name="千位分隔 2" xfId="2"/>
    <cellStyle name="千位分隔 2 2" xfId="38"/>
    <cellStyle name="千位分隔 2 3" xfId="39"/>
    <cellStyle name="千位分隔 2 4" xfId="40"/>
    <cellStyle name="千位分隔 3" xfId="9"/>
    <cellStyle name="千位分隔 4" xfId="136"/>
    <cellStyle name="千位分隔[0] 2" xfId="4"/>
    <cellStyle name="千位分隔[0] 3" xfId="8"/>
    <cellStyle name="样式 1" xfId="7"/>
    <cellStyle name="一般_NEGS" xfId="130"/>
    <cellStyle name="昗弨_Pacific Region P&amp;L" xfId="131"/>
    <cellStyle name="寘嬫愗傝 [0.00]_Region Orders (2)" xfId="132"/>
    <cellStyle name="寘嬫愗傝_Region Orders (2)" xfId="133"/>
  </cellStyles>
  <dxfs count="0"/>
  <tableStyles count="0" defaultTableStyle="TableStyleMedium9" defaultPivotStyle="PivotStyleLight16"/>
  <colors>
    <mruColors>
      <color rgb="FFCCFFCC"/>
      <color rgb="FFFF33CC"/>
      <color rgb="FF66FF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4.xml"/><Relationship Id="rId39" Type="http://schemas.openxmlformats.org/officeDocument/2006/relationships/externalLink" Target="externalLinks/externalLink17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2.xml"/><Relationship Id="rId42" Type="http://schemas.openxmlformats.org/officeDocument/2006/relationships/externalLink" Target="externalLinks/externalLink20.xml"/><Relationship Id="rId47" Type="http://schemas.openxmlformats.org/officeDocument/2006/relationships/externalLink" Target="externalLinks/externalLink25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7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32" Type="http://schemas.openxmlformats.org/officeDocument/2006/relationships/externalLink" Target="externalLinks/externalLink10.xml"/><Relationship Id="rId37" Type="http://schemas.openxmlformats.org/officeDocument/2006/relationships/externalLink" Target="externalLinks/externalLink15.xml"/><Relationship Id="rId40" Type="http://schemas.openxmlformats.org/officeDocument/2006/relationships/externalLink" Target="externalLinks/externalLink18.xml"/><Relationship Id="rId45" Type="http://schemas.openxmlformats.org/officeDocument/2006/relationships/externalLink" Target="externalLinks/externalLink23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9.xml"/><Relationship Id="rId44" Type="http://schemas.openxmlformats.org/officeDocument/2006/relationships/externalLink" Target="externalLinks/externalLink22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5.xml"/><Relationship Id="rId30" Type="http://schemas.openxmlformats.org/officeDocument/2006/relationships/externalLink" Target="externalLinks/externalLink8.xml"/><Relationship Id="rId35" Type="http://schemas.openxmlformats.org/officeDocument/2006/relationships/externalLink" Target="externalLinks/externalLink13.xml"/><Relationship Id="rId43" Type="http://schemas.openxmlformats.org/officeDocument/2006/relationships/externalLink" Target="externalLinks/externalLink21.xml"/><Relationship Id="rId48" Type="http://schemas.openxmlformats.org/officeDocument/2006/relationships/externalLink" Target="externalLinks/externalLink26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33" Type="http://schemas.openxmlformats.org/officeDocument/2006/relationships/externalLink" Target="externalLinks/externalLink11.xml"/><Relationship Id="rId38" Type="http://schemas.openxmlformats.org/officeDocument/2006/relationships/externalLink" Target="externalLinks/externalLink16.xml"/><Relationship Id="rId46" Type="http://schemas.openxmlformats.org/officeDocument/2006/relationships/externalLink" Target="externalLinks/externalLink24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externalLink" Target="externalLinks/externalLink6.xml"/><Relationship Id="rId36" Type="http://schemas.openxmlformats.org/officeDocument/2006/relationships/externalLink" Target="externalLinks/externalLink14.xml"/><Relationship Id="rId49" Type="http://schemas.openxmlformats.org/officeDocument/2006/relationships/externalLink" Target="externalLinks/externalLink2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38379;&#24503;&#24544;\&#22823;&#36830;&#21644;&#24179;&#24191;&#22330;\WFW311\TEMP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\g\LZL\WINDOWS\TEMP\MP-97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38379;&#24503;&#24544;\&#22823;&#36830;&#21644;&#24179;&#24191;&#22330;\WFW311\TEMP\Backup%20of%20Backup%20of%20LINDA%20LISTONE.xlk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38379;&#24503;&#24544;\&#22823;&#36830;&#21644;&#24179;&#24191;&#22330;\KPCMS\My%20Documents\GOLDPYR4\ARENTO\TOOLBOX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38379;&#24503;&#24544;\&#22823;&#36830;&#21644;&#24179;&#24191;&#22330;\WFW311\TEMP\fnl-gp2\ToolboxGP\Kor\OSP_Becht_Fi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38379;&#24503;&#24544;\&#22823;&#36830;&#21644;&#24179;&#24191;&#22330;\WFW311\TEMP\GP\tamer\DOS\TEMP\GPTLBX9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Startup" Target="SUNJIN/EXC/&#36890;&#27888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23385;&#28059;\D\ST\st2\tj\tjzh4.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y\d\LYF\&#23665;&#19996;&#25915;&#31243;\&#38738;&#23707;&#25915;&#31243;\&#38738;&#23707;&#22269;&#31246;\&#25253;&#20215;\&#22825;&#27888;&#24067;&#32447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_1\pc_1_c\&#26631;&#20934;\YA\534052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38379;&#24503;&#24544;\&#22823;&#36830;&#21644;&#24179;&#24191;&#22330;\WFW311\TEMP\GP\GP_Ph1\SBB-OIs\Hel-OIs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20854;&#20182;&#24037;&#20316;&#39033;&#30446;/2014&#24180;&#39044;&#31639;/2014&#24180;ES&#39044;&#31639;&#27719;&#24635;(&#19981;&#21547;&#25628;&#29399;&#21450;&#35270;&#39057;&#22825;&#27941;)-131128&#24050;&#23457;&#25209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ennyliang/AppData/Local/Microsoft/Windows/Temporary%20Internet%20Files/Content.Outlook/LROXQIT9/2015&#24180;ES&#39044;&#31639;&#27719;&#24635;(&#19981;&#21547;&#25628;&#29399;&#21450;&#35270;&#39057;&#22825;&#27941;)-141104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iminding/AppData/Local/Microsoft/Windows/Temporary%20Internet%20Files/Content.Outlook/YQL69W1G/2015&#24180;ES&#39044;&#31639;&#27719;&#24635;(&#19981;&#21547;&#25628;&#29399;&#21450;&#35270;&#39057;&#22825;&#27941;)-141104&#19969;&#22763;&#27665;&#23435;&#26790;&#38634;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nan/AppData/Local/Microsoft/Windows/Temporary%20Internet%20Files/Content.Outlook/Y5RYST7G/&#19969;%20&#31532;&#19968;&#29256;%20%202014&#24180;ES&#39044;&#31639;&#27719;&#24635;(&#19981;&#21547;&#25628;&#29399;&#21450;&#35270;&#39057;&#22825;&#27941;)-131101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iminding/Documents/Tencent%20Files/190004351/FileRecv/&#21103;&#26412;&#21103;&#26412;2015&#24180;ES&#39044;&#31639;&#27719;&#24635;(&#19981;&#21547;&#25628;&#29399;&#21450;&#35270;&#39057;&#22825;&#27941;)-141107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ennyliang/AppData/Local/Microsoft/Windows/Temporary%20Internet%20Files/Content.Outlook/LROXQIT9/2015&#24180;ES&#39044;&#31639;&#27719;&#24635;(&#19981;&#21547;&#25628;&#29399;&#21450;&#35270;&#39057;&#22825;&#27941;)-&#26631;&#32511;&#37096;&#20998;1107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20854;&#20182;&#24037;&#20316;&#39033;&#30446;/2013&#24180;&#39044;&#31639;/2013&#24180;ES&#39044;&#31639;&#27719;&#24635;(&#19981;&#21547;&#25628;&#29399;&#21450;&#35270;&#39057;&#22825;&#27941;)-131101%20&#26368;&#32456;&#29256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nan/AppData/Local/Microsoft/Windows/Temporary%20Internet%20Files/Content.Outlook/R1334Q7G/2012&#24180;ES&#39044;&#31639;&#27719;&#24635;(&#31532;&#19968;&#31295;&#19981;&#21547;&#26080;&#25628;&#29399;&#65289;-123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SUNJIN/EXC/&#23385;&#22806;&#20132;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_1\pc_1_c\YA\534052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38379;&#24503;&#24544;\&#22823;&#36830;&#21644;&#24179;&#24191;&#22330;\WFW311\TEMP\GP\tamer\WINDOWS\GP_A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Startup" Target="ESTIMA~1/LINK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21016;&#24535;&#40857;\&#23436;&#20840;&#20849;&#20139;\2002&#26041;&#26696;\0325&#20108;&#21313;&#19968;&#19990;&#32426;&#22823;&#21414;\&#21407;&#25991;&#20214;\&#27719;&#24635;\excel\&#19968;&#21345;&#3689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0644;&#32418;&#26757;\&#20849;&#20139;\&#25237;&#26631;&#26041;&#26696;\&#23425;&#27874;&#24320;&#21457;&#21306;&#34892;&#25919;&#20013;&#24515;\&#31532;&#19977;&#29256;&#28145;&#21270;&#35774;&#35745;0516\&#25253;&#19994;&#20027;&#39044;&#31639;&#31532;&#19977;&#27425;\BA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38379;&#24503;&#24544;\&#22823;&#36830;&#21644;&#24179;&#24191;&#22330;\CHR\ARBEJDE\Q4D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-team 1"/>
      <sheetName val="Financ. Overview"/>
      <sheetName val="Toolbox"/>
      <sheetName val="Mp_team 1"/>
    </sheetNames>
    <sheetDataSet>
      <sheetData sheetId="0" refreshError="1"/>
      <sheetData sheetId="1"/>
      <sheetData sheetId="2"/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olbox"/>
      <sheetName val="Toolb"/>
      <sheetName val="Toolbo"/>
    </sheetNames>
    <sheetDataSet>
      <sheetData sheetId="0" refreshError="1"/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.1R-Shou COP Gf"/>
      <sheetName val="SW-TEO"/>
    </sheetNames>
    <sheetDataSet>
      <sheetData sheetId="0" refreshError="1"/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ASSUMPTIONS"/>
      <sheetName val="POWER ASSUMPTION"/>
    </sheetNames>
    <sheetDataSet>
      <sheetData sheetId="0" refreshError="1"/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olbox"/>
      <sheetName val="XL4Poppy"/>
      <sheetName val="Toolb"/>
      <sheetName val="Toolbo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分布1"/>
      <sheetName val="清单1"/>
    </sheetNames>
    <sheetDataSet>
      <sheetData sheetId="0"/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增减项汇总0424"/>
      <sheetName val="增减项0424"/>
      <sheetName val="报价汇总200326"/>
      <sheetName val="预算200326"/>
      <sheetName val="主材表200326"/>
      <sheetName val="成本"/>
      <sheetName val="99CCTV"/>
      <sheetName val="99PA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设置"/>
      <sheetName val="数据"/>
      <sheetName val="水平区"/>
      <sheetName val="子管理区"/>
      <sheetName val="干线区"/>
      <sheetName val="主管理区"/>
      <sheetName val="材料报价单"/>
      <sheetName val="辅助材料报价单"/>
      <sheetName val="总报价单"/>
      <sheetName val="自用材料报价单"/>
      <sheetName val="Sheet15"/>
      <sheetName val="Sheet16"/>
      <sheetName val="Macro1"/>
      <sheetName val="99CCTV"/>
      <sheetName val="99PA"/>
    </sheetNames>
    <sheetDataSet>
      <sheetData sheetId="0" refreshError="1">
        <row r="5">
          <cell r="D5" t="str">
            <v>天泰广场</v>
          </cell>
        </row>
        <row r="6">
          <cell r="D6" t="str">
            <v>北京市亚科神州电子技术发展公司</v>
          </cell>
        </row>
        <row r="7">
          <cell r="D7">
            <v>36479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报价单"/>
      <sheetName val="系数516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W-TEO"/>
      <sheetName val="Sheet9"/>
    </sheetNames>
    <sheetDataSet>
      <sheetData sheetId="0" refreshError="1"/>
      <sheetData sheetId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4预算稿 "/>
      <sheetName val="2013预算稿"/>
      <sheetName val="基础数据"/>
      <sheetName val="物业房租车位费"/>
      <sheetName val="部分费用明细（水电植物耗材茶歇）"/>
      <sheetName val="保安服务费"/>
      <sheetName val="保洁服务费"/>
      <sheetName val="阿姨工资奖金"/>
      <sheetName val="班车费用"/>
      <sheetName val="媒体大厦"/>
      <sheetName val="搜狐媒体大厦工位"/>
      <sheetName val="财产险"/>
      <sheetName val="capex"/>
      <sheetName val="北京地区公车车险及ES车辆养护"/>
      <sheetName val="装饰门禁电视空调维护"/>
      <sheetName val="武汉研发中心"/>
      <sheetName val="与2011年预算对比帮助"/>
      <sheetName val="与2012年预算对比"/>
      <sheetName val="2012预算稿"/>
    </sheetNames>
    <sheetDataSet>
      <sheetData sheetId="0"/>
      <sheetData sheetId="1">
        <row r="6">
          <cell r="J6">
            <v>3394976.3250000002</v>
          </cell>
        </row>
        <row r="7">
          <cell r="J7">
            <v>5339987.5950000016</v>
          </cell>
        </row>
        <row r="8">
          <cell r="J8">
            <v>263995.886</v>
          </cell>
        </row>
        <row r="9">
          <cell r="J9">
            <v>33834.04</v>
          </cell>
        </row>
        <row r="10">
          <cell r="J10">
            <v>250000</v>
          </cell>
        </row>
        <row r="11">
          <cell r="J11">
            <v>7694280</v>
          </cell>
        </row>
        <row r="12">
          <cell r="J12">
            <v>676164</v>
          </cell>
        </row>
        <row r="13">
          <cell r="J13">
            <v>14872200</v>
          </cell>
        </row>
        <row r="14">
          <cell r="J14">
            <v>1250268</v>
          </cell>
        </row>
        <row r="15">
          <cell r="J15">
            <v>7532136.959999999</v>
          </cell>
        </row>
        <row r="16">
          <cell r="J16">
            <v>910402.56000000006</v>
          </cell>
        </row>
        <row r="17">
          <cell r="J17">
            <v>6885223.4880000008</v>
          </cell>
        </row>
        <row r="18">
          <cell r="J18">
            <v>914597.28</v>
          </cell>
        </row>
        <row r="20">
          <cell r="J20">
            <v>293760</v>
          </cell>
        </row>
        <row r="21">
          <cell r="J21">
            <v>362000</v>
          </cell>
        </row>
        <row r="22">
          <cell r="J22">
            <v>58800</v>
          </cell>
        </row>
        <row r="23">
          <cell r="J23">
            <v>126000</v>
          </cell>
        </row>
        <row r="24">
          <cell r="J24">
            <v>187200</v>
          </cell>
        </row>
        <row r="25">
          <cell r="J25">
            <v>177600</v>
          </cell>
        </row>
        <row r="26">
          <cell r="J26">
            <v>177600</v>
          </cell>
        </row>
        <row r="28">
          <cell r="J28">
            <v>2351202</v>
          </cell>
        </row>
        <row r="29">
          <cell r="J29">
            <v>2868</v>
          </cell>
        </row>
        <row r="30">
          <cell r="J30">
            <v>227016</v>
          </cell>
        </row>
        <row r="31">
          <cell r="J31">
            <v>449076</v>
          </cell>
        </row>
        <row r="32">
          <cell r="J32">
            <v>268572</v>
          </cell>
        </row>
        <row r="33">
          <cell r="J33">
            <v>388488</v>
          </cell>
        </row>
        <row r="35">
          <cell r="J35">
            <v>240399.35999999999</v>
          </cell>
        </row>
        <row r="36">
          <cell r="J36">
            <v>3384</v>
          </cell>
        </row>
        <row r="37">
          <cell r="J37">
            <v>35712</v>
          </cell>
        </row>
        <row r="38">
          <cell r="J38">
            <v>70416</v>
          </cell>
        </row>
        <row r="39">
          <cell r="J39">
            <v>43776</v>
          </cell>
        </row>
        <row r="40">
          <cell r="J40">
            <v>67968</v>
          </cell>
        </row>
        <row r="42">
          <cell r="J42">
            <v>1446552</v>
          </cell>
        </row>
        <row r="43">
          <cell r="J43">
            <v>390960</v>
          </cell>
        </row>
        <row r="44">
          <cell r="J44">
            <v>781920</v>
          </cell>
        </row>
        <row r="45">
          <cell r="J45">
            <v>390960</v>
          </cell>
        </row>
        <row r="46">
          <cell r="J46">
            <v>390960</v>
          </cell>
        </row>
        <row r="48">
          <cell r="J48">
            <v>293160</v>
          </cell>
        </row>
        <row r="49">
          <cell r="J49">
            <v>39823.933333333334</v>
          </cell>
        </row>
        <row r="50">
          <cell r="J50">
            <v>32693.73333333333</v>
          </cell>
        </row>
        <row r="51">
          <cell r="J51">
            <v>55344</v>
          </cell>
        </row>
        <row r="52">
          <cell r="J52">
            <v>66104.3</v>
          </cell>
        </row>
        <row r="53">
          <cell r="J53">
            <v>58212</v>
          </cell>
        </row>
        <row r="56">
          <cell r="J56">
            <v>910057.67999999993</v>
          </cell>
        </row>
        <row r="57">
          <cell r="J57">
            <v>46800</v>
          </cell>
        </row>
        <row r="58">
          <cell r="J58">
            <v>96000</v>
          </cell>
        </row>
        <row r="59">
          <cell r="J59">
            <v>217200</v>
          </cell>
        </row>
        <row r="60">
          <cell r="J60">
            <v>145200</v>
          </cell>
        </row>
        <row r="61">
          <cell r="J61">
            <v>119400</v>
          </cell>
        </row>
        <row r="62">
          <cell r="J62">
            <v>212783.52</v>
          </cell>
        </row>
        <row r="63">
          <cell r="J63">
            <v>102500</v>
          </cell>
        </row>
        <row r="64">
          <cell r="J64">
            <v>19800</v>
          </cell>
        </row>
        <row r="65">
          <cell r="J65">
            <v>29740</v>
          </cell>
        </row>
        <row r="66">
          <cell r="J66">
            <v>30371.52</v>
          </cell>
        </row>
        <row r="67">
          <cell r="J67">
            <v>30372</v>
          </cell>
        </row>
        <row r="68">
          <cell r="J68">
            <v>20000</v>
          </cell>
        </row>
        <row r="70">
          <cell r="J70">
            <v>367748.39999999997</v>
          </cell>
        </row>
        <row r="71">
          <cell r="J71">
            <v>43646</v>
          </cell>
        </row>
        <row r="72">
          <cell r="J72">
            <v>43646</v>
          </cell>
        </row>
        <row r="73">
          <cell r="J73">
            <v>43646</v>
          </cell>
        </row>
        <row r="75">
          <cell r="J75">
            <v>2370540</v>
          </cell>
        </row>
        <row r="78">
          <cell r="J78">
            <v>163329.84</v>
          </cell>
        </row>
        <row r="79">
          <cell r="J79">
            <v>19248</v>
          </cell>
        </row>
        <row r="80">
          <cell r="J80">
            <v>66192</v>
          </cell>
        </row>
        <row r="81">
          <cell r="J81">
            <v>35460</v>
          </cell>
        </row>
        <row r="82">
          <cell r="J82">
            <v>32592</v>
          </cell>
        </row>
        <row r="84">
          <cell r="J84">
            <v>68200</v>
          </cell>
        </row>
        <row r="85">
          <cell r="J85">
            <v>42240</v>
          </cell>
        </row>
        <row r="87">
          <cell r="J87">
            <v>45570.87999999999</v>
          </cell>
        </row>
        <row r="88">
          <cell r="J88">
            <v>217897.4</v>
          </cell>
        </row>
        <row r="96">
          <cell r="J96">
            <v>90445.200000000012</v>
          </cell>
        </row>
        <row r="99">
          <cell r="J99">
            <v>77400</v>
          </cell>
        </row>
        <row r="101">
          <cell r="J101">
            <v>48205.440000000002</v>
          </cell>
        </row>
        <row r="103">
          <cell r="J103">
            <v>183165</v>
          </cell>
        </row>
        <row r="104">
          <cell r="J104">
            <v>1582306.4830769231</v>
          </cell>
        </row>
        <row r="105">
          <cell r="J105">
            <v>823263</v>
          </cell>
        </row>
        <row r="107">
          <cell r="J107">
            <v>392980</v>
          </cell>
        </row>
        <row r="109">
          <cell r="J109">
            <v>29753290.333333336</v>
          </cell>
        </row>
        <row r="110">
          <cell r="J110">
            <v>329400</v>
          </cell>
        </row>
        <row r="112">
          <cell r="J112">
            <v>260715.5306</v>
          </cell>
        </row>
        <row r="113">
          <cell r="J113">
            <v>64404</v>
          </cell>
        </row>
        <row r="125">
          <cell r="J125">
            <v>10499151.6</v>
          </cell>
        </row>
        <row r="126">
          <cell r="J126">
            <v>231018</v>
          </cell>
        </row>
        <row r="127">
          <cell r="J127">
            <v>9240250</v>
          </cell>
        </row>
        <row r="128">
          <cell r="J128">
            <v>1000000</v>
          </cell>
        </row>
        <row r="129">
          <cell r="J129">
            <v>53406</v>
          </cell>
        </row>
        <row r="130">
          <cell r="J130">
            <v>63329.240000000005</v>
          </cell>
        </row>
        <row r="133">
          <cell r="J133">
            <v>131336.83836206896</v>
          </cell>
        </row>
        <row r="134">
          <cell r="J134">
            <v>193317.20689655174</v>
          </cell>
        </row>
        <row r="135">
          <cell r="J135">
            <v>1942380</v>
          </cell>
        </row>
      </sheetData>
      <sheetData sheetId="2" refreshError="1"/>
      <sheetData sheetId="3">
        <row r="26">
          <cell r="G26">
            <v>1130081.9494500002</v>
          </cell>
        </row>
      </sheetData>
      <sheetData sheetId="4">
        <row r="17">
          <cell r="E17">
            <v>36895</v>
          </cell>
        </row>
      </sheetData>
      <sheetData sheetId="5">
        <row r="13">
          <cell r="H13">
            <v>19057.5</v>
          </cell>
        </row>
      </sheetData>
      <sheetData sheetId="6">
        <row r="10">
          <cell r="D10">
            <v>12413.5</v>
          </cell>
        </row>
      </sheetData>
      <sheetData sheetId="7">
        <row r="13">
          <cell r="K13">
            <v>15801.21</v>
          </cell>
        </row>
      </sheetData>
      <sheetData sheetId="8">
        <row r="17">
          <cell r="D17">
            <v>2305440</v>
          </cell>
        </row>
      </sheetData>
      <sheetData sheetId="9">
        <row r="20">
          <cell r="B20">
            <v>1277569</v>
          </cell>
        </row>
      </sheetData>
      <sheetData sheetId="10" refreshError="1"/>
      <sheetData sheetId="11">
        <row r="7">
          <cell r="G7">
            <v>0.88241532192558592</v>
          </cell>
          <cell r="J7">
            <v>499203.78199999995</v>
          </cell>
        </row>
      </sheetData>
      <sheetData sheetId="12">
        <row r="17">
          <cell r="D17">
            <v>8386409.7000000002</v>
          </cell>
        </row>
      </sheetData>
      <sheetData sheetId="13">
        <row r="32">
          <cell r="B32">
            <v>67124.040000000008</v>
          </cell>
        </row>
      </sheetData>
      <sheetData sheetId="14">
        <row r="11">
          <cell r="G11">
            <v>246524.68</v>
          </cell>
        </row>
        <row r="31">
          <cell r="K31">
            <v>101237</v>
          </cell>
        </row>
      </sheetData>
      <sheetData sheetId="15">
        <row r="5">
          <cell r="B5">
            <v>1077</v>
          </cell>
        </row>
        <row r="12">
          <cell r="B12">
            <v>107.69999999999999</v>
          </cell>
        </row>
        <row r="28">
          <cell r="B28">
            <v>10823.008727272729</v>
          </cell>
        </row>
        <row r="32">
          <cell r="B32">
            <v>12446.460036363636</v>
          </cell>
        </row>
        <row r="39">
          <cell r="B39">
            <v>496.66666666666669</v>
          </cell>
        </row>
        <row r="45">
          <cell r="B45">
            <v>546.33333333333337</v>
          </cell>
        </row>
        <row r="61">
          <cell r="B61">
            <v>998.39454545454544</v>
          </cell>
        </row>
        <row r="65">
          <cell r="B65">
            <v>1148.1537272727271</v>
          </cell>
        </row>
        <row r="81">
          <cell r="B81">
            <v>37.727272727272727</v>
          </cell>
        </row>
        <row r="85">
          <cell r="B85">
            <v>43.386363636363633</v>
          </cell>
        </row>
        <row r="101">
          <cell r="B101">
            <v>127.27272727272727</v>
          </cell>
        </row>
        <row r="105">
          <cell r="B105">
            <v>146.36363636363635</v>
          </cell>
        </row>
        <row r="120">
          <cell r="B120">
            <v>140.55555555555554</v>
          </cell>
        </row>
      </sheetData>
      <sheetData sheetId="16" refreshError="1"/>
      <sheetData sheetId="17" refreshError="1"/>
      <sheetData sheetId="1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4预算稿 "/>
      <sheetName val="2013预算稿"/>
      <sheetName val="基础数据"/>
      <sheetName val="物业房租车位费"/>
      <sheetName val="部分费用明细（水电植物耗材茶歇）"/>
      <sheetName val="保安服务费"/>
      <sheetName val="保洁服务费"/>
      <sheetName val="阿姨工资奖金"/>
      <sheetName val="班车费用"/>
      <sheetName val="媒体大厦物业费 能源费"/>
      <sheetName val="媒体大厦日常和工程费用"/>
      <sheetName val="搜狐媒体大厦工位"/>
      <sheetName val="财产险"/>
      <sheetName val="capex"/>
      <sheetName val="北京地区公车车险及ES车辆养护"/>
      <sheetName val="装饰门禁电视空调维护"/>
      <sheetName val="武汉研发中心"/>
      <sheetName val="与2011年预算对比帮助"/>
      <sheetName val="与2012年预算对比"/>
      <sheetName val="2012预算稿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4预算稿 "/>
      <sheetName val="2013预算稿"/>
      <sheetName val="基础数据"/>
      <sheetName val="物业房租车位费"/>
      <sheetName val="部分费用明细（水电植物耗材茶歇）"/>
      <sheetName val="保安服务费"/>
      <sheetName val="保洁服务费"/>
      <sheetName val="阿姨工资奖金"/>
      <sheetName val="班车费用"/>
      <sheetName val="媒体大厦物业费 能源费"/>
      <sheetName val="媒体大厦日常和工程费用"/>
      <sheetName val="搜狐媒体大厦工位"/>
      <sheetName val="财产险"/>
      <sheetName val="capex"/>
      <sheetName val="北京地区公车车险及ES车辆养护"/>
      <sheetName val="装饰门禁电视空调维护"/>
      <sheetName val="武汉研发中心"/>
      <sheetName val="与2011年预算对比帮助"/>
      <sheetName val="与2012年预算对比"/>
      <sheetName val="2012预算稿"/>
    </sheetNames>
    <sheetDataSet>
      <sheetData sheetId="0" refreshError="1"/>
      <sheetData sheetId="1" refreshError="1"/>
      <sheetData sheetId="2">
        <row r="17">
          <cell r="E17">
            <v>0.16284779050736498</v>
          </cell>
        </row>
        <row r="18">
          <cell r="E18">
            <v>0.252</v>
          </cell>
        </row>
        <row r="19">
          <cell r="E19">
            <v>0.10855263157894737</v>
          </cell>
        </row>
        <row r="20">
          <cell r="E20">
            <v>0.19038817005545286</v>
          </cell>
        </row>
        <row r="21">
          <cell r="D21">
            <v>82</v>
          </cell>
          <cell r="E21">
            <v>0.21025641025641026</v>
          </cell>
        </row>
        <row r="23">
          <cell r="E23">
            <v>0.35436893203883496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3预算稿"/>
      <sheetName val="与2011年预算对比帮助"/>
      <sheetName val="搜狐媒体大厦"/>
      <sheetName val="与2012年预算对比"/>
      <sheetName val="2012预算稿"/>
      <sheetName val="基础数据"/>
      <sheetName val="物业房租车位费"/>
      <sheetName val="部分费用明细（水电植物耗材茶歇）"/>
      <sheetName val="保安服务费"/>
      <sheetName val="保洁服务费"/>
      <sheetName val="班车费用"/>
      <sheetName val="阿姨工资奖金"/>
      <sheetName val="2012年装饰门禁电视空调维护"/>
      <sheetName val="2012年财产保险"/>
      <sheetName val="2012年Capex明细"/>
      <sheetName val="2013年公司车险及ES车辆养护"/>
      <sheetName val="2011预算稿"/>
      <sheetName val="搜狐网络大厦办公室改造基础装修、网络建设和家具"/>
      <sheetName val="搜狐网络大厦IT预算汇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6">
          <cell r="B6">
            <v>0.2</v>
          </cell>
        </row>
        <row r="18">
          <cell r="E18">
            <v>0.13647746243739567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4预算稿 "/>
      <sheetName val="2013预算稿"/>
      <sheetName val="基础数据"/>
      <sheetName val="物业房租车位费"/>
      <sheetName val="部分费用明细（水电植物耗材茶歇）"/>
      <sheetName val="保安服务费"/>
      <sheetName val="保洁服务费"/>
      <sheetName val="阿姨工资奖金"/>
      <sheetName val="班车费用"/>
      <sheetName val="媒体大厦"/>
      <sheetName val="搜狐媒体大厦工位"/>
      <sheetName val="财产险"/>
      <sheetName val="capex"/>
      <sheetName val="北京地区公车车险及ES车辆养护"/>
      <sheetName val="装饰门禁电视空调维护"/>
      <sheetName val="武汉研发中心"/>
      <sheetName val="与2011年预算对比帮助"/>
      <sheetName val="与2012年预算对比"/>
      <sheetName val="2012预算稿"/>
      <sheetName val="Sheet1"/>
    </sheetNames>
    <sheetDataSet>
      <sheetData sheetId="0" refreshError="1"/>
      <sheetData sheetId="1" refreshError="1"/>
      <sheetData sheetId="2">
        <row r="21">
          <cell r="E21">
            <v>7.3937153419593345E-3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4预算稿 "/>
      <sheetName val="2013预算稿"/>
      <sheetName val="基础数据"/>
      <sheetName val="物业房租车位费"/>
      <sheetName val="部分费用明细（水电植物耗材茶歇）"/>
      <sheetName val="保安服务费"/>
      <sheetName val="保洁服务费"/>
      <sheetName val="阿姨工资奖金"/>
      <sheetName val="班车费用"/>
      <sheetName val="媒体大厦"/>
      <sheetName val="搜狐媒体大厦工位"/>
      <sheetName val="财产险"/>
      <sheetName val="capex"/>
      <sheetName val="北京地区公车车险及ES车辆养护"/>
      <sheetName val="装饰门禁电视空调维护"/>
      <sheetName val="武汉研发中心"/>
      <sheetName val="与2011年预算对比帮助"/>
      <sheetName val="与2012年预算对比"/>
      <sheetName val="2012预算稿"/>
    </sheetNames>
    <sheetDataSet>
      <sheetData sheetId="0" refreshError="1"/>
      <sheetData sheetId="1" refreshError="1"/>
      <sheetData sheetId="2">
        <row r="18">
          <cell r="E18">
            <v>0.13647746243739567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3预算稿"/>
      <sheetName val="与2011年预算对比帮助"/>
      <sheetName val="搜狐媒体大厦"/>
      <sheetName val="与2012年预算对比"/>
      <sheetName val="2012预算稿"/>
      <sheetName val="基础数据"/>
      <sheetName val="物业房租车位费"/>
      <sheetName val="部分费用明细（水电植物耗材茶歇）"/>
      <sheetName val="保安服务费"/>
      <sheetName val="保洁服务费"/>
      <sheetName val="班车费用"/>
      <sheetName val="阿姨工资奖金"/>
      <sheetName val="2012年装饰门禁电视空调维护"/>
      <sheetName val="2012年财产保险"/>
      <sheetName val="2012年Capex明细"/>
      <sheetName val="2013年公司车险及ES车辆养护"/>
      <sheetName val="2011预算稿"/>
      <sheetName val="搜狐网络大厦办公室改造基础装修、网络建设和家具"/>
      <sheetName val="搜狐网络大厦IT预算汇总"/>
    </sheetNames>
    <sheetDataSet>
      <sheetData sheetId="0"/>
      <sheetData sheetId="1"/>
      <sheetData sheetId="2">
        <row r="6">
          <cell r="A6">
            <v>1166572.3999999999</v>
          </cell>
        </row>
      </sheetData>
      <sheetData sheetId="3"/>
      <sheetData sheetId="4"/>
      <sheetData sheetId="5"/>
      <sheetData sheetId="6">
        <row r="23">
          <cell r="G23">
            <v>5339987.5950000016</v>
          </cell>
          <cell r="K23">
            <v>3394976.3250000002</v>
          </cell>
        </row>
        <row r="36">
          <cell r="G36">
            <v>25804.04</v>
          </cell>
          <cell r="K36">
            <v>184498.886</v>
          </cell>
        </row>
        <row r="39">
          <cell r="G39">
            <v>8030</v>
          </cell>
          <cell r="K39">
            <v>79497</v>
          </cell>
        </row>
        <row r="41">
          <cell r="L41">
            <v>250000</v>
          </cell>
        </row>
        <row r="42">
          <cell r="H42">
            <v>676164</v>
          </cell>
          <cell r="L42">
            <v>7694280</v>
          </cell>
        </row>
        <row r="43">
          <cell r="H43">
            <v>769680</v>
          </cell>
          <cell r="L43">
            <v>9072000</v>
          </cell>
        </row>
        <row r="44">
          <cell r="H44">
            <v>480588</v>
          </cell>
          <cell r="L44">
            <v>5800200</v>
          </cell>
        </row>
        <row r="45">
          <cell r="H45">
            <v>922402.56</v>
          </cell>
          <cell r="L45">
            <v>7532136.959999999</v>
          </cell>
        </row>
        <row r="46">
          <cell r="H46">
            <v>914597.28</v>
          </cell>
        </row>
        <row r="49">
          <cell r="L49">
            <v>0</v>
          </cell>
        </row>
        <row r="50">
          <cell r="L50">
            <v>293760</v>
          </cell>
        </row>
        <row r="51">
          <cell r="L51">
            <v>362000</v>
          </cell>
        </row>
        <row r="52">
          <cell r="L52">
            <v>58800</v>
          </cell>
        </row>
        <row r="53">
          <cell r="L53">
            <v>126000</v>
          </cell>
        </row>
        <row r="54">
          <cell r="L54">
            <v>187200</v>
          </cell>
        </row>
        <row r="55">
          <cell r="H55">
            <v>18000</v>
          </cell>
          <cell r="L55">
            <v>102000</v>
          </cell>
        </row>
        <row r="56">
          <cell r="H56">
            <v>10800</v>
          </cell>
          <cell r="L56">
            <v>46800</v>
          </cell>
        </row>
        <row r="57">
          <cell r="H57">
            <v>18000</v>
          </cell>
          <cell r="L57">
            <v>102000</v>
          </cell>
        </row>
        <row r="58">
          <cell r="H58">
            <v>10800</v>
          </cell>
          <cell r="L58">
            <v>46800</v>
          </cell>
        </row>
      </sheetData>
      <sheetData sheetId="7">
        <row r="17">
          <cell r="E17">
            <v>264775</v>
          </cell>
          <cell r="H17">
            <v>478</v>
          </cell>
          <cell r="K17">
            <v>18918</v>
          </cell>
          <cell r="N17">
            <v>37423</v>
          </cell>
          <cell r="Q17">
            <v>22381</v>
          </cell>
          <cell r="T17">
            <v>32374</v>
          </cell>
        </row>
        <row r="36">
          <cell r="E36">
            <v>27072</v>
          </cell>
          <cell r="G36">
            <v>480</v>
          </cell>
          <cell r="I36">
            <v>2976</v>
          </cell>
          <cell r="K36">
            <v>5868</v>
          </cell>
          <cell r="M36">
            <v>3648</v>
          </cell>
          <cell r="O36">
            <v>5664</v>
          </cell>
          <cell r="Q36">
            <v>60</v>
          </cell>
          <cell r="S36">
            <v>24</v>
          </cell>
        </row>
        <row r="55">
          <cell r="C55">
            <v>24429.705555555553</v>
          </cell>
          <cell r="D55">
            <v>420.9</v>
          </cell>
          <cell r="E55">
            <v>3108.3222222222216</v>
          </cell>
          <cell r="F55">
            <v>2724.4777777777776</v>
          </cell>
          <cell r="G55">
            <v>4612.0111111111109</v>
          </cell>
          <cell r="H55">
            <v>5508.6916666666666</v>
          </cell>
          <cell r="I55">
            <v>4850.5722222222212</v>
          </cell>
        </row>
        <row r="75">
          <cell r="C75">
            <v>18393</v>
          </cell>
          <cell r="D75">
            <v>1604</v>
          </cell>
          <cell r="E75">
            <v>5516</v>
          </cell>
          <cell r="F75">
            <v>2955</v>
          </cell>
          <cell r="G75">
            <v>2716</v>
          </cell>
        </row>
        <row r="114">
          <cell r="C114">
            <v>4017.12</v>
          </cell>
        </row>
        <row r="136">
          <cell r="D136">
            <v>3797.5733333333328</v>
          </cell>
        </row>
      </sheetData>
      <sheetData sheetId="8">
        <row r="13">
          <cell r="H13">
            <v>162900</v>
          </cell>
        </row>
        <row r="26">
          <cell r="H26">
            <v>32580</v>
          </cell>
        </row>
        <row r="39">
          <cell r="H39">
            <v>65160</v>
          </cell>
        </row>
        <row r="52">
          <cell r="H52">
            <v>32580</v>
          </cell>
        </row>
        <row r="65">
          <cell r="H65">
            <v>32580</v>
          </cell>
        </row>
      </sheetData>
      <sheetData sheetId="9">
        <row r="11">
          <cell r="D11">
            <v>75838.14</v>
          </cell>
        </row>
        <row r="12">
          <cell r="D12">
            <v>102500.04000000001</v>
          </cell>
        </row>
        <row r="18">
          <cell r="D18">
            <v>3500</v>
          </cell>
        </row>
        <row r="24">
          <cell r="D24">
            <v>400</v>
          </cell>
        </row>
        <row r="30">
          <cell r="D30">
            <v>8000</v>
          </cell>
        </row>
        <row r="40">
          <cell r="D40">
            <v>18100</v>
          </cell>
        </row>
        <row r="43">
          <cell r="D43">
            <v>29744.400000000001</v>
          </cell>
        </row>
        <row r="51">
          <cell r="D51">
            <v>12100</v>
          </cell>
        </row>
        <row r="52">
          <cell r="D52">
            <v>30371.52</v>
          </cell>
        </row>
        <row r="60">
          <cell r="D60">
            <v>9950</v>
          </cell>
        </row>
      </sheetData>
      <sheetData sheetId="10">
        <row r="17">
          <cell r="D17">
            <v>527160</v>
          </cell>
        </row>
      </sheetData>
      <sheetData sheetId="11">
        <row r="11">
          <cell r="K11">
            <v>1710</v>
          </cell>
        </row>
        <row r="22">
          <cell r="K22">
            <v>31601.449999999997</v>
          </cell>
        </row>
        <row r="31">
          <cell r="K31">
            <v>3520</v>
          </cell>
        </row>
        <row r="40">
          <cell r="K40">
            <v>3520</v>
          </cell>
        </row>
        <row r="49">
          <cell r="K49">
            <v>3520</v>
          </cell>
        </row>
      </sheetData>
      <sheetData sheetId="12">
        <row r="5">
          <cell r="G5">
            <v>321258.05000000005</v>
          </cell>
        </row>
      </sheetData>
      <sheetData sheetId="13">
        <row r="30">
          <cell r="F30">
            <v>392979.84</v>
          </cell>
        </row>
      </sheetData>
      <sheetData sheetId="14">
        <row r="17">
          <cell r="E17">
            <v>7438322.583333334</v>
          </cell>
        </row>
      </sheetData>
      <sheetData sheetId="15">
        <row r="27">
          <cell r="B27">
            <v>74679.772200000007</v>
          </cell>
        </row>
      </sheetData>
      <sheetData sheetId="16"/>
      <sheetData sheetId="17">
        <row r="29">
          <cell r="C29">
            <v>83353065</v>
          </cell>
        </row>
      </sheetData>
      <sheetData sheetId="18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2预算稿"/>
      <sheetName val="与2011年预算对比"/>
      <sheetName val="与2011年预算对比帮助"/>
      <sheetName val="租赁及行政运营"/>
      <sheetName val="基础数据"/>
      <sheetName val="物业房租车位费"/>
      <sheetName val="部分费用明细（水电植物耗材茶歇）"/>
      <sheetName val="保安服务费"/>
      <sheetName val="保洁服务费"/>
      <sheetName val="班车费用"/>
      <sheetName val="阿姨工资奖金"/>
      <sheetName val="2012年Capex明细"/>
      <sheetName val="2012年财产保险"/>
      <sheetName val="2012年公司车险及ES车辆养护"/>
      <sheetName val="2012年装饰门禁电视空调维护"/>
      <sheetName val="2011预算稿"/>
      <sheetName val="ES2010预算初稿 "/>
    </sheetNames>
    <sheetDataSet>
      <sheetData sheetId="0" refreshError="1"/>
      <sheetData sheetId="1" refreshError="1"/>
      <sheetData sheetId="2">
        <row r="23">
          <cell r="F23">
            <v>9686856.6974999998</v>
          </cell>
          <cell r="G23">
            <v>11022948.8575</v>
          </cell>
          <cell r="H23">
            <v>11258154.8575</v>
          </cell>
          <cell r="I23">
            <v>11728566.8575</v>
          </cell>
        </row>
        <row r="32">
          <cell r="F32">
            <v>349270</v>
          </cell>
          <cell r="G32">
            <v>402870</v>
          </cell>
          <cell r="H32">
            <v>402870</v>
          </cell>
          <cell r="I32">
            <v>402870</v>
          </cell>
        </row>
        <row r="40">
          <cell r="F40">
            <v>1257655.8</v>
          </cell>
          <cell r="G40">
            <v>1291747.80968523</v>
          </cell>
          <cell r="H40">
            <v>1308793.814527845</v>
          </cell>
          <cell r="I40">
            <v>1308793.814527845</v>
          </cell>
        </row>
        <row r="48">
          <cell r="F48">
            <v>131482.20000000001</v>
          </cell>
          <cell r="G48">
            <v>134550.4808716707</v>
          </cell>
          <cell r="H48">
            <v>136084.62130750605</v>
          </cell>
          <cell r="I48">
            <v>136084.62130750605</v>
          </cell>
        </row>
        <row r="55">
          <cell r="F55">
            <v>756150</v>
          </cell>
          <cell r="G55">
            <v>1146500</v>
          </cell>
          <cell r="H55">
            <v>1156500</v>
          </cell>
          <cell r="I55">
            <v>1156500</v>
          </cell>
        </row>
        <row r="63">
          <cell r="F63">
            <v>100131.34199999999</v>
          </cell>
          <cell r="G63">
            <v>105708.17827779529</v>
          </cell>
          <cell r="H63">
            <v>106823.54553335437</v>
          </cell>
          <cell r="I63">
            <v>106823.54553335437</v>
          </cell>
        </row>
        <row r="79">
          <cell r="F79">
            <v>348000</v>
          </cell>
          <cell r="G79">
            <v>371623.83999999997</v>
          </cell>
          <cell r="H79">
            <v>306500</v>
          </cell>
          <cell r="I79">
            <v>374323.83999999997</v>
          </cell>
        </row>
        <row r="86">
          <cell r="F86">
            <v>139359.62</v>
          </cell>
          <cell r="G86">
            <v>129257.62</v>
          </cell>
          <cell r="H86">
            <v>130957.62</v>
          </cell>
          <cell r="I86">
            <v>130957.62</v>
          </cell>
        </row>
        <row r="89">
          <cell r="F89">
            <v>588750</v>
          </cell>
          <cell r="G89">
            <v>611750</v>
          </cell>
          <cell r="H89">
            <v>657750</v>
          </cell>
          <cell r="I89">
            <v>657750</v>
          </cell>
        </row>
        <row r="100">
          <cell r="F100">
            <v>176115.71322033898</v>
          </cell>
          <cell r="G100">
            <v>123915.71322033898</v>
          </cell>
          <cell r="H100">
            <v>148615.71322033898</v>
          </cell>
          <cell r="I100">
            <v>128615.71322033898</v>
          </cell>
        </row>
        <row r="110">
          <cell r="F110">
            <v>48041.64</v>
          </cell>
          <cell r="G110">
            <v>117630.63515738498</v>
          </cell>
          <cell r="H110">
            <v>48672.635157384982</v>
          </cell>
          <cell r="I110">
            <v>48672.635157384982</v>
          </cell>
        </row>
        <row r="138">
          <cell r="F138">
            <v>342012.35593220335</v>
          </cell>
          <cell r="G138">
            <v>357630.37046004843</v>
          </cell>
          <cell r="H138">
            <v>365439.37772397092</v>
          </cell>
          <cell r="I138">
            <v>365439.37772397092</v>
          </cell>
        </row>
        <row r="142">
          <cell r="F142">
            <v>366139.03076923074</v>
          </cell>
          <cell r="G142">
            <v>638901.0307692308</v>
          </cell>
          <cell r="H142">
            <v>619828.0307692308</v>
          </cell>
          <cell r="I142">
            <v>481046.03076923074</v>
          </cell>
        </row>
        <row r="144">
          <cell r="F144">
            <v>100961</v>
          </cell>
          <cell r="G144">
            <v>100961</v>
          </cell>
          <cell r="H144">
            <v>100961</v>
          </cell>
          <cell r="I144">
            <v>100961</v>
          </cell>
        </row>
        <row r="148">
          <cell r="F148">
            <v>10392104.359999999</v>
          </cell>
          <cell r="G148">
            <v>9754822.4000000004</v>
          </cell>
          <cell r="H148">
            <v>5793222.4000000004</v>
          </cell>
          <cell r="I148">
            <v>5367222.4000000004</v>
          </cell>
        </row>
        <row r="151">
          <cell r="F151">
            <v>55877</v>
          </cell>
          <cell r="G151">
            <v>72464</v>
          </cell>
          <cell r="H151">
            <v>81033</v>
          </cell>
          <cell r="I151">
            <v>47452</v>
          </cell>
        </row>
        <row r="152">
          <cell r="F152">
            <v>24838906.759421773</v>
          </cell>
          <cell r="G152">
            <v>26383281.9359417</v>
          </cell>
          <cell r="H152">
            <v>22622206.615739629</v>
          </cell>
          <cell r="I152">
            <v>22542079.455739632</v>
          </cell>
        </row>
      </sheetData>
      <sheetData sheetId="3" refreshError="1"/>
      <sheetData sheetId="4" refreshError="1"/>
      <sheetData sheetId="5">
        <row r="23">
          <cell r="G23">
            <v>5339987.5950000016</v>
          </cell>
          <cell r="K23">
            <v>2663750.6549999998</v>
          </cell>
        </row>
        <row r="36">
          <cell r="G36">
            <v>25804.04</v>
          </cell>
          <cell r="K36">
            <v>167726.25999999998</v>
          </cell>
        </row>
        <row r="39">
          <cell r="G39">
            <v>8030</v>
          </cell>
          <cell r="K39">
            <v>72270</v>
          </cell>
        </row>
        <row r="41">
          <cell r="L41">
            <v>500000</v>
          </cell>
        </row>
        <row r="42">
          <cell r="H42">
            <v>699480</v>
          </cell>
          <cell r="L42">
            <v>5595840</v>
          </cell>
        </row>
        <row r="43">
          <cell r="H43">
            <v>795600</v>
          </cell>
          <cell r="L43">
            <v>7128000</v>
          </cell>
        </row>
        <row r="44">
          <cell r="H44">
            <v>497160</v>
          </cell>
          <cell r="L44">
            <v>4557300</v>
          </cell>
        </row>
        <row r="45">
          <cell r="H45">
            <v>910402.56000000006</v>
          </cell>
          <cell r="L45">
            <v>6276780.7999999998</v>
          </cell>
        </row>
        <row r="46">
          <cell r="H46">
            <v>914597.28</v>
          </cell>
          <cell r="L46">
            <v>6259294.0800000001</v>
          </cell>
        </row>
        <row r="49">
          <cell r="L49">
            <v>0</v>
          </cell>
        </row>
        <row r="50">
          <cell r="L50">
            <v>299880</v>
          </cell>
        </row>
        <row r="51">
          <cell r="L51">
            <v>36000</v>
          </cell>
        </row>
        <row r="52">
          <cell r="L52">
            <v>356400</v>
          </cell>
        </row>
        <row r="53">
          <cell r="L53">
            <v>58800</v>
          </cell>
        </row>
        <row r="54">
          <cell r="L54">
            <v>126000</v>
          </cell>
        </row>
        <row r="55">
          <cell r="L55">
            <v>168000</v>
          </cell>
        </row>
        <row r="56">
          <cell r="H56">
            <v>21000</v>
          </cell>
          <cell r="L56">
            <v>119000</v>
          </cell>
        </row>
        <row r="57">
          <cell r="H57">
            <v>12000</v>
          </cell>
          <cell r="L57">
            <v>52000</v>
          </cell>
        </row>
        <row r="58">
          <cell r="H58">
            <v>25200</v>
          </cell>
          <cell r="L58">
            <v>142800</v>
          </cell>
        </row>
        <row r="59">
          <cell r="H59">
            <v>14400</v>
          </cell>
          <cell r="L59">
            <v>62400</v>
          </cell>
        </row>
      </sheetData>
      <sheetData sheetId="6">
        <row r="17">
          <cell r="E17">
            <v>348840</v>
          </cell>
          <cell r="H17">
            <v>1734</v>
          </cell>
          <cell r="K17">
            <v>26730</v>
          </cell>
          <cell r="N17">
            <v>41470</v>
          </cell>
          <cell r="Q17">
            <v>39663</v>
          </cell>
          <cell r="T17">
            <v>51480</v>
          </cell>
        </row>
        <row r="35">
          <cell r="E35">
            <v>37410</v>
          </cell>
          <cell r="G35">
            <v>860</v>
          </cell>
          <cell r="I35">
            <v>2269</v>
          </cell>
          <cell r="K35">
            <v>5740</v>
          </cell>
          <cell r="M35">
            <v>3090</v>
          </cell>
          <cell r="O35">
            <v>4034</v>
          </cell>
          <cell r="Q35">
            <v>126</v>
          </cell>
          <cell r="S35">
            <v>26</v>
          </cell>
        </row>
        <row r="52">
          <cell r="C52">
            <v>23246.1</v>
          </cell>
          <cell r="D52">
            <v>386.4</v>
          </cell>
          <cell r="E52">
            <v>1902.1</v>
          </cell>
          <cell r="F52">
            <v>1342.05</v>
          </cell>
          <cell r="G52">
            <v>3569.7916666666661</v>
          </cell>
          <cell r="H52">
            <v>4485</v>
          </cell>
          <cell r="I52">
            <v>4485</v>
          </cell>
        </row>
        <row r="68">
          <cell r="C68">
            <v>20946</v>
          </cell>
          <cell r="D68">
            <v>2622</v>
          </cell>
          <cell r="E68">
            <v>5422</v>
          </cell>
          <cell r="F68">
            <v>7917</v>
          </cell>
        </row>
        <row r="90">
          <cell r="C90">
            <v>9962</v>
          </cell>
          <cell r="K90">
            <v>989</v>
          </cell>
          <cell r="S90">
            <v>992</v>
          </cell>
          <cell r="AA90">
            <v>1394</v>
          </cell>
        </row>
        <row r="108">
          <cell r="F108">
            <v>2820.3333333333335</v>
          </cell>
        </row>
        <row r="127">
          <cell r="C127">
            <v>8848.4416666666693</v>
          </cell>
          <cell r="D127">
            <v>393.6</v>
          </cell>
          <cell r="E127">
            <v>2930.625</v>
          </cell>
          <cell r="F127">
            <v>3523.2</v>
          </cell>
        </row>
        <row r="146">
          <cell r="C146">
            <v>11991.25</v>
          </cell>
          <cell r="D146">
            <v>14336.973611111109</v>
          </cell>
          <cell r="F146">
            <v>1594.5833333333335</v>
          </cell>
          <cell r="G146">
            <v>1911.5964814814811</v>
          </cell>
          <cell r="H146">
            <v>5668.0357142857147</v>
          </cell>
          <cell r="I146">
            <v>3823.1929629629622</v>
          </cell>
          <cell r="J146">
            <v>1781.25</v>
          </cell>
          <cell r="K146">
            <v>1911.5964814814811</v>
          </cell>
        </row>
        <row r="163">
          <cell r="D163">
            <v>41963.653333333343</v>
          </cell>
        </row>
      </sheetData>
      <sheetData sheetId="7">
        <row r="13">
          <cell r="H13">
            <v>118175</v>
          </cell>
        </row>
        <row r="16">
          <cell r="H16">
            <v>195500</v>
          </cell>
        </row>
        <row r="28">
          <cell r="H28">
            <v>26775</v>
          </cell>
        </row>
        <row r="31">
          <cell r="H31">
            <v>34000</v>
          </cell>
        </row>
        <row r="42">
          <cell r="H42">
            <v>53550</v>
          </cell>
        </row>
        <row r="45">
          <cell r="H45">
            <v>68000</v>
          </cell>
        </row>
        <row r="57">
          <cell r="H57">
            <v>26775</v>
          </cell>
        </row>
        <row r="60">
          <cell r="H60">
            <v>34000</v>
          </cell>
        </row>
        <row r="72">
          <cell r="H72">
            <v>26775</v>
          </cell>
        </row>
        <row r="75">
          <cell r="H75">
            <v>34000</v>
          </cell>
        </row>
      </sheetData>
      <sheetData sheetId="8">
        <row r="10">
          <cell r="D10">
            <v>53300</v>
          </cell>
        </row>
        <row r="11">
          <cell r="D11">
            <v>34166.68</v>
          </cell>
        </row>
        <row r="17">
          <cell r="D17">
            <v>3500</v>
          </cell>
        </row>
        <row r="23">
          <cell r="D23">
            <v>400</v>
          </cell>
        </row>
        <row r="29">
          <cell r="D29">
            <v>7200</v>
          </cell>
        </row>
        <row r="30">
          <cell r="D30">
            <v>6000</v>
          </cell>
        </row>
        <row r="39">
          <cell r="D39">
            <v>16300</v>
          </cell>
        </row>
        <row r="42">
          <cell r="D42">
            <v>9914.7999999999993</v>
          </cell>
        </row>
        <row r="48">
          <cell r="D48">
            <v>7200</v>
          </cell>
        </row>
        <row r="49">
          <cell r="D49">
            <v>10123.84</v>
          </cell>
        </row>
        <row r="55">
          <cell r="D55">
            <v>7200</v>
          </cell>
        </row>
        <row r="56">
          <cell r="D56">
            <v>7021.6439999999993</v>
          </cell>
        </row>
      </sheetData>
      <sheetData sheetId="9">
        <row r="10">
          <cell r="E10">
            <v>588750</v>
          </cell>
        </row>
      </sheetData>
      <sheetData sheetId="10">
        <row r="21">
          <cell r="K21">
            <v>27822.54</v>
          </cell>
          <cell r="L21">
            <v>10560</v>
          </cell>
          <cell r="M21">
            <v>3248</v>
          </cell>
        </row>
        <row r="32">
          <cell r="K32">
            <v>3070</v>
          </cell>
          <cell r="L32">
            <v>750</v>
          </cell>
          <cell r="M32">
            <v>406</v>
          </cell>
        </row>
        <row r="41">
          <cell r="K41">
            <v>3220</v>
          </cell>
          <cell r="L41">
            <v>1000</v>
          </cell>
          <cell r="M41">
            <v>406</v>
          </cell>
        </row>
        <row r="50">
          <cell r="K50">
            <v>3070</v>
          </cell>
          <cell r="L50">
            <v>710</v>
          </cell>
          <cell r="M50">
            <v>406</v>
          </cell>
        </row>
      </sheetData>
      <sheetData sheetId="11">
        <row r="17">
          <cell r="E17">
            <v>5562802.4000000004</v>
          </cell>
          <cell r="G17">
            <v>5912492.4000000004</v>
          </cell>
          <cell r="I17">
            <v>5735222.4000000004</v>
          </cell>
          <cell r="K17">
            <v>5327222.4000000004</v>
          </cell>
        </row>
        <row r="19">
          <cell r="E19">
            <v>28000</v>
          </cell>
          <cell r="G19">
            <v>28000</v>
          </cell>
          <cell r="I19">
            <v>28000</v>
          </cell>
        </row>
        <row r="20">
          <cell r="E20">
            <v>12000</v>
          </cell>
          <cell r="G20">
            <v>30000</v>
          </cell>
          <cell r="I20">
            <v>12000</v>
          </cell>
        </row>
        <row r="21">
          <cell r="E21">
            <v>3750467.96</v>
          </cell>
          <cell r="G21">
            <v>3228000</v>
          </cell>
        </row>
        <row r="22">
          <cell r="E22">
            <v>1038834</v>
          </cell>
          <cell r="G22">
            <v>556330</v>
          </cell>
        </row>
      </sheetData>
      <sheetData sheetId="12">
        <row r="22">
          <cell r="F22">
            <v>403844.65333333338</v>
          </cell>
        </row>
      </sheetData>
      <sheetData sheetId="13">
        <row r="23">
          <cell r="N23">
            <v>5908.333333333333</v>
          </cell>
        </row>
      </sheetData>
      <sheetData sheetId="14">
        <row r="5">
          <cell r="G5">
            <v>228554.55</v>
          </cell>
          <cell r="H5">
            <v>228554.55</v>
          </cell>
          <cell r="I5">
            <v>228554.55</v>
          </cell>
          <cell r="J5">
            <v>228554.55</v>
          </cell>
        </row>
        <row r="8">
          <cell r="G8">
            <v>15805</v>
          </cell>
          <cell r="H8">
            <v>15805</v>
          </cell>
          <cell r="I8">
            <v>15805</v>
          </cell>
          <cell r="J8">
            <v>15805</v>
          </cell>
        </row>
        <row r="10">
          <cell r="G10">
            <v>10800</v>
          </cell>
          <cell r="H10">
            <v>10800</v>
          </cell>
          <cell r="I10">
            <v>10800</v>
          </cell>
          <cell r="J10">
            <v>10800</v>
          </cell>
        </row>
        <row r="12">
          <cell r="G12">
            <v>14069.48076923077</v>
          </cell>
          <cell r="H12">
            <v>14069.48076923077</v>
          </cell>
          <cell r="I12">
            <v>19829.48076923077</v>
          </cell>
          <cell r="J12">
            <v>19829.48076923077</v>
          </cell>
        </row>
        <row r="14">
          <cell r="I14">
            <v>480</v>
          </cell>
          <cell r="J14">
            <v>480</v>
          </cell>
        </row>
        <row r="18">
          <cell r="H18">
            <v>35000</v>
          </cell>
        </row>
        <row r="20">
          <cell r="G20">
            <v>15000</v>
          </cell>
          <cell r="H20">
            <v>15000</v>
          </cell>
          <cell r="I20">
            <v>15000</v>
          </cell>
          <cell r="J20">
            <v>15000</v>
          </cell>
        </row>
        <row r="21">
          <cell r="H21">
            <v>10000</v>
          </cell>
          <cell r="J21">
            <v>20000</v>
          </cell>
        </row>
        <row r="23">
          <cell r="H23">
            <v>7333</v>
          </cell>
          <cell r="J23">
            <v>14667</v>
          </cell>
        </row>
        <row r="26">
          <cell r="G26">
            <v>35750</v>
          </cell>
          <cell r="H26">
            <v>35750</v>
          </cell>
          <cell r="I26">
            <v>35750</v>
          </cell>
          <cell r="J26">
            <v>35750</v>
          </cell>
        </row>
        <row r="29">
          <cell r="H29">
            <v>13200</v>
          </cell>
          <cell r="J29">
            <v>19800</v>
          </cell>
        </row>
        <row r="31">
          <cell r="H31">
            <v>20000</v>
          </cell>
          <cell r="J31">
            <v>20000</v>
          </cell>
        </row>
        <row r="32">
          <cell r="H32">
            <v>40000</v>
          </cell>
          <cell r="J32">
            <v>40000</v>
          </cell>
        </row>
        <row r="34">
          <cell r="H34">
            <v>20000</v>
          </cell>
        </row>
        <row r="37">
          <cell r="G37">
            <v>0</v>
          </cell>
          <cell r="H37">
            <v>21429</v>
          </cell>
          <cell r="I37">
            <v>0</v>
          </cell>
        </row>
        <row r="39">
          <cell r="H39">
            <v>100000</v>
          </cell>
        </row>
        <row r="40">
          <cell r="H40">
            <v>20000</v>
          </cell>
          <cell r="I40">
            <v>20000</v>
          </cell>
          <cell r="J40">
            <v>10000</v>
          </cell>
        </row>
        <row r="42">
          <cell r="G42">
            <v>30360</v>
          </cell>
          <cell r="H42">
            <v>30360</v>
          </cell>
          <cell r="I42">
            <v>30360</v>
          </cell>
          <cell r="J42">
            <v>30360</v>
          </cell>
        </row>
        <row r="45">
          <cell r="G45">
            <v>13000</v>
          </cell>
        </row>
        <row r="47">
          <cell r="G47">
            <v>2800</v>
          </cell>
          <cell r="H47">
            <v>1600</v>
          </cell>
          <cell r="I47">
            <v>2100</v>
          </cell>
        </row>
        <row r="49">
          <cell r="I49">
            <v>79120</v>
          </cell>
        </row>
        <row r="50">
          <cell r="I50">
            <v>162029</v>
          </cell>
        </row>
      </sheetData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件"/>
      <sheetName val="附件 (2)"/>
      <sheetName val="3_12"/>
      <sheetName val="3_12 (2)"/>
      <sheetName val="监控配置 (2)"/>
      <sheetName val="3_29"/>
      <sheetName val="422"/>
      <sheetName val="配置比较"/>
      <sheetName val="报价比较"/>
      <sheetName val="比较"/>
      <sheetName val="增减"/>
      <sheetName val="报价比较 (2)"/>
      <sheetName val="监控图"/>
      <sheetName val="报警配置"/>
      <sheetName val="报警配置 (2)"/>
      <sheetName val="报警图"/>
      <sheetName val="报警图426"/>
      <sheetName val="联网图426"/>
      <sheetName val="监控516"/>
      <sheetName val="附件516"/>
      <sheetName val="系数5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>
        <row r="2">
          <cell r="C2">
            <v>2</v>
          </cell>
        </row>
        <row r="3">
          <cell r="C3">
            <v>1.5</v>
          </cell>
        </row>
        <row r="4">
          <cell r="C4">
            <v>3</v>
          </cell>
        </row>
        <row r="5">
          <cell r="C5">
            <v>2</v>
          </cell>
        </row>
        <row r="9">
          <cell r="C9">
            <v>1.5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水平区"/>
      <sheetName val="干线区"/>
      <sheetName val="管理区"/>
      <sheetName val="报价单"/>
      <sheetName val="POWER ASSUMPTION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. Overview"/>
      <sheetName val="Toolbox"/>
      <sheetName val="基本设置"/>
    </sheetNames>
    <sheetDataSet>
      <sheetData sheetId="0" refreshError="1"/>
      <sheetData sheetId="1" refreshError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9"/>
      <sheetName val="Sheet1"/>
      <sheetName val="Sheet2"/>
      <sheetName val="Sheet3"/>
      <sheetName val="XL4Poppy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"/>
      <sheetName val="XL4Poppy"/>
      <sheetName val="Open"/>
    </sheetNames>
    <sheetDataSet>
      <sheetData sheetId="0" refreshError="1"/>
      <sheetData sheetId="1" refreshError="1">
        <row r="9">
          <cell r="C9" t="b">
            <v>1</v>
          </cell>
        </row>
        <row r="15">
          <cell r="A15" t="b">
            <v>1</v>
          </cell>
        </row>
        <row r="26">
          <cell r="A26" t="b">
            <v>1</v>
          </cell>
        </row>
        <row r="27">
          <cell r="C27" t="e">
            <v>#N/A</v>
          </cell>
        </row>
        <row r="31">
          <cell r="C31" t="b">
            <v>1</v>
          </cell>
        </row>
        <row r="39">
          <cell r="C39" t="b">
            <v>1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DC分布"/>
      <sheetName val="设备一览表"/>
      <sheetName val="取费表"/>
      <sheetName val="预算表 "/>
      <sheetName val="爱谱（其它线）"/>
      <sheetName val="BAS"/>
      <sheetName val="预算200326"/>
      <sheetName val="99CCTV"/>
      <sheetName val="99PA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G.1R-Shou COP Gf"/>
      <sheetName val="Ma"/>
      <sheetName val="Mai"/>
    </sheetNames>
    <sheetDataSet>
      <sheetData sheetId="0" refreshError="1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showGridLines="0" workbookViewId="0">
      <pane xSplit="1" ySplit="1" topLeftCell="B14" activePane="bottomRight" state="frozen"/>
      <selection pane="topRight" activeCell="B1" sqref="B1"/>
      <selection pane="bottomLeft" activeCell="A3" sqref="A3"/>
      <selection pane="bottomRight" activeCell="D69" sqref="D69"/>
    </sheetView>
  </sheetViews>
  <sheetFormatPr defaultRowHeight="13.5"/>
  <cols>
    <col min="1" max="1" width="19.25" bestFit="1" customWidth="1"/>
    <col min="2" max="2" width="13.75" customWidth="1"/>
    <col min="3" max="7" width="9.75" bestFit="1" customWidth="1"/>
  </cols>
  <sheetData>
    <row r="1" spans="1:8" ht="33.75" customHeight="1">
      <c r="A1" s="1248" t="s">
        <v>1961</v>
      </c>
      <c r="B1" s="1257" t="s">
        <v>1969</v>
      </c>
      <c r="C1" s="1248" t="s">
        <v>1967</v>
      </c>
      <c r="D1" s="1248" t="s">
        <v>1988</v>
      </c>
      <c r="E1" s="1248" t="s">
        <v>1964</v>
      </c>
      <c r="F1" s="1248" t="s">
        <v>1966</v>
      </c>
      <c r="G1" s="1248" t="s">
        <v>1968</v>
      </c>
      <c r="H1" s="1249"/>
    </row>
    <row r="2" spans="1:8">
      <c r="A2" s="1307" t="s">
        <v>1959</v>
      </c>
      <c r="B2" s="1258">
        <v>2015</v>
      </c>
      <c r="C2" s="1252" t="s">
        <v>1992</v>
      </c>
      <c r="D2" s="1252" t="s">
        <v>1992</v>
      </c>
      <c r="E2" s="1252" t="s">
        <v>1992</v>
      </c>
      <c r="F2" s="1252" t="s">
        <v>1992</v>
      </c>
      <c r="G2" s="1252" t="s">
        <v>1992</v>
      </c>
    </row>
    <row r="3" spans="1:8">
      <c r="A3" s="1308"/>
      <c r="B3" s="1259">
        <v>2014</v>
      </c>
      <c r="C3" s="1253" t="s">
        <v>1992</v>
      </c>
      <c r="D3" s="1253" t="s">
        <v>1992</v>
      </c>
      <c r="E3" s="1253" t="s">
        <v>1992</v>
      </c>
      <c r="F3" s="1253" t="s">
        <v>1992</v>
      </c>
      <c r="G3" s="1253" t="s">
        <v>1992</v>
      </c>
    </row>
    <row r="4" spans="1:8">
      <c r="A4" s="1307" t="s">
        <v>1530</v>
      </c>
      <c r="B4" s="1258">
        <v>2015</v>
      </c>
      <c r="C4" s="1252" t="s">
        <v>1992</v>
      </c>
      <c r="D4" s="1252" t="s">
        <v>1992</v>
      </c>
      <c r="E4" s="1252" t="s">
        <v>1992</v>
      </c>
      <c r="F4" s="1252" t="s">
        <v>1992</v>
      </c>
      <c r="G4" s="1252" t="s">
        <v>1992</v>
      </c>
    </row>
    <row r="5" spans="1:8">
      <c r="A5" s="1308"/>
      <c r="B5" s="1259">
        <v>2014</v>
      </c>
      <c r="C5" s="1253" t="s">
        <v>1992</v>
      </c>
      <c r="D5" s="1253" t="s">
        <v>1992</v>
      </c>
      <c r="E5" s="1253" t="s">
        <v>1992</v>
      </c>
      <c r="F5" s="1253" t="s">
        <v>1992</v>
      </c>
      <c r="G5" s="1253" t="s">
        <v>1992</v>
      </c>
    </row>
    <row r="6" spans="1:8">
      <c r="A6" s="1307" t="s">
        <v>1960</v>
      </c>
      <c r="B6" s="1258">
        <v>2015</v>
      </c>
      <c r="C6" s="1252" t="s">
        <v>1992</v>
      </c>
      <c r="D6" s="1252" t="s">
        <v>1992</v>
      </c>
      <c r="E6" s="1252" t="s">
        <v>1992</v>
      </c>
      <c r="F6" s="1252" t="s">
        <v>1992</v>
      </c>
      <c r="G6" s="1252" t="s">
        <v>1992</v>
      </c>
    </row>
    <row r="7" spans="1:8">
      <c r="A7" s="1308"/>
      <c r="B7" s="1259">
        <v>2014</v>
      </c>
      <c r="C7" s="1253" t="s">
        <v>1992</v>
      </c>
      <c r="D7" s="1253" t="s">
        <v>1992</v>
      </c>
      <c r="E7" s="1253" t="s">
        <v>1992</v>
      </c>
      <c r="F7" s="1253" t="s">
        <v>1992</v>
      </c>
      <c r="G7" s="1253" t="s">
        <v>1992</v>
      </c>
    </row>
    <row r="8" spans="1:8">
      <c r="A8" s="1307" t="s">
        <v>1962</v>
      </c>
      <c r="B8" s="1258">
        <v>2015</v>
      </c>
      <c r="C8" s="1252" t="s">
        <v>1992</v>
      </c>
      <c r="D8" s="1252" t="s">
        <v>1992</v>
      </c>
      <c r="E8" s="1252" t="s">
        <v>1992</v>
      </c>
      <c r="F8" s="1252" t="s">
        <v>1992</v>
      </c>
      <c r="G8" s="1252" t="s">
        <v>1992</v>
      </c>
    </row>
    <row r="9" spans="1:8">
      <c r="A9" s="1308"/>
      <c r="B9" s="1259">
        <v>2014</v>
      </c>
      <c r="C9" s="1253" t="s">
        <v>1992</v>
      </c>
      <c r="D9" s="1253" t="s">
        <v>1992</v>
      </c>
      <c r="E9" s="1253" t="s">
        <v>1992</v>
      </c>
      <c r="F9" s="1253" t="s">
        <v>1992</v>
      </c>
      <c r="G9" s="1253" t="s">
        <v>1992</v>
      </c>
    </row>
    <row r="10" spans="1:8">
      <c r="A10" s="1307" t="s">
        <v>1989</v>
      </c>
      <c r="B10" s="1258">
        <v>2015</v>
      </c>
      <c r="C10" s="1252" t="s">
        <v>1992</v>
      </c>
      <c r="D10" s="1254"/>
      <c r="E10" s="1254"/>
      <c r="F10" s="1254"/>
      <c r="G10" s="1252" t="s">
        <v>1992</v>
      </c>
    </row>
    <row r="11" spans="1:8">
      <c r="A11" s="1308"/>
      <c r="B11" s="1259">
        <v>2014</v>
      </c>
      <c r="C11" s="1253" t="s">
        <v>1992</v>
      </c>
      <c r="D11" s="627"/>
      <c r="E11" s="627"/>
      <c r="F11" s="627"/>
      <c r="G11" s="1253" t="s">
        <v>1992</v>
      </c>
    </row>
    <row r="12" spans="1:8">
      <c r="A12" s="1307" t="s">
        <v>1963</v>
      </c>
      <c r="B12" s="1258">
        <v>2015</v>
      </c>
      <c r="C12" s="1252" t="s">
        <v>1992</v>
      </c>
      <c r="D12" s="1252" t="s">
        <v>1992</v>
      </c>
      <c r="E12" s="1252" t="s">
        <v>1992</v>
      </c>
      <c r="F12" s="1252" t="s">
        <v>1992</v>
      </c>
      <c r="G12" s="1252" t="s">
        <v>1992</v>
      </c>
    </row>
    <row r="13" spans="1:8">
      <c r="A13" s="1308"/>
      <c r="B13" s="1259">
        <v>2014</v>
      </c>
      <c r="C13" s="1253" t="s">
        <v>1992</v>
      </c>
      <c r="D13" s="1253" t="s">
        <v>1992</v>
      </c>
      <c r="E13" s="1253" t="s">
        <v>1992</v>
      </c>
      <c r="F13" s="1253" t="s">
        <v>1992</v>
      </c>
      <c r="G13" s="1253" t="s">
        <v>1992</v>
      </c>
    </row>
    <row r="14" spans="1:8">
      <c r="A14" s="1307" t="s">
        <v>1958</v>
      </c>
      <c r="B14" s="1258">
        <v>2015</v>
      </c>
      <c r="C14" s="1252" t="s">
        <v>1992</v>
      </c>
      <c r="D14" s="1252" t="s">
        <v>1992</v>
      </c>
      <c r="E14" s="1252" t="s">
        <v>1992</v>
      </c>
      <c r="F14" s="1252" t="s">
        <v>1992</v>
      </c>
      <c r="G14" s="1254"/>
    </row>
    <row r="15" spans="1:8">
      <c r="A15" s="1308"/>
      <c r="B15" s="1259">
        <v>2014</v>
      </c>
      <c r="C15" s="1253" t="s">
        <v>1992</v>
      </c>
      <c r="D15" s="1253" t="s">
        <v>1992</v>
      </c>
      <c r="E15" s="1253" t="s">
        <v>1992</v>
      </c>
      <c r="F15" s="1253" t="s">
        <v>1992</v>
      </c>
      <c r="G15" s="627"/>
    </row>
    <row r="16" spans="1:8">
      <c r="A16" s="1307" t="s">
        <v>2000</v>
      </c>
      <c r="B16" s="1258">
        <v>2015</v>
      </c>
      <c r="C16" s="1252" t="s">
        <v>1992</v>
      </c>
      <c r="D16" s="1252" t="s">
        <v>1992</v>
      </c>
      <c r="E16" s="1252" t="s">
        <v>1992</v>
      </c>
      <c r="F16" s="1252" t="s">
        <v>1992</v>
      </c>
      <c r="G16" s="1252" t="s">
        <v>1992</v>
      </c>
    </row>
    <row r="17" spans="1:7">
      <c r="A17" s="1308"/>
      <c r="B17" s="1259">
        <v>2014</v>
      </c>
      <c r="C17" s="1253" t="s">
        <v>1992</v>
      </c>
      <c r="D17" s="1253" t="s">
        <v>1992</v>
      </c>
      <c r="E17" s="1253" t="s">
        <v>1992</v>
      </c>
      <c r="F17" s="1255" t="s">
        <v>1992</v>
      </c>
      <c r="G17" s="1255" t="s">
        <v>1992</v>
      </c>
    </row>
    <row r="18" spans="1:7">
      <c r="A18" s="1307" t="s">
        <v>1995</v>
      </c>
      <c r="B18" s="1258">
        <v>2015</v>
      </c>
      <c r="C18" s="1252" t="s">
        <v>1992</v>
      </c>
      <c r="D18" s="1252" t="s">
        <v>1992</v>
      </c>
      <c r="E18" s="1252" t="s">
        <v>1992</v>
      </c>
      <c r="F18" s="1253" t="s">
        <v>1992</v>
      </c>
      <c r="G18" s="1253" t="s">
        <v>1992</v>
      </c>
    </row>
    <row r="19" spans="1:7">
      <c r="A19" s="1308"/>
      <c r="B19" s="1259">
        <v>2014</v>
      </c>
      <c r="C19" s="1253" t="s">
        <v>1992</v>
      </c>
      <c r="D19" s="1253" t="s">
        <v>1992</v>
      </c>
      <c r="E19" s="1253" t="s">
        <v>1992</v>
      </c>
      <c r="F19" s="1253" t="s">
        <v>1992</v>
      </c>
      <c r="G19" s="1253" t="s">
        <v>1992</v>
      </c>
    </row>
    <row r="20" spans="1:7">
      <c r="A20" s="1307" t="s">
        <v>1965</v>
      </c>
      <c r="B20" s="1258">
        <v>2015</v>
      </c>
      <c r="C20" s="1252" t="s">
        <v>1992</v>
      </c>
      <c r="D20" s="1252" t="s">
        <v>1992</v>
      </c>
      <c r="E20" s="1252" t="s">
        <v>1992</v>
      </c>
      <c r="F20" s="1252" t="s">
        <v>1992</v>
      </c>
      <c r="G20" s="1252" t="s">
        <v>1992</v>
      </c>
    </row>
    <row r="21" spans="1:7">
      <c r="A21" s="1308"/>
      <c r="B21" s="1259">
        <v>2014</v>
      </c>
      <c r="C21" s="1253" t="s">
        <v>1992</v>
      </c>
      <c r="D21" s="1253" t="s">
        <v>1992</v>
      </c>
      <c r="E21" s="1253" t="s">
        <v>1992</v>
      </c>
      <c r="F21" s="1253" t="s">
        <v>1992</v>
      </c>
      <c r="G21" s="1253" t="s">
        <v>1992</v>
      </c>
    </row>
    <row r="22" spans="1:7">
      <c r="A22" s="1307" t="s">
        <v>1970</v>
      </c>
      <c r="B22" s="1258">
        <v>2015</v>
      </c>
      <c r="C22" s="1252" t="s">
        <v>1992</v>
      </c>
      <c r="D22" s="1252" t="s">
        <v>1992</v>
      </c>
      <c r="E22" s="1252" t="s">
        <v>1992</v>
      </c>
      <c r="F22" s="1252" t="s">
        <v>1992</v>
      </c>
      <c r="G22" s="1252" t="s">
        <v>1992</v>
      </c>
    </row>
    <row r="23" spans="1:7">
      <c r="A23" s="1308"/>
      <c r="B23" s="1259">
        <v>2014</v>
      </c>
      <c r="C23" s="1253" t="s">
        <v>1992</v>
      </c>
      <c r="D23" s="1253" t="s">
        <v>1992</v>
      </c>
      <c r="E23" s="1253" t="s">
        <v>1992</v>
      </c>
      <c r="F23" s="1253" t="s">
        <v>1992</v>
      </c>
      <c r="G23" s="1253" t="s">
        <v>1992</v>
      </c>
    </row>
    <row r="24" spans="1:7">
      <c r="A24" s="1307" t="s">
        <v>1987</v>
      </c>
      <c r="B24" s="1258">
        <v>2015</v>
      </c>
      <c r="C24" s="1252" t="s">
        <v>1992</v>
      </c>
      <c r="D24" s="1252" t="s">
        <v>1992</v>
      </c>
      <c r="E24" s="1252" t="s">
        <v>1992</v>
      </c>
      <c r="F24" s="1252" t="s">
        <v>1992</v>
      </c>
      <c r="G24" s="1252" t="s">
        <v>1992</v>
      </c>
    </row>
    <row r="25" spans="1:7">
      <c r="A25" s="1309"/>
      <c r="B25" s="1260">
        <v>2014</v>
      </c>
      <c r="C25" s="1255" t="s">
        <v>1992</v>
      </c>
      <c r="D25" s="1255" t="s">
        <v>1992</v>
      </c>
      <c r="E25" s="1255" t="s">
        <v>1992</v>
      </c>
      <c r="F25" s="1255" t="s">
        <v>1992</v>
      </c>
      <c r="G25" s="1255" t="s">
        <v>1992</v>
      </c>
    </row>
    <row r="26" spans="1:7">
      <c r="A26" s="1308" t="s">
        <v>1971</v>
      </c>
      <c r="B26" s="1259">
        <v>2015</v>
      </c>
      <c r="C26" s="1253" t="s">
        <v>1992</v>
      </c>
      <c r="D26" s="1253" t="s">
        <v>1992</v>
      </c>
      <c r="E26" s="1253" t="s">
        <v>1992</v>
      </c>
      <c r="F26" s="1253" t="s">
        <v>1992</v>
      </c>
      <c r="G26" s="1253" t="s">
        <v>1992</v>
      </c>
    </row>
    <row r="27" spans="1:7">
      <c r="A27" s="1309"/>
      <c r="B27" s="1260">
        <v>2014</v>
      </c>
      <c r="C27" s="1255" t="s">
        <v>1992</v>
      </c>
      <c r="D27" s="1255" t="s">
        <v>1992</v>
      </c>
      <c r="E27" s="1255" t="s">
        <v>1992</v>
      </c>
      <c r="F27" s="1255" t="s">
        <v>1992</v>
      </c>
      <c r="G27" s="1255" t="s">
        <v>1992</v>
      </c>
    </row>
    <row r="28" spans="1:7">
      <c r="A28" s="1307" t="s">
        <v>1972</v>
      </c>
      <c r="B28" s="1258">
        <v>2015</v>
      </c>
      <c r="C28" s="1252" t="s">
        <v>1992</v>
      </c>
      <c r="D28" s="1252" t="s">
        <v>1992</v>
      </c>
      <c r="E28" s="1252" t="s">
        <v>1992</v>
      </c>
      <c r="F28" s="1252" t="s">
        <v>1992</v>
      </c>
      <c r="G28" s="1252" t="s">
        <v>1992</v>
      </c>
    </row>
    <row r="29" spans="1:7">
      <c r="A29" s="1309"/>
      <c r="B29" s="1260">
        <v>2014</v>
      </c>
      <c r="C29" s="1255" t="s">
        <v>1992</v>
      </c>
      <c r="D29" s="1255" t="s">
        <v>1992</v>
      </c>
      <c r="E29" s="1255" t="s">
        <v>1992</v>
      </c>
      <c r="F29" s="1255" t="s">
        <v>1992</v>
      </c>
      <c r="G29" s="1255" t="s">
        <v>1992</v>
      </c>
    </row>
    <row r="30" spans="1:7">
      <c r="A30" s="1307" t="s">
        <v>1973</v>
      </c>
      <c r="B30" s="1258">
        <v>2015</v>
      </c>
      <c r="C30" s="1252" t="s">
        <v>1992</v>
      </c>
      <c r="D30" s="1254"/>
      <c r="E30" s="1254"/>
      <c r="F30" s="1254"/>
      <c r="G30" s="1254"/>
    </row>
    <row r="31" spans="1:7">
      <c r="A31" s="1309"/>
      <c r="B31" s="1260">
        <v>2014</v>
      </c>
      <c r="C31" s="1256"/>
      <c r="D31" s="1256"/>
      <c r="E31" s="1256"/>
      <c r="F31" s="1256"/>
      <c r="G31" s="1256"/>
    </row>
    <row r="32" spans="1:7">
      <c r="A32" s="1307" t="s">
        <v>1974</v>
      </c>
      <c r="B32" s="1258">
        <v>2015</v>
      </c>
      <c r="C32" s="1252" t="s">
        <v>1992</v>
      </c>
      <c r="D32" s="1254"/>
      <c r="E32" s="1254"/>
      <c r="F32" s="1254"/>
      <c r="G32" s="1254"/>
    </row>
    <row r="33" spans="1:7">
      <c r="A33" s="1309"/>
      <c r="B33" s="1260">
        <v>2014</v>
      </c>
      <c r="C33" s="1255" t="s">
        <v>1992</v>
      </c>
      <c r="D33" s="1256"/>
      <c r="E33" s="1256"/>
      <c r="F33" s="1256"/>
      <c r="G33" s="1256"/>
    </row>
    <row r="34" spans="1:7">
      <c r="A34" s="1307" t="s">
        <v>1975</v>
      </c>
      <c r="B34" s="1258">
        <v>2015</v>
      </c>
      <c r="C34" s="1252" t="s">
        <v>1992</v>
      </c>
      <c r="D34" s="1252" t="s">
        <v>1992</v>
      </c>
      <c r="E34" s="1252" t="s">
        <v>1992</v>
      </c>
      <c r="F34" s="1252" t="s">
        <v>1992</v>
      </c>
      <c r="G34" s="1252" t="s">
        <v>1992</v>
      </c>
    </row>
    <row r="35" spans="1:7">
      <c r="A35" s="1309"/>
      <c r="B35" s="1260">
        <v>2014</v>
      </c>
      <c r="C35" s="1255" t="s">
        <v>1992</v>
      </c>
      <c r="D35" s="1255" t="s">
        <v>1992</v>
      </c>
      <c r="E35" s="1255" t="s">
        <v>1992</v>
      </c>
      <c r="F35" s="1255" t="s">
        <v>1992</v>
      </c>
      <c r="G35" s="1255" t="s">
        <v>1992</v>
      </c>
    </row>
    <row r="36" spans="1:7">
      <c r="A36" s="1307" t="s">
        <v>1976</v>
      </c>
      <c r="B36" s="1258">
        <v>2015</v>
      </c>
      <c r="C36" s="1252" t="s">
        <v>1992</v>
      </c>
      <c r="D36" s="1252" t="s">
        <v>1992</v>
      </c>
      <c r="E36" s="1252" t="s">
        <v>1992</v>
      </c>
      <c r="F36" s="1252" t="s">
        <v>1992</v>
      </c>
      <c r="G36" s="1252" t="s">
        <v>1992</v>
      </c>
    </row>
    <row r="37" spans="1:7">
      <c r="A37" s="1309"/>
      <c r="B37" s="1260">
        <v>2014</v>
      </c>
      <c r="C37" s="1255" t="s">
        <v>1992</v>
      </c>
      <c r="D37" s="1255" t="s">
        <v>1992</v>
      </c>
      <c r="E37" s="1255" t="s">
        <v>1992</v>
      </c>
      <c r="F37" s="1255" t="s">
        <v>1992</v>
      </c>
      <c r="G37" s="1255" t="s">
        <v>1992</v>
      </c>
    </row>
    <row r="38" spans="1:7">
      <c r="A38" s="1307" t="s">
        <v>1978</v>
      </c>
      <c r="B38" s="1258">
        <v>2015</v>
      </c>
      <c r="C38" s="1252" t="s">
        <v>1992</v>
      </c>
      <c r="D38" s="1252" t="s">
        <v>1992</v>
      </c>
      <c r="E38" s="1252" t="s">
        <v>1992</v>
      </c>
      <c r="F38" s="1252" t="s">
        <v>1992</v>
      </c>
      <c r="G38" s="1252" t="s">
        <v>1992</v>
      </c>
    </row>
    <row r="39" spans="1:7">
      <c r="A39" s="1309"/>
      <c r="B39" s="1260">
        <v>2014</v>
      </c>
      <c r="C39" s="1255" t="s">
        <v>1992</v>
      </c>
      <c r="D39" s="1255" t="s">
        <v>1992</v>
      </c>
      <c r="E39" s="1255" t="s">
        <v>1992</v>
      </c>
      <c r="F39" s="1255" t="s">
        <v>1992</v>
      </c>
      <c r="G39" s="1255" t="s">
        <v>1992</v>
      </c>
    </row>
    <row r="40" spans="1:7">
      <c r="A40" s="1307" t="s">
        <v>1980</v>
      </c>
      <c r="B40" s="1258">
        <v>2015</v>
      </c>
      <c r="C40" s="1252" t="s">
        <v>1992</v>
      </c>
      <c r="D40" s="1252" t="s">
        <v>1992</v>
      </c>
      <c r="E40" s="1252" t="s">
        <v>1992</v>
      </c>
      <c r="F40" s="1252" t="s">
        <v>1992</v>
      </c>
      <c r="G40" s="1252" t="s">
        <v>1992</v>
      </c>
    </row>
    <row r="41" spans="1:7">
      <c r="A41" s="1309"/>
      <c r="B41" s="1260">
        <v>2014</v>
      </c>
      <c r="C41" s="1255" t="s">
        <v>1992</v>
      </c>
      <c r="D41" s="1255" t="s">
        <v>1992</v>
      </c>
      <c r="E41" s="1255" t="s">
        <v>1992</v>
      </c>
      <c r="F41" s="1255" t="s">
        <v>1992</v>
      </c>
      <c r="G41" s="1255" t="s">
        <v>1992</v>
      </c>
    </row>
    <row r="42" spans="1:7">
      <c r="A42" s="1307" t="s">
        <v>1982</v>
      </c>
      <c r="B42" s="1258">
        <v>2015</v>
      </c>
      <c r="C42" s="1252" t="s">
        <v>1992</v>
      </c>
      <c r="D42" s="1252" t="s">
        <v>1992</v>
      </c>
      <c r="E42" s="1252" t="s">
        <v>1992</v>
      </c>
      <c r="F42" s="1252" t="s">
        <v>1992</v>
      </c>
      <c r="G42" s="1252" t="s">
        <v>1992</v>
      </c>
    </row>
    <row r="43" spans="1:7">
      <c r="A43" s="1309"/>
      <c r="B43" s="1260">
        <v>2014</v>
      </c>
      <c r="C43" s="1255" t="s">
        <v>1992</v>
      </c>
      <c r="D43" s="1255" t="s">
        <v>1992</v>
      </c>
      <c r="E43" s="1255" t="s">
        <v>1992</v>
      </c>
      <c r="F43" s="1255" t="s">
        <v>1992</v>
      </c>
      <c r="G43" s="1255" t="s">
        <v>1992</v>
      </c>
    </row>
    <row r="44" spans="1:7">
      <c r="A44" s="1307" t="s">
        <v>1983</v>
      </c>
      <c r="B44" s="1258">
        <v>2015</v>
      </c>
      <c r="C44" s="1252" t="s">
        <v>1992</v>
      </c>
      <c r="D44" s="1252"/>
      <c r="E44" s="1252"/>
      <c r="F44" s="1252"/>
      <c r="G44" s="1252"/>
    </row>
    <row r="45" spans="1:7">
      <c r="A45" s="1309"/>
      <c r="B45" s="1260">
        <v>2014</v>
      </c>
      <c r="C45" s="1255" t="s">
        <v>1992</v>
      </c>
      <c r="D45" s="1255"/>
      <c r="E45" s="1255"/>
      <c r="F45" s="1255"/>
      <c r="G45" s="1255"/>
    </row>
    <row r="46" spans="1:7">
      <c r="A46" s="1307" t="s">
        <v>1984</v>
      </c>
      <c r="B46" s="1258">
        <v>2015</v>
      </c>
      <c r="C46" s="1252" t="s">
        <v>1992</v>
      </c>
      <c r="D46" s="1252" t="s">
        <v>1992</v>
      </c>
      <c r="E46" s="1252" t="s">
        <v>1992</v>
      </c>
      <c r="F46" s="1252" t="s">
        <v>1992</v>
      </c>
      <c r="G46" s="1252" t="s">
        <v>1992</v>
      </c>
    </row>
    <row r="47" spans="1:7">
      <c r="A47" s="1309"/>
      <c r="B47" s="1260">
        <v>2014</v>
      </c>
      <c r="C47" s="1255" t="s">
        <v>1992</v>
      </c>
      <c r="D47" s="1255" t="s">
        <v>1992</v>
      </c>
      <c r="E47" s="1255" t="s">
        <v>1992</v>
      </c>
      <c r="F47" s="1255" t="s">
        <v>1992</v>
      </c>
      <c r="G47" s="1255" t="s">
        <v>1992</v>
      </c>
    </row>
    <row r="48" spans="1:7">
      <c r="A48" s="1307" t="s">
        <v>1985</v>
      </c>
      <c r="B48" s="1258">
        <v>2015</v>
      </c>
      <c r="C48" s="1252" t="s">
        <v>1992</v>
      </c>
      <c r="D48" s="1252" t="s">
        <v>1992</v>
      </c>
      <c r="E48" s="1252" t="s">
        <v>1992</v>
      </c>
      <c r="F48" s="1252" t="s">
        <v>1992</v>
      </c>
      <c r="G48" s="1252" t="s">
        <v>1992</v>
      </c>
    </row>
    <row r="49" spans="1:7">
      <c r="A49" s="1309"/>
      <c r="B49" s="1260">
        <v>2014</v>
      </c>
      <c r="C49" s="1255" t="s">
        <v>1992</v>
      </c>
      <c r="D49" s="1255" t="s">
        <v>1992</v>
      </c>
      <c r="E49" s="1255" t="s">
        <v>1992</v>
      </c>
      <c r="F49" s="1255" t="s">
        <v>1992</v>
      </c>
      <c r="G49" s="1255" t="s">
        <v>1992</v>
      </c>
    </row>
    <row r="50" spans="1:7">
      <c r="A50" s="1307" t="s">
        <v>1996</v>
      </c>
      <c r="B50" s="1258">
        <v>2015</v>
      </c>
      <c r="C50" s="1252" t="s">
        <v>1992</v>
      </c>
      <c r="D50" s="1252" t="s">
        <v>1992</v>
      </c>
      <c r="E50" s="1252" t="s">
        <v>1992</v>
      </c>
      <c r="F50" s="1252" t="s">
        <v>1992</v>
      </c>
      <c r="G50" s="1254"/>
    </row>
    <row r="51" spans="1:7">
      <c r="A51" s="1309"/>
      <c r="B51" s="1260">
        <v>2014</v>
      </c>
      <c r="C51" s="1255" t="s">
        <v>1992</v>
      </c>
      <c r="D51" s="1255" t="s">
        <v>1992</v>
      </c>
      <c r="E51" s="1255" t="s">
        <v>1992</v>
      </c>
      <c r="F51" s="1255" t="s">
        <v>1992</v>
      </c>
      <c r="G51" s="1256"/>
    </row>
    <row r="52" spans="1:7">
      <c r="A52" s="1307" t="s">
        <v>1986</v>
      </c>
      <c r="B52" s="1258">
        <v>2015</v>
      </c>
      <c r="C52" s="1252" t="s">
        <v>1992</v>
      </c>
      <c r="D52" s="1252"/>
      <c r="E52" s="1252" t="s">
        <v>1992</v>
      </c>
      <c r="F52" s="1252" t="s">
        <v>1992</v>
      </c>
      <c r="G52" s="1254"/>
    </row>
    <row r="53" spans="1:7">
      <c r="A53" s="1309"/>
      <c r="B53" s="1260">
        <v>2014</v>
      </c>
      <c r="C53" s="1255" t="s">
        <v>1992</v>
      </c>
      <c r="D53" s="1255" t="s">
        <v>1992</v>
      </c>
      <c r="E53" s="1255" t="s">
        <v>1992</v>
      </c>
      <c r="F53" s="1255" t="s">
        <v>1992</v>
      </c>
      <c r="G53" s="1256"/>
    </row>
    <row r="54" spans="1:7">
      <c r="A54" s="1307" t="s">
        <v>1997</v>
      </c>
      <c r="B54" s="1258">
        <v>2015</v>
      </c>
      <c r="C54" s="1252" t="s">
        <v>1993</v>
      </c>
      <c r="D54" s="1254"/>
      <c r="E54" s="1254"/>
      <c r="F54" s="1254"/>
      <c r="G54" s="1254"/>
    </row>
    <row r="55" spans="1:7">
      <c r="A55" s="1309"/>
      <c r="B55" s="1260">
        <v>2014</v>
      </c>
      <c r="C55" s="1255" t="s">
        <v>1992</v>
      </c>
      <c r="D55" s="1256"/>
      <c r="E55" s="1256"/>
      <c r="F55" s="1256"/>
      <c r="G55" s="1256"/>
    </row>
    <row r="56" spans="1:7">
      <c r="A56" s="1307" t="s">
        <v>1998</v>
      </c>
      <c r="B56" s="1258">
        <v>2015</v>
      </c>
      <c r="C56" s="1252" t="s">
        <v>1992</v>
      </c>
      <c r="D56" s="1254"/>
      <c r="E56" s="1254"/>
      <c r="F56" s="1254"/>
      <c r="G56" s="1254"/>
    </row>
    <row r="57" spans="1:7">
      <c r="A57" s="1309"/>
      <c r="B57" s="1260">
        <v>2014</v>
      </c>
      <c r="C57" s="1255"/>
      <c r="D57" s="1256"/>
      <c r="E57" s="1256"/>
      <c r="F57" s="1256"/>
      <c r="G57" s="1256"/>
    </row>
    <row r="58" spans="1:7">
      <c r="A58" s="1307" t="s">
        <v>1990</v>
      </c>
      <c r="B58" s="1258">
        <v>2015</v>
      </c>
      <c r="C58" s="1252"/>
      <c r="D58" s="1252"/>
      <c r="E58" s="1252"/>
      <c r="F58" s="1252"/>
      <c r="G58" s="1252" t="s">
        <v>1992</v>
      </c>
    </row>
    <row r="59" spans="1:7">
      <c r="A59" s="1309"/>
      <c r="B59" s="1260">
        <v>2014</v>
      </c>
      <c r="C59" s="1255"/>
      <c r="D59" s="1255"/>
      <c r="E59" s="1255"/>
      <c r="F59" s="1255"/>
      <c r="G59" s="1255" t="s">
        <v>1992</v>
      </c>
    </row>
    <row r="60" spans="1:7">
      <c r="A60" s="1307" t="s">
        <v>1991</v>
      </c>
      <c r="B60" s="1258">
        <v>2015</v>
      </c>
      <c r="C60" s="1252"/>
      <c r="D60" s="1252"/>
      <c r="E60" s="1252"/>
      <c r="F60" s="1252"/>
      <c r="G60" s="1252" t="s">
        <v>1992</v>
      </c>
    </row>
    <row r="61" spans="1:7">
      <c r="A61" s="1309"/>
      <c r="B61" s="1260">
        <v>2014</v>
      </c>
      <c r="C61" s="1255"/>
      <c r="D61" s="1255"/>
      <c r="E61" s="1255"/>
      <c r="F61" s="1255"/>
      <c r="G61" s="1255" t="s">
        <v>1992</v>
      </c>
    </row>
    <row r="62" spans="1:7">
      <c r="A62" s="1307" t="s">
        <v>789</v>
      </c>
      <c r="B62" s="1258">
        <v>2015</v>
      </c>
      <c r="C62" s="1252"/>
      <c r="D62" s="1252"/>
      <c r="E62" s="1252"/>
      <c r="F62" s="1252"/>
      <c r="G62" s="1252" t="s">
        <v>1992</v>
      </c>
    </row>
    <row r="63" spans="1:7">
      <c r="A63" s="1309"/>
      <c r="B63" s="1260">
        <v>2014</v>
      </c>
      <c r="C63" s="1255"/>
      <c r="D63" s="1255"/>
      <c r="E63" s="1255"/>
      <c r="F63" s="1255"/>
      <c r="G63" s="1255" t="s">
        <v>1992</v>
      </c>
    </row>
  </sheetData>
  <mergeCells count="31">
    <mergeCell ref="A58:A59"/>
    <mergeCell ref="A60:A61"/>
    <mergeCell ref="A62:A63"/>
    <mergeCell ref="A18:A19"/>
    <mergeCell ref="A48:A49"/>
    <mergeCell ref="A50:A51"/>
    <mergeCell ref="A52:A53"/>
    <mergeCell ref="A54:A55"/>
    <mergeCell ref="A56:A57"/>
    <mergeCell ref="A24:A25"/>
    <mergeCell ref="A36:A37"/>
    <mergeCell ref="A38:A39"/>
    <mergeCell ref="A40:A41"/>
    <mergeCell ref="A42:A43"/>
    <mergeCell ref="A44:A45"/>
    <mergeCell ref="A46:A47"/>
    <mergeCell ref="A2:A3"/>
    <mergeCell ref="A4:A5"/>
    <mergeCell ref="A34:A35"/>
    <mergeCell ref="A6:A7"/>
    <mergeCell ref="A8:A9"/>
    <mergeCell ref="A12:A13"/>
    <mergeCell ref="A14:A15"/>
    <mergeCell ref="A16:A17"/>
    <mergeCell ref="A20:A21"/>
    <mergeCell ref="A10:A11"/>
    <mergeCell ref="A22:A23"/>
    <mergeCell ref="A26:A27"/>
    <mergeCell ref="A28:A29"/>
    <mergeCell ref="A30:A31"/>
    <mergeCell ref="A32:A33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77"/>
  <sheetViews>
    <sheetView showGridLines="0" workbookViewId="0">
      <selection activeCell="C74" sqref="C74:C77"/>
    </sheetView>
  </sheetViews>
  <sheetFormatPr defaultRowHeight="12.75"/>
  <cols>
    <col min="1" max="1" width="23.5" style="160" customWidth="1"/>
    <col min="2" max="13" width="15.625" style="160" customWidth="1"/>
    <col min="14" max="16384" width="9" style="160"/>
  </cols>
  <sheetData>
    <row r="1" spans="1:4">
      <c r="A1" s="522" t="s">
        <v>1529</v>
      </c>
    </row>
    <row r="3" spans="1:4">
      <c r="A3" s="522" t="s">
        <v>1530</v>
      </c>
    </row>
    <row r="4" spans="1:4">
      <c r="A4" s="1389" t="s">
        <v>1531</v>
      </c>
      <c r="B4" s="798"/>
      <c r="C4" s="655"/>
      <c r="D4" s="655"/>
    </row>
    <row r="5" spans="1:4">
      <c r="A5" s="1390"/>
      <c r="B5" s="656" t="s">
        <v>1532</v>
      </c>
    </row>
    <row r="6" spans="1:4">
      <c r="A6" s="102" t="s">
        <v>1533</v>
      </c>
      <c r="B6" s="591"/>
    </row>
    <row r="7" spans="1:4">
      <c r="A7" s="102" t="s">
        <v>10</v>
      </c>
      <c r="B7" s="591"/>
    </row>
    <row r="8" spans="1:4">
      <c r="A8" s="102" t="s">
        <v>11</v>
      </c>
      <c r="B8" s="591"/>
    </row>
    <row r="9" spans="1:4">
      <c r="A9" s="102" t="s">
        <v>12</v>
      </c>
      <c r="B9" s="591"/>
    </row>
    <row r="10" spans="1:4">
      <c r="A10" s="102" t="s">
        <v>13</v>
      </c>
      <c r="B10" s="591"/>
    </row>
    <row r="11" spans="1:4">
      <c r="A11" s="102" t="s">
        <v>14</v>
      </c>
      <c r="B11" s="591"/>
    </row>
    <row r="12" spans="1:4">
      <c r="A12" s="102" t="s">
        <v>15</v>
      </c>
      <c r="B12" s="591"/>
    </row>
    <row r="13" spans="1:4">
      <c r="A13" s="102" t="s">
        <v>16</v>
      </c>
      <c r="B13" s="591"/>
    </row>
    <row r="14" spans="1:4">
      <c r="A14" s="102" t="s">
        <v>17</v>
      </c>
      <c r="B14" s="591"/>
    </row>
    <row r="15" spans="1:4">
      <c r="A15" s="102" t="s">
        <v>585</v>
      </c>
      <c r="B15" s="591"/>
    </row>
    <row r="16" spans="1:4">
      <c r="A16" s="102" t="s">
        <v>586</v>
      </c>
      <c r="B16" s="591"/>
    </row>
    <row r="17" spans="1:4">
      <c r="A17" s="102" t="s">
        <v>1534</v>
      </c>
      <c r="B17" s="591"/>
    </row>
    <row r="18" spans="1:4">
      <c r="A18" s="105" t="s">
        <v>1535</v>
      </c>
      <c r="B18" s="592">
        <f>SUM(B6:B17)</f>
        <v>0</v>
      </c>
      <c r="C18" s="1124"/>
    </row>
    <row r="19" spans="1:4">
      <c r="A19" s="111" t="s">
        <v>1536</v>
      </c>
      <c r="B19" s="593">
        <f>B18/12</f>
        <v>0</v>
      </c>
      <c r="C19" s="594"/>
    </row>
    <row r="20" spans="1:4">
      <c r="A20" s="595"/>
      <c r="B20" s="596"/>
    </row>
    <row r="21" spans="1:4">
      <c r="A21" s="1125" t="s">
        <v>1537</v>
      </c>
    </row>
    <row r="22" spans="1:4">
      <c r="A22" s="1389" t="s">
        <v>1531</v>
      </c>
      <c r="B22" s="1391"/>
      <c r="C22" s="1392"/>
      <c r="D22" s="1393"/>
    </row>
    <row r="23" spans="1:4">
      <c r="A23" s="1390"/>
      <c r="B23" s="99" t="s">
        <v>1538</v>
      </c>
      <c r="C23" s="758" t="s">
        <v>1539</v>
      </c>
      <c r="D23" s="101" t="s">
        <v>1540</v>
      </c>
    </row>
    <row r="24" spans="1:4">
      <c r="A24" s="102" t="s">
        <v>1533</v>
      </c>
      <c r="B24" s="103"/>
      <c r="C24" s="1102"/>
      <c r="D24" s="104">
        <f>B24*C24</f>
        <v>0</v>
      </c>
    </row>
    <row r="25" spans="1:4">
      <c r="A25" s="102" t="s">
        <v>10</v>
      </c>
      <c r="B25" s="103"/>
      <c r="C25" s="1102"/>
      <c r="D25" s="104">
        <f t="shared" ref="D25:D31" si="0">B25*C25</f>
        <v>0</v>
      </c>
    </row>
    <row r="26" spans="1:4">
      <c r="A26" s="102" t="s">
        <v>11</v>
      </c>
      <c r="B26" s="103"/>
      <c r="C26" s="1102"/>
      <c r="D26" s="104">
        <f t="shared" si="0"/>
        <v>0</v>
      </c>
    </row>
    <row r="27" spans="1:4">
      <c r="A27" s="102" t="s">
        <v>12</v>
      </c>
      <c r="B27" s="103"/>
      <c r="C27" s="1102"/>
      <c r="D27" s="104">
        <f t="shared" si="0"/>
        <v>0</v>
      </c>
    </row>
    <row r="28" spans="1:4">
      <c r="A28" s="102" t="s">
        <v>13</v>
      </c>
      <c r="B28" s="103"/>
      <c r="C28" s="1102"/>
      <c r="D28" s="104">
        <f t="shared" si="0"/>
        <v>0</v>
      </c>
    </row>
    <row r="29" spans="1:4">
      <c r="A29" s="102" t="s">
        <v>14</v>
      </c>
      <c r="B29" s="103"/>
      <c r="C29" s="1102"/>
      <c r="D29" s="104">
        <f t="shared" si="0"/>
        <v>0</v>
      </c>
    </row>
    <row r="30" spans="1:4">
      <c r="A30" s="102" t="s">
        <v>15</v>
      </c>
      <c r="B30" s="103"/>
      <c r="C30" s="1102"/>
      <c r="D30" s="104">
        <f t="shared" si="0"/>
        <v>0</v>
      </c>
    </row>
    <row r="31" spans="1:4">
      <c r="A31" s="102" t="s">
        <v>16</v>
      </c>
      <c r="B31" s="1394"/>
      <c r="C31" s="1396"/>
      <c r="D31" s="1396">
        <f t="shared" si="0"/>
        <v>0</v>
      </c>
    </row>
    <row r="32" spans="1:4">
      <c r="A32" s="102" t="s">
        <v>17</v>
      </c>
      <c r="B32" s="1395"/>
      <c r="C32" s="1397"/>
      <c r="D32" s="1397"/>
    </row>
    <row r="33" spans="1:4">
      <c r="A33" s="105" t="s">
        <v>1535</v>
      </c>
      <c r="B33" s="106">
        <f>SUM(B24:B32)</f>
        <v>0</v>
      </c>
      <c r="C33" s="107"/>
      <c r="D33" s="108">
        <f>SUM(D24:D32)</f>
        <v>0</v>
      </c>
    </row>
    <row r="34" spans="1:4">
      <c r="A34" s="109" t="s">
        <v>1541</v>
      </c>
      <c r="B34" s="103">
        <f>B33/9</f>
        <v>0</v>
      </c>
      <c r="C34" s="110"/>
      <c r="D34" s="104">
        <f>D33/6</f>
        <v>0</v>
      </c>
    </row>
    <row r="35" spans="1:4">
      <c r="A35" s="109" t="s">
        <v>1542</v>
      </c>
      <c r="B35" s="1398">
        <f>[22]基础数据!E17</f>
        <v>0.16284779050736498</v>
      </c>
      <c r="C35" s="1398"/>
      <c r="D35" s="1398"/>
    </row>
    <row r="36" spans="1:4">
      <c r="A36" s="111" t="s">
        <v>1543</v>
      </c>
      <c r="B36" s="112">
        <v>3300</v>
      </c>
      <c r="C36" s="113">
        <v>7.15</v>
      </c>
      <c r="D36" s="114">
        <f>ROUND(B36*C36,0)</f>
        <v>23595</v>
      </c>
    </row>
    <row r="38" spans="1:4">
      <c r="A38" s="522" t="s">
        <v>1544</v>
      </c>
    </row>
    <row r="39" spans="1:4">
      <c r="A39" s="1399" t="s">
        <v>1531</v>
      </c>
      <c r="B39" s="1400" t="s">
        <v>1545</v>
      </c>
      <c r="C39" s="1401"/>
      <c r="D39" s="1401"/>
    </row>
    <row r="40" spans="1:4">
      <c r="A40" s="1399"/>
      <c r="B40" s="656" t="s">
        <v>1538</v>
      </c>
      <c r="C40" s="656" t="s">
        <v>1539</v>
      </c>
      <c r="D40" s="1126" t="s">
        <v>1540</v>
      </c>
    </row>
    <row r="41" spans="1:4">
      <c r="A41" s="102" t="s">
        <v>1533</v>
      </c>
      <c r="B41" s="591"/>
      <c r="C41" s="1402" t="e">
        <f>D50/B50</f>
        <v>#DIV/0!</v>
      </c>
      <c r="D41" s="1127"/>
    </row>
    <row r="42" spans="1:4">
      <c r="A42" s="102" t="s">
        <v>10</v>
      </c>
      <c r="B42" s="591"/>
      <c r="C42" s="1402"/>
      <c r="D42" s="1127"/>
    </row>
    <row r="43" spans="1:4">
      <c r="A43" s="102" t="s">
        <v>11</v>
      </c>
      <c r="B43" s="591"/>
      <c r="C43" s="1402"/>
      <c r="D43" s="1127"/>
    </row>
    <row r="44" spans="1:4">
      <c r="A44" s="102" t="s">
        <v>12</v>
      </c>
      <c r="B44" s="591"/>
      <c r="C44" s="1402"/>
      <c r="D44" s="1127"/>
    </row>
    <row r="45" spans="1:4">
      <c r="A45" s="102" t="s">
        <v>13</v>
      </c>
      <c r="B45" s="591"/>
      <c r="C45" s="1402"/>
      <c r="D45" s="1127"/>
    </row>
    <row r="46" spans="1:4">
      <c r="A46" s="102" t="s">
        <v>14</v>
      </c>
      <c r="B46" s="591"/>
      <c r="C46" s="1402"/>
      <c r="D46" s="1127"/>
    </row>
    <row r="47" spans="1:4">
      <c r="A47" s="102" t="s">
        <v>15</v>
      </c>
      <c r="B47" s="591"/>
      <c r="C47" s="1402"/>
      <c r="D47" s="1127"/>
    </row>
    <row r="48" spans="1:4">
      <c r="A48" s="102" t="s">
        <v>16</v>
      </c>
      <c r="B48" s="591"/>
      <c r="C48" s="1402"/>
      <c r="D48" s="1127"/>
    </row>
    <row r="49" spans="1:10">
      <c r="A49" s="102" t="s">
        <v>17</v>
      </c>
      <c r="B49" s="591"/>
      <c r="C49" s="1402"/>
      <c r="D49" s="1127"/>
    </row>
    <row r="50" spans="1:10">
      <c r="A50" s="105" t="s">
        <v>1535</v>
      </c>
      <c r="B50" s="592">
        <f>SUM(B41:B49)</f>
        <v>0</v>
      </c>
      <c r="C50" s="1128"/>
      <c r="D50" s="1129">
        <f>SUM(D41:D49)</f>
        <v>0</v>
      </c>
    </row>
    <row r="51" spans="1:10">
      <c r="A51" s="109" t="s">
        <v>1546</v>
      </c>
      <c r="B51" s="591">
        <f>B50/9</f>
        <v>0</v>
      </c>
      <c r="C51" s="1102"/>
      <c r="D51" s="1127">
        <f>D50/9</f>
        <v>0</v>
      </c>
    </row>
    <row r="52" spans="1:10">
      <c r="A52" s="109" t="s">
        <v>1547</v>
      </c>
      <c r="B52" s="1398">
        <f>[22]基础数据!E17</f>
        <v>0.16284779050736498</v>
      </c>
      <c r="C52" s="1398"/>
      <c r="D52" s="1398"/>
    </row>
    <row r="53" spans="1:10">
      <c r="A53" s="111" t="s">
        <v>1548</v>
      </c>
      <c r="B53" s="593">
        <f>ROUND(B51*(1+B52),0)</f>
        <v>0</v>
      </c>
      <c r="C53" s="252" t="e">
        <f>C41</f>
        <v>#DIV/0!</v>
      </c>
      <c r="D53" s="1130" t="e">
        <f>ROUND(B53*C53,0)</f>
        <v>#DIV/0!</v>
      </c>
    </row>
    <row r="55" spans="1:10">
      <c r="A55" s="522" t="s">
        <v>1549</v>
      </c>
    </row>
    <row r="56" spans="1:10">
      <c r="A56" s="530"/>
      <c r="B56" s="543" t="s">
        <v>1550</v>
      </c>
      <c r="C56" s="543" t="s">
        <v>1551</v>
      </c>
      <c r="D56" s="132" t="s">
        <v>1552</v>
      </c>
      <c r="E56" s="657" t="s">
        <v>1553</v>
      </c>
      <c r="F56" s="543" t="s">
        <v>1554</v>
      </c>
      <c r="G56" s="543" t="s">
        <v>1555</v>
      </c>
      <c r="H56" s="543" t="s">
        <v>1556</v>
      </c>
      <c r="I56" s="543" t="s">
        <v>1557</v>
      </c>
    </row>
    <row r="57" spans="1:10">
      <c r="A57" s="155" t="s">
        <v>1558</v>
      </c>
      <c r="B57" s="798"/>
      <c r="C57" s="798"/>
      <c r="D57" s="798"/>
      <c r="E57" s="155"/>
      <c r="F57" s="798"/>
      <c r="G57" s="234"/>
      <c r="H57" s="234"/>
      <c r="I57" s="234"/>
    </row>
    <row r="58" spans="1:10">
      <c r="A58" s="105" t="s">
        <v>1535</v>
      </c>
      <c r="B58" s="105"/>
      <c r="C58" s="105"/>
      <c r="D58" s="597">
        <v>121</v>
      </c>
      <c r="E58" s="105"/>
      <c r="F58" s="105"/>
      <c r="G58" s="105"/>
      <c r="H58" s="105"/>
      <c r="I58" s="759">
        <f>E57+I57</f>
        <v>0</v>
      </c>
    </row>
    <row r="59" spans="1:10">
      <c r="A59" s="109" t="s">
        <v>1559</v>
      </c>
      <c r="B59" s="1403">
        <v>0.1</v>
      </c>
      <c r="C59" s="1404"/>
      <c r="D59" s="1404"/>
      <c r="E59" s="1404"/>
      <c r="F59" s="1404"/>
      <c r="G59" s="1404"/>
      <c r="H59" s="1404"/>
      <c r="I59" s="1405"/>
    </row>
    <row r="60" spans="1:10" ht="13.5" customHeight="1">
      <c r="A60" s="111" t="s">
        <v>1560</v>
      </c>
      <c r="C60" s="1192"/>
      <c r="D60" s="1192"/>
      <c r="E60" s="1192"/>
      <c r="F60" s="1192"/>
      <c r="G60" s="1192"/>
      <c r="H60" s="1192"/>
      <c r="I60" s="1191">
        <f>I58*(1+B59)</f>
        <v>0</v>
      </c>
    </row>
    <row r="62" spans="1:10">
      <c r="A62" s="522" t="s">
        <v>1561</v>
      </c>
    </row>
    <row r="63" spans="1:10">
      <c r="A63" s="155" t="s">
        <v>1562</v>
      </c>
      <c r="B63" s="155" t="s">
        <v>1563</v>
      </c>
      <c r="C63" s="155" t="s">
        <v>1554</v>
      </c>
      <c r="D63" s="155" t="s">
        <v>1564</v>
      </c>
      <c r="E63" s="155" t="s">
        <v>1565</v>
      </c>
      <c r="J63" s="796"/>
    </row>
    <row r="64" spans="1:10">
      <c r="A64" s="234" t="s">
        <v>1566</v>
      </c>
      <c r="B64" s="236"/>
      <c r="C64" s="798"/>
      <c r="D64" s="234"/>
      <c r="E64" s="236"/>
      <c r="J64" s="163"/>
    </row>
    <row r="65" spans="1:10">
      <c r="A65" s="234" t="s">
        <v>1567</v>
      </c>
      <c r="B65" s="234"/>
      <c r="C65" s="798"/>
      <c r="D65" s="234"/>
      <c r="E65" s="236"/>
      <c r="F65" s="796"/>
      <c r="G65" s="796"/>
      <c r="H65" s="796"/>
      <c r="I65" s="796"/>
      <c r="J65" s="161"/>
    </row>
    <row r="66" spans="1:10">
      <c r="A66" s="105" t="s">
        <v>1535</v>
      </c>
      <c r="B66" s="105"/>
      <c r="C66" s="105"/>
      <c r="D66" s="597"/>
      <c r="E66" s="598">
        <f>SUM(E64:E65)</f>
        <v>0</v>
      </c>
      <c r="F66" s="796"/>
      <c r="G66" s="796"/>
      <c r="H66" s="796"/>
      <c r="I66" s="796"/>
      <c r="J66" s="161"/>
    </row>
    <row r="67" spans="1:10">
      <c r="A67" s="109" t="s">
        <v>1568</v>
      </c>
      <c r="B67" s="1398">
        <f>[23]基础数据!E18</f>
        <v>0.13647746243739567</v>
      </c>
      <c r="C67" s="1398"/>
      <c r="D67" s="1398"/>
      <c r="E67" s="1398"/>
      <c r="F67" s="163"/>
      <c r="G67" s="163"/>
      <c r="H67" s="163"/>
      <c r="I67" s="163"/>
      <c r="J67" s="161"/>
    </row>
    <row r="68" spans="1:10">
      <c r="A68" s="111" t="s">
        <v>1569</v>
      </c>
      <c r="C68" s="252"/>
      <c r="D68" s="252"/>
      <c r="E68" s="252">
        <f>E66*(1+B67)</f>
        <v>0</v>
      </c>
      <c r="F68" s="161"/>
      <c r="G68" s="161"/>
      <c r="H68" s="161"/>
      <c r="I68" s="161"/>
      <c r="J68" s="161"/>
    </row>
    <row r="70" spans="1:10" s="276" customFormat="1">
      <c r="A70" s="531"/>
    </row>
    <row r="73" spans="1:10">
      <c r="A73" s="522" t="s">
        <v>1570</v>
      </c>
    </row>
    <row r="74" spans="1:10">
      <c r="A74" s="236" t="s">
        <v>1571</v>
      </c>
      <c r="B74" s="236"/>
    </row>
    <row r="75" spans="1:10">
      <c r="A75" s="236" t="s">
        <v>1572</v>
      </c>
      <c r="B75" s="236"/>
    </row>
    <row r="76" spans="1:10">
      <c r="A76" s="611" t="s">
        <v>1573</v>
      </c>
      <c r="B76" s="612">
        <f>SUM(B74:B75)</f>
        <v>0</v>
      </c>
    </row>
    <row r="77" spans="1:10">
      <c r="B77" s="594">
        <f>B76/3</f>
        <v>0</v>
      </c>
    </row>
  </sheetData>
  <mergeCells count="13">
    <mergeCell ref="B67:E67"/>
    <mergeCell ref="B35:D35"/>
    <mergeCell ref="A39:A40"/>
    <mergeCell ref="B39:D39"/>
    <mergeCell ref="C41:C49"/>
    <mergeCell ref="B52:D52"/>
    <mergeCell ref="B59:I59"/>
    <mergeCell ref="A4:A5"/>
    <mergeCell ref="A22:A23"/>
    <mergeCell ref="B22:D22"/>
    <mergeCell ref="B31:B32"/>
    <mergeCell ref="C31:C32"/>
    <mergeCell ref="D31:D32"/>
  </mergeCells>
  <phoneticPr fontId="1" type="noConversion"/>
  <printOptions horizontalCentered="1"/>
  <pageMargins left="0.23622047244094491" right="0.23622047244094491" top="0.39370078740157483" bottom="0.74803149606299213" header="0.31496062992125984" footer="0.31496062992125984"/>
  <pageSetup paperSize="9" scale="7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S198"/>
  <sheetViews>
    <sheetView showGridLines="0" zoomScale="98" zoomScaleNormal="98" workbookViewId="0">
      <selection activeCell="B195" sqref="B195:F199"/>
    </sheetView>
  </sheetViews>
  <sheetFormatPr defaultRowHeight="12.75"/>
  <cols>
    <col min="1" max="1" width="2.375" style="276" customWidth="1"/>
    <col min="2" max="2" width="25.125" style="531" customWidth="1"/>
    <col min="3" max="3" width="17.5" style="531" customWidth="1"/>
    <col min="4" max="25" width="17.5" style="276" customWidth="1"/>
    <col min="26" max="44" width="21.875" style="276" customWidth="1"/>
    <col min="45" max="16384" width="9" style="276"/>
  </cols>
  <sheetData>
    <row r="1" spans="2:17">
      <c r="B1" s="277" t="s">
        <v>1425</v>
      </c>
      <c r="C1" s="95"/>
      <c r="E1" s="96"/>
    </row>
    <row r="2" spans="2:17">
      <c r="B2" s="276" t="s">
        <v>1426</v>
      </c>
      <c r="C2" s="95"/>
      <c r="D2" s="97"/>
      <c r="E2" s="1096"/>
    </row>
    <row r="3" spans="2:17" s="98" customFormat="1" ht="13.5" customHeight="1">
      <c r="B3" s="1389" t="s">
        <v>1427</v>
      </c>
      <c r="C3" s="1412" t="s">
        <v>1428</v>
      </c>
      <c r="D3" s="1413"/>
      <c r="E3" s="1414"/>
      <c r="F3" s="1391" t="s">
        <v>1429</v>
      </c>
      <c r="G3" s="1392"/>
      <c r="H3" s="1393"/>
      <c r="I3" s="1391" t="s">
        <v>1430</v>
      </c>
      <c r="J3" s="1392"/>
      <c r="K3" s="1393"/>
      <c r="L3" s="1412" t="s">
        <v>1431</v>
      </c>
      <c r="M3" s="1415"/>
      <c r="N3" s="1416"/>
      <c r="O3" s="1097" t="s">
        <v>1432</v>
      </c>
      <c r="P3" s="1098"/>
      <c r="Q3" s="1099"/>
    </row>
    <row r="4" spans="2:17" s="98" customFormat="1">
      <c r="B4" s="1390"/>
      <c r="C4" s="99" t="s">
        <v>1433</v>
      </c>
      <c r="D4" s="100" t="s">
        <v>1434</v>
      </c>
      <c r="E4" s="101" t="s">
        <v>1435</v>
      </c>
      <c r="F4" s="99" t="s">
        <v>1433</v>
      </c>
      <c r="G4" s="100" t="s">
        <v>1434</v>
      </c>
      <c r="H4" s="101" t="s">
        <v>1435</v>
      </c>
      <c r="I4" s="99" t="s">
        <v>1433</v>
      </c>
      <c r="J4" s="100" t="s">
        <v>1434</v>
      </c>
      <c r="K4" s="101" t="s">
        <v>1435</v>
      </c>
      <c r="L4" s="99" t="s">
        <v>1433</v>
      </c>
      <c r="M4" s="100" t="s">
        <v>1434</v>
      </c>
      <c r="N4" s="1100" t="s">
        <v>1435</v>
      </c>
      <c r="O4" s="99" t="s">
        <v>1433</v>
      </c>
      <c r="P4" s="1101" t="s">
        <v>1434</v>
      </c>
      <c r="Q4" s="101" t="s">
        <v>1435</v>
      </c>
    </row>
    <row r="5" spans="2:17" s="98" customFormat="1">
      <c r="B5" s="102" t="s">
        <v>1436</v>
      </c>
      <c r="C5" s="103"/>
      <c r="D5" s="1406"/>
      <c r="E5" s="104">
        <f>C5*D5</f>
        <v>0</v>
      </c>
      <c r="F5" s="103"/>
      <c r="G5" s="1102"/>
      <c r="H5" s="104">
        <f>F5*G5</f>
        <v>0</v>
      </c>
      <c r="I5" s="103"/>
      <c r="J5" s="783"/>
      <c r="K5" s="104">
        <f>I5*J5</f>
        <v>0</v>
      </c>
      <c r="L5" s="103"/>
      <c r="M5" s="1409"/>
      <c r="N5" s="104"/>
      <c r="O5" s="103"/>
      <c r="P5" s="1103"/>
      <c r="Q5" s="104"/>
    </row>
    <row r="6" spans="2:17" s="98" customFormat="1">
      <c r="B6" s="102" t="s">
        <v>10</v>
      </c>
      <c r="C6" s="103"/>
      <c r="D6" s="1407"/>
      <c r="E6" s="104">
        <f>C6*D5</f>
        <v>0</v>
      </c>
      <c r="F6" s="103"/>
      <c r="G6" s="1104"/>
      <c r="H6" s="104">
        <f>F6*G6</f>
        <v>0</v>
      </c>
      <c r="I6" s="103"/>
      <c r="J6" s="783"/>
      <c r="K6" s="104">
        <f t="shared" ref="K6:K13" si="0">I6*J6</f>
        <v>0</v>
      </c>
      <c r="L6" s="103"/>
      <c r="M6" s="1410"/>
      <c r="N6" s="104"/>
      <c r="O6" s="103"/>
      <c r="P6" s="784"/>
      <c r="Q6" s="104"/>
    </row>
    <row r="7" spans="2:17" s="98" customFormat="1">
      <c r="B7" s="102" t="s">
        <v>11</v>
      </c>
      <c r="C7" s="103"/>
      <c r="D7" s="1407"/>
      <c r="E7" s="104">
        <f>C7*D5</f>
        <v>0</v>
      </c>
      <c r="F7" s="103"/>
      <c r="G7" s="1105"/>
      <c r="H7" s="104">
        <f>F7*G6</f>
        <v>0</v>
      </c>
      <c r="I7" s="103"/>
      <c r="J7" s="783"/>
      <c r="K7" s="104">
        <f t="shared" si="0"/>
        <v>0</v>
      </c>
      <c r="L7" s="103"/>
      <c r="M7" s="1410"/>
      <c r="N7" s="104"/>
      <c r="O7" s="103"/>
      <c r="P7" s="784"/>
      <c r="Q7" s="104"/>
    </row>
    <row r="8" spans="2:17" s="98" customFormat="1">
      <c r="B8" s="102" t="s">
        <v>12</v>
      </c>
      <c r="C8" s="103"/>
      <c r="D8" s="1407"/>
      <c r="E8" s="104">
        <f>C8*D5</f>
        <v>0</v>
      </c>
      <c r="F8" s="103"/>
      <c r="G8" s="1105"/>
      <c r="H8" s="104">
        <f>F8*G6</f>
        <v>0</v>
      </c>
      <c r="I8" s="103"/>
      <c r="J8" s="783"/>
      <c r="K8" s="104">
        <f t="shared" si="0"/>
        <v>0</v>
      </c>
      <c r="L8" s="103"/>
      <c r="M8" s="1410"/>
      <c r="N8" s="104"/>
      <c r="O8" s="103"/>
      <c r="P8" s="784"/>
      <c r="Q8" s="104"/>
    </row>
    <row r="9" spans="2:17" s="98" customFormat="1">
      <c r="B9" s="102" t="s">
        <v>13</v>
      </c>
      <c r="C9" s="103"/>
      <c r="D9" s="1407"/>
      <c r="E9" s="104">
        <f>C9*D5</f>
        <v>0</v>
      </c>
      <c r="F9" s="103"/>
      <c r="G9" s="1105"/>
      <c r="H9" s="104">
        <f>F9*G6</f>
        <v>0</v>
      </c>
      <c r="I9" s="103"/>
      <c r="J9" s="783"/>
      <c r="K9" s="104">
        <f t="shared" si="0"/>
        <v>0</v>
      </c>
      <c r="L9" s="103"/>
      <c r="M9" s="1410"/>
      <c r="N9" s="104"/>
      <c r="O9" s="103"/>
      <c r="P9" s="784"/>
      <c r="Q9" s="104"/>
    </row>
    <row r="10" spans="2:17" s="98" customFormat="1">
      <c r="B10" s="102" t="s">
        <v>14</v>
      </c>
      <c r="C10" s="103"/>
      <c r="D10" s="1407"/>
      <c r="E10" s="104">
        <f>C10*D5</f>
        <v>0</v>
      </c>
      <c r="F10" s="103"/>
      <c r="G10" s="1105"/>
      <c r="H10" s="104">
        <f>F10*G6</f>
        <v>0</v>
      </c>
      <c r="I10" s="103"/>
      <c r="J10" s="783"/>
      <c r="K10" s="104">
        <f t="shared" si="0"/>
        <v>0</v>
      </c>
      <c r="L10" s="103"/>
      <c r="M10" s="1410"/>
      <c r="N10" s="104"/>
      <c r="O10" s="103"/>
      <c r="P10" s="784"/>
      <c r="Q10" s="104"/>
    </row>
    <row r="11" spans="2:17" s="98" customFormat="1">
      <c r="B11" s="102" t="s">
        <v>15</v>
      </c>
      <c r="C11" s="103"/>
      <c r="D11" s="1407"/>
      <c r="E11" s="104">
        <f>C11*D5</f>
        <v>0</v>
      </c>
      <c r="F11" s="103"/>
      <c r="G11" s="1105"/>
      <c r="H11" s="104">
        <f>F11*G6</f>
        <v>0</v>
      </c>
      <c r="I11" s="103"/>
      <c r="J11" s="783"/>
      <c r="K11" s="104">
        <f t="shared" si="0"/>
        <v>0</v>
      </c>
      <c r="L11" s="103"/>
      <c r="M11" s="1410"/>
      <c r="N11" s="104"/>
      <c r="O11" s="103"/>
      <c r="P11" s="784"/>
      <c r="Q11" s="104"/>
    </row>
    <row r="12" spans="2:17" s="98" customFormat="1">
      <c r="B12" s="102" t="s">
        <v>16</v>
      </c>
      <c r="C12" s="103"/>
      <c r="D12" s="1407"/>
      <c r="E12" s="104">
        <f>C12*D5</f>
        <v>0</v>
      </c>
      <c r="F12" s="103"/>
      <c r="G12" s="1105"/>
      <c r="H12" s="104">
        <f>F12*G6</f>
        <v>0</v>
      </c>
      <c r="I12" s="103"/>
      <c r="J12" s="1102"/>
      <c r="K12" s="104">
        <f t="shared" si="0"/>
        <v>0</v>
      </c>
      <c r="L12" s="103"/>
      <c r="M12" s="1410"/>
      <c r="N12" s="104"/>
      <c r="O12" s="103"/>
      <c r="P12" s="784"/>
      <c r="Q12" s="104"/>
    </row>
    <row r="13" spans="2:17" s="98" customFormat="1">
      <c r="B13" s="102" t="s">
        <v>17</v>
      </c>
      <c r="C13" s="103"/>
      <c r="D13" s="1408"/>
      <c r="E13" s="104">
        <f>C13*D5</f>
        <v>0</v>
      </c>
      <c r="F13" s="103"/>
      <c r="G13" s="1105"/>
      <c r="H13" s="104">
        <f>F13*G6</f>
        <v>0</v>
      </c>
      <c r="I13" s="103"/>
      <c r="J13" s="785"/>
      <c r="K13" s="104">
        <f t="shared" si="0"/>
        <v>0</v>
      </c>
      <c r="L13" s="103"/>
      <c r="M13" s="1411"/>
      <c r="N13" s="104"/>
      <c r="O13" s="103"/>
      <c r="P13" s="1106"/>
      <c r="Q13" s="104"/>
    </row>
    <row r="14" spans="2:17" s="98" customFormat="1">
      <c r="B14" s="105" t="s">
        <v>1437</v>
      </c>
      <c r="C14" s="106">
        <f>SUM(C5:C13)</f>
        <v>0</v>
      </c>
      <c r="D14" s="107"/>
      <c r="E14" s="108">
        <f>SUM(E5:E13)</f>
        <v>0</v>
      </c>
      <c r="F14" s="106">
        <f>SUM(F5:F13)</f>
        <v>0</v>
      </c>
      <c r="G14" s="107"/>
      <c r="H14" s="108">
        <f>SUM(H5:H13)</f>
        <v>0</v>
      </c>
      <c r="I14" s="106">
        <f>SUM(I5:I13)</f>
        <v>0</v>
      </c>
      <c r="J14" s="107"/>
      <c r="K14" s="108">
        <f>SUM(K5:K13)</f>
        <v>0</v>
      </c>
      <c r="L14" s="106">
        <f>SUM(L5:L13)</f>
        <v>0</v>
      </c>
      <c r="M14" s="107"/>
      <c r="N14" s="1107">
        <f>SUM(N5:N13)</f>
        <v>0</v>
      </c>
      <c r="O14" s="106">
        <f>SUM(O5:O13)</f>
        <v>0</v>
      </c>
      <c r="P14" s="1108"/>
      <c r="Q14" s="108">
        <f>SUM(Q5:Q13)</f>
        <v>0</v>
      </c>
    </row>
    <row r="15" spans="2:17" s="98" customFormat="1">
      <c r="B15" s="109" t="s">
        <v>1438</v>
      </c>
      <c r="C15" s="103">
        <f>C14/9</f>
        <v>0</v>
      </c>
      <c r="D15" s="110"/>
      <c r="E15" s="104">
        <f>E14/9</f>
        <v>0</v>
      </c>
      <c r="F15" s="103">
        <f>F14/9</f>
        <v>0</v>
      </c>
      <c r="G15" s="110"/>
      <c r="H15" s="104">
        <f>H14/9</f>
        <v>0</v>
      </c>
      <c r="I15" s="103">
        <f>I14/9</f>
        <v>0</v>
      </c>
      <c r="J15" s="110"/>
      <c r="K15" s="104">
        <f>K14/9</f>
        <v>0</v>
      </c>
      <c r="L15" s="103">
        <f>L14/9</f>
        <v>0</v>
      </c>
      <c r="M15" s="110"/>
      <c r="N15" s="104">
        <f>N14/9</f>
        <v>0</v>
      </c>
      <c r="O15" s="103">
        <f>O14/9</f>
        <v>0</v>
      </c>
      <c r="P15" s="110"/>
      <c r="Q15" s="104">
        <f>Q14/9</f>
        <v>0</v>
      </c>
    </row>
    <row r="16" spans="2:17" s="98" customFormat="1">
      <c r="B16" s="109" t="s">
        <v>1804</v>
      </c>
      <c r="C16" s="1417">
        <f>[22]基础数据!E18</f>
        <v>0.252</v>
      </c>
      <c r="D16" s="1418"/>
      <c r="E16" s="1418"/>
      <c r="F16" s="1417">
        <f>[22]基础数据!E19</f>
        <v>0.10855263157894737</v>
      </c>
      <c r="G16" s="1418"/>
      <c r="H16" s="1419"/>
      <c r="I16" s="1417">
        <f>[22]基础数据!E23</f>
        <v>0.35436893203883496</v>
      </c>
      <c r="J16" s="1418"/>
      <c r="K16" s="1419"/>
      <c r="L16" s="794">
        <f>[22]基础数据!E20</f>
        <v>0.19038817005545286</v>
      </c>
      <c r="M16" s="794"/>
      <c r="N16" s="794"/>
      <c r="O16" s="1417">
        <f>[22]基础数据!E23</f>
        <v>0.35436893203883496</v>
      </c>
      <c r="P16" s="1418"/>
      <c r="Q16" s="1419"/>
    </row>
    <row r="17" spans="1:25" s="98" customFormat="1">
      <c r="B17" s="111" t="s">
        <v>1805</v>
      </c>
      <c r="C17" s="112">
        <f>ROUND(C15*(1+C16),0)</f>
        <v>0</v>
      </c>
      <c r="D17" s="113">
        <v>0.95099999999999996</v>
      </c>
      <c r="E17" s="114">
        <f>ROUND(C17*D17,0)</f>
        <v>0</v>
      </c>
      <c r="F17" s="112">
        <f>ROUND(F15*(1+F16),0)</f>
        <v>0</v>
      </c>
      <c r="G17" s="113">
        <v>1.26</v>
      </c>
      <c r="H17" s="114">
        <f>ROUND(F17*G17,0)</f>
        <v>0</v>
      </c>
      <c r="I17" s="112">
        <f>ROUND(I15*(1+I16),0)</f>
        <v>0</v>
      </c>
      <c r="J17" s="113">
        <v>1.25</v>
      </c>
      <c r="K17" s="114">
        <f>ROUND(I17*J17,0)</f>
        <v>0</v>
      </c>
      <c r="L17" s="112">
        <f>ROUND(L15*(1+L16),0)</f>
        <v>0</v>
      </c>
      <c r="M17" s="113">
        <f>M5</f>
        <v>0</v>
      </c>
      <c r="N17" s="114">
        <f>ROUND(L17*M17,0)</f>
        <v>0</v>
      </c>
      <c r="O17" s="112">
        <f>ROUND(O15*(1+O16),0)</f>
        <v>0</v>
      </c>
      <c r="P17" s="113">
        <v>1.25</v>
      </c>
      <c r="Q17" s="114">
        <f>ROUND(O17*P17,0)</f>
        <v>0</v>
      </c>
    </row>
    <row r="18" spans="1:25" s="98" customFormat="1">
      <c r="A18" s="115"/>
      <c r="B18" s="116"/>
      <c r="D18" s="117"/>
    </row>
    <row r="19" spans="1:25" s="98" customFormat="1">
      <c r="A19" s="115"/>
      <c r="B19" s="116"/>
      <c r="D19" s="117"/>
    </row>
    <row r="20" spans="1:25" s="98" customFormat="1">
      <c r="A20" s="115"/>
      <c r="B20" s="116"/>
      <c r="D20" s="117"/>
    </row>
    <row r="21" spans="1:25">
      <c r="B21" s="277" t="s">
        <v>1265</v>
      </c>
      <c r="F21" s="556"/>
    </row>
    <row r="22" spans="1:25">
      <c r="B22" s="278" t="s">
        <v>1439</v>
      </c>
      <c r="D22" s="557"/>
      <c r="E22" s="558"/>
      <c r="F22" s="556"/>
    </row>
    <row r="23" spans="1:25" s="98" customFormat="1" ht="13.5" customHeight="1">
      <c r="B23" s="1389" t="s">
        <v>1266</v>
      </c>
      <c r="C23" s="118" t="s">
        <v>1267</v>
      </c>
      <c r="D23" s="1420" t="s">
        <v>1268</v>
      </c>
      <c r="E23" s="1393"/>
      <c r="F23" s="1391" t="s">
        <v>1269</v>
      </c>
      <c r="G23" s="1393"/>
      <c r="H23" s="1391" t="s">
        <v>1270</v>
      </c>
      <c r="I23" s="1393"/>
      <c r="J23" s="1391" t="s">
        <v>1271</v>
      </c>
      <c r="K23" s="1393"/>
      <c r="L23" s="1391" t="s">
        <v>1272</v>
      </c>
      <c r="M23" s="1393"/>
      <c r="N23" s="1391" t="s">
        <v>1273</v>
      </c>
      <c r="O23" s="1393"/>
      <c r="P23" s="1391" t="s">
        <v>1274</v>
      </c>
      <c r="Q23" s="1393"/>
      <c r="R23" s="1420" t="s">
        <v>1275</v>
      </c>
      <c r="S23" s="1421"/>
      <c r="T23" s="1421"/>
      <c r="U23" s="1421"/>
      <c r="V23" s="1421"/>
      <c r="W23" s="782"/>
      <c r="X23" s="1422" t="s">
        <v>1276</v>
      </c>
      <c r="Y23" s="1414"/>
    </row>
    <row r="24" spans="1:25" s="98" customFormat="1">
      <c r="B24" s="1390"/>
      <c r="C24" s="119" t="s">
        <v>1277</v>
      </c>
      <c r="D24" s="120" t="s">
        <v>1278</v>
      </c>
      <c r="E24" s="101" t="s">
        <v>1279</v>
      </c>
      <c r="F24" s="120" t="s">
        <v>1278</v>
      </c>
      <c r="G24" s="101" t="s">
        <v>1279</v>
      </c>
      <c r="H24" s="120" t="s">
        <v>1278</v>
      </c>
      <c r="I24" s="101" t="s">
        <v>1279</v>
      </c>
      <c r="J24" s="120" t="s">
        <v>1278</v>
      </c>
      <c r="K24" s="101" t="s">
        <v>1279</v>
      </c>
      <c r="L24" s="120" t="s">
        <v>1278</v>
      </c>
      <c r="M24" s="101" t="s">
        <v>1279</v>
      </c>
      <c r="N24" s="120" t="s">
        <v>1278</v>
      </c>
      <c r="O24" s="101" t="s">
        <v>1279</v>
      </c>
      <c r="P24" s="120" t="s">
        <v>1278</v>
      </c>
      <c r="Q24" s="101" t="s">
        <v>1279</v>
      </c>
      <c r="R24" s="120" t="s">
        <v>1280</v>
      </c>
      <c r="S24" s="1109" t="s">
        <v>1279</v>
      </c>
      <c r="T24" s="1110" t="s">
        <v>1281</v>
      </c>
      <c r="U24" s="1109" t="s">
        <v>1279</v>
      </c>
      <c r="V24" s="1111" t="s">
        <v>1440</v>
      </c>
      <c r="W24" s="101" t="s">
        <v>1441</v>
      </c>
      <c r="X24" s="120" t="s">
        <v>1278</v>
      </c>
      <c r="Y24" s="101" t="s">
        <v>1279</v>
      </c>
    </row>
    <row r="25" spans="1:25" s="98" customFormat="1">
      <c r="B25" s="102" t="s">
        <v>1282</v>
      </c>
      <c r="C25" s="1112"/>
      <c r="D25" s="121"/>
      <c r="E25" s="122"/>
      <c r="F25" s="121"/>
      <c r="G25" s="122"/>
      <c r="H25" s="121"/>
      <c r="I25" s="122"/>
      <c r="J25" s="121"/>
      <c r="K25" s="122"/>
      <c r="L25" s="121"/>
      <c r="M25" s="122"/>
      <c r="N25" s="121"/>
      <c r="O25" s="122"/>
      <c r="P25" s="121"/>
      <c r="Q25" s="122"/>
      <c r="R25" s="121"/>
      <c r="S25" s="1113"/>
      <c r="T25" s="1114"/>
      <c r="U25" s="1113"/>
      <c r="V25" s="1114"/>
      <c r="W25" s="122"/>
      <c r="X25" s="121"/>
      <c r="Y25" s="122"/>
    </row>
    <row r="26" spans="1:25" s="98" customFormat="1">
      <c r="B26" s="102" t="s">
        <v>10</v>
      </c>
      <c r="C26" s="1115"/>
      <c r="D26" s="121"/>
      <c r="E26" s="122"/>
      <c r="F26" s="121"/>
      <c r="G26" s="122"/>
      <c r="H26" s="121"/>
      <c r="I26" s="122"/>
      <c r="J26" s="121"/>
      <c r="K26" s="122"/>
      <c r="L26" s="121"/>
      <c r="M26" s="122"/>
      <c r="N26" s="121"/>
      <c r="O26" s="122"/>
      <c r="P26" s="121"/>
      <c r="Q26" s="122"/>
      <c r="R26" s="121"/>
      <c r="S26" s="1113"/>
      <c r="T26" s="1114"/>
      <c r="U26" s="1113"/>
      <c r="V26" s="1114"/>
      <c r="W26" s="122"/>
      <c r="X26" s="121"/>
      <c r="Y26" s="122"/>
    </row>
    <row r="27" spans="1:25" s="98" customFormat="1">
      <c r="B27" s="102" t="s">
        <v>11</v>
      </c>
      <c r="C27" s="1115"/>
      <c r="D27" s="121"/>
      <c r="E27" s="122"/>
      <c r="F27" s="121"/>
      <c r="G27" s="122"/>
      <c r="H27" s="121"/>
      <c r="I27" s="122"/>
      <c r="J27" s="121"/>
      <c r="K27" s="122"/>
      <c r="L27" s="121"/>
      <c r="M27" s="122"/>
      <c r="N27" s="121"/>
      <c r="O27" s="122"/>
      <c r="P27" s="121"/>
      <c r="Q27" s="122"/>
      <c r="R27" s="121"/>
      <c r="S27" s="1113"/>
      <c r="T27" s="1114"/>
      <c r="U27" s="1113"/>
      <c r="V27" s="1114"/>
      <c r="W27" s="122"/>
      <c r="X27" s="121"/>
      <c r="Y27" s="122"/>
    </row>
    <row r="28" spans="1:25" s="98" customFormat="1">
      <c r="B28" s="102" t="s">
        <v>12</v>
      </c>
      <c r="C28" s="1115"/>
      <c r="D28" s="121"/>
      <c r="E28" s="122"/>
      <c r="F28" s="121"/>
      <c r="G28" s="122"/>
      <c r="H28" s="121"/>
      <c r="I28" s="122"/>
      <c r="J28" s="121"/>
      <c r="K28" s="122"/>
      <c r="L28" s="121"/>
      <c r="M28" s="122"/>
      <c r="N28" s="121"/>
      <c r="O28" s="122"/>
      <c r="P28" s="121"/>
      <c r="Q28" s="122"/>
      <c r="R28" s="121"/>
      <c r="S28" s="1113"/>
      <c r="T28" s="1114"/>
      <c r="U28" s="1113"/>
      <c r="V28" s="1114"/>
      <c r="W28" s="122"/>
      <c r="X28" s="121"/>
      <c r="Y28" s="122"/>
    </row>
    <row r="29" spans="1:25" s="98" customFormat="1">
      <c r="B29" s="102" t="s">
        <v>13</v>
      </c>
      <c r="C29" s="1116"/>
      <c r="D29" s="121"/>
      <c r="E29" s="122"/>
      <c r="F29" s="121"/>
      <c r="G29" s="122"/>
      <c r="H29" s="121"/>
      <c r="I29" s="122"/>
      <c r="J29" s="121"/>
      <c r="K29" s="122"/>
      <c r="L29" s="121"/>
      <c r="M29" s="122"/>
      <c r="N29" s="121"/>
      <c r="O29" s="122"/>
      <c r="P29" s="121"/>
      <c r="Q29" s="122"/>
      <c r="R29" s="121"/>
      <c r="S29" s="1113"/>
      <c r="T29" s="1114"/>
      <c r="U29" s="1113"/>
      <c r="V29" s="1114"/>
      <c r="W29" s="122"/>
      <c r="X29" s="121"/>
      <c r="Y29" s="122"/>
    </row>
    <row r="30" spans="1:25" s="98" customFormat="1">
      <c r="B30" s="102" t="s">
        <v>14</v>
      </c>
      <c r="C30" s="1112"/>
      <c r="D30" s="121"/>
      <c r="E30" s="122"/>
      <c r="F30" s="121"/>
      <c r="G30" s="122"/>
      <c r="H30" s="121"/>
      <c r="I30" s="122"/>
      <c r="J30" s="121"/>
      <c r="K30" s="122"/>
      <c r="L30" s="121"/>
      <c r="M30" s="122"/>
      <c r="N30" s="121"/>
      <c r="O30" s="122"/>
      <c r="P30" s="121"/>
      <c r="Q30" s="122"/>
      <c r="R30" s="121"/>
      <c r="S30" s="1113"/>
      <c r="T30" s="1114"/>
      <c r="U30" s="1113"/>
      <c r="V30" s="1114"/>
      <c r="W30" s="122"/>
      <c r="X30" s="121"/>
      <c r="Y30" s="122"/>
    </row>
    <row r="31" spans="1:25" s="98" customFormat="1">
      <c r="B31" s="102" t="s">
        <v>15</v>
      </c>
      <c r="C31" s="1115"/>
      <c r="D31" s="121"/>
      <c r="E31" s="122"/>
      <c r="F31" s="121"/>
      <c r="G31" s="122"/>
      <c r="H31" s="121"/>
      <c r="I31" s="122"/>
      <c r="J31" s="121"/>
      <c r="K31" s="122"/>
      <c r="L31" s="121"/>
      <c r="M31" s="122"/>
      <c r="N31" s="121"/>
      <c r="O31" s="122"/>
      <c r="P31" s="121"/>
      <c r="Q31" s="122"/>
      <c r="R31" s="121"/>
      <c r="S31" s="1113"/>
      <c r="T31" s="1114"/>
      <c r="U31" s="1113"/>
      <c r="V31" s="1114"/>
      <c r="W31" s="122"/>
      <c r="X31" s="121"/>
      <c r="Y31" s="122"/>
    </row>
    <row r="32" spans="1:25" s="98" customFormat="1">
      <c r="B32" s="102" t="s">
        <v>16</v>
      </c>
      <c r="C32" s="1115"/>
      <c r="D32" s="121"/>
      <c r="E32" s="122"/>
      <c r="F32" s="121"/>
      <c r="G32" s="122"/>
      <c r="H32" s="121"/>
      <c r="I32" s="122"/>
      <c r="J32" s="121"/>
      <c r="K32" s="122"/>
      <c r="L32" s="121"/>
      <c r="M32" s="122"/>
      <c r="N32" s="121"/>
      <c r="O32" s="122"/>
      <c r="P32" s="121"/>
      <c r="Q32" s="122"/>
      <c r="R32" s="121"/>
      <c r="S32" s="1113"/>
      <c r="T32" s="1114"/>
      <c r="U32" s="1113"/>
      <c r="V32" s="1114"/>
      <c r="W32" s="122"/>
      <c r="X32" s="121"/>
      <c r="Y32" s="122"/>
    </row>
    <row r="33" spans="1:25" s="98" customFormat="1">
      <c r="B33" s="102" t="s">
        <v>17</v>
      </c>
      <c r="C33" s="1116"/>
      <c r="D33" s="121"/>
      <c r="E33" s="122"/>
      <c r="F33" s="121"/>
      <c r="G33" s="122"/>
      <c r="H33" s="121"/>
      <c r="I33" s="122"/>
      <c r="J33" s="121"/>
      <c r="K33" s="122"/>
      <c r="L33" s="121"/>
      <c r="M33" s="122"/>
      <c r="N33" s="121"/>
      <c r="O33" s="122"/>
      <c r="P33" s="121"/>
      <c r="Q33" s="122"/>
      <c r="R33" s="121"/>
      <c r="S33" s="1113"/>
      <c r="T33" s="1114"/>
      <c r="U33" s="1113"/>
      <c r="V33" s="1114"/>
      <c r="W33" s="122"/>
      <c r="X33" s="121"/>
      <c r="Y33" s="122"/>
    </row>
    <row r="34" spans="1:25" s="98" customFormat="1">
      <c r="B34" s="123" t="s">
        <v>1437</v>
      </c>
      <c r="C34" s="124"/>
      <c r="D34" s="125">
        <f>SUM(D29:D33)</f>
        <v>0</v>
      </c>
      <c r="E34" s="126">
        <f>SUM(E25:E33)</f>
        <v>0</v>
      </c>
      <c r="F34" s="125">
        <f>SUM(F25:F33)</f>
        <v>0</v>
      </c>
      <c r="G34" s="126">
        <f>SUM(G25:G33)</f>
        <v>0</v>
      </c>
      <c r="H34" s="125">
        <f t="shared" ref="H34:Y34" si="1">SUM(H25:H33)</f>
        <v>0</v>
      </c>
      <c r="I34" s="126">
        <f t="shared" si="1"/>
        <v>0</v>
      </c>
      <c r="J34" s="125">
        <f t="shared" si="1"/>
        <v>0</v>
      </c>
      <c r="K34" s="126">
        <f t="shared" si="1"/>
        <v>0</v>
      </c>
      <c r="L34" s="125">
        <f t="shared" si="1"/>
        <v>0</v>
      </c>
      <c r="M34" s="126">
        <f t="shared" si="1"/>
        <v>0</v>
      </c>
      <c r="N34" s="125">
        <f>SUM(N25:N33)</f>
        <v>0</v>
      </c>
      <c r="O34" s="126">
        <f t="shared" si="1"/>
        <v>0</v>
      </c>
      <c r="P34" s="125">
        <f t="shared" si="1"/>
        <v>0</v>
      </c>
      <c r="Q34" s="126">
        <f t="shared" si="1"/>
        <v>0</v>
      </c>
      <c r="R34" s="125">
        <f t="shared" si="1"/>
        <v>0</v>
      </c>
      <c r="S34" s="1117">
        <f t="shared" si="1"/>
        <v>0</v>
      </c>
      <c r="T34" s="1118">
        <f t="shared" si="1"/>
        <v>0</v>
      </c>
      <c r="U34" s="1117">
        <f t="shared" si="1"/>
        <v>0</v>
      </c>
      <c r="V34" s="1118">
        <f t="shared" si="1"/>
        <v>0</v>
      </c>
      <c r="W34" s="126">
        <f t="shared" si="1"/>
        <v>0</v>
      </c>
      <c r="X34" s="125">
        <f>SUM(X25:X33)</f>
        <v>0</v>
      </c>
      <c r="Y34" s="126">
        <f t="shared" si="1"/>
        <v>0</v>
      </c>
    </row>
    <row r="35" spans="1:25" s="98" customFormat="1">
      <c r="B35" s="109" t="s">
        <v>1442</v>
      </c>
      <c r="C35" s="104"/>
      <c r="D35" s="1119">
        <f t="shared" ref="D35:L35" si="2">D34/9</f>
        <v>0</v>
      </c>
      <c r="E35" s="122">
        <f t="shared" si="2"/>
        <v>0</v>
      </c>
      <c r="F35" s="121">
        <f t="shared" si="2"/>
        <v>0</v>
      </c>
      <c r="G35" s="122">
        <f t="shared" si="2"/>
        <v>0</v>
      </c>
      <c r="H35" s="121">
        <f t="shared" si="2"/>
        <v>0</v>
      </c>
      <c r="I35" s="122">
        <f t="shared" si="2"/>
        <v>0</v>
      </c>
      <c r="J35" s="121">
        <f t="shared" si="2"/>
        <v>0</v>
      </c>
      <c r="K35" s="122">
        <f t="shared" si="2"/>
        <v>0</v>
      </c>
      <c r="L35" s="121">
        <f t="shared" si="2"/>
        <v>0</v>
      </c>
      <c r="M35" s="122">
        <f>M34/9</f>
        <v>0</v>
      </c>
      <c r="N35" s="121">
        <f>N34/9</f>
        <v>0</v>
      </c>
      <c r="O35" s="122">
        <f>O34/9</f>
        <v>0</v>
      </c>
      <c r="P35" s="121">
        <f>P34/6</f>
        <v>0</v>
      </c>
      <c r="Q35" s="122">
        <f>Q34/6</f>
        <v>0</v>
      </c>
      <c r="R35" s="121">
        <f t="shared" ref="R35:W35" si="3">R34/9</f>
        <v>0</v>
      </c>
      <c r="S35" s="1113">
        <f t="shared" si="3"/>
        <v>0</v>
      </c>
      <c r="T35" s="1114">
        <f t="shared" si="3"/>
        <v>0</v>
      </c>
      <c r="U35" s="1113">
        <f t="shared" si="3"/>
        <v>0</v>
      </c>
      <c r="V35" s="1114">
        <f t="shared" si="3"/>
        <v>0</v>
      </c>
      <c r="W35" s="122">
        <f t="shared" si="3"/>
        <v>0</v>
      </c>
      <c r="X35" s="121">
        <f>X34/6</f>
        <v>0</v>
      </c>
      <c r="Y35" s="122">
        <f>Y34/6</f>
        <v>0</v>
      </c>
    </row>
    <row r="36" spans="1:25" s="98" customFormat="1">
      <c r="B36" s="109" t="s">
        <v>1443</v>
      </c>
      <c r="C36" s="104"/>
      <c r="D36" s="1423"/>
      <c r="E36" s="1424"/>
      <c r="F36" s="1425"/>
      <c r="G36" s="1426"/>
      <c r="H36" s="1425"/>
      <c r="I36" s="1426"/>
      <c r="J36" s="1425"/>
      <c r="K36" s="1426"/>
      <c r="L36" s="1425"/>
      <c r="M36" s="1426"/>
      <c r="N36" s="1425"/>
      <c r="O36" s="1426"/>
      <c r="P36" s="1425"/>
      <c r="Q36" s="1426"/>
      <c r="R36" s="1425"/>
      <c r="S36" s="1427"/>
      <c r="T36" s="1427"/>
      <c r="U36" s="1427"/>
      <c r="V36" s="1427"/>
      <c r="W36" s="1426"/>
      <c r="X36" s="1425"/>
      <c r="Y36" s="1426"/>
    </row>
    <row r="37" spans="1:25" s="98" customFormat="1">
      <c r="B37" s="109" t="s">
        <v>1444</v>
      </c>
      <c r="C37" s="104"/>
      <c r="D37" s="1417">
        <f>[22]基础数据!E18</f>
        <v>0.252</v>
      </c>
      <c r="E37" s="1419"/>
      <c r="F37" s="1417">
        <f>[22]基础数据!E19</f>
        <v>0.10855263157894737</v>
      </c>
      <c r="G37" s="1419"/>
      <c r="H37" s="1417">
        <f>[22]基础数据!E20</f>
        <v>0.19038817005545286</v>
      </c>
      <c r="I37" s="1419"/>
      <c r="J37" s="1417">
        <f>[24]基础数据!E26</f>
        <v>0</v>
      </c>
      <c r="K37" s="1419"/>
      <c r="L37" s="1417">
        <f>[22]基础数据!E23</f>
        <v>0.35436893203883496</v>
      </c>
      <c r="M37" s="1419"/>
      <c r="N37" s="1417">
        <v>0</v>
      </c>
      <c r="O37" s="1418"/>
      <c r="P37" s="1418">
        <v>0</v>
      </c>
      <c r="Q37" s="1419"/>
      <c r="R37" s="1417">
        <f>[22]基础数据!E17</f>
        <v>0.16284779050736498</v>
      </c>
      <c r="S37" s="1418"/>
      <c r="T37" s="1418"/>
      <c r="U37" s="1418"/>
      <c r="V37" s="1418"/>
      <c r="W37" s="1419"/>
      <c r="X37" s="1417">
        <f>[22]基础数据!E21</f>
        <v>0.21025641025641026</v>
      </c>
      <c r="Y37" s="1419"/>
    </row>
    <row r="38" spans="1:25" s="98" customFormat="1">
      <c r="B38" s="111" t="s">
        <v>1445</v>
      </c>
      <c r="C38" s="127"/>
      <c r="D38" s="128">
        <f>ROUND(D35*(1+D37),0)</f>
        <v>0</v>
      </c>
      <c r="E38" s="129">
        <f>ROUND(D38*C36,0)</f>
        <v>0</v>
      </c>
      <c r="F38" s="128">
        <f>ROUND(F35*(1+F37),0)</f>
        <v>0</v>
      </c>
      <c r="G38" s="129">
        <f>ROUND(F38*C36,0)</f>
        <v>0</v>
      </c>
      <c r="H38" s="128">
        <f>ROUND(H35*(1+H37),0)</f>
        <v>0</v>
      </c>
      <c r="I38" s="129">
        <f>ROUND(H38*C36,0)</f>
        <v>0</v>
      </c>
      <c r="J38" s="128">
        <f>ROUND(J35*(1+J37),0)</f>
        <v>0</v>
      </c>
      <c r="K38" s="129">
        <f>J38*C36</f>
        <v>0</v>
      </c>
      <c r="L38" s="128">
        <f>ROUND(L35*(1+L37),0)</f>
        <v>0</v>
      </c>
      <c r="M38" s="129">
        <f>ROUND(L38*C36,0)</f>
        <v>0</v>
      </c>
      <c r="N38" s="128">
        <f>ROUND(N35,0)</f>
        <v>0</v>
      </c>
      <c r="O38" s="129">
        <f>N38*C36</f>
        <v>0</v>
      </c>
      <c r="P38" s="128">
        <f>ROUND(P35,0)</f>
        <v>0</v>
      </c>
      <c r="Q38" s="129">
        <f>P38*C36</f>
        <v>0</v>
      </c>
      <c r="R38" s="128">
        <f>ROUND(R35*(1+R37),0)</f>
        <v>0</v>
      </c>
      <c r="S38" s="129">
        <f>R38*C36</f>
        <v>0</v>
      </c>
      <c r="T38" s="128">
        <f>ROUND(T35*1,0)</f>
        <v>0</v>
      </c>
      <c r="U38" s="129">
        <f>T38*C30</f>
        <v>0</v>
      </c>
      <c r="V38" s="128">
        <f>R38+T38</f>
        <v>0</v>
      </c>
      <c r="W38" s="129">
        <f>S38+U38</f>
        <v>0</v>
      </c>
      <c r="X38" s="128">
        <f>ROUND(X35*(1+X37),0)</f>
        <v>0</v>
      </c>
      <c r="Y38" s="129">
        <f>ROUND(X38*C25,0)</f>
        <v>0</v>
      </c>
    </row>
    <row r="39" spans="1:25" s="98" customFormat="1" ht="25.5">
      <c r="B39" s="130"/>
      <c r="C39" s="131" t="s">
        <v>1446</v>
      </c>
      <c r="D39" s="660"/>
      <c r="E39" s="131"/>
    </row>
    <row r="40" spans="1:25" s="98" customFormat="1">
      <c r="A40" s="115"/>
      <c r="B40" s="116"/>
      <c r="D40" s="117"/>
    </row>
    <row r="41" spans="1:25">
      <c r="B41" s="1120" t="s">
        <v>1447</v>
      </c>
    </row>
    <row r="42" spans="1:25">
      <c r="B42" s="1121" t="s">
        <v>1448</v>
      </c>
      <c r="C42" s="558"/>
    </row>
    <row r="43" spans="1:25" s="98" customFormat="1" ht="13.5" customHeight="1">
      <c r="B43" s="1389" t="s">
        <v>1427</v>
      </c>
      <c r="C43" s="746" t="s">
        <v>1428</v>
      </c>
      <c r="D43" s="132" t="s">
        <v>1449</v>
      </c>
      <c r="E43" s="132" t="s">
        <v>1429</v>
      </c>
      <c r="F43" s="132" t="s">
        <v>1450</v>
      </c>
      <c r="G43" s="543" t="s">
        <v>1430</v>
      </c>
      <c r="H43" s="661" t="s">
        <v>1451</v>
      </c>
      <c r="I43" s="1122" t="s">
        <v>1432</v>
      </c>
    </row>
    <row r="44" spans="1:25" s="98" customFormat="1">
      <c r="B44" s="1390"/>
      <c r="C44" s="133" t="s">
        <v>1452</v>
      </c>
      <c r="D44" s="101" t="s">
        <v>1452</v>
      </c>
      <c r="E44" s="101" t="s">
        <v>1452</v>
      </c>
      <c r="F44" s="101" t="s">
        <v>1452</v>
      </c>
      <c r="G44" s="101" t="s">
        <v>1452</v>
      </c>
      <c r="H44" s="101" t="s">
        <v>1452</v>
      </c>
      <c r="I44" s="1123" t="s">
        <v>1452</v>
      </c>
    </row>
    <row r="45" spans="1:25" s="98" customFormat="1">
      <c r="B45" s="102" t="s">
        <v>1436</v>
      </c>
      <c r="C45" s="122"/>
      <c r="D45" s="122"/>
      <c r="E45" s="122"/>
      <c r="F45" s="122"/>
      <c r="G45" s="122"/>
      <c r="H45" s="122"/>
      <c r="I45" s="122"/>
    </row>
    <row r="46" spans="1:25" s="98" customFormat="1">
      <c r="B46" s="102" t="s">
        <v>10</v>
      </c>
      <c r="C46" s="122"/>
      <c r="D46" s="122"/>
      <c r="E46" s="122"/>
      <c r="F46" s="122"/>
      <c r="G46" s="122"/>
      <c r="H46" s="122"/>
      <c r="I46" s="122"/>
    </row>
    <row r="47" spans="1:25" s="98" customFormat="1">
      <c r="B47" s="102" t="s">
        <v>11</v>
      </c>
      <c r="C47" s="122"/>
      <c r="D47" s="122"/>
      <c r="E47" s="122"/>
      <c r="F47" s="122"/>
      <c r="G47" s="122"/>
      <c r="H47" s="122"/>
      <c r="I47" s="122"/>
    </row>
    <row r="48" spans="1:25" s="98" customFormat="1">
      <c r="B48" s="102" t="s">
        <v>12</v>
      </c>
      <c r="C48" s="122"/>
      <c r="D48" s="122"/>
      <c r="E48" s="122"/>
      <c r="F48" s="122"/>
      <c r="G48" s="122"/>
      <c r="H48" s="122"/>
      <c r="I48" s="122"/>
    </row>
    <row r="49" spans="2:9" s="98" customFormat="1">
      <c r="B49" s="102" t="s">
        <v>13</v>
      </c>
      <c r="C49" s="122"/>
      <c r="D49" s="122"/>
      <c r="E49" s="122"/>
      <c r="F49" s="122"/>
      <c r="G49" s="122"/>
      <c r="H49" s="122"/>
      <c r="I49" s="122"/>
    </row>
    <row r="50" spans="2:9" s="98" customFormat="1">
      <c r="B50" s="102" t="s">
        <v>14</v>
      </c>
      <c r="C50" s="122"/>
      <c r="D50" s="122"/>
      <c r="E50" s="122"/>
      <c r="F50" s="122"/>
      <c r="G50" s="122"/>
      <c r="H50" s="122"/>
      <c r="I50" s="122"/>
    </row>
    <row r="51" spans="2:9" s="98" customFormat="1">
      <c r="B51" s="102" t="s">
        <v>15</v>
      </c>
      <c r="C51" s="122"/>
      <c r="D51" s="122"/>
      <c r="E51" s="122"/>
      <c r="F51" s="122"/>
      <c r="G51" s="122"/>
      <c r="H51" s="122"/>
      <c r="I51" s="122"/>
    </row>
    <row r="52" spans="2:9" s="98" customFormat="1">
      <c r="B52" s="102" t="s">
        <v>16</v>
      </c>
      <c r="C52" s="122"/>
      <c r="D52" s="122"/>
      <c r="E52" s="122"/>
      <c r="F52" s="122"/>
      <c r="G52" s="122"/>
      <c r="H52" s="122"/>
      <c r="I52" s="122"/>
    </row>
    <row r="53" spans="2:9" s="98" customFormat="1">
      <c r="B53" s="102" t="s">
        <v>17</v>
      </c>
      <c r="C53" s="122"/>
      <c r="D53" s="122"/>
      <c r="E53" s="122"/>
      <c r="F53" s="122"/>
      <c r="G53" s="122"/>
      <c r="H53" s="122"/>
      <c r="I53" s="122"/>
    </row>
    <row r="54" spans="2:9" s="98" customFormat="1">
      <c r="B54" s="123" t="s">
        <v>1437</v>
      </c>
      <c r="C54" s="126">
        <f t="shared" ref="C54:I54" si="4">SUM(C45:C53)</f>
        <v>0</v>
      </c>
      <c r="D54" s="126">
        <f t="shared" si="4"/>
        <v>0</v>
      </c>
      <c r="E54" s="126">
        <f t="shared" si="4"/>
        <v>0</v>
      </c>
      <c r="F54" s="126">
        <f t="shared" si="4"/>
        <v>0</v>
      </c>
      <c r="G54" s="126">
        <f t="shared" si="4"/>
        <v>0</v>
      </c>
      <c r="H54" s="126">
        <f t="shared" si="4"/>
        <v>0</v>
      </c>
      <c r="I54" s="126">
        <f t="shared" si="4"/>
        <v>0</v>
      </c>
    </row>
    <row r="55" spans="2:9" s="98" customFormat="1">
      <c r="B55" s="109" t="s">
        <v>1453</v>
      </c>
      <c r="C55" s="122">
        <f>C54/9</f>
        <v>0</v>
      </c>
      <c r="D55" s="122">
        <f>D54/9</f>
        <v>0</v>
      </c>
      <c r="E55" s="122">
        <f>E54/9</f>
        <v>0</v>
      </c>
      <c r="F55" s="122">
        <f>F54/9</f>
        <v>0</v>
      </c>
      <c r="G55" s="122">
        <f>G54/9</f>
        <v>0</v>
      </c>
      <c r="H55" s="122">
        <f>H54/7</f>
        <v>0</v>
      </c>
      <c r="I55" s="122">
        <f>I54/9</f>
        <v>0</v>
      </c>
    </row>
    <row r="56" spans="2:9" s="98" customFormat="1">
      <c r="B56" s="109" t="s">
        <v>1454</v>
      </c>
      <c r="C56" s="1417">
        <v>0</v>
      </c>
      <c r="D56" s="1418"/>
      <c r="E56" s="1418"/>
      <c r="F56" s="1418"/>
      <c r="G56" s="1418"/>
      <c r="H56" s="1418"/>
      <c r="I56" s="1429"/>
    </row>
    <row r="57" spans="2:9" s="98" customFormat="1">
      <c r="B57" s="111" t="s">
        <v>1455</v>
      </c>
      <c r="C57" s="129">
        <f>C55*(1+C56)</f>
        <v>0</v>
      </c>
      <c r="D57" s="129">
        <f>D55*(1+C56)</f>
        <v>0</v>
      </c>
      <c r="E57" s="129">
        <f>E55*(1+C56)</f>
        <v>0</v>
      </c>
      <c r="F57" s="129">
        <f>F55*(1+C56)</f>
        <v>0</v>
      </c>
      <c r="G57" s="129">
        <f>G55*(1+C56)</f>
        <v>0</v>
      </c>
      <c r="H57" s="129">
        <f>H53</f>
        <v>0</v>
      </c>
      <c r="I57" s="129">
        <f>I55*(1+C56)</f>
        <v>0</v>
      </c>
    </row>
    <row r="59" spans="2:9">
      <c r="B59" s="277" t="s">
        <v>1456</v>
      </c>
      <c r="D59" s="532"/>
    </row>
    <row r="60" spans="2:9">
      <c r="B60" s="278" t="s">
        <v>1457</v>
      </c>
    </row>
    <row r="61" spans="2:9" s="98" customFormat="1" ht="13.5" customHeight="1">
      <c r="B61" s="1389" t="s">
        <v>1427</v>
      </c>
      <c r="C61" s="756" t="s">
        <v>1428</v>
      </c>
      <c r="D61" s="132" t="s">
        <v>1429</v>
      </c>
      <c r="E61" s="578" t="s">
        <v>1458</v>
      </c>
      <c r="F61" s="543" t="s">
        <v>1430</v>
      </c>
      <c r="G61" s="757" t="s">
        <v>1459</v>
      </c>
      <c r="H61" s="1122" t="s">
        <v>1432</v>
      </c>
    </row>
    <row r="62" spans="2:9" s="98" customFormat="1">
      <c r="B62" s="1390"/>
      <c r="C62" s="579" t="s">
        <v>1452</v>
      </c>
      <c r="D62" s="101" t="s">
        <v>1452</v>
      </c>
      <c r="E62" s="580" t="s">
        <v>1452</v>
      </c>
      <c r="F62" s="101" t="s">
        <v>1452</v>
      </c>
      <c r="G62" s="101" t="s">
        <v>1452</v>
      </c>
      <c r="H62" s="1123" t="s">
        <v>1452</v>
      </c>
    </row>
    <row r="63" spans="2:9" s="98" customFormat="1">
      <c r="B63" s="102" t="s">
        <v>1436</v>
      </c>
      <c r="C63" s="122"/>
      <c r="D63" s="122"/>
      <c r="E63" s="122"/>
      <c r="F63" s="122"/>
      <c r="G63" s="122"/>
      <c r="H63" s="122"/>
    </row>
    <row r="64" spans="2:9" s="98" customFormat="1">
      <c r="B64" s="102" t="s">
        <v>10</v>
      </c>
      <c r="C64" s="122"/>
      <c r="D64" s="122"/>
      <c r="E64" s="122"/>
      <c r="F64" s="122"/>
      <c r="G64" s="122"/>
      <c r="H64" s="122"/>
    </row>
    <row r="65" spans="2:8" s="98" customFormat="1">
      <c r="B65" s="102" t="s">
        <v>11</v>
      </c>
      <c r="C65" s="122"/>
      <c r="D65" s="122"/>
      <c r="E65" s="122"/>
      <c r="F65" s="122"/>
      <c r="G65" s="122"/>
      <c r="H65" s="122"/>
    </row>
    <row r="66" spans="2:8" s="98" customFormat="1">
      <c r="B66" s="102" t="s">
        <v>12</v>
      </c>
      <c r="C66" s="122"/>
      <c r="D66" s="122"/>
      <c r="E66" s="122"/>
      <c r="F66" s="122"/>
      <c r="G66" s="122"/>
      <c r="H66" s="122"/>
    </row>
    <row r="67" spans="2:8" s="98" customFormat="1">
      <c r="B67" s="102" t="s">
        <v>13</v>
      </c>
      <c r="C67" s="122"/>
      <c r="D67" s="122"/>
      <c r="E67" s="122"/>
      <c r="F67" s="122"/>
      <c r="G67" s="122"/>
      <c r="H67" s="122"/>
    </row>
    <row r="68" spans="2:8" s="98" customFormat="1">
      <c r="B68" s="102" t="s">
        <v>14</v>
      </c>
      <c r="C68" s="122"/>
      <c r="D68" s="122"/>
      <c r="E68" s="581"/>
      <c r="F68" s="122"/>
      <c r="G68" s="122"/>
      <c r="H68" s="122"/>
    </row>
    <row r="69" spans="2:8" s="98" customFormat="1">
      <c r="B69" s="102" t="s">
        <v>15</v>
      </c>
      <c r="C69" s="122"/>
      <c r="D69" s="122"/>
      <c r="E69" s="581"/>
      <c r="F69" s="122"/>
      <c r="G69" s="122"/>
      <c r="H69" s="122"/>
    </row>
    <row r="70" spans="2:8" s="98" customFormat="1">
      <c r="B70" s="102" t="s">
        <v>16</v>
      </c>
      <c r="C70" s="122"/>
      <c r="D70" s="122"/>
      <c r="E70" s="581"/>
      <c r="F70" s="122"/>
      <c r="G70" s="122"/>
      <c r="H70" s="122"/>
    </row>
    <row r="71" spans="2:8" s="98" customFormat="1">
      <c r="B71" s="102" t="s">
        <v>17</v>
      </c>
      <c r="C71" s="122"/>
      <c r="D71" s="122"/>
      <c r="E71" s="581"/>
      <c r="F71" s="122"/>
      <c r="G71" s="122"/>
      <c r="H71" s="122"/>
    </row>
    <row r="72" spans="2:8" s="98" customFormat="1">
      <c r="B72" s="204" t="s">
        <v>1460</v>
      </c>
      <c r="C72" s="122"/>
      <c r="D72" s="122"/>
      <c r="E72" s="581"/>
      <c r="F72" s="122"/>
      <c r="G72" s="122"/>
      <c r="H72" s="122"/>
    </row>
    <row r="73" spans="2:8" s="98" customFormat="1">
      <c r="B73" s="123" t="s">
        <v>1437</v>
      </c>
      <c r="C73" s="126">
        <f>SUM(C63:C72)</f>
        <v>0</v>
      </c>
      <c r="D73" s="126">
        <f>SUM(D63:D72)</f>
        <v>0</v>
      </c>
      <c r="E73" s="126">
        <f t="shared" ref="E73" si="5">SUM(E63:E72)</f>
        <v>0</v>
      </c>
      <c r="F73" s="126">
        <f>SUM(F63:F72)</f>
        <v>0</v>
      </c>
      <c r="G73" s="126">
        <f>SUM(G63:G72)</f>
        <v>0</v>
      </c>
      <c r="H73" s="126">
        <f>SUM(H63:H72)</f>
        <v>0</v>
      </c>
    </row>
    <row r="74" spans="2:8" s="98" customFormat="1">
      <c r="B74" s="109" t="s">
        <v>1453</v>
      </c>
      <c r="C74" s="122">
        <f t="shared" ref="C74:H74" si="6">C73/10</f>
        <v>0</v>
      </c>
      <c r="D74" s="122">
        <f t="shared" si="6"/>
        <v>0</v>
      </c>
      <c r="E74" s="122">
        <f t="shared" si="6"/>
        <v>0</v>
      </c>
      <c r="F74" s="122">
        <f t="shared" si="6"/>
        <v>0</v>
      </c>
      <c r="G74" s="122">
        <f t="shared" si="6"/>
        <v>0</v>
      </c>
      <c r="H74" s="122">
        <f t="shared" si="6"/>
        <v>0</v>
      </c>
    </row>
    <row r="75" spans="2:8" s="98" customFormat="1">
      <c r="B75" s="109" t="s">
        <v>1444</v>
      </c>
      <c r="C75" s="136"/>
      <c r="D75" s="136"/>
      <c r="E75" s="136"/>
      <c r="F75" s="136"/>
      <c r="G75" s="136"/>
      <c r="H75" s="136"/>
    </row>
    <row r="76" spans="2:8" s="98" customFormat="1">
      <c r="B76" s="111" t="s">
        <v>1455</v>
      </c>
      <c r="C76" s="129">
        <f>ROUND(C74*(1+C75),0)</f>
        <v>0</v>
      </c>
      <c r="D76" s="129">
        <f t="shared" ref="D76:E76" si="7">ROUND(D74*(1+D75),0)</f>
        <v>0</v>
      </c>
      <c r="E76" s="129">
        <f t="shared" si="7"/>
        <v>0</v>
      </c>
      <c r="F76" s="129">
        <f>ROUND(F74*(1+F75),0)</f>
        <v>0</v>
      </c>
      <c r="G76" s="129">
        <f>ROUND(G74*(1+G75),0)</f>
        <v>0</v>
      </c>
      <c r="H76" s="129">
        <f>ROUND(H74*(1+H75),0)</f>
        <v>0</v>
      </c>
    </row>
    <row r="77" spans="2:8">
      <c r="C77" s="276"/>
      <c r="H77" s="98" t="s">
        <v>1461</v>
      </c>
    </row>
    <row r="78" spans="2:8" s="98" customFormat="1">
      <c r="B78" s="134"/>
      <c r="C78" s="135"/>
      <c r="D78" s="135"/>
      <c r="E78" s="135"/>
      <c r="F78" s="135"/>
      <c r="G78" s="135"/>
      <c r="H78" s="135"/>
    </row>
    <row r="79" spans="2:8" hidden="1">
      <c r="C79" s="276"/>
    </row>
    <row r="80" spans="2:8" hidden="1">
      <c r="B80" s="277" t="s">
        <v>1462</v>
      </c>
      <c r="C80" s="276"/>
    </row>
    <row r="81" spans="1:45" s="584" customFormat="1" hidden="1">
      <c r="B81" s="582"/>
      <c r="C81" s="583"/>
      <c r="D81" s="583"/>
      <c r="E81" s="583"/>
      <c r="F81" s="583"/>
      <c r="G81" s="583"/>
      <c r="H81" s="583"/>
      <c r="I81" s="583"/>
    </row>
    <row r="82" spans="1:45" s="98" customFormat="1" hidden="1">
      <c r="B82" s="278" t="s">
        <v>1463</v>
      </c>
    </row>
    <row r="83" spans="1:45" s="243" customFormat="1" hidden="1">
      <c r="B83" s="546" t="s">
        <v>1464</v>
      </c>
      <c r="C83" s="546" t="s">
        <v>1465</v>
      </c>
      <c r="D83" s="279" t="s">
        <v>1466</v>
      </c>
      <c r="E83" s="279" t="s">
        <v>1467</v>
      </c>
      <c r="F83" s="546" t="s">
        <v>1468</v>
      </c>
      <c r="G83" s="546" t="s">
        <v>1469</v>
      </c>
      <c r="H83" s="546" t="s">
        <v>1470</v>
      </c>
      <c r="I83" s="546" t="s">
        <v>1471</v>
      </c>
      <c r="J83" s="786" t="s">
        <v>1472</v>
      </c>
    </row>
    <row r="84" spans="1:45" s="243" customFormat="1" hidden="1">
      <c r="B84" s="748" t="s">
        <v>1473</v>
      </c>
      <c r="C84" s="137">
        <v>8</v>
      </c>
      <c r="D84" s="137">
        <v>11</v>
      </c>
      <c r="E84" s="137">
        <v>18</v>
      </c>
      <c r="F84" s="138">
        <v>65</v>
      </c>
      <c r="G84" s="137">
        <v>30</v>
      </c>
      <c r="H84" s="137">
        <v>1.5</v>
      </c>
      <c r="I84" s="137">
        <v>10</v>
      </c>
      <c r="J84" s="137"/>
    </row>
    <row r="85" spans="1:45" s="243" customFormat="1" hidden="1">
      <c r="B85" s="748" t="s">
        <v>1474</v>
      </c>
      <c r="C85" s="1430">
        <f>[22]基础数据!D21</f>
        <v>82</v>
      </c>
      <c r="D85" s="1431"/>
      <c r="E85" s="519">
        <v>12</v>
      </c>
      <c r="F85" s="1430">
        <v>10</v>
      </c>
      <c r="G85" s="1431"/>
      <c r="H85" s="516">
        <v>10</v>
      </c>
      <c r="I85" s="519">
        <v>20</v>
      </c>
      <c r="J85" s="517"/>
    </row>
    <row r="86" spans="1:45" s="98" customFormat="1" hidden="1">
      <c r="B86" s="140" t="s">
        <v>1475</v>
      </c>
      <c r="C86" s="518">
        <f>C84*C85</f>
        <v>656</v>
      </c>
      <c r="D86" s="518">
        <f>D84*C85</f>
        <v>902</v>
      </c>
      <c r="E86" s="518">
        <f>E84*E85</f>
        <v>216</v>
      </c>
      <c r="F86" s="518">
        <f>F84*F85</f>
        <v>650</v>
      </c>
      <c r="G86" s="518">
        <f>G84*F85</f>
        <v>300</v>
      </c>
      <c r="H86" s="518">
        <f>H84*H85</f>
        <v>15</v>
      </c>
      <c r="I86" s="518">
        <f>I84*I85</f>
        <v>200</v>
      </c>
      <c r="J86" s="518">
        <f>SUM(C86:I86)</f>
        <v>2939</v>
      </c>
    </row>
    <row r="87" spans="1:45" s="75" customFormat="1" ht="15.75" hidden="1">
      <c r="A87" s="141"/>
      <c r="B87" s="278" t="s">
        <v>1476</v>
      </c>
      <c r="C87" s="141"/>
      <c r="D87" s="141"/>
      <c r="E87" s="141"/>
      <c r="F87" s="141"/>
      <c r="G87" s="141"/>
      <c r="H87" s="141"/>
      <c r="I87" s="141"/>
      <c r="J87" s="141"/>
      <c r="K87" s="141"/>
      <c r="L87" s="141"/>
      <c r="M87" s="142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2"/>
      <c r="AH87" s="142"/>
      <c r="AI87" s="142"/>
      <c r="AJ87" s="142"/>
      <c r="AK87" s="141"/>
      <c r="AL87" s="141"/>
      <c r="AM87" s="141"/>
      <c r="AN87" s="141"/>
      <c r="AO87" s="142"/>
      <c r="AP87" s="142"/>
      <c r="AQ87" s="142"/>
      <c r="AR87" s="142"/>
      <c r="AS87" s="142"/>
    </row>
    <row r="88" spans="1:45" s="243" customFormat="1" ht="13.5" hidden="1" customHeight="1">
      <c r="B88" s="1432" t="s">
        <v>759</v>
      </c>
      <c r="C88" s="1434" t="s">
        <v>1477</v>
      </c>
      <c r="D88" s="1434"/>
      <c r="E88" s="1434"/>
      <c r="F88" s="1434"/>
      <c r="G88" s="1434"/>
      <c r="H88" s="1434"/>
      <c r="I88" s="1434"/>
      <c r="J88" s="1428"/>
      <c r="K88" s="1428"/>
      <c r="L88" s="1428"/>
      <c r="M88" s="1428"/>
      <c r="N88" s="1428"/>
      <c r="O88" s="1428"/>
      <c r="P88" s="1428"/>
      <c r="Q88" s="1428"/>
      <c r="R88" s="1428"/>
      <c r="S88" s="1428"/>
      <c r="T88" s="1428"/>
      <c r="U88" s="1428"/>
      <c r="V88" s="1428"/>
      <c r="W88" s="1428"/>
      <c r="X88" s="1428"/>
      <c r="Y88" s="1428"/>
      <c r="Z88" s="1428"/>
      <c r="AA88" s="1428"/>
      <c r="AB88" s="1428"/>
      <c r="AC88" s="1428"/>
      <c r="AD88" s="1428"/>
      <c r="AE88" s="1428"/>
      <c r="AF88" s="1428"/>
      <c r="AG88" s="1428"/>
      <c r="AH88" s="1428"/>
      <c r="AI88" s="1428"/>
      <c r="AJ88" s="1428"/>
      <c r="AK88" s="1428"/>
      <c r="AL88" s="1428"/>
      <c r="AM88" s="1428"/>
    </row>
    <row r="89" spans="1:45" s="243" customFormat="1" hidden="1">
      <c r="B89" s="1433"/>
      <c r="C89" s="786" t="s">
        <v>760</v>
      </c>
      <c r="D89" s="786" t="s">
        <v>1465</v>
      </c>
      <c r="E89" s="786" t="s">
        <v>1478</v>
      </c>
      <c r="F89" s="280" t="s">
        <v>1479</v>
      </c>
      <c r="G89" s="786" t="s">
        <v>761</v>
      </c>
      <c r="H89" s="786" t="s">
        <v>762</v>
      </c>
      <c r="I89" s="280" t="s">
        <v>763</v>
      </c>
      <c r="J89" s="787"/>
      <c r="K89" s="787"/>
      <c r="L89" s="787"/>
      <c r="M89" s="576"/>
      <c r="N89" s="787"/>
      <c r="O89" s="787"/>
      <c r="P89" s="576"/>
      <c r="Q89" s="787"/>
      <c r="R89" s="787"/>
      <c r="S89" s="787"/>
      <c r="T89" s="576"/>
      <c r="U89" s="787"/>
      <c r="V89" s="787"/>
      <c r="W89" s="787"/>
      <c r="X89" s="787"/>
      <c r="Y89" s="576"/>
      <c r="Z89" s="787"/>
      <c r="AA89" s="787"/>
      <c r="AB89" s="787"/>
      <c r="AC89" s="576"/>
      <c r="AD89" s="787"/>
      <c r="AE89" s="787"/>
      <c r="AF89" s="576"/>
      <c r="AG89" s="787"/>
      <c r="AH89" s="787"/>
      <c r="AI89" s="787"/>
      <c r="AJ89" s="576"/>
      <c r="AK89" s="787"/>
      <c r="AL89" s="787"/>
      <c r="AM89" s="576"/>
    </row>
    <row r="90" spans="1:45" s="584" customFormat="1" hidden="1">
      <c r="B90" s="747" t="s">
        <v>1480</v>
      </c>
      <c r="C90" s="585">
        <f>4800/12</f>
        <v>400</v>
      </c>
      <c r="D90" s="585">
        <f>12504/12</f>
        <v>1042</v>
      </c>
      <c r="E90" s="585">
        <f>18390/12</f>
        <v>1532.5</v>
      </c>
      <c r="F90" s="585">
        <f>4400/12</f>
        <v>366.66666666666669</v>
      </c>
      <c r="G90" s="585">
        <f>11000/12</f>
        <v>916.66666666666663</v>
      </c>
      <c r="H90" s="585">
        <v>200</v>
      </c>
      <c r="I90" s="585">
        <v>200</v>
      </c>
      <c r="J90" s="586"/>
      <c r="K90" s="586"/>
      <c r="L90" s="586"/>
      <c r="M90" s="586"/>
      <c r="N90" s="586"/>
      <c r="O90" s="586"/>
      <c r="P90" s="586"/>
      <c r="Q90" s="586"/>
      <c r="R90" s="586"/>
      <c r="S90" s="586"/>
      <c r="T90" s="586"/>
      <c r="U90" s="586"/>
      <c r="V90" s="586"/>
      <c r="W90" s="586"/>
      <c r="X90" s="586"/>
      <c r="Y90" s="586"/>
      <c r="Z90" s="586"/>
      <c r="AA90" s="586"/>
      <c r="AB90" s="586"/>
      <c r="AC90" s="586"/>
      <c r="AD90" s="586"/>
      <c r="AE90" s="586"/>
      <c r="AF90" s="586"/>
      <c r="AG90" s="586"/>
      <c r="AH90" s="586"/>
      <c r="AI90" s="586"/>
      <c r="AJ90" s="586"/>
      <c r="AK90" s="586"/>
      <c r="AL90" s="586"/>
      <c r="AM90" s="586"/>
    </row>
    <row r="91" spans="1:45" s="98" customFormat="1" ht="15" hidden="1">
      <c r="B91" s="139" t="s">
        <v>1481</v>
      </c>
      <c r="C91" s="205">
        <v>0.34</v>
      </c>
      <c r="D91" s="1439">
        <v>0</v>
      </c>
      <c r="E91" s="1439"/>
      <c r="F91" s="1439"/>
      <c r="G91" s="1439"/>
      <c r="H91" s="1439"/>
      <c r="I91" s="1439"/>
      <c r="J91" s="577"/>
      <c r="K91" s="1440"/>
      <c r="L91" s="1440"/>
      <c r="M91" s="1440"/>
      <c r="N91" s="1440"/>
      <c r="O91" s="1440"/>
      <c r="P91" s="1440"/>
      <c r="Q91" s="577"/>
      <c r="R91" s="1440"/>
      <c r="S91" s="1440"/>
      <c r="T91" s="1440"/>
      <c r="U91" s="1440"/>
      <c r="V91" s="1440"/>
      <c r="W91" s="1440"/>
      <c r="X91" s="1440"/>
      <c r="Y91" s="1440"/>
      <c r="Z91" s="577"/>
      <c r="AA91" s="1440"/>
      <c r="AB91" s="1440"/>
      <c r="AC91" s="1440"/>
      <c r="AD91" s="1440"/>
      <c r="AE91" s="1440"/>
      <c r="AF91" s="1440"/>
      <c r="AG91" s="577"/>
      <c r="AH91" s="1440"/>
      <c r="AI91" s="1440"/>
      <c r="AJ91" s="1440"/>
      <c r="AK91" s="1440"/>
      <c r="AL91" s="1440"/>
      <c r="AM91" s="1440"/>
    </row>
    <row r="92" spans="1:45" s="243" customFormat="1" hidden="1">
      <c r="B92" s="140" t="s">
        <v>1482</v>
      </c>
      <c r="C92" s="1435">
        <f>C90*(1+C91)+SUM(D90:I90)</f>
        <v>4793.833333333333</v>
      </c>
      <c r="D92" s="1436"/>
      <c r="E92" s="1436"/>
      <c r="F92" s="1436"/>
      <c r="G92" s="1436"/>
      <c r="H92" s="1436"/>
      <c r="I92" s="1437"/>
      <c r="J92" s="1438"/>
      <c r="K92" s="1438"/>
      <c r="L92" s="1438"/>
      <c r="M92" s="1438"/>
      <c r="N92" s="1438"/>
      <c r="O92" s="1438"/>
      <c r="P92" s="1438"/>
      <c r="Q92" s="1438"/>
      <c r="R92" s="1438"/>
      <c r="S92" s="1438"/>
      <c r="T92" s="1438"/>
      <c r="U92" s="1438"/>
      <c r="V92" s="1438"/>
      <c r="W92" s="1438"/>
      <c r="X92" s="1438"/>
      <c r="Y92" s="1438"/>
      <c r="Z92" s="1438"/>
      <c r="AA92" s="1438"/>
      <c r="AB92" s="1438"/>
      <c r="AC92" s="1438"/>
      <c r="AD92" s="1438"/>
      <c r="AE92" s="1438"/>
      <c r="AF92" s="1438"/>
      <c r="AG92" s="1438"/>
      <c r="AH92" s="1438"/>
      <c r="AI92" s="1438"/>
      <c r="AJ92" s="1438"/>
      <c r="AK92" s="1438"/>
      <c r="AL92" s="1438"/>
      <c r="AM92" s="1438"/>
    </row>
    <row r="93" spans="1:45" s="75" customFormat="1" ht="15.75" hidden="1">
      <c r="A93" s="141"/>
      <c r="B93" s="141"/>
      <c r="C93" s="141"/>
      <c r="D93" s="141"/>
      <c r="E93" s="141"/>
      <c r="F93" s="141"/>
      <c r="G93" s="141"/>
      <c r="H93" s="141"/>
      <c r="I93" s="141"/>
      <c r="J93" s="141"/>
      <c r="K93" s="141"/>
      <c r="L93" s="141"/>
      <c r="M93" s="142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2"/>
      <c r="AH93" s="142"/>
      <c r="AI93" s="142"/>
      <c r="AJ93" s="142"/>
      <c r="AK93" s="141"/>
      <c r="AL93" s="141"/>
      <c r="AM93" s="141"/>
      <c r="AN93" s="141"/>
      <c r="AO93" s="142"/>
      <c r="AP93" s="142"/>
      <c r="AQ93" s="142"/>
      <c r="AR93" s="142"/>
      <c r="AS93" s="142"/>
    </row>
    <row r="94" spans="1:45" s="75" customFormat="1" ht="15.75" hidden="1">
      <c r="A94" s="141"/>
      <c r="B94" s="141"/>
      <c r="C94" s="141"/>
      <c r="D94" s="141"/>
      <c r="E94" s="141"/>
      <c r="F94" s="141"/>
      <c r="G94" s="141"/>
      <c r="H94" s="141"/>
      <c r="I94" s="141"/>
      <c r="J94" s="141"/>
      <c r="K94" s="141"/>
      <c r="L94" s="141"/>
      <c r="M94" s="142"/>
      <c r="T94" s="141"/>
      <c r="U94" s="281"/>
      <c r="V94" s="281"/>
      <c r="W94" s="281"/>
      <c r="X94" s="141"/>
      <c r="Y94" s="141"/>
      <c r="Z94" s="141"/>
      <c r="AA94" s="141"/>
      <c r="AB94" s="141"/>
      <c r="AC94" s="141"/>
      <c r="AD94" s="141"/>
      <c r="AE94" s="141"/>
      <c r="AF94" s="141"/>
      <c r="AG94" s="142"/>
      <c r="AH94" s="142"/>
      <c r="AI94" s="142"/>
      <c r="AJ94" s="142"/>
      <c r="AK94" s="142"/>
    </row>
    <row r="95" spans="1:45" s="75" customFormat="1" ht="15.75" hidden="1">
      <c r="A95" s="141"/>
      <c r="B95" s="143" t="s">
        <v>1483</v>
      </c>
      <c r="C95" s="143"/>
      <c r="D95" s="143"/>
      <c r="E95" s="143"/>
      <c r="F95" s="141"/>
      <c r="G95" s="141"/>
      <c r="H95" s="141"/>
      <c r="I95" s="141"/>
      <c r="J95" s="141"/>
      <c r="K95" s="141"/>
      <c r="L95" s="141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2"/>
      <c r="Y95" s="142"/>
      <c r="Z95" s="142"/>
      <c r="AA95" s="142"/>
      <c r="AB95" s="142"/>
      <c r="AC95" s="142"/>
    </row>
    <row r="96" spans="1:45" s="75" customFormat="1" ht="15.75" hidden="1">
      <c r="A96" s="141"/>
      <c r="B96" s="144" t="s">
        <v>1484</v>
      </c>
      <c r="C96" s="145"/>
      <c r="D96" s="145"/>
      <c r="E96" s="145"/>
      <c r="F96" s="141"/>
      <c r="G96" s="141"/>
      <c r="H96" s="141"/>
      <c r="I96" s="141"/>
      <c r="J96" s="141"/>
      <c r="K96" s="141"/>
      <c r="L96" s="141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2"/>
      <c r="Y96" s="142"/>
      <c r="Z96" s="142"/>
      <c r="AA96" s="142"/>
      <c r="AB96" s="142"/>
      <c r="AC96" s="142"/>
    </row>
    <row r="97" spans="1:26" s="75" customFormat="1" ht="15.75" hidden="1">
      <c r="A97" s="141"/>
      <c r="B97" s="146" t="s">
        <v>1485</v>
      </c>
      <c r="C97" s="146" t="s">
        <v>764</v>
      </c>
      <c r="D97" s="141"/>
      <c r="E97" s="141"/>
      <c r="F97" s="141"/>
      <c r="G97" s="141"/>
      <c r="H97" s="141"/>
      <c r="I97" s="141"/>
      <c r="J97" s="141"/>
      <c r="K97" s="141"/>
      <c r="L97" s="141"/>
      <c r="M97" s="141"/>
      <c r="N97" s="141"/>
      <c r="O97" s="141"/>
      <c r="P97" s="141"/>
      <c r="Q97" s="141"/>
      <c r="R97" s="141"/>
      <c r="S97" s="142"/>
      <c r="T97" s="142"/>
      <c r="U97" s="142"/>
      <c r="V97" s="142"/>
      <c r="W97" s="142"/>
      <c r="X97" s="142"/>
      <c r="Y97" s="142"/>
      <c r="Z97" s="142"/>
    </row>
    <row r="98" spans="1:26" s="75" customFormat="1" ht="15" hidden="1">
      <c r="B98" s="146">
        <v>1</v>
      </c>
      <c r="C98" s="147">
        <v>0</v>
      </c>
    </row>
    <row r="99" spans="1:26" s="75" customFormat="1" ht="15" hidden="1">
      <c r="B99" s="146">
        <v>2</v>
      </c>
      <c r="C99" s="147">
        <v>0</v>
      </c>
    </row>
    <row r="100" spans="1:26" s="75" customFormat="1" ht="15" hidden="1">
      <c r="B100" s="146">
        <v>3</v>
      </c>
      <c r="C100" s="147">
        <v>7155</v>
      </c>
    </row>
    <row r="101" spans="1:26" s="75" customFormat="1" ht="15" hidden="1">
      <c r="B101" s="146">
        <v>4</v>
      </c>
      <c r="C101" s="147">
        <v>0</v>
      </c>
    </row>
    <row r="102" spans="1:26" s="75" customFormat="1" ht="15" hidden="1">
      <c r="B102" s="146">
        <v>5</v>
      </c>
      <c r="C102" s="147">
        <v>0</v>
      </c>
    </row>
    <row r="103" spans="1:26" s="75" customFormat="1" ht="15" hidden="1">
      <c r="B103" s="146">
        <v>6</v>
      </c>
      <c r="C103" s="147">
        <v>7780</v>
      </c>
    </row>
    <row r="104" spans="1:26" s="75" customFormat="1" ht="15" hidden="1">
      <c r="B104" s="148" t="s">
        <v>1437</v>
      </c>
      <c r="C104" s="149">
        <f>SUM(C98:C103)</f>
        <v>14935</v>
      </c>
    </row>
    <row r="105" spans="1:26" s="75" customFormat="1" ht="15" hidden="1">
      <c r="B105" s="150" t="s">
        <v>1453</v>
      </c>
      <c r="C105" s="147">
        <f>C104/6</f>
        <v>2489.1666666666665</v>
      </c>
    </row>
    <row r="106" spans="1:26" s="75" customFormat="1" ht="15" hidden="1">
      <c r="B106" s="150" t="s">
        <v>1486</v>
      </c>
      <c r="C106" s="136">
        <f>[23]基础数据!B6</f>
        <v>0.2</v>
      </c>
    </row>
    <row r="107" spans="1:26" s="75" customFormat="1" ht="15" hidden="1">
      <c r="B107" s="150" t="s">
        <v>1487</v>
      </c>
      <c r="C107" s="136">
        <v>0.1</v>
      </c>
    </row>
    <row r="108" spans="1:26" s="75" customFormat="1" ht="15" hidden="1">
      <c r="B108" s="150" t="s">
        <v>1488</v>
      </c>
      <c r="C108" s="136">
        <v>0.2</v>
      </c>
    </row>
    <row r="109" spans="1:26" s="75" customFormat="1" ht="15" hidden="1">
      <c r="B109" s="151" t="s">
        <v>1489</v>
      </c>
      <c r="C109" s="152">
        <f>C105*(1+C106)*(1+C108)*(1+C107)</f>
        <v>3942.8399999999992</v>
      </c>
    </row>
    <row r="110" spans="1:26" s="75" customFormat="1" ht="15" hidden="1">
      <c r="B110" s="153"/>
      <c r="C110" s="154"/>
    </row>
    <row r="111" spans="1:26" ht="15" hidden="1">
      <c r="B111" s="157"/>
      <c r="C111" s="157"/>
      <c r="D111" s="158"/>
      <c r="E111" s="159"/>
      <c r="F111" s="559"/>
      <c r="G111" s="559"/>
      <c r="H111" s="559"/>
      <c r="I111" s="559"/>
      <c r="J111" s="559"/>
    </row>
    <row r="112" spans="1:26" hidden="1"/>
    <row r="113" spans="2:9" hidden="1"/>
    <row r="114" spans="2:9" hidden="1"/>
    <row r="115" spans="2:9" ht="15" hidden="1">
      <c r="B115" s="609" t="s">
        <v>265</v>
      </c>
      <c r="E115" s="607"/>
      <c r="F115" s="560" t="s">
        <v>265</v>
      </c>
      <c r="G115" s="561"/>
      <c r="H115" s="561"/>
      <c r="I115" s="561"/>
    </row>
    <row r="116" spans="2:9" ht="15" hidden="1">
      <c r="B116" s="610" t="s">
        <v>1490</v>
      </c>
      <c r="E116" s="607"/>
      <c r="F116" s="561" t="s">
        <v>1491</v>
      </c>
      <c r="G116" s="561"/>
      <c r="H116" s="561"/>
      <c r="I116" s="561"/>
    </row>
    <row r="117" spans="2:9" ht="15" hidden="1">
      <c r="B117" s="608" t="s">
        <v>266</v>
      </c>
      <c r="C117" s="587" t="s">
        <v>267</v>
      </c>
      <c r="D117" s="608" t="s">
        <v>268</v>
      </c>
      <c r="F117" s="562" t="s">
        <v>266</v>
      </c>
      <c r="G117" s="562" t="s">
        <v>267</v>
      </c>
      <c r="H117" s="562" t="s">
        <v>268</v>
      </c>
      <c r="I117" s="562"/>
    </row>
    <row r="118" spans="2:9" ht="15" hidden="1">
      <c r="B118" s="608">
        <v>1</v>
      </c>
      <c r="C118" s="587" t="s">
        <v>269</v>
      </c>
      <c r="D118" s="608">
        <v>29119.5</v>
      </c>
      <c r="F118" s="562">
        <v>1</v>
      </c>
      <c r="G118" s="562" t="s">
        <v>269</v>
      </c>
      <c r="H118" s="563">
        <v>45183.9</v>
      </c>
      <c r="I118" s="562"/>
    </row>
    <row r="119" spans="2:9" ht="15" hidden="1">
      <c r="B119" s="608">
        <v>2</v>
      </c>
      <c r="C119" s="587" t="s">
        <v>269</v>
      </c>
      <c r="D119" s="608">
        <v>30290.799999999999</v>
      </c>
      <c r="F119" s="562">
        <v>2</v>
      </c>
      <c r="G119" s="562" t="s">
        <v>269</v>
      </c>
      <c r="H119" s="563">
        <v>32418.799999999999</v>
      </c>
      <c r="I119" s="562"/>
    </row>
    <row r="120" spans="2:9" ht="15" hidden="1">
      <c r="B120" s="608">
        <v>3</v>
      </c>
      <c r="C120" s="587" t="s">
        <v>269</v>
      </c>
      <c r="D120" s="608">
        <v>33380.1</v>
      </c>
      <c r="F120" s="562">
        <v>3</v>
      </c>
      <c r="G120" s="562" t="s">
        <v>269</v>
      </c>
      <c r="H120" s="563">
        <v>38613.599999999999</v>
      </c>
      <c r="I120" s="562"/>
    </row>
    <row r="121" spans="2:9" ht="15" hidden="1">
      <c r="B121" s="608">
        <v>4</v>
      </c>
      <c r="C121" s="587" t="s">
        <v>269</v>
      </c>
      <c r="D121" s="608">
        <v>31443.1</v>
      </c>
      <c r="F121" s="562">
        <v>4</v>
      </c>
      <c r="G121" s="562" t="s">
        <v>269</v>
      </c>
      <c r="H121" s="563">
        <v>27938.3</v>
      </c>
      <c r="I121" s="562"/>
    </row>
    <row r="122" spans="2:9" ht="15" hidden="1">
      <c r="B122" s="608">
        <v>5</v>
      </c>
      <c r="C122" s="587" t="s">
        <v>269</v>
      </c>
      <c r="D122" s="608">
        <v>36836</v>
      </c>
      <c r="F122" s="562">
        <v>5</v>
      </c>
      <c r="G122" s="562" t="s">
        <v>269</v>
      </c>
      <c r="H122" s="563">
        <v>54895.6</v>
      </c>
      <c r="I122" s="562"/>
    </row>
    <row r="123" spans="2:9" ht="15" hidden="1">
      <c r="B123" s="608">
        <v>6</v>
      </c>
      <c r="C123" s="587" t="s">
        <v>269</v>
      </c>
      <c r="D123" s="608">
        <v>38750.9</v>
      </c>
      <c r="F123" s="562">
        <v>6</v>
      </c>
      <c r="G123" s="562" t="s">
        <v>269</v>
      </c>
      <c r="H123" s="563">
        <v>41019.699999999997</v>
      </c>
      <c r="I123" s="562"/>
    </row>
    <row r="124" spans="2:9" ht="15" hidden="1">
      <c r="B124" s="608">
        <v>7</v>
      </c>
      <c r="C124" s="587" t="s">
        <v>269</v>
      </c>
      <c r="D124" s="608">
        <v>38696.699999999997</v>
      </c>
      <c r="F124" s="562">
        <v>7</v>
      </c>
      <c r="G124" s="562" t="s">
        <v>269</v>
      </c>
      <c r="H124" s="563">
        <v>44152.6</v>
      </c>
      <c r="I124" s="562"/>
    </row>
    <row r="125" spans="2:9" ht="15" hidden="1">
      <c r="B125" s="608">
        <v>8</v>
      </c>
      <c r="C125" s="587" t="s">
        <v>269</v>
      </c>
      <c r="D125" s="608">
        <v>36797.199999999997</v>
      </c>
      <c r="F125" s="562">
        <v>8</v>
      </c>
      <c r="G125" s="562" t="s">
        <v>269</v>
      </c>
      <c r="H125" s="563">
        <v>45100.9</v>
      </c>
      <c r="I125" s="562"/>
    </row>
    <row r="126" spans="2:9" ht="15" hidden="1">
      <c r="B126" s="608">
        <v>9</v>
      </c>
      <c r="C126" s="587" t="s">
        <v>269</v>
      </c>
      <c r="D126" s="608">
        <v>40988.199999999997</v>
      </c>
      <c r="F126" s="562">
        <v>9</v>
      </c>
      <c r="G126" s="562" t="s">
        <v>269</v>
      </c>
      <c r="H126" s="563">
        <v>40940.5</v>
      </c>
      <c r="I126" s="562"/>
    </row>
    <row r="127" spans="2:9" ht="15" hidden="1">
      <c r="B127" s="533">
        <v>10</v>
      </c>
      <c r="C127" s="587" t="s">
        <v>269</v>
      </c>
      <c r="D127" s="608">
        <v>32066</v>
      </c>
      <c r="F127" s="562">
        <v>10</v>
      </c>
      <c r="G127" s="562" t="s">
        <v>269</v>
      </c>
      <c r="H127" s="563">
        <v>31638.799999999999</v>
      </c>
      <c r="I127" s="562"/>
    </row>
    <row r="128" spans="2:9" hidden="1">
      <c r="B128" s="533">
        <v>11</v>
      </c>
      <c r="C128" s="587" t="s">
        <v>269</v>
      </c>
      <c r="D128" s="533">
        <v>48569.1</v>
      </c>
      <c r="F128" s="564" t="s">
        <v>1437</v>
      </c>
      <c r="G128" s="564"/>
      <c r="H128" s="564">
        <f>SUM(H118:H127)</f>
        <v>401902.69999999995</v>
      </c>
      <c r="I128" s="565"/>
    </row>
    <row r="129" spans="1:43" hidden="1">
      <c r="B129" s="533">
        <v>12</v>
      </c>
      <c r="C129" s="587" t="s">
        <v>269</v>
      </c>
      <c r="D129" s="533">
        <v>29631.5</v>
      </c>
    </row>
    <row r="130" spans="1:43" ht="26.25" hidden="1" customHeight="1">
      <c r="B130" s="533" t="s">
        <v>271</v>
      </c>
      <c r="C130" s="533"/>
      <c r="D130" s="533">
        <f>SUM(D118:D129)</f>
        <v>426569.1</v>
      </c>
      <c r="F130" s="562" t="s">
        <v>1453</v>
      </c>
      <c r="G130" s="562"/>
      <c r="H130" s="566">
        <f>H128/10*1.2</f>
        <v>48228.323999999993</v>
      </c>
      <c r="I130" s="562"/>
    </row>
    <row r="131" spans="1:43" ht="22.5" hidden="1" customHeight="1">
      <c r="B131" s="533" t="s">
        <v>270</v>
      </c>
      <c r="C131" s="533"/>
      <c r="D131" s="533">
        <f>D130/12</f>
        <v>35547.424999999996</v>
      </c>
      <c r="F131" s="562" t="s">
        <v>1492</v>
      </c>
      <c r="G131" s="562"/>
      <c r="H131" s="566">
        <f>H130*12</f>
        <v>578739.88799999992</v>
      </c>
      <c r="I131" s="562" t="s">
        <v>272</v>
      </c>
    </row>
    <row r="132" spans="1:43" hidden="1"/>
    <row r="133" spans="1:43" hidden="1"/>
    <row r="134" spans="1:43" hidden="1"/>
    <row r="135" spans="1:43">
      <c r="B135" s="277" t="s">
        <v>1462</v>
      </c>
      <c r="C135" s="276"/>
    </row>
    <row r="136" spans="1:43" s="584" customFormat="1">
      <c r="B136" s="582"/>
      <c r="C136" s="583"/>
      <c r="D136" s="583"/>
      <c r="E136" s="583"/>
      <c r="F136" s="583"/>
      <c r="G136" s="583"/>
      <c r="H136" s="583"/>
      <c r="I136" s="583"/>
    </row>
    <row r="137" spans="1:43" s="98" customFormat="1" hidden="1">
      <c r="B137" s="278" t="s">
        <v>1463</v>
      </c>
    </row>
    <row r="138" spans="1:43" s="243" customFormat="1" hidden="1">
      <c r="B138" s="546" t="s">
        <v>1464</v>
      </c>
      <c r="C138" s="546" t="s">
        <v>1465</v>
      </c>
      <c r="D138" s="279" t="s">
        <v>1466</v>
      </c>
      <c r="E138" s="279" t="s">
        <v>1467</v>
      </c>
      <c r="F138" s="546" t="s">
        <v>1468</v>
      </c>
      <c r="G138" s="546" t="s">
        <v>1469</v>
      </c>
      <c r="H138" s="546" t="s">
        <v>1470</v>
      </c>
      <c r="I138" s="546" t="s">
        <v>1471</v>
      </c>
      <c r="J138" s="786" t="s">
        <v>1472</v>
      </c>
    </row>
    <row r="139" spans="1:43" s="243" customFormat="1" hidden="1">
      <c r="B139" s="748" t="s">
        <v>1473</v>
      </c>
      <c r="C139" s="137">
        <v>8</v>
      </c>
      <c r="D139" s="137">
        <v>11</v>
      </c>
      <c r="E139" s="137">
        <v>18</v>
      </c>
      <c r="F139" s="138">
        <v>65</v>
      </c>
      <c r="G139" s="137">
        <v>30</v>
      </c>
      <c r="H139" s="137">
        <v>1.5</v>
      </c>
      <c r="I139" s="137">
        <v>10</v>
      </c>
      <c r="J139" s="137"/>
    </row>
    <row r="140" spans="1:43" s="243" customFormat="1" hidden="1">
      <c r="B140" s="748" t="s">
        <v>1474</v>
      </c>
      <c r="C140" s="1430">
        <f>[25]基础数据!D79</f>
        <v>0</v>
      </c>
      <c r="D140" s="1431"/>
      <c r="E140" s="519">
        <v>12</v>
      </c>
      <c r="F140" s="1430">
        <v>10</v>
      </c>
      <c r="G140" s="1431"/>
      <c r="H140" s="516">
        <v>10</v>
      </c>
      <c r="I140" s="519">
        <v>20</v>
      </c>
      <c r="J140" s="517"/>
    </row>
    <row r="141" spans="1:43" s="98" customFormat="1" hidden="1">
      <c r="B141" s="140" t="s">
        <v>1475</v>
      </c>
      <c r="C141" s="518">
        <f>C139*C140</f>
        <v>0</v>
      </c>
      <c r="D141" s="518">
        <f>D139*C140</f>
        <v>0</v>
      </c>
      <c r="E141" s="518">
        <f>E139*E140</f>
        <v>216</v>
      </c>
      <c r="F141" s="518">
        <f>F139*F140</f>
        <v>650</v>
      </c>
      <c r="G141" s="518">
        <f>G139*F140</f>
        <v>300</v>
      </c>
      <c r="H141" s="518">
        <f>H139*H140</f>
        <v>15</v>
      </c>
      <c r="I141" s="518">
        <f>I139*I140</f>
        <v>200</v>
      </c>
      <c r="J141" s="518">
        <f>SUM(C141:I141)</f>
        <v>1381</v>
      </c>
    </row>
    <row r="142" spans="1:43" s="75" customFormat="1" ht="15.75" hidden="1">
      <c r="A142" s="141"/>
      <c r="B142" s="278" t="s">
        <v>1476</v>
      </c>
      <c r="C142" s="141"/>
      <c r="D142" s="141"/>
      <c r="E142" s="141"/>
      <c r="F142" s="141"/>
      <c r="G142" s="141"/>
      <c r="H142" s="141"/>
      <c r="I142" s="141"/>
      <c r="J142" s="141"/>
      <c r="K142" s="141"/>
      <c r="L142" s="141"/>
      <c r="M142" s="142"/>
      <c r="T142" s="141"/>
      <c r="U142" s="141"/>
      <c r="V142" s="141"/>
      <c r="W142" s="141"/>
      <c r="X142" s="141"/>
      <c r="Y142" s="141"/>
      <c r="Z142" s="141"/>
      <c r="AA142" s="141"/>
      <c r="AB142" s="141"/>
      <c r="AC142" s="141"/>
      <c r="AD142" s="141"/>
      <c r="AE142" s="142"/>
      <c r="AF142" s="142"/>
      <c r="AG142" s="142"/>
      <c r="AH142" s="142"/>
      <c r="AI142" s="141"/>
      <c r="AJ142" s="141"/>
      <c r="AK142" s="141"/>
      <c r="AL142" s="141"/>
      <c r="AM142" s="142"/>
      <c r="AN142" s="142"/>
      <c r="AO142" s="142"/>
      <c r="AP142" s="142"/>
      <c r="AQ142" s="142"/>
    </row>
    <row r="143" spans="1:43" s="243" customFormat="1" ht="13.5" hidden="1" customHeight="1">
      <c r="B143" s="1432" t="s">
        <v>759</v>
      </c>
      <c r="C143" s="1434" t="s">
        <v>1477</v>
      </c>
      <c r="D143" s="1434"/>
      <c r="E143" s="1434"/>
      <c r="F143" s="1434"/>
      <c r="G143" s="1434"/>
      <c r="H143" s="1434"/>
      <c r="I143" s="1434"/>
      <c r="J143" s="1428"/>
      <c r="K143" s="1428"/>
      <c r="L143" s="1428"/>
      <c r="M143" s="1428"/>
      <c r="N143" s="1428"/>
      <c r="O143" s="1428"/>
      <c r="P143" s="1428"/>
      <c r="Q143" s="1428"/>
      <c r="R143" s="1428"/>
      <c r="S143" s="1428"/>
      <c r="T143" s="1428"/>
      <c r="U143" s="1428"/>
      <c r="V143" s="1428"/>
      <c r="W143" s="1428"/>
      <c r="X143" s="1428"/>
      <c r="Y143" s="1428"/>
      <c r="Z143" s="1428"/>
      <c r="AA143" s="1428"/>
      <c r="AB143" s="1428"/>
      <c r="AC143" s="1428"/>
      <c r="AD143" s="1428"/>
      <c r="AE143" s="1428"/>
      <c r="AF143" s="1428"/>
      <c r="AG143" s="1428"/>
      <c r="AH143" s="1428"/>
      <c r="AI143" s="1428"/>
      <c r="AJ143" s="1428"/>
      <c r="AK143" s="1428"/>
    </row>
    <row r="144" spans="1:43" s="243" customFormat="1" hidden="1">
      <c r="B144" s="1433"/>
      <c r="C144" s="786" t="s">
        <v>760</v>
      </c>
      <c r="D144" s="786" t="s">
        <v>1465</v>
      </c>
      <c r="E144" s="786" t="s">
        <v>1478</v>
      </c>
      <c r="F144" s="280" t="s">
        <v>1479</v>
      </c>
      <c r="G144" s="786" t="s">
        <v>761</v>
      </c>
      <c r="H144" s="786" t="s">
        <v>762</v>
      </c>
      <c r="I144" s="280" t="s">
        <v>763</v>
      </c>
      <c r="J144" s="787"/>
      <c r="K144" s="787"/>
      <c r="L144" s="787"/>
      <c r="M144" s="576"/>
      <c r="N144" s="787"/>
      <c r="O144" s="787"/>
      <c r="P144" s="576"/>
      <c r="Q144" s="787"/>
      <c r="R144" s="787"/>
      <c r="S144" s="787"/>
      <c r="T144" s="576"/>
      <c r="U144" s="787"/>
      <c r="V144" s="787"/>
      <c r="W144" s="576"/>
      <c r="X144" s="787"/>
      <c r="Y144" s="787"/>
      <c r="Z144" s="787"/>
      <c r="AA144" s="576"/>
      <c r="AB144" s="787"/>
      <c r="AC144" s="787"/>
      <c r="AD144" s="576"/>
      <c r="AE144" s="787"/>
      <c r="AF144" s="787"/>
      <c r="AG144" s="787"/>
      <c r="AH144" s="576"/>
      <c r="AI144" s="787"/>
      <c r="AJ144" s="787"/>
      <c r="AK144" s="576"/>
    </row>
    <row r="145" spans="1:43" s="584" customFormat="1" hidden="1">
      <c r="B145" s="747" t="s">
        <v>1480</v>
      </c>
      <c r="C145" s="585">
        <f>4800/12</f>
        <v>400</v>
      </c>
      <c r="D145" s="585">
        <f>12504/12</f>
        <v>1042</v>
      </c>
      <c r="E145" s="585">
        <f>18390/12</f>
        <v>1532.5</v>
      </c>
      <c r="F145" s="585">
        <f>4400/12</f>
        <v>366.66666666666669</v>
      </c>
      <c r="G145" s="585">
        <f>11000/12</f>
        <v>916.66666666666663</v>
      </c>
      <c r="H145" s="585">
        <v>200</v>
      </c>
      <c r="I145" s="585">
        <v>200</v>
      </c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86"/>
      <c r="AB145" s="586"/>
      <c r="AC145" s="586"/>
      <c r="AD145" s="586"/>
      <c r="AE145" s="586"/>
      <c r="AF145" s="586"/>
      <c r="AG145" s="586"/>
      <c r="AH145" s="586"/>
      <c r="AI145" s="586"/>
      <c r="AJ145" s="586"/>
      <c r="AK145" s="586"/>
    </row>
    <row r="146" spans="1:43" s="98" customFormat="1" ht="15" hidden="1">
      <c r="B146" s="139" t="s">
        <v>1481</v>
      </c>
      <c r="C146" s="205">
        <v>0.34</v>
      </c>
      <c r="D146" s="1439">
        <v>0</v>
      </c>
      <c r="E146" s="1439"/>
      <c r="F146" s="1439"/>
      <c r="G146" s="1439"/>
      <c r="H146" s="1439"/>
      <c r="I146" s="1439"/>
      <c r="J146" s="577"/>
      <c r="K146" s="1440"/>
      <c r="L146" s="1440"/>
      <c r="M146" s="1440"/>
      <c r="N146" s="1440"/>
      <c r="O146" s="1440"/>
      <c r="P146" s="1440"/>
      <c r="Q146" s="577"/>
      <c r="R146" s="1440"/>
      <c r="S146" s="1440"/>
      <c r="T146" s="1440"/>
      <c r="U146" s="1440"/>
      <c r="V146" s="1440"/>
      <c r="W146" s="1440"/>
      <c r="X146" s="577"/>
      <c r="Y146" s="1440"/>
      <c r="Z146" s="1440"/>
      <c r="AA146" s="1440"/>
      <c r="AB146" s="1440"/>
      <c r="AC146" s="1440"/>
      <c r="AD146" s="1440"/>
      <c r="AE146" s="577"/>
      <c r="AF146" s="1440"/>
      <c r="AG146" s="1440"/>
      <c r="AH146" s="1440"/>
      <c r="AI146" s="1440"/>
      <c r="AJ146" s="1440"/>
      <c r="AK146" s="1440"/>
    </row>
    <row r="147" spans="1:43" s="243" customFormat="1" hidden="1">
      <c r="B147" s="140" t="s">
        <v>1482</v>
      </c>
      <c r="C147" s="1435">
        <f>C145*(1+C146)+SUM(D145:I145)</f>
        <v>4793.833333333333</v>
      </c>
      <c r="D147" s="1436"/>
      <c r="E147" s="1436"/>
      <c r="F147" s="1436"/>
      <c r="G147" s="1436"/>
      <c r="H147" s="1436"/>
      <c r="I147" s="1437"/>
      <c r="J147" s="1438"/>
      <c r="K147" s="1438"/>
      <c r="L147" s="1438"/>
      <c r="M147" s="1438"/>
      <c r="N147" s="1438"/>
      <c r="O147" s="1438"/>
      <c r="P147" s="1438"/>
      <c r="Q147" s="1438"/>
      <c r="R147" s="1438"/>
      <c r="S147" s="1438"/>
      <c r="T147" s="1438"/>
      <c r="U147" s="1438"/>
      <c r="V147" s="1438"/>
      <c r="W147" s="1438"/>
      <c r="X147" s="1438"/>
      <c r="Y147" s="1438"/>
      <c r="Z147" s="1438"/>
      <c r="AA147" s="1438"/>
      <c r="AB147" s="1438"/>
      <c r="AC147" s="1438"/>
      <c r="AD147" s="1438"/>
      <c r="AE147" s="1438"/>
      <c r="AF147" s="1438"/>
      <c r="AG147" s="1438"/>
      <c r="AH147" s="1438"/>
      <c r="AI147" s="1438"/>
      <c r="AJ147" s="1438"/>
      <c r="AK147" s="1438"/>
    </row>
    <row r="148" spans="1:43" s="75" customFormat="1" ht="15.75">
      <c r="A148" s="141"/>
      <c r="B148" s="141"/>
      <c r="C148" s="141"/>
      <c r="D148" s="141"/>
      <c r="E148" s="141"/>
      <c r="F148" s="141"/>
      <c r="G148" s="141"/>
      <c r="H148" s="141"/>
      <c r="I148" s="141"/>
      <c r="J148" s="141"/>
      <c r="K148" s="141"/>
      <c r="L148" s="141"/>
      <c r="M148" s="142"/>
      <c r="T148" s="141"/>
      <c r="U148" s="141"/>
      <c r="V148" s="141"/>
      <c r="W148" s="141"/>
      <c r="X148" s="141"/>
      <c r="Y148" s="141"/>
      <c r="Z148" s="141"/>
      <c r="AA148" s="141"/>
      <c r="AB148" s="141"/>
      <c r="AC148" s="141"/>
      <c r="AD148" s="141"/>
      <c r="AE148" s="142"/>
      <c r="AF148" s="142"/>
      <c r="AG148" s="142"/>
      <c r="AH148" s="142"/>
      <c r="AI148" s="141"/>
      <c r="AJ148" s="141"/>
      <c r="AK148" s="141"/>
      <c r="AL148" s="141"/>
      <c r="AM148" s="142"/>
      <c r="AN148" s="142"/>
      <c r="AO148" s="142"/>
      <c r="AP148" s="142"/>
      <c r="AQ148" s="142"/>
    </row>
    <row r="149" spans="1:43" s="75" customFormat="1" ht="15.75">
      <c r="A149" s="141"/>
      <c r="B149" s="1075" t="s">
        <v>1493</v>
      </c>
      <c r="C149" s="1076"/>
      <c r="D149" s="1076"/>
      <c r="E149" s="1076"/>
      <c r="F149" s="1076"/>
      <c r="G149" s="1076"/>
      <c r="H149" s="1076"/>
      <c r="I149" s="1076"/>
      <c r="J149" s="141"/>
      <c r="K149" s="141"/>
      <c r="L149" s="141"/>
      <c r="M149" s="142"/>
      <c r="T149" s="141"/>
      <c r="U149" s="141"/>
      <c r="V149" s="141"/>
      <c r="W149" s="141"/>
      <c r="X149" s="141"/>
      <c r="Y149" s="141"/>
      <c r="Z149" s="141"/>
      <c r="AA149" s="141"/>
      <c r="AB149" s="141"/>
      <c r="AC149" s="141"/>
      <c r="AD149" s="141"/>
      <c r="AE149" s="142"/>
      <c r="AF149" s="142"/>
      <c r="AG149" s="142"/>
      <c r="AH149" s="142"/>
      <c r="AI149" s="141"/>
      <c r="AJ149" s="141"/>
      <c r="AK149" s="141"/>
      <c r="AL149" s="141"/>
      <c r="AM149" s="142"/>
      <c r="AN149" s="142"/>
      <c r="AO149" s="142"/>
      <c r="AP149" s="142"/>
      <c r="AQ149" s="142"/>
    </row>
    <row r="150" spans="1:43" s="75" customFormat="1" ht="15.75">
      <c r="A150" s="141"/>
      <c r="B150" s="1441" t="s">
        <v>759</v>
      </c>
      <c r="C150" s="1443" t="s">
        <v>1284</v>
      </c>
      <c r="D150" s="1443"/>
      <c r="E150" s="1443"/>
      <c r="F150" s="1443"/>
      <c r="G150" s="1443"/>
      <c r="H150" s="1443"/>
      <c r="I150" s="1443"/>
      <c r="J150" s="141"/>
      <c r="K150" s="141"/>
      <c r="L150" s="141"/>
      <c r="M150" s="142"/>
      <c r="T150" s="141"/>
      <c r="U150" s="141"/>
      <c r="V150" s="141"/>
      <c r="W150" s="141"/>
      <c r="X150" s="141"/>
      <c r="Y150" s="141"/>
      <c r="Z150" s="141"/>
      <c r="AA150" s="141"/>
      <c r="AB150" s="141"/>
      <c r="AC150" s="141"/>
      <c r="AD150" s="141"/>
      <c r="AE150" s="142"/>
      <c r="AF150" s="142"/>
      <c r="AG150" s="142"/>
      <c r="AH150" s="142"/>
      <c r="AI150" s="141"/>
      <c r="AJ150" s="141"/>
      <c r="AK150" s="141"/>
      <c r="AL150" s="141"/>
      <c r="AM150" s="142"/>
      <c r="AN150" s="142"/>
      <c r="AO150" s="142"/>
      <c r="AP150" s="142"/>
      <c r="AQ150" s="142"/>
    </row>
    <row r="151" spans="1:43" s="75" customFormat="1" ht="15.75">
      <c r="A151" s="141"/>
      <c r="B151" s="1442"/>
      <c r="C151" s="1077" t="s">
        <v>760</v>
      </c>
      <c r="D151" s="1077" t="s">
        <v>1285</v>
      </c>
      <c r="E151" s="1077" t="s">
        <v>1286</v>
      </c>
      <c r="F151" s="1078" t="s">
        <v>1287</v>
      </c>
      <c r="G151" s="1077" t="s">
        <v>761</v>
      </c>
      <c r="H151" s="1077" t="s">
        <v>762</v>
      </c>
      <c r="I151" s="1078" t="s">
        <v>763</v>
      </c>
      <c r="J151" s="141"/>
      <c r="K151" s="141"/>
      <c r="L151" s="141"/>
      <c r="M151" s="142"/>
      <c r="T151" s="141"/>
      <c r="U151" s="141"/>
      <c r="V151" s="141"/>
      <c r="W151" s="141"/>
      <c r="X151" s="141"/>
      <c r="Y151" s="141"/>
      <c r="Z151" s="141"/>
      <c r="AA151" s="141"/>
      <c r="AB151" s="141"/>
      <c r="AC151" s="141"/>
      <c r="AD151" s="141"/>
      <c r="AE151" s="142"/>
      <c r="AF151" s="142"/>
      <c r="AG151" s="142"/>
      <c r="AH151" s="142"/>
      <c r="AI151" s="141"/>
      <c r="AJ151" s="141"/>
      <c r="AK151" s="141"/>
      <c r="AL151" s="141"/>
      <c r="AM151" s="142"/>
      <c r="AN151" s="142"/>
      <c r="AO151" s="142"/>
      <c r="AP151" s="142"/>
      <c r="AQ151" s="142"/>
    </row>
    <row r="152" spans="1:43" s="75" customFormat="1" ht="15.75">
      <c r="A152" s="141"/>
      <c r="B152" s="1079" t="s">
        <v>1288</v>
      </c>
      <c r="C152" s="1080"/>
      <c r="D152" s="1080"/>
      <c r="E152" s="1080"/>
      <c r="F152" s="1080"/>
      <c r="G152" s="1080"/>
      <c r="H152" s="1080"/>
      <c r="I152" s="1080"/>
      <c r="J152" s="141"/>
      <c r="K152" s="141"/>
      <c r="L152" s="141"/>
      <c r="M152" s="142"/>
      <c r="T152" s="141"/>
      <c r="U152" s="141"/>
      <c r="V152" s="141"/>
      <c r="W152" s="141"/>
      <c r="X152" s="141"/>
      <c r="Y152" s="141"/>
      <c r="Z152" s="141"/>
      <c r="AA152" s="141"/>
      <c r="AB152" s="141"/>
      <c r="AC152" s="141"/>
      <c r="AD152" s="141"/>
      <c r="AE152" s="142"/>
      <c r="AF152" s="142"/>
      <c r="AG152" s="142"/>
      <c r="AH152" s="142"/>
      <c r="AI152" s="141"/>
      <c r="AJ152" s="141"/>
      <c r="AK152" s="141"/>
      <c r="AL152" s="141"/>
      <c r="AM152" s="142"/>
      <c r="AN152" s="142"/>
      <c r="AO152" s="142"/>
      <c r="AP152" s="142"/>
      <c r="AQ152" s="142"/>
    </row>
    <row r="153" spans="1:43" s="75" customFormat="1" ht="15.75">
      <c r="A153" s="141"/>
      <c r="B153" s="1445" t="s">
        <v>1494</v>
      </c>
      <c r="C153" s="1081">
        <v>0.25</v>
      </c>
      <c r="D153" s="1444">
        <v>0</v>
      </c>
      <c r="E153" s="1444"/>
      <c r="F153" s="1444"/>
      <c r="G153" s="1444"/>
      <c r="H153" s="1444"/>
      <c r="I153" s="1444"/>
      <c r="J153" s="141"/>
      <c r="K153" s="141"/>
      <c r="L153" s="141"/>
      <c r="M153" s="142"/>
      <c r="T153" s="141"/>
      <c r="U153" s="141"/>
      <c r="V153" s="141"/>
      <c r="W153" s="141"/>
      <c r="X153" s="141"/>
      <c r="Y153" s="141"/>
      <c r="Z153" s="141"/>
      <c r="AA153" s="141"/>
      <c r="AB153" s="141"/>
      <c r="AC153" s="141"/>
      <c r="AD153" s="141"/>
      <c r="AE153" s="142"/>
      <c r="AF153" s="142"/>
      <c r="AG153" s="142"/>
      <c r="AH153" s="142"/>
      <c r="AI153" s="141"/>
      <c r="AJ153" s="141"/>
      <c r="AK153" s="141"/>
      <c r="AL153" s="141"/>
      <c r="AM153" s="142"/>
      <c r="AN153" s="142"/>
      <c r="AO153" s="142"/>
      <c r="AP153" s="142"/>
      <c r="AQ153" s="142"/>
    </row>
    <row r="154" spans="1:43" s="75" customFormat="1" ht="15.75">
      <c r="A154" s="141"/>
      <c r="B154" s="1446"/>
      <c r="C154" s="518">
        <f>C152*(1+C153)</f>
        <v>0</v>
      </c>
      <c r="D154" s="1435">
        <f>SUM(D152:I152)</f>
        <v>0</v>
      </c>
      <c r="E154" s="1436"/>
      <c r="F154" s="1436"/>
      <c r="G154" s="1436"/>
      <c r="H154" s="1436"/>
      <c r="I154" s="1437"/>
      <c r="J154" s="141"/>
      <c r="K154" s="141"/>
      <c r="L154" s="141"/>
      <c r="M154" s="142"/>
      <c r="T154" s="141"/>
      <c r="U154" s="141"/>
      <c r="V154" s="141"/>
      <c r="W154" s="141"/>
      <c r="X154" s="141"/>
      <c r="Y154" s="141"/>
      <c r="Z154" s="141"/>
      <c r="AA154" s="141"/>
      <c r="AB154" s="141"/>
      <c r="AC154" s="141"/>
      <c r="AD154" s="141"/>
      <c r="AE154" s="142"/>
      <c r="AF154" s="142"/>
      <c r="AG154" s="142"/>
      <c r="AH154" s="142"/>
      <c r="AI154" s="141"/>
      <c r="AJ154" s="141"/>
      <c r="AK154" s="141"/>
      <c r="AL154" s="141"/>
      <c r="AM154" s="142"/>
      <c r="AN154" s="142"/>
      <c r="AO154" s="142"/>
      <c r="AP154" s="142"/>
      <c r="AQ154" s="142"/>
    </row>
    <row r="155" spans="1:43" s="75" customFormat="1" ht="15.75">
      <c r="A155" s="141"/>
      <c r="B155" s="140" t="s">
        <v>1495</v>
      </c>
      <c r="C155" s="281">
        <f>C154+D154</f>
        <v>0</v>
      </c>
      <c r="D155" s="141"/>
      <c r="E155" s="141"/>
      <c r="F155" s="141"/>
      <c r="G155" s="141"/>
      <c r="H155" s="141"/>
      <c r="I155" s="141"/>
      <c r="J155" s="141"/>
      <c r="K155" s="141"/>
      <c r="L155" s="141"/>
      <c r="M155" s="142"/>
      <c r="T155" s="141"/>
      <c r="U155" s="281"/>
      <c r="V155" s="141"/>
      <c r="W155" s="141"/>
      <c r="X155" s="141"/>
      <c r="Y155" s="141"/>
      <c r="Z155" s="141"/>
      <c r="AA155" s="141"/>
      <c r="AB155" s="141"/>
      <c r="AC155" s="141"/>
      <c r="AD155" s="141"/>
      <c r="AE155" s="142"/>
      <c r="AF155" s="142"/>
      <c r="AG155" s="142"/>
      <c r="AH155" s="142"/>
      <c r="AI155" s="142"/>
    </row>
    <row r="156" spans="1:43" s="75" customFormat="1" ht="15.75">
      <c r="A156" s="141"/>
      <c r="B156" s="143" t="s">
        <v>1483</v>
      </c>
      <c r="C156" s="143"/>
      <c r="H156" s="141"/>
      <c r="I156" s="141"/>
      <c r="J156" s="141"/>
      <c r="K156" s="141"/>
      <c r="L156" s="141"/>
      <c r="M156" s="141"/>
      <c r="N156" s="141"/>
      <c r="O156" s="141"/>
      <c r="P156" s="141"/>
      <c r="Q156" s="141"/>
      <c r="R156" s="141"/>
      <c r="S156" s="141"/>
      <c r="T156" s="141"/>
      <c r="U156" s="141"/>
      <c r="V156" s="142"/>
      <c r="W156" s="142"/>
      <c r="X156" s="142"/>
      <c r="Y156" s="142"/>
      <c r="Z156" s="142"/>
      <c r="AA156" s="142"/>
    </row>
    <row r="157" spans="1:43" s="75" customFormat="1" ht="15.75">
      <c r="A157" s="141"/>
      <c r="B157" s="1082" t="s">
        <v>764</v>
      </c>
      <c r="C157" s="1082"/>
      <c r="H157" s="141"/>
      <c r="I157" s="141"/>
      <c r="J157" s="141"/>
      <c r="K157" s="141"/>
      <c r="L157" s="141"/>
      <c r="M157" s="141"/>
      <c r="N157" s="141"/>
      <c r="O157" s="141"/>
      <c r="P157" s="141"/>
      <c r="Q157" s="141"/>
      <c r="R157" s="141"/>
      <c r="S157" s="141"/>
      <c r="T157" s="141"/>
      <c r="U157" s="141"/>
      <c r="V157" s="142"/>
      <c r="W157" s="142"/>
      <c r="X157" s="142"/>
      <c r="Y157" s="142"/>
      <c r="Z157" s="142"/>
      <c r="AA157" s="142"/>
    </row>
    <row r="158" spans="1:43" s="75" customFormat="1" ht="15.75">
      <c r="A158" s="141"/>
      <c r="B158" s="1083" t="s">
        <v>1496</v>
      </c>
      <c r="C158" s="1084"/>
      <c r="F158" s="144" t="s">
        <v>1484</v>
      </c>
      <c r="G158" s="145"/>
      <c r="H158" s="141"/>
      <c r="I158" s="141"/>
      <c r="J158" s="141"/>
      <c r="K158" s="141"/>
      <c r="L158" s="141"/>
      <c r="M158" s="141"/>
      <c r="N158" s="141"/>
      <c r="O158" s="141"/>
      <c r="P158" s="141"/>
      <c r="Q158" s="141"/>
      <c r="R158" s="141"/>
      <c r="S158" s="142"/>
      <c r="T158" s="142"/>
      <c r="U158" s="142"/>
      <c r="V158" s="142"/>
      <c r="W158" s="142"/>
      <c r="X158" s="142"/>
    </row>
    <row r="159" spans="1:43" s="75" customFormat="1" ht="15">
      <c r="B159" s="687" t="s">
        <v>266</v>
      </c>
      <c r="C159" s="687" t="s">
        <v>764</v>
      </c>
      <c r="F159" s="146" t="s">
        <v>1485</v>
      </c>
      <c r="G159" s="146" t="s">
        <v>764</v>
      </c>
    </row>
    <row r="160" spans="1:43" s="75" customFormat="1" ht="15">
      <c r="B160" s="687">
        <v>1</v>
      </c>
      <c r="C160" s="1085"/>
      <c r="F160" s="146">
        <v>1</v>
      </c>
      <c r="G160" s="147"/>
    </row>
    <row r="161" spans="2:10" s="75" customFormat="1" ht="15">
      <c r="B161" s="687">
        <v>2</v>
      </c>
      <c r="C161" s="1085"/>
      <c r="F161" s="146">
        <v>2</v>
      </c>
      <c r="G161" s="147"/>
    </row>
    <row r="162" spans="2:10" s="75" customFormat="1" ht="15">
      <c r="B162" s="687">
        <v>3</v>
      </c>
      <c r="C162" s="1085"/>
      <c r="F162" s="146">
        <v>3</v>
      </c>
      <c r="G162" s="147"/>
    </row>
    <row r="163" spans="2:10" s="75" customFormat="1" ht="15">
      <c r="B163" s="687">
        <v>4</v>
      </c>
      <c r="C163" s="1085"/>
      <c r="F163" s="146">
        <v>4</v>
      </c>
      <c r="G163" s="147"/>
    </row>
    <row r="164" spans="2:10" s="75" customFormat="1" ht="15">
      <c r="B164" s="687">
        <v>5</v>
      </c>
      <c r="C164" s="1085"/>
      <c r="F164" s="146">
        <v>5</v>
      </c>
      <c r="G164" s="147"/>
    </row>
    <row r="165" spans="2:10" s="75" customFormat="1" ht="15">
      <c r="B165" s="687">
        <v>6</v>
      </c>
      <c r="C165" s="1085"/>
      <c r="F165" s="146">
        <v>6</v>
      </c>
      <c r="G165" s="147"/>
    </row>
    <row r="166" spans="2:10" s="75" customFormat="1" ht="15">
      <c r="B166" s="687">
        <v>7</v>
      </c>
      <c r="C166" s="1085"/>
      <c r="F166" s="148" t="s">
        <v>1437</v>
      </c>
      <c r="G166" s="149">
        <f>SUM(G160:G165)</f>
        <v>0</v>
      </c>
    </row>
    <row r="167" spans="2:10" s="75" customFormat="1" ht="15">
      <c r="B167" s="687">
        <v>8</v>
      </c>
      <c r="C167" s="1085"/>
      <c r="F167" s="150" t="s">
        <v>1453</v>
      </c>
      <c r="G167" s="147">
        <f>G166/6</f>
        <v>0</v>
      </c>
    </row>
    <row r="168" spans="2:10" s="75" customFormat="1" ht="15">
      <c r="B168" s="687">
        <v>9</v>
      </c>
      <c r="C168" s="1085"/>
      <c r="F168" s="150" t="s">
        <v>1486</v>
      </c>
      <c r="G168" s="136">
        <f>[23]基础数据!B63</f>
        <v>0</v>
      </c>
    </row>
    <row r="169" spans="2:10" s="75" customFormat="1" ht="15">
      <c r="B169" s="148" t="s">
        <v>1289</v>
      </c>
      <c r="C169" s="149">
        <f>SUM(C160:C168)</f>
        <v>0</v>
      </c>
      <c r="F169" s="150" t="s">
        <v>1487</v>
      </c>
      <c r="G169" s="136">
        <v>0.1</v>
      </c>
    </row>
    <row r="170" spans="2:10" s="75" customFormat="1" ht="15">
      <c r="B170" s="150" t="s">
        <v>270</v>
      </c>
      <c r="C170" s="147">
        <f>C169/9</f>
        <v>0</v>
      </c>
      <c r="F170" s="150" t="s">
        <v>1488</v>
      </c>
      <c r="G170" s="136">
        <v>0.2</v>
      </c>
    </row>
    <row r="171" spans="2:10" s="75" customFormat="1" ht="15">
      <c r="B171" s="150" t="s">
        <v>1497</v>
      </c>
      <c r="C171" s="136">
        <v>0.1</v>
      </c>
      <c r="F171" s="151" t="s">
        <v>1489</v>
      </c>
      <c r="G171" s="152">
        <f>G167*(1+G168)*(1+G170)*(1+G169)</f>
        <v>0</v>
      </c>
    </row>
    <row r="172" spans="2:10">
      <c r="B172" s="150" t="s">
        <v>1498</v>
      </c>
      <c r="C172" s="136">
        <v>0.2</v>
      </c>
      <c r="H172" s="559"/>
      <c r="I172" s="559"/>
      <c r="J172" s="559"/>
    </row>
    <row r="173" spans="2:10">
      <c r="B173" s="150" t="s">
        <v>1499</v>
      </c>
      <c r="C173" s="136">
        <v>0.2</v>
      </c>
    </row>
    <row r="174" spans="2:10">
      <c r="B174" s="151" t="s">
        <v>1455</v>
      </c>
      <c r="C174" s="152">
        <f>C170*(1+50%)</f>
        <v>0</v>
      </c>
      <c r="D174" s="1185">
        <f>C174*12</f>
        <v>0</v>
      </c>
    </row>
    <row r="176" spans="2:10" ht="15">
      <c r="B176" s="1086" t="s">
        <v>265</v>
      </c>
      <c r="C176" s="1087"/>
      <c r="D176" s="1088"/>
      <c r="E176" s="607"/>
      <c r="F176" s="560" t="s">
        <v>265</v>
      </c>
      <c r="G176" s="561"/>
      <c r="H176" s="561"/>
      <c r="I176" s="561"/>
    </row>
    <row r="177" spans="2:10" ht="15">
      <c r="B177" s="1089" t="s">
        <v>1500</v>
      </c>
      <c r="C177" s="1087"/>
      <c r="D177" s="1088"/>
      <c r="E177" s="607"/>
      <c r="F177" s="1178" t="s">
        <v>1491</v>
      </c>
      <c r="G177" s="1178"/>
      <c r="H177" s="1178"/>
      <c r="I177" s="1178"/>
      <c r="J177" s="1179"/>
    </row>
    <row r="178" spans="2:10" ht="15">
      <c r="B178" s="1090" t="s">
        <v>266</v>
      </c>
      <c r="C178" s="1091" t="s">
        <v>267</v>
      </c>
      <c r="D178" s="1090" t="s">
        <v>268</v>
      </c>
      <c r="E178" s="278"/>
      <c r="F178" s="1187" t="s">
        <v>266</v>
      </c>
      <c r="G178" s="1180" t="s">
        <v>267</v>
      </c>
      <c r="H178" s="1180" t="s">
        <v>268</v>
      </c>
      <c r="I178" s="1180"/>
      <c r="J178" s="1179"/>
    </row>
    <row r="179" spans="2:10" ht="15">
      <c r="B179" s="1090">
        <v>1</v>
      </c>
      <c r="C179" s="1091" t="s">
        <v>269</v>
      </c>
      <c r="D179" s="1090"/>
      <c r="E179" s="1189"/>
      <c r="F179" s="1187">
        <v>1</v>
      </c>
      <c r="G179" s="1180" t="s">
        <v>269</v>
      </c>
      <c r="H179" s="1181"/>
      <c r="I179" s="1180"/>
      <c r="J179" s="1179"/>
    </row>
    <row r="180" spans="2:10" ht="15">
      <c r="B180" s="1090">
        <v>2</v>
      </c>
      <c r="C180" s="1091" t="s">
        <v>269</v>
      </c>
      <c r="D180" s="1090"/>
      <c r="E180" s="1189"/>
      <c r="F180" s="1187">
        <v>2</v>
      </c>
      <c r="G180" s="1180" t="s">
        <v>269</v>
      </c>
      <c r="H180" s="1181"/>
      <c r="I180" s="1180"/>
      <c r="J180" s="1179"/>
    </row>
    <row r="181" spans="2:10" ht="15">
      <c r="B181" s="1090">
        <v>3</v>
      </c>
      <c r="C181" s="1091" t="s">
        <v>269</v>
      </c>
      <c r="D181" s="1090"/>
      <c r="E181" s="1189"/>
      <c r="F181" s="1187">
        <v>3</v>
      </c>
      <c r="G181" s="1180" t="s">
        <v>269</v>
      </c>
      <c r="H181" s="1181"/>
      <c r="I181" s="1180"/>
      <c r="J181" s="1179"/>
    </row>
    <row r="182" spans="2:10" ht="15">
      <c r="B182" s="1090">
        <v>4</v>
      </c>
      <c r="C182" s="1091" t="s">
        <v>269</v>
      </c>
      <c r="D182" s="1090"/>
      <c r="E182" s="1189"/>
      <c r="F182" s="1187">
        <v>4</v>
      </c>
      <c r="G182" s="1180" t="s">
        <v>269</v>
      </c>
      <c r="H182" s="1181"/>
      <c r="I182" s="1180"/>
      <c r="J182" s="1179"/>
    </row>
    <row r="183" spans="2:10" ht="15">
      <c r="B183" s="1090">
        <v>5</v>
      </c>
      <c r="C183" s="1091" t="s">
        <v>269</v>
      </c>
      <c r="D183" s="1090"/>
      <c r="E183" s="1189"/>
      <c r="F183" s="1187">
        <v>5</v>
      </c>
      <c r="G183" s="1180" t="s">
        <v>269</v>
      </c>
      <c r="H183" s="1181"/>
      <c r="I183" s="1180"/>
      <c r="J183" s="1179"/>
    </row>
    <row r="184" spans="2:10" ht="15">
      <c r="B184" s="1090">
        <v>6</v>
      </c>
      <c r="C184" s="1091" t="s">
        <v>269</v>
      </c>
      <c r="D184" s="1090"/>
      <c r="E184" s="1189"/>
      <c r="F184" s="1187">
        <v>6</v>
      </c>
      <c r="G184" s="1180" t="s">
        <v>269</v>
      </c>
      <c r="H184" s="1181"/>
      <c r="I184" s="1180"/>
      <c r="J184" s="1179"/>
    </row>
    <row r="185" spans="2:10" ht="15">
      <c r="B185" s="1090">
        <v>7</v>
      </c>
      <c r="C185" s="1091" t="s">
        <v>269</v>
      </c>
      <c r="D185" s="1090"/>
      <c r="E185" s="1189"/>
      <c r="F185" s="1187">
        <v>7</v>
      </c>
      <c r="G185" s="1180" t="s">
        <v>269</v>
      </c>
      <c r="H185" s="1181"/>
      <c r="I185" s="1180"/>
      <c r="J185" s="1179"/>
    </row>
    <row r="186" spans="2:10" ht="15">
      <c r="B186" s="1090">
        <v>8</v>
      </c>
      <c r="C186" s="1091" t="s">
        <v>269</v>
      </c>
      <c r="D186" s="1090"/>
      <c r="E186" s="1189"/>
      <c r="F186" s="1187">
        <v>8</v>
      </c>
      <c r="G186" s="1180" t="s">
        <v>269</v>
      </c>
      <c r="H186" s="1181"/>
      <c r="I186" s="1180"/>
      <c r="J186" s="1179"/>
    </row>
    <row r="187" spans="2:10" ht="15">
      <c r="B187" s="1090">
        <v>9</v>
      </c>
      <c r="C187" s="1091" t="s">
        <v>269</v>
      </c>
      <c r="D187" s="1090"/>
      <c r="E187" s="1189"/>
      <c r="F187" s="1187">
        <v>9</v>
      </c>
      <c r="G187" s="1180" t="s">
        <v>269</v>
      </c>
      <c r="H187" s="1181"/>
      <c r="I187" s="1180"/>
      <c r="J187" s="1179"/>
    </row>
    <row r="188" spans="2:10" ht="15">
      <c r="B188" s="1092">
        <v>10</v>
      </c>
      <c r="C188" s="1091" t="s">
        <v>269</v>
      </c>
      <c r="D188" s="1090"/>
      <c r="E188" s="1189"/>
      <c r="F188" s="1187">
        <v>10</v>
      </c>
      <c r="G188" s="1180" t="s">
        <v>269</v>
      </c>
      <c r="H188" s="1181"/>
      <c r="I188" s="1180"/>
      <c r="J188" s="1179"/>
    </row>
    <row r="189" spans="2:10">
      <c r="B189" s="1093" t="s">
        <v>1501</v>
      </c>
      <c r="C189" s="1092"/>
      <c r="D189" s="1092">
        <f>SUM(D179:D188)</f>
        <v>0</v>
      </c>
      <c r="E189" s="278"/>
      <c r="F189" s="1188" t="s">
        <v>1437</v>
      </c>
      <c r="G189" s="1182"/>
      <c r="H189" s="1182">
        <f>SUM(H179:H188)</f>
        <v>0</v>
      </c>
      <c r="I189" s="1183"/>
      <c r="J189" s="1179"/>
    </row>
    <row r="190" spans="2:10">
      <c r="E190" s="278"/>
      <c r="F190" s="1179"/>
      <c r="G190" s="1179"/>
      <c r="H190" s="1179"/>
      <c r="I190" s="1179"/>
      <c r="J190" s="1179"/>
    </row>
    <row r="191" spans="2:10" ht="26.25" customHeight="1">
      <c r="B191" s="1094" t="s">
        <v>270</v>
      </c>
      <c r="C191" s="1092"/>
      <c r="D191" s="1092">
        <f>D189/10*1.1</f>
        <v>0</v>
      </c>
      <c r="F191" s="1180" t="s">
        <v>1453</v>
      </c>
      <c r="G191" s="1180"/>
      <c r="H191" s="1184">
        <f>H189/10*1.2</f>
        <v>0</v>
      </c>
      <c r="I191" s="1180"/>
      <c r="J191" s="1179"/>
    </row>
    <row r="192" spans="2:10" ht="22.5" customHeight="1">
      <c r="B192" s="1091" t="s">
        <v>1492</v>
      </c>
      <c r="C192" s="1091"/>
      <c r="D192" s="1095">
        <f>D191*12</f>
        <v>0</v>
      </c>
      <c r="E192" s="1091" t="s">
        <v>1801</v>
      </c>
      <c r="F192" s="1180" t="s">
        <v>1492</v>
      </c>
      <c r="G192" s="1180"/>
      <c r="H192" s="1184">
        <f>H191*12</f>
        <v>0</v>
      </c>
      <c r="I192" s="1180" t="s">
        <v>272</v>
      </c>
      <c r="J192" s="1179"/>
    </row>
    <row r="193" spans="2:10">
      <c r="F193" s="1179"/>
      <c r="G193" s="1179"/>
      <c r="H193" s="1179"/>
      <c r="I193" s="1179"/>
      <c r="J193" s="1179"/>
    </row>
    <row r="195" spans="2:10">
      <c r="B195" s="1186"/>
    </row>
    <row r="196" spans="2:10" ht="13.5">
      <c r="B196"/>
    </row>
    <row r="197" spans="2:10">
      <c r="D197" s="531"/>
      <c r="E197" s="531"/>
    </row>
    <row r="198" spans="2:10">
      <c r="E198" s="531"/>
    </row>
  </sheetData>
  <mergeCells count="83">
    <mergeCell ref="D153:I153"/>
    <mergeCell ref="D154:I154"/>
    <mergeCell ref="B153:B154"/>
    <mergeCell ref="C147:I147"/>
    <mergeCell ref="J147:P147"/>
    <mergeCell ref="Q147:W147"/>
    <mergeCell ref="X147:AD147"/>
    <mergeCell ref="AE147:AK147"/>
    <mergeCell ref="B150:B151"/>
    <mergeCell ref="C150:I150"/>
    <mergeCell ref="X143:AD143"/>
    <mergeCell ref="AE143:AK143"/>
    <mergeCell ref="D146:I146"/>
    <mergeCell ref="K146:P146"/>
    <mergeCell ref="R146:W146"/>
    <mergeCell ref="Y146:AD146"/>
    <mergeCell ref="AF146:AK146"/>
    <mergeCell ref="Q143:W143"/>
    <mergeCell ref="C140:D140"/>
    <mergeCell ref="F140:G140"/>
    <mergeCell ref="B143:B144"/>
    <mergeCell ref="C143:I143"/>
    <mergeCell ref="J143:P143"/>
    <mergeCell ref="D91:I91"/>
    <mergeCell ref="K91:P91"/>
    <mergeCell ref="R91:Y91"/>
    <mergeCell ref="AA91:AF91"/>
    <mergeCell ref="AH91:AM91"/>
    <mergeCell ref="C92:I92"/>
    <mergeCell ref="J92:P92"/>
    <mergeCell ref="Q92:Y92"/>
    <mergeCell ref="Z92:AF92"/>
    <mergeCell ref="AG92:AM92"/>
    <mergeCell ref="B88:B89"/>
    <mergeCell ref="C88:I88"/>
    <mergeCell ref="J88:P88"/>
    <mergeCell ref="Q88:Y88"/>
    <mergeCell ref="Z88:AF88"/>
    <mergeCell ref="B43:B44"/>
    <mergeCell ref="C56:I56"/>
    <mergeCell ref="B61:B62"/>
    <mergeCell ref="C85:D85"/>
    <mergeCell ref="F85:G85"/>
    <mergeCell ref="N37:O37"/>
    <mergeCell ref="P37:Q37"/>
    <mergeCell ref="AG88:AM88"/>
    <mergeCell ref="R37:W37"/>
    <mergeCell ref="X37:Y37"/>
    <mergeCell ref="D37:E37"/>
    <mergeCell ref="F37:G37"/>
    <mergeCell ref="H37:I37"/>
    <mergeCell ref="J37:K37"/>
    <mergeCell ref="L37:M37"/>
    <mergeCell ref="R23:V23"/>
    <mergeCell ref="X23:Y23"/>
    <mergeCell ref="D36:E36"/>
    <mergeCell ref="F36:G36"/>
    <mergeCell ref="H36:I36"/>
    <mergeCell ref="J36:K36"/>
    <mergeCell ref="L36:M36"/>
    <mergeCell ref="N36:O36"/>
    <mergeCell ref="P36:Q36"/>
    <mergeCell ref="R36:W36"/>
    <mergeCell ref="X36:Y36"/>
    <mergeCell ref="C16:E16"/>
    <mergeCell ref="F16:H16"/>
    <mergeCell ref="I16:K16"/>
    <mergeCell ref="O16:Q16"/>
    <mergeCell ref="B23:B24"/>
    <mergeCell ref="D23:E23"/>
    <mergeCell ref="F23:G23"/>
    <mergeCell ref="H23:I23"/>
    <mergeCell ref="J23:K23"/>
    <mergeCell ref="L23:M23"/>
    <mergeCell ref="N23:O23"/>
    <mergeCell ref="P23:Q23"/>
    <mergeCell ref="D5:D13"/>
    <mergeCell ref="M5:M13"/>
    <mergeCell ref="B3:B4"/>
    <mergeCell ref="C3:E3"/>
    <mergeCell ref="F3:H3"/>
    <mergeCell ref="I3:K3"/>
    <mergeCell ref="L3:N3"/>
  </mergeCells>
  <phoneticPr fontId="1" type="noConversion"/>
  <printOptions horizontalCentered="1"/>
  <pageMargins left="0.27559055118110237" right="0.27559055118110237" top="0.43307086614173229" bottom="0.35433070866141736" header="0.31496062992125984" footer="0.23622047244094491"/>
  <pageSetup paperSize="9" scale="50" orientation="landscape" r:id="rId1"/>
  <headerFooter alignWithMargins="0"/>
  <rowBreaks count="1" manualBreakCount="1">
    <brk id="79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O32"/>
  <sheetViews>
    <sheetView showGridLines="0" topLeftCell="F13" zoomScaleNormal="100" workbookViewId="0">
      <selection activeCell="A31" sqref="A31:A32"/>
    </sheetView>
  </sheetViews>
  <sheetFormatPr defaultRowHeight="12.75"/>
  <cols>
    <col min="1" max="1" width="5.5" style="255" customWidth="1"/>
    <col min="2" max="2" width="9" style="255"/>
    <col min="3" max="3" width="12" style="255" customWidth="1"/>
    <col min="4" max="4" width="14.375" style="255" customWidth="1"/>
    <col min="5" max="5" width="10.625" style="255" customWidth="1"/>
    <col min="6" max="6" width="10.625" style="256" customWidth="1"/>
    <col min="7" max="14" width="10.625" style="255" customWidth="1"/>
    <col min="15" max="15" width="45.625" style="255" customWidth="1"/>
    <col min="16" max="16384" width="9" style="255"/>
  </cols>
  <sheetData>
    <row r="1" spans="1:15">
      <c r="A1" s="241" t="s">
        <v>1640</v>
      </c>
      <c r="B1" s="241"/>
      <c r="C1" s="241"/>
    </row>
    <row r="2" spans="1:15" ht="12.75" customHeight="1">
      <c r="A2" s="257"/>
      <c r="B2" s="257"/>
      <c r="C2" s="257"/>
      <c r="D2" s="257"/>
      <c r="E2" s="1447" t="s">
        <v>1283</v>
      </c>
      <c r="F2" s="1448"/>
      <c r="G2" s="1448"/>
      <c r="H2" s="1448"/>
      <c r="I2" s="1448"/>
      <c r="J2" s="1448"/>
      <c r="K2" s="1449"/>
      <c r="L2" s="1450" t="s">
        <v>1641</v>
      </c>
      <c r="M2" s="1450" t="s">
        <v>1642</v>
      </c>
      <c r="N2" s="1450" t="s">
        <v>1643</v>
      </c>
      <c r="O2" s="1450" t="s">
        <v>1644</v>
      </c>
    </row>
    <row r="3" spans="1:15" ht="12.75" customHeight="1">
      <c r="A3" s="791" t="s">
        <v>1645</v>
      </c>
      <c r="B3" s="791" t="s">
        <v>1646</v>
      </c>
      <c r="C3" s="791" t="s">
        <v>1647</v>
      </c>
      <c r="D3" s="791" t="s">
        <v>1648</v>
      </c>
      <c r="E3" s="1450" t="s">
        <v>1649</v>
      </c>
      <c r="F3" s="1455" t="s">
        <v>1650</v>
      </c>
      <c r="G3" s="1455"/>
      <c r="H3" s="1450" t="s">
        <v>1651</v>
      </c>
      <c r="I3" s="1450" t="s">
        <v>1652</v>
      </c>
      <c r="J3" s="1450" t="s">
        <v>1653</v>
      </c>
      <c r="K3" s="1450" t="s">
        <v>1654</v>
      </c>
      <c r="L3" s="1451"/>
      <c r="M3" s="1451"/>
      <c r="N3" s="1453"/>
      <c r="O3" s="1453"/>
    </row>
    <row r="4" spans="1:15" ht="24.75" customHeight="1">
      <c r="A4" s="792"/>
      <c r="B4" s="792"/>
      <c r="C4" s="792"/>
      <c r="D4" s="792"/>
      <c r="E4" s="1454"/>
      <c r="F4" s="792" t="s">
        <v>1655</v>
      </c>
      <c r="G4" s="255" t="s">
        <v>1656</v>
      </c>
      <c r="H4" s="1454"/>
      <c r="I4" s="1454"/>
      <c r="J4" s="1454"/>
      <c r="K4" s="1454"/>
      <c r="L4" s="1452"/>
      <c r="M4" s="1452"/>
      <c r="N4" s="1454"/>
      <c r="O4" s="1454"/>
    </row>
    <row r="5" spans="1:15">
      <c r="A5" s="258">
        <v>1</v>
      </c>
      <c r="B5" s="743"/>
      <c r="C5" s="744"/>
      <c r="D5" s="744"/>
      <c r="E5" s="259"/>
      <c r="F5" s="259"/>
      <c r="G5" s="262"/>
      <c r="H5" s="259"/>
      <c r="I5" s="259"/>
      <c r="J5" s="259"/>
      <c r="K5" s="259"/>
      <c r="L5" s="259"/>
      <c r="M5" s="259"/>
      <c r="N5" s="259">
        <f>K5*12+L5+M5</f>
        <v>0</v>
      </c>
      <c r="O5" s="745"/>
    </row>
    <row r="6" spans="1:15">
      <c r="A6" s="258">
        <v>2</v>
      </c>
      <c r="B6" s="264"/>
      <c r="C6" s="261"/>
      <c r="D6" s="261"/>
      <c r="E6" s="259"/>
      <c r="F6" s="259"/>
      <c r="G6" s="262"/>
      <c r="H6" s="259"/>
      <c r="I6" s="259"/>
      <c r="J6" s="259"/>
      <c r="K6" s="259"/>
      <c r="L6" s="259"/>
      <c r="M6" s="259"/>
      <c r="N6" s="259">
        <f>K6*12+L6+M6</f>
        <v>0</v>
      </c>
      <c r="O6" s="263"/>
    </row>
    <row r="7" spans="1:15">
      <c r="A7" s="258">
        <v>3</v>
      </c>
      <c r="B7" s="260"/>
      <c r="C7" s="261"/>
      <c r="D7" s="261"/>
      <c r="E7" s="259"/>
      <c r="F7" s="259"/>
      <c r="G7" s="262"/>
      <c r="H7" s="259"/>
      <c r="I7" s="259"/>
      <c r="J7" s="259"/>
      <c r="K7" s="259"/>
      <c r="L7" s="259"/>
      <c r="M7" s="259"/>
      <c r="N7" s="259">
        <f t="shared" ref="N7:N8" si="0">K7*12+L7+M7</f>
        <v>0</v>
      </c>
      <c r="O7" s="263"/>
    </row>
    <row r="8" spans="1:15">
      <c r="A8" s="258">
        <v>4</v>
      </c>
      <c r="B8" s="264"/>
      <c r="C8" s="261"/>
      <c r="D8" s="261"/>
      <c r="E8" s="259"/>
      <c r="F8" s="259"/>
      <c r="G8" s="262"/>
      <c r="H8" s="259"/>
      <c r="I8" s="259"/>
      <c r="J8" s="259"/>
      <c r="K8" s="259"/>
      <c r="L8" s="259"/>
      <c r="M8" s="259"/>
      <c r="N8" s="259">
        <f t="shared" si="0"/>
        <v>0</v>
      </c>
      <c r="O8" s="263"/>
    </row>
    <row r="9" spans="1:15">
      <c r="A9" s="258"/>
      <c r="B9" s="260" t="s">
        <v>1657</v>
      </c>
      <c r="C9" s="265"/>
      <c r="D9" s="261"/>
      <c r="E9" s="259"/>
      <c r="F9" s="259"/>
      <c r="G9" s="262"/>
      <c r="H9" s="259"/>
      <c r="I9" s="259"/>
      <c r="J9" s="259"/>
      <c r="K9" s="259"/>
      <c r="L9" s="259"/>
      <c r="M9" s="259"/>
      <c r="N9" s="259">
        <f>SUM(N5:N8)</f>
        <v>0</v>
      </c>
      <c r="O9" s="266"/>
    </row>
    <row r="10" spans="1:15">
      <c r="C10" s="229"/>
      <c r="D10" s="229"/>
      <c r="E10" s="229"/>
      <c r="F10" s="267"/>
      <c r="H10" s="268"/>
      <c r="I10" s="268"/>
      <c r="J10" s="268"/>
      <c r="K10" s="268"/>
      <c r="L10" s="268"/>
      <c r="M10" s="268"/>
      <c r="N10" s="268"/>
    </row>
    <row r="11" spans="1:15">
      <c r="C11" s="229"/>
      <c r="D11" s="229"/>
      <c r="E11" s="269"/>
      <c r="F11" s="267"/>
      <c r="G11" s="256"/>
      <c r="H11" s="267"/>
      <c r="I11" s="267"/>
      <c r="J11" s="267"/>
      <c r="K11" s="267"/>
      <c r="L11" s="268"/>
      <c r="M11" s="268"/>
      <c r="N11" s="268"/>
    </row>
    <row r="12" spans="1:15">
      <c r="A12" s="241" t="s">
        <v>1658</v>
      </c>
      <c r="B12" s="241"/>
      <c r="C12" s="241"/>
      <c r="E12" s="256"/>
      <c r="G12" s="256"/>
      <c r="H12" s="256"/>
      <c r="I12" s="256"/>
      <c r="J12" s="256"/>
      <c r="K12" s="256"/>
    </row>
    <row r="13" spans="1:15" ht="12.75" customHeight="1">
      <c r="A13" s="257"/>
      <c r="B13" s="257"/>
      <c r="C13" s="257"/>
      <c r="D13" s="257"/>
      <c r="E13" s="1447" t="s">
        <v>1659</v>
      </c>
      <c r="F13" s="1448"/>
      <c r="G13" s="1448"/>
      <c r="H13" s="1448"/>
      <c r="I13" s="1448"/>
      <c r="J13" s="1448"/>
      <c r="K13" s="1449"/>
      <c r="L13" s="1450" t="s">
        <v>1660</v>
      </c>
      <c r="M13" s="1450" t="s">
        <v>1661</v>
      </c>
      <c r="N13" s="1450" t="s">
        <v>1662</v>
      </c>
      <c r="O13" s="1450" t="s">
        <v>1663</v>
      </c>
    </row>
    <row r="14" spans="1:15" ht="12.75" customHeight="1">
      <c r="A14" s="791" t="s">
        <v>1664</v>
      </c>
      <c r="B14" s="791" t="s">
        <v>1665</v>
      </c>
      <c r="C14" s="791" t="s">
        <v>1666</v>
      </c>
      <c r="D14" s="791" t="s">
        <v>1667</v>
      </c>
      <c r="E14" s="1450" t="s">
        <v>1668</v>
      </c>
      <c r="F14" s="1455" t="s">
        <v>1669</v>
      </c>
      <c r="G14" s="1455"/>
      <c r="H14" s="1450" t="s">
        <v>1670</v>
      </c>
      <c r="I14" s="1450" t="s">
        <v>1671</v>
      </c>
      <c r="J14" s="1450" t="s">
        <v>1672</v>
      </c>
      <c r="K14" s="1450" t="s">
        <v>1673</v>
      </c>
      <c r="L14" s="1451"/>
      <c r="M14" s="1451"/>
      <c r="N14" s="1453"/>
      <c r="O14" s="1453"/>
    </row>
    <row r="15" spans="1:15" ht="24.75" customHeight="1">
      <c r="A15" s="791"/>
      <c r="B15" s="791"/>
      <c r="C15" s="791"/>
      <c r="D15" s="791"/>
      <c r="E15" s="1454"/>
      <c r="F15" s="792" t="s">
        <v>1655</v>
      </c>
      <c r="G15" s="255" t="s">
        <v>1656</v>
      </c>
      <c r="H15" s="1454"/>
      <c r="I15" s="1454"/>
      <c r="J15" s="1454"/>
      <c r="K15" s="1454"/>
      <c r="L15" s="1452"/>
      <c r="M15" s="1452"/>
      <c r="N15" s="1454"/>
      <c r="O15" s="1454"/>
    </row>
    <row r="16" spans="1:15">
      <c r="A16" s="258">
        <v>1</v>
      </c>
      <c r="B16" s="260"/>
      <c r="C16" s="261"/>
      <c r="D16" s="261"/>
      <c r="E16" s="259"/>
      <c r="F16" s="259"/>
      <c r="G16" s="262"/>
      <c r="H16" s="259"/>
      <c r="I16" s="259"/>
      <c r="J16" s="259"/>
      <c r="K16" s="259"/>
      <c r="L16" s="259"/>
      <c r="M16" s="259"/>
      <c r="N16" s="259">
        <f>K16*12+L16+M16</f>
        <v>0</v>
      </c>
      <c r="O16" s="263"/>
    </row>
    <row r="17" spans="1:15">
      <c r="A17" s="270"/>
      <c r="B17" s="260" t="s">
        <v>1657</v>
      </c>
      <c r="C17" s="270"/>
      <c r="D17" s="271"/>
      <c r="E17" s="259"/>
      <c r="F17" s="259"/>
      <c r="G17" s="271"/>
      <c r="H17" s="259"/>
      <c r="I17" s="259"/>
      <c r="J17" s="259"/>
      <c r="K17" s="259"/>
      <c r="L17" s="259"/>
      <c r="M17" s="259"/>
      <c r="N17" s="259">
        <f t="shared" ref="N17" si="1">SUM(N16:N16)</f>
        <v>0</v>
      </c>
      <c r="O17" s="270"/>
    </row>
    <row r="18" spans="1:15">
      <c r="C18" s="229"/>
      <c r="D18" s="229"/>
      <c r="E18" s="229"/>
      <c r="F18" s="267"/>
      <c r="H18" s="268"/>
      <c r="I18" s="268"/>
      <c r="J18" s="268"/>
      <c r="K18" s="268"/>
      <c r="L18" s="268"/>
      <c r="M18" s="268"/>
      <c r="N18" s="268"/>
    </row>
    <row r="19" spans="1:15">
      <c r="C19" s="229"/>
      <c r="D19" s="229"/>
      <c r="E19" s="269"/>
      <c r="F19" s="267"/>
      <c r="G19" s="256"/>
      <c r="H19" s="267"/>
      <c r="I19" s="267"/>
      <c r="J19" s="267"/>
      <c r="K19" s="267"/>
      <c r="L19" s="268"/>
      <c r="M19" s="268"/>
      <c r="N19" s="268"/>
    </row>
    <row r="20" spans="1:15">
      <c r="C20" s="229"/>
      <c r="D20" s="229"/>
      <c r="E20" s="229"/>
      <c r="F20" s="267"/>
      <c r="H20" s="268"/>
      <c r="I20" s="268"/>
      <c r="J20" s="268"/>
      <c r="K20" s="268"/>
      <c r="L20" s="268"/>
      <c r="M20" s="268"/>
      <c r="N20" s="268"/>
    </row>
    <row r="21" spans="1:15">
      <c r="C21" s="229"/>
      <c r="D21" s="229"/>
      <c r="E21" s="269"/>
      <c r="F21" s="267"/>
      <c r="G21" s="256"/>
      <c r="H21" s="267"/>
      <c r="I21" s="267"/>
      <c r="J21" s="267"/>
      <c r="K21" s="267"/>
      <c r="L21" s="268"/>
      <c r="M21" s="268"/>
      <c r="N21" s="268"/>
    </row>
    <row r="22" spans="1:15">
      <c r="A22" s="241" t="s">
        <v>1674</v>
      </c>
      <c r="B22" s="241"/>
      <c r="C22" s="241"/>
      <c r="E22" s="256"/>
      <c r="G22" s="256"/>
      <c r="H22" s="256"/>
      <c r="I22" s="256"/>
      <c r="J22" s="256"/>
      <c r="K22" s="256"/>
    </row>
    <row r="23" spans="1:15" ht="12.75" customHeight="1">
      <c r="A23" s="257"/>
      <c r="B23" s="257"/>
      <c r="C23" s="257"/>
      <c r="D23" s="257"/>
      <c r="E23" s="1447" t="s">
        <v>1659</v>
      </c>
      <c r="F23" s="1448"/>
      <c r="G23" s="1448"/>
      <c r="H23" s="1448"/>
      <c r="I23" s="1448"/>
      <c r="J23" s="1448"/>
      <c r="K23" s="1449"/>
      <c r="L23" s="1450" t="s">
        <v>1660</v>
      </c>
      <c r="M23" s="1450" t="s">
        <v>1661</v>
      </c>
      <c r="N23" s="1450" t="s">
        <v>1662</v>
      </c>
      <c r="O23" s="1450" t="s">
        <v>1663</v>
      </c>
    </row>
    <row r="24" spans="1:15">
      <c r="A24" s="791" t="s">
        <v>1664</v>
      </c>
      <c r="B24" s="791" t="s">
        <v>1665</v>
      </c>
      <c r="C24" s="791" t="s">
        <v>1666</v>
      </c>
      <c r="D24" s="791" t="s">
        <v>1667</v>
      </c>
      <c r="E24" s="1450" t="s">
        <v>1668</v>
      </c>
      <c r="F24" s="1455" t="s">
        <v>1669</v>
      </c>
      <c r="G24" s="1455"/>
      <c r="H24" s="1450" t="s">
        <v>1670</v>
      </c>
      <c r="I24" s="1450" t="s">
        <v>1671</v>
      </c>
      <c r="J24" s="1450" t="s">
        <v>1672</v>
      </c>
      <c r="K24" s="1450" t="s">
        <v>1673</v>
      </c>
      <c r="L24" s="1451"/>
      <c r="M24" s="1451"/>
      <c r="N24" s="1453"/>
      <c r="O24" s="1453"/>
    </row>
    <row r="25" spans="1:15">
      <c r="A25" s="791"/>
      <c r="B25" s="791"/>
      <c r="C25" s="791"/>
      <c r="D25" s="791"/>
      <c r="E25" s="1454"/>
      <c r="F25" s="792" t="s">
        <v>1655</v>
      </c>
      <c r="G25" s="255" t="s">
        <v>1656</v>
      </c>
      <c r="H25" s="1454"/>
      <c r="I25" s="1454"/>
      <c r="J25" s="1454"/>
      <c r="K25" s="1454"/>
      <c r="L25" s="1452"/>
      <c r="M25" s="1452"/>
      <c r="N25" s="1454"/>
      <c r="O25" s="1454"/>
    </row>
    <row r="26" spans="1:15">
      <c r="A26" s="258">
        <v>1</v>
      </c>
      <c r="B26" s="260"/>
      <c r="C26" s="261"/>
      <c r="D26" s="261"/>
      <c r="E26" s="259"/>
      <c r="F26" s="259"/>
      <c r="G26" s="262"/>
      <c r="H26" s="259"/>
      <c r="I26" s="259"/>
      <c r="J26" s="259"/>
      <c r="K26" s="259"/>
      <c r="L26" s="259"/>
      <c r="M26" s="259"/>
      <c r="N26" s="259">
        <f>K26*12+L26+M26</f>
        <v>0</v>
      </c>
      <c r="O26" s="263"/>
    </row>
    <row r="27" spans="1:15">
      <c r="A27" s="258">
        <v>1</v>
      </c>
      <c r="B27" s="264"/>
      <c r="C27" s="261"/>
      <c r="D27" s="261"/>
      <c r="E27" s="259"/>
      <c r="F27" s="259"/>
      <c r="G27" s="262"/>
      <c r="H27" s="259"/>
      <c r="I27" s="259"/>
      <c r="J27" s="259"/>
      <c r="K27" s="259"/>
      <c r="L27" s="259"/>
      <c r="M27" s="259"/>
      <c r="N27" s="259">
        <f>K27*12+L27+M27</f>
        <v>0</v>
      </c>
      <c r="O27" s="263"/>
    </row>
    <row r="28" spans="1:15">
      <c r="A28" s="270"/>
      <c r="B28" s="260" t="s">
        <v>1657</v>
      </c>
      <c r="C28" s="270"/>
      <c r="D28" s="271"/>
      <c r="E28" s="259"/>
      <c r="F28" s="259"/>
      <c r="G28" s="262"/>
      <c r="H28" s="259"/>
      <c r="I28" s="259"/>
      <c r="J28" s="259"/>
      <c r="K28" s="259"/>
      <c r="L28" s="259"/>
      <c r="M28" s="259"/>
      <c r="N28" s="259">
        <f t="shared" ref="N28" si="2">SUM(N26:N27)</f>
        <v>0</v>
      </c>
      <c r="O28" s="270"/>
    </row>
    <row r="29" spans="1:15">
      <c r="A29" s="272"/>
      <c r="B29" s="272"/>
      <c r="C29" s="272"/>
      <c r="D29" s="272"/>
      <c r="E29" s="272"/>
      <c r="F29" s="273"/>
      <c r="G29" s="272"/>
      <c r="H29" s="272"/>
      <c r="I29" s="272"/>
      <c r="J29" s="272"/>
      <c r="K29" s="272"/>
      <c r="L29" s="272"/>
      <c r="M29" s="272"/>
      <c r="N29" s="272"/>
      <c r="O29" s="272"/>
    </row>
    <row r="31" spans="1:15">
      <c r="A31" s="614"/>
      <c r="F31" s="274"/>
      <c r="G31" s="275"/>
      <c r="H31" s="275"/>
      <c r="L31" s="275"/>
    </row>
    <row r="32" spans="1:15">
      <c r="A32" s="613"/>
    </row>
  </sheetData>
  <protectedRanges>
    <protectedRange sqref="B27" name="区域1_1_1_1"/>
  </protectedRanges>
  <mergeCells count="33">
    <mergeCell ref="O23:O25"/>
    <mergeCell ref="E24:E25"/>
    <mergeCell ref="F24:G24"/>
    <mergeCell ref="H24:H25"/>
    <mergeCell ref="I24:I25"/>
    <mergeCell ref="J24:J25"/>
    <mergeCell ref="K24:K25"/>
    <mergeCell ref="E23:K23"/>
    <mergeCell ref="L23:L25"/>
    <mergeCell ref="M23:M25"/>
    <mergeCell ref="N23:N25"/>
    <mergeCell ref="M13:M15"/>
    <mergeCell ref="N13:N15"/>
    <mergeCell ref="O13:O15"/>
    <mergeCell ref="E14:E15"/>
    <mergeCell ref="F14:G14"/>
    <mergeCell ref="H14:H15"/>
    <mergeCell ref="I14:I15"/>
    <mergeCell ref="J14:J15"/>
    <mergeCell ref="K14:K15"/>
    <mergeCell ref="E13:K13"/>
    <mergeCell ref="L13:L15"/>
    <mergeCell ref="E2:K2"/>
    <mergeCell ref="L2:L4"/>
    <mergeCell ref="M2:M4"/>
    <mergeCell ref="N2:N4"/>
    <mergeCell ref="O2:O4"/>
    <mergeCell ref="E3:E4"/>
    <mergeCell ref="F3:G3"/>
    <mergeCell ref="H3:H4"/>
    <mergeCell ref="I3:I4"/>
    <mergeCell ref="J3:J4"/>
    <mergeCell ref="K3:K4"/>
  </mergeCells>
  <phoneticPr fontId="1" type="noConversion"/>
  <printOptions horizontalCentered="1"/>
  <pageMargins left="0.23622047244094491" right="0.23622047244094491" top="0.47244094488188981" bottom="0.74803149606299213" header="0.31496062992125984" footer="0.31496062992125984"/>
  <pageSetup paperSize="9" scale="7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70"/>
  <sheetViews>
    <sheetView showGridLines="0" zoomScaleNormal="100" workbookViewId="0">
      <pane ySplit="4" topLeftCell="A149" activePane="bottomLeft" state="frozen"/>
      <selection pane="bottomLeft" activeCell="B142" sqref="B142:I152"/>
    </sheetView>
  </sheetViews>
  <sheetFormatPr defaultRowHeight="12.75"/>
  <cols>
    <col min="1" max="1" width="16.625" style="1070" customWidth="1"/>
    <col min="2" max="2" width="12.875" style="1012" customWidth="1"/>
    <col min="3" max="3" width="6" style="697" customWidth="1"/>
    <col min="4" max="4" width="10" style="697" customWidth="1"/>
    <col min="5" max="5" width="7" style="697" customWidth="1"/>
    <col min="6" max="6" width="9.625" style="697" customWidth="1"/>
    <col min="7" max="7" width="7.5" style="697" customWidth="1"/>
    <col min="8" max="8" width="9.25" style="697" customWidth="1"/>
    <col min="9" max="9" width="8" style="1013" customWidth="1"/>
    <col min="10" max="10" width="9.25" style="697" customWidth="1"/>
    <col min="11" max="11" width="7.25" style="697" customWidth="1"/>
    <col min="12" max="12" width="10.625" style="697" customWidth="1"/>
    <col min="13" max="13" width="67" style="705" customWidth="1"/>
    <col min="14" max="255" width="9" style="697"/>
    <col min="256" max="256" width="4.75" style="697" customWidth="1"/>
    <col min="257" max="257" width="9" style="697"/>
    <col min="258" max="258" width="19.75" style="697" customWidth="1"/>
    <col min="259" max="259" width="7.625" style="697" customWidth="1"/>
    <col min="260" max="260" width="11.875" style="697" bestFit="1" customWidth="1"/>
    <col min="261" max="261" width="9" style="697"/>
    <col min="262" max="262" width="9.5" style="697" customWidth="1"/>
    <col min="263" max="263" width="7.625" style="697" customWidth="1"/>
    <col min="264" max="264" width="11.75" style="697" customWidth="1"/>
    <col min="265" max="265" width="9" style="697"/>
    <col min="266" max="266" width="11.875" style="697" bestFit="1" customWidth="1"/>
    <col min="267" max="267" width="7.125" style="697" customWidth="1"/>
    <col min="268" max="268" width="13" style="697" bestFit="1" customWidth="1"/>
    <col min="269" max="511" width="9" style="697"/>
    <col min="512" max="512" width="4.75" style="697" customWidth="1"/>
    <col min="513" max="513" width="9" style="697"/>
    <col min="514" max="514" width="19.75" style="697" customWidth="1"/>
    <col min="515" max="515" width="7.625" style="697" customWidth="1"/>
    <col min="516" max="516" width="11.875" style="697" bestFit="1" customWidth="1"/>
    <col min="517" max="517" width="9" style="697"/>
    <col min="518" max="518" width="9.5" style="697" customWidth="1"/>
    <col min="519" max="519" width="7.625" style="697" customWidth="1"/>
    <col min="520" max="520" width="11.75" style="697" customWidth="1"/>
    <col min="521" max="521" width="9" style="697"/>
    <col min="522" max="522" width="11.875" style="697" bestFit="1" customWidth="1"/>
    <col min="523" max="523" width="7.125" style="697" customWidth="1"/>
    <col min="524" max="524" width="13" style="697" bestFit="1" customWidth="1"/>
    <col min="525" max="767" width="9" style="697"/>
    <col min="768" max="768" width="4.75" style="697" customWidth="1"/>
    <col min="769" max="769" width="9" style="697"/>
    <col min="770" max="770" width="19.75" style="697" customWidth="1"/>
    <col min="771" max="771" width="7.625" style="697" customWidth="1"/>
    <col min="772" max="772" width="11.875" style="697" bestFit="1" customWidth="1"/>
    <col min="773" max="773" width="9" style="697"/>
    <col min="774" max="774" width="9.5" style="697" customWidth="1"/>
    <col min="775" max="775" width="7.625" style="697" customWidth="1"/>
    <col min="776" max="776" width="11.75" style="697" customWidth="1"/>
    <col min="777" max="777" width="9" style="697"/>
    <col min="778" max="778" width="11.875" style="697" bestFit="1" customWidth="1"/>
    <col min="779" max="779" width="7.125" style="697" customWidth="1"/>
    <col min="780" max="780" width="13" style="697" bestFit="1" customWidth="1"/>
    <col min="781" max="1023" width="9" style="697"/>
    <col min="1024" max="1024" width="4.75" style="697" customWidth="1"/>
    <col min="1025" max="1025" width="9" style="697"/>
    <col min="1026" max="1026" width="19.75" style="697" customWidth="1"/>
    <col min="1027" max="1027" width="7.625" style="697" customWidth="1"/>
    <col min="1028" max="1028" width="11.875" style="697" bestFit="1" customWidth="1"/>
    <col min="1029" max="1029" width="9" style="697"/>
    <col min="1030" max="1030" width="9.5" style="697" customWidth="1"/>
    <col min="1031" max="1031" width="7.625" style="697" customWidth="1"/>
    <col min="1032" max="1032" width="11.75" style="697" customWidth="1"/>
    <col min="1033" max="1033" width="9" style="697"/>
    <col min="1034" max="1034" width="11.875" style="697" bestFit="1" customWidth="1"/>
    <col min="1035" max="1035" width="7.125" style="697" customWidth="1"/>
    <col min="1036" max="1036" width="13" style="697" bestFit="1" customWidth="1"/>
    <col min="1037" max="1279" width="9" style="697"/>
    <col min="1280" max="1280" width="4.75" style="697" customWidth="1"/>
    <col min="1281" max="1281" width="9" style="697"/>
    <col min="1282" max="1282" width="19.75" style="697" customWidth="1"/>
    <col min="1283" max="1283" width="7.625" style="697" customWidth="1"/>
    <col min="1284" max="1284" width="11.875" style="697" bestFit="1" customWidth="1"/>
    <col min="1285" max="1285" width="9" style="697"/>
    <col min="1286" max="1286" width="9.5" style="697" customWidth="1"/>
    <col min="1287" max="1287" width="7.625" style="697" customWidth="1"/>
    <col min="1288" max="1288" width="11.75" style="697" customWidth="1"/>
    <col min="1289" max="1289" width="9" style="697"/>
    <col min="1290" max="1290" width="11.875" style="697" bestFit="1" customWidth="1"/>
    <col min="1291" max="1291" width="7.125" style="697" customWidth="1"/>
    <col min="1292" max="1292" width="13" style="697" bestFit="1" customWidth="1"/>
    <col min="1293" max="1535" width="9" style="697"/>
    <col min="1536" max="1536" width="4.75" style="697" customWidth="1"/>
    <col min="1537" max="1537" width="9" style="697"/>
    <col min="1538" max="1538" width="19.75" style="697" customWidth="1"/>
    <col min="1539" max="1539" width="7.625" style="697" customWidth="1"/>
    <col min="1540" max="1540" width="11.875" style="697" bestFit="1" customWidth="1"/>
    <col min="1541" max="1541" width="9" style="697"/>
    <col min="1542" max="1542" width="9.5" style="697" customWidth="1"/>
    <col min="1543" max="1543" width="7.625" style="697" customWidth="1"/>
    <col min="1544" max="1544" width="11.75" style="697" customWidth="1"/>
    <col min="1545" max="1545" width="9" style="697"/>
    <col min="1546" max="1546" width="11.875" style="697" bestFit="1" customWidth="1"/>
    <col min="1547" max="1547" width="7.125" style="697" customWidth="1"/>
    <col min="1548" max="1548" width="13" style="697" bestFit="1" customWidth="1"/>
    <col min="1549" max="1791" width="9" style="697"/>
    <col min="1792" max="1792" width="4.75" style="697" customWidth="1"/>
    <col min="1793" max="1793" width="9" style="697"/>
    <col min="1794" max="1794" width="19.75" style="697" customWidth="1"/>
    <col min="1795" max="1795" width="7.625" style="697" customWidth="1"/>
    <col min="1796" max="1796" width="11.875" style="697" bestFit="1" customWidth="1"/>
    <col min="1797" max="1797" width="9" style="697"/>
    <col min="1798" max="1798" width="9.5" style="697" customWidth="1"/>
    <col min="1799" max="1799" width="7.625" style="697" customWidth="1"/>
    <col min="1800" max="1800" width="11.75" style="697" customWidth="1"/>
    <col min="1801" max="1801" width="9" style="697"/>
    <col min="1802" max="1802" width="11.875" style="697" bestFit="1" customWidth="1"/>
    <col min="1803" max="1803" width="7.125" style="697" customWidth="1"/>
    <col min="1804" max="1804" width="13" style="697" bestFit="1" customWidth="1"/>
    <col min="1805" max="2047" width="9" style="697"/>
    <col min="2048" max="2048" width="4.75" style="697" customWidth="1"/>
    <col min="2049" max="2049" width="9" style="697"/>
    <col min="2050" max="2050" width="19.75" style="697" customWidth="1"/>
    <col min="2051" max="2051" width="7.625" style="697" customWidth="1"/>
    <col min="2052" max="2052" width="11.875" style="697" bestFit="1" customWidth="1"/>
    <col min="2053" max="2053" width="9" style="697"/>
    <col min="2054" max="2054" width="9.5" style="697" customWidth="1"/>
    <col min="2055" max="2055" width="7.625" style="697" customWidth="1"/>
    <col min="2056" max="2056" width="11.75" style="697" customWidth="1"/>
    <col min="2057" max="2057" width="9" style="697"/>
    <col min="2058" max="2058" width="11.875" style="697" bestFit="1" customWidth="1"/>
    <col min="2059" max="2059" width="7.125" style="697" customWidth="1"/>
    <col min="2060" max="2060" width="13" style="697" bestFit="1" customWidth="1"/>
    <col min="2061" max="2303" width="9" style="697"/>
    <col min="2304" max="2304" width="4.75" style="697" customWidth="1"/>
    <col min="2305" max="2305" width="9" style="697"/>
    <col min="2306" max="2306" width="19.75" style="697" customWidth="1"/>
    <col min="2307" max="2307" width="7.625" style="697" customWidth="1"/>
    <col min="2308" max="2308" width="11.875" style="697" bestFit="1" customWidth="1"/>
    <col min="2309" max="2309" width="9" style="697"/>
    <col min="2310" max="2310" width="9.5" style="697" customWidth="1"/>
    <col min="2311" max="2311" width="7.625" style="697" customWidth="1"/>
    <col min="2312" max="2312" width="11.75" style="697" customWidth="1"/>
    <col min="2313" max="2313" width="9" style="697"/>
    <col min="2314" max="2314" width="11.875" style="697" bestFit="1" customWidth="1"/>
    <col min="2315" max="2315" width="7.125" style="697" customWidth="1"/>
    <col min="2316" max="2316" width="13" style="697" bestFit="1" customWidth="1"/>
    <col min="2317" max="2559" width="9" style="697"/>
    <col min="2560" max="2560" width="4.75" style="697" customWidth="1"/>
    <col min="2561" max="2561" width="9" style="697"/>
    <col min="2562" max="2562" width="19.75" style="697" customWidth="1"/>
    <col min="2563" max="2563" width="7.625" style="697" customWidth="1"/>
    <col min="2564" max="2564" width="11.875" style="697" bestFit="1" customWidth="1"/>
    <col min="2565" max="2565" width="9" style="697"/>
    <col min="2566" max="2566" width="9.5" style="697" customWidth="1"/>
    <col min="2567" max="2567" width="7.625" style="697" customWidth="1"/>
    <col min="2568" max="2568" width="11.75" style="697" customWidth="1"/>
    <col min="2569" max="2569" width="9" style="697"/>
    <col min="2570" max="2570" width="11.875" style="697" bestFit="1" customWidth="1"/>
    <col min="2571" max="2571" width="7.125" style="697" customWidth="1"/>
    <col min="2572" max="2572" width="13" style="697" bestFit="1" customWidth="1"/>
    <col min="2573" max="2815" width="9" style="697"/>
    <col min="2816" max="2816" width="4.75" style="697" customWidth="1"/>
    <col min="2817" max="2817" width="9" style="697"/>
    <col min="2818" max="2818" width="19.75" style="697" customWidth="1"/>
    <col min="2819" max="2819" width="7.625" style="697" customWidth="1"/>
    <col min="2820" max="2820" width="11.875" style="697" bestFit="1" customWidth="1"/>
    <col min="2821" max="2821" width="9" style="697"/>
    <col min="2822" max="2822" width="9.5" style="697" customWidth="1"/>
    <col min="2823" max="2823" width="7.625" style="697" customWidth="1"/>
    <col min="2824" max="2824" width="11.75" style="697" customWidth="1"/>
    <col min="2825" max="2825" width="9" style="697"/>
    <col min="2826" max="2826" width="11.875" style="697" bestFit="1" customWidth="1"/>
    <col min="2827" max="2827" width="7.125" style="697" customWidth="1"/>
    <col min="2828" max="2828" width="13" style="697" bestFit="1" customWidth="1"/>
    <col min="2829" max="3071" width="9" style="697"/>
    <col min="3072" max="3072" width="4.75" style="697" customWidth="1"/>
    <col min="3073" max="3073" width="9" style="697"/>
    <col min="3074" max="3074" width="19.75" style="697" customWidth="1"/>
    <col min="3075" max="3075" width="7.625" style="697" customWidth="1"/>
    <col min="3076" max="3076" width="11.875" style="697" bestFit="1" customWidth="1"/>
    <col min="3077" max="3077" width="9" style="697"/>
    <col min="3078" max="3078" width="9.5" style="697" customWidth="1"/>
    <col min="3079" max="3079" width="7.625" style="697" customWidth="1"/>
    <col min="3080" max="3080" width="11.75" style="697" customWidth="1"/>
    <col min="3081" max="3081" width="9" style="697"/>
    <col min="3082" max="3082" width="11.875" style="697" bestFit="1" customWidth="1"/>
    <col min="3083" max="3083" width="7.125" style="697" customWidth="1"/>
    <col min="3084" max="3084" width="13" style="697" bestFit="1" customWidth="1"/>
    <col min="3085" max="3327" width="9" style="697"/>
    <col min="3328" max="3328" width="4.75" style="697" customWidth="1"/>
    <col min="3329" max="3329" width="9" style="697"/>
    <col min="3330" max="3330" width="19.75" style="697" customWidth="1"/>
    <col min="3331" max="3331" width="7.625" style="697" customWidth="1"/>
    <col min="3332" max="3332" width="11.875" style="697" bestFit="1" customWidth="1"/>
    <col min="3333" max="3333" width="9" style="697"/>
    <col min="3334" max="3334" width="9.5" style="697" customWidth="1"/>
    <col min="3335" max="3335" width="7.625" style="697" customWidth="1"/>
    <col min="3336" max="3336" width="11.75" style="697" customWidth="1"/>
    <col min="3337" max="3337" width="9" style="697"/>
    <col min="3338" max="3338" width="11.875" style="697" bestFit="1" customWidth="1"/>
    <col min="3339" max="3339" width="7.125" style="697" customWidth="1"/>
    <col min="3340" max="3340" width="13" style="697" bestFit="1" customWidth="1"/>
    <col min="3341" max="3583" width="9" style="697"/>
    <col min="3584" max="3584" width="4.75" style="697" customWidth="1"/>
    <col min="3585" max="3585" width="9" style="697"/>
    <col min="3586" max="3586" width="19.75" style="697" customWidth="1"/>
    <col min="3587" max="3587" width="7.625" style="697" customWidth="1"/>
    <col min="3588" max="3588" width="11.875" style="697" bestFit="1" customWidth="1"/>
    <col min="3589" max="3589" width="9" style="697"/>
    <col min="3590" max="3590" width="9.5" style="697" customWidth="1"/>
    <col min="3591" max="3591" width="7.625" style="697" customWidth="1"/>
    <col min="3592" max="3592" width="11.75" style="697" customWidth="1"/>
    <col min="3593" max="3593" width="9" style="697"/>
    <col min="3594" max="3594" width="11.875" style="697" bestFit="1" customWidth="1"/>
    <col min="3595" max="3595" width="7.125" style="697" customWidth="1"/>
    <col min="3596" max="3596" width="13" style="697" bestFit="1" customWidth="1"/>
    <col min="3597" max="3839" width="9" style="697"/>
    <col min="3840" max="3840" width="4.75" style="697" customWidth="1"/>
    <col min="3841" max="3841" width="9" style="697"/>
    <col min="3842" max="3842" width="19.75" style="697" customWidth="1"/>
    <col min="3843" max="3843" width="7.625" style="697" customWidth="1"/>
    <col min="3844" max="3844" width="11.875" style="697" bestFit="1" customWidth="1"/>
    <col min="3845" max="3845" width="9" style="697"/>
    <col min="3846" max="3846" width="9.5" style="697" customWidth="1"/>
    <col min="3847" max="3847" width="7.625" style="697" customWidth="1"/>
    <col min="3848" max="3848" width="11.75" style="697" customWidth="1"/>
    <col min="3849" max="3849" width="9" style="697"/>
    <col min="3850" max="3850" width="11.875" style="697" bestFit="1" customWidth="1"/>
    <col min="3851" max="3851" width="7.125" style="697" customWidth="1"/>
    <col min="3852" max="3852" width="13" style="697" bestFit="1" customWidth="1"/>
    <col min="3853" max="4095" width="9" style="697"/>
    <col min="4096" max="4096" width="4.75" style="697" customWidth="1"/>
    <col min="4097" max="4097" width="9" style="697"/>
    <col min="4098" max="4098" width="19.75" style="697" customWidth="1"/>
    <col min="4099" max="4099" width="7.625" style="697" customWidth="1"/>
    <col min="4100" max="4100" width="11.875" style="697" bestFit="1" customWidth="1"/>
    <col min="4101" max="4101" width="9" style="697"/>
    <col min="4102" max="4102" width="9.5" style="697" customWidth="1"/>
    <col min="4103" max="4103" width="7.625" style="697" customWidth="1"/>
    <col min="4104" max="4104" width="11.75" style="697" customWidth="1"/>
    <col min="4105" max="4105" width="9" style="697"/>
    <col min="4106" max="4106" width="11.875" style="697" bestFit="1" customWidth="1"/>
    <col min="4107" max="4107" width="7.125" style="697" customWidth="1"/>
    <col min="4108" max="4108" width="13" style="697" bestFit="1" customWidth="1"/>
    <col min="4109" max="4351" width="9" style="697"/>
    <col min="4352" max="4352" width="4.75" style="697" customWidth="1"/>
    <col min="4353" max="4353" width="9" style="697"/>
    <col min="4354" max="4354" width="19.75" style="697" customWidth="1"/>
    <col min="4355" max="4355" width="7.625" style="697" customWidth="1"/>
    <col min="4356" max="4356" width="11.875" style="697" bestFit="1" customWidth="1"/>
    <col min="4357" max="4357" width="9" style="697"/>
    <col min="4358" max="4358" width="9.5" style="697" customWidth="1"/>
    <col min="4359" max="4359" width="7.625" style="697" customWidth="1"/>
    <col min="4360" max="4360" width="11.75" style="697" customWidth="1"/>
    <col min="4361" max="4361" width="9" style="697"/>
    <col min="4362" max="4362" width="11.875" style="697" bestFit="1" customWidth="1"/>
    <col min="4363" max="4363" width="7.125" style="697" customWidth="1"/>
    <col min="4364" max="4364" width="13" style="697" bestFit="1" customWidth="1"/>
    <col min="4365" max="4607" width="9" style="697"/>
    <col min="4608" max="4608" width="4.75" style="697" customWidth="1"/>
    <col min="4609" max="4609" width="9" style="697"/>
    <col min="4610" max="4610" width="19.75" style="697" customWidth="1"/>
    <col min="4611" max="4611" width="7.625" style="697" customWidth="1"/>
    <col min="4612" max="4612" width="11.875" style="697" bestFit="1" customWidth="1"/>
    <col min="4613" max="4613" width="9" style="697"/>
    <col min="4614" max="4614" width="9.5" style="697" customWidth="1"/>
    <col min="4615" max="4615" width="7.625" style="697" customWidth="1"/>
    <col min="4616" max="4616" width="11.75" style="697" customWidth="1"/>
    <col min="4617" max="4617" width="9" style="697"/>
    <col min="4618" max="4618" width="11.875" style="697" bestFit="1" customWidth="1"/>
    <col min="4619" max="4619" width="7.125" style="697" customWidth="1"/>
    <col min="4620" max="4620" width="13" style="697" bestFit="1" customWidth="1"/>
    <col min="4621" max="4863" width="9" style="697"/>
    <col min="4864" max="4864" width="4.75" style="697" customWidth="1"/>
    <col min="4865" max="4865" width="9" style="697"/>
    <col min="4866" max="4866" width="19.75" style="697" customWidth="1"/>
    <col min="4867" max="4867" width="7.625" style="697" customWidth="1"/>
    <col min="4868" max="4868" width="11.875" style="697" bestFit="1" customWidth="1"/>
    <col min="4869" max="4869" width="9" style="697"/>
    <col min="4870" max="4870" width="9.5" style="697" customWidth="1"/>
    <col min="4871" max="4871" width="7.625" style="697" customWidth="1"/>
    <col min="4872" max="4872" width="11.75" style="697" customWidth="1"/>
    <col min="4873" max="4873" width="9" style="697"/>
    <col min="4874" max="4874" width="11.875" style="697" bestFit="1" customWidth="1"/>
    <col min="4875" max="4875" width="7.125" style="697" customWidth="1"/>
    <col min="4876" max="4876" width="13" style="697" bestFit="1" customWidth="1"/>
    <col min="4877" max="5119" width="9" style="697"/>
    <col min="5120" max="5120" width="4.75" style="697" customWidth="1"/>
    <col min="5121" max="5121" width="9" style="697"/>
    <col min="5122" max="5122" width="19.75" style="697" customWidth="1"/>
    <col min="5123" max="5123" width="7.625" style="697" customWidth="1"/>
    <col min="5124" max="5124" width="11.875" style="697" bestFit="1" customWidth="1"/>
    <col min="5125" max="5125" width="9" style="697"/>
    <col min="5126" max="5126" width="9.5" style="697" customWidth="1"/>
    <col min="5127" max="5127" width="7.625" style="697" customWidth="1"/>
    <col min="5128" max="5128" width="11.75" style="697" customWidth="1"/>
    <col min="5129" max="5129" width="9" style="697"/>
    <col min="5130" max="5130" width="11.875" style="697" bestFit="1" customWidth="1"/>
    <col min="5131" max="5131" width="7.125" style="697" customWidth="1"/>
    <col min="5132" max="5132" width="13" style="697" bestFit="1" customWidth="1"/>
    <col min="5133" max="5375" width="9" style="697"/>
    <col min="5376" max="5376" width="4.75" style="697" customWidth="1"/>
    <col min="5377" max="5377" width="9" style="697"/>
    <col min="5378" max="5378" width="19.75" style="697" customWidth="1"/>
    <col min="5379" max="5379" width="7.625" style="697" customWidth="1"/>
    <col min="5380" max="5380" width="11.875" style="697" bestFit="1" customWidth="1"/>
    <col min="5381" max="5381" width="9" style="697"/>
    <col min="5382" max="5382" width="9.5" style="697" customWidth="1"/>
    <col min="5383" max="5383" width="7.625" style="697" customWidth="1"/>
    <col min="5384" max="5384" width="11.75" style="697" customWidth="1"/>
    <col min="5385" max="5385" width="9" style="697"/>
    <col min="5386" max="5386" width="11.875" style="697" bestFit="1" customWidth="1"/>
    <col min="5387" max="5387" width="7.125" style="697" customWidth="1"/>
    <col min="5388" max="5388" width="13" style="697" bestFit="1" customWidth="1"/>
    <col min="5389" max="5631" width="9" style="697"/>
    <col min="5632" max="5632" width="4.75" style="697" customWidth="1"/>
    <col min="5633" max="5633" width="9" style="697"/>
    <col min="5634" max="5634" width="19.75" style="697" customWidth="1"/>
    <col min="5635" max="5635" width="7.625" style="697" customWidth="1"/>
    <col min="5636" max="5636" width="11.875" style="697" bestFit="1" customWidth="1"/>
    <col min="5637" max="5637" width="9" style="697"/>
    <col min="5638" max="5638" width="9.5" style="697" customWidth="1"/>
    <col min="5639" max="5639" width="7.625" style="697" customWidth="1"/>
    <col min="5640" max="5640" width="11.75" style="697" customWidth="1"/>
    <col min="5641" max="5641" width="9" style="697"/>
    <col min="5642" max="5642" width="11.875" style="697" bestFit="1" customWidth="1"/>
    <col min="5643" max="5643" width="7.125" style="697" customWidth="1"/>
    <col min="5644" max="5644" width="13" style="697" bestFit="1" customWidth="1"/>
    <col min="5645" max="5887" width="9" style="697"/>
    <col min="5888" max="5888" width="4.75" style="697" customWidth="1"/>
    <col min="5889" max="5889" width="9" style="697"/>
    <col min="5890" max="5890" width="19.75" style="697" customWidth="1"/>
    <col min="5891" max="5891" width="7.625" style="697" customWidth="1"/>
    <col min="5892" max="5892" width="11.875" style="697" bestFit="1" customWidth="1"/>
    <col min="5893" max="5893" width="9" style="697"/>
    <col min="5894" max="5894" width="9.5" style="697" customWidth="1"/>
    <col min="5895" max="5895" width="7.625" style="697" customWidth="1"/>
    <col min="5896" max="5896" width="11.75" style="697" customWidth="1"/>
    <col min="5897" max="5897" width="9" style="697"/>
    <col min="5898" max="5898" width="11.875" style="697" bestFit="1" customWidth="1"/>
    <col min="5899" max="5899" width="7.125" style="697" customWidth="1"/>
    <col min="5900" max="5900" width="13" style="697" bestFit="1" customWidth="1"/>
    <col min="5901" max="6143" width="9" style="697"/>
    <col min="6144" max="6144" width="4.75" style="697" customWidth="1"/>
    <col min="6145" max="6145" width="9" style="697"/>
    <col min="6146" max="6146" width="19.75" style="697" customWidth="1"/>
    <col min="6147" max="6147" width="7.625" style="697" customWidth="1"/>
    <col min="6148" max="6148" width="11.875" style="697" bestFit="1" customWidth="1"/>
    <col min="6149" max="6149" width="9" style="697"/>
    <col min="6150" max="6150" width="9.5" style="697" customWidth="1"/>
    <col min="6151" max="6151" width="7.625" style="697" customWidth="1"/>
    <col min="6152" max="6152" width="11.75" style="697" customWidth="1"/>
    <col min="6153" max="6153" width="9" style="697"/>
    <col min="6154" max="6154" width="11.875" style="697" bestFit="1" customWidth="1"/>
    <col min="6155" max="6155" width="7.125" style="697" customWidth="1"/>
    <col min="6156" max="6156" width="13" style="697" bestFit="1" customWidth="1"/>
    <col min="6157" max="6399" width="9" style="697"/>
    <col min="6400" max="6400" width="4.75" style="697" customWidth="1"/>
    <col min="6401" max="6401" width="9" style="697"/>
    <col min="6402" max="6402" width="19.75" style="697" customWidth="1"/>
    <col min="6403" max="6403" width="7.625" style="697" customWidth="1"/>
    <col min="6404" max="6404" width="11.875" style="697" bestFit="1" customWidth="1"/>
    <col min="6405" max="6405" width="9" style="697"/>
    <col min="6406" max="6406" width="9.5" style="697" customWidth="1"/>
    <col min="6407" max="6407" width="7.625" style="697" customWidth="1"/>
    <col min="6408" max="6408" width="11.75" style="697" customWidth="1"/>
    <col min="6409" max="6409" width="9" style="697"/>
    <col min="6410" max="6410" width="11.875" style="697" bestFit="1" customWidth="1"/>
    <col min="6411" max="6411" width="7.125" style="697" customWidth="1"/>
    <col min="6412" max="6412" width="13" style="697" bestFit="1" customWidth="1"/>
    <col min="6413" max="6655" width="9" style="697"/>
    <col min="6656" max="6656" width="4.75" style="697" customWidth="1"/>
    <col min="6657" max="6657" width="9" style="697"/>
    <col min="6658" max="6658" width="19.75" style="697" customWidth="1"/>
    <col min="6659" max="6659" width="7.625" style="697" customWidth="1"/>
    <col min="6660" max="6660" width="11.875" style="697" bestFit="1" customWidth="1"/>
    <col min="6661" max="6661" width="9" style="697"/>
    <col min="6662" max="6662" width="9.5" style="697" customWidth="1"/>
    <col min="6663" max="6663" width="7.625" style="697" customWidth="1"/>
    <col min="6664" max="6664" width="11.75" style="697" customWidth="1"/>
    <col min="6665" max="6665" width="9" style="697"/>
    <col min="6666" max="6666" width="11.875" style="697" bestFit="1" customWidth="1"/>
    <col min="6667" max="6667" width="7.125" style="697" customWidth="1"/>
    <col min="6668" max="6668" width="13" style="697" bestFit="1" customWidth="1"/>
    <col min="6669" max="6911" width="9" style="697"/>
    <col min="6912" max="6912" width="4.75" style="697" customWidth="1"/>
    <col min="6913" max="6913" width="9" style="697"/>
    <col min="6914" max="6914" width="19.75" style="697" customWidth="1"/>
    <col min="6915" max="6915" width="7.625" style="697" customWidth="1"/>
    <col min="6916" max="6916" width="11.875" style="697" bestFit="1" customWidth="1"/>
    <col min="6917" max="6917" width="9" style="697"/>
    <col min="6918" max="6918" width="9.5" style="697" customWidth="1"/>
    <col min="6919" max="6919" width="7.625" style="697" customWidth="1"/>
    <col min="6920" max="6920" width="11.75" style="697" customWidth="1"/>
    <col min="6921" max="6921" width="9" style="697"/>
    <col min="6922" max="6922" width="11.875" style="697" bestFit="1" customWidth="1"/>
    <col min="6923" max="6923" width="7.125" style="697" customWidth="1"/>
    <col min="6924" max="6924" width="13" style="697" bestFit="1" customWidth="1"/>
    <col min="6925" max="7167" width="9" style="697"/>
    <col min="7168" max="7168" width="4.75" style="697" customWidth="1"/>
    <col min="7169" max="7169" width="9" style="697"/>
    <col min="7170" max="7170" width="19.75" style="697" customWidth="1"/>
    <col min="7171" max="7171" width="7.625" style="697" customWidth="1"/>
    <col min="7172" max="7172" width="11.875" style="697" bestFit="1" customWidth="1"/>
    <col min="7173" max="7173" width="9" style="697"/>
    <col min="7174" max="7174" width="9.5" style="697" customWidth="1"/>
    <col min="7175" max="7175" width="7.625" style="697" customWidth="1"/>
    <col min="7176" max="7176" width="11.75" style="697" customWidth="1"/>
    <col min="7177" max="7177" width="9" style="697"/>
    <col min="7178" max="7178" width="11.875" style="697" bestFit="1" customWidth="1"/>
    <col min="7179" max="7179" width="7.125" style="697" customWidth="1"/>
    <col min="7180" max="7180" width="13" style="697" bestFit="1" customWidth="1"/>
    <col min="7181" max="7423" width="9" style="697"/>
    <col min="7424" max="7424" width="4.75" style="697" customWidth="1"/>
    <col min="7425" max="7425" width="9" style="697"/>
    <col min="7426" max="7426" width="19.75" style="697" customWidth="1"/>
    <col min="7427" max="7427" width="7.625" style="697" customWidth="1"/>
    <col min="7428" max="7428" width="11.875" style="697" bestFit="1" customWidth="1"/>
    <col min="7429" max="7429" width="9" style="697"/>
    <col min="7430" max="7430" width="9.5" style="697" customWidth="1"/>
    <col min="7431" max="7431" width="7.625" style="697" customWidth="1"/>
    <col min="7432" max="7432" width="11.75" style="697" customWidth="1"/>
    <col min="7433" max="7433" width="9" style="697"/>
    <col min="7434" max="7434" width="11.875" style="697" bestFit="1" customWidth="1"/>
    <col min="7435" max="7435" width="7.125" style="697" customWidth="1"/>
    <col min="7436" max="7436" width="13" style="697" bestFit="1" customWidth="1"/>
    <col min="7437" max="7679" width="9" style="697"/>
    <col min="7680" max="7680" width="4.75" style="697" customWidth="1"/>
    <col min="7681" max="7681" width="9" style="697"/>
    <col min="7682" max="7682" width="19.75" style="697" customWidth="1"/>
    <col min="7683" max="7683" width="7.625" style="697" customWidth="1"/>
    <col min="7684" max="7684" width="11.875" style="697" bestFit="1" customWidth="1"/>
    <col min="7685" max="7685" width="9" style="697"/>
    <col min="7686" max="7686" width="9.5" style="697" customWidth="1"/>
    <col min="7687" max="7687" width="7.625" style="697" customWidth="1"/>
    <col min="7688" max="7688" width="11.75" style="697" customWidth="1"/>
    <col min="7689" max="7689" width="9" style="697"/>
    <col min="7690" max="7690" width="11.875" style="697" bestFit="1" customWidth="1"/>
    <col min="7691" max="7691" width="7.125" style="697" customWidth="1"/>
    <col min="7692" max="7692" width="13" style="697" bestFit="1" customWidth="1"/>
    <col min="7693" max="7935" width="9" style="697"/>
    <col min="7936" max="7936" width="4.75" style="697" customWidth="1"/>
    <col min="7937" max="7937" width="9" style="697"/>
    <col min="7938" max="7938" width="19.75" style="697" customWidth="1"/>
    <col min="7939" max="7939" width="7.625" style="697" customWidth="1"/>
    <col min="7940" max="7940" width="11.875" style="697" bestFit="1" customWidth="1"/>
    <col min="7941" max="7941" width="9" style="697"/>
    <col min="7942" max="7942" width="9.5" style="697" customWidth="1"/>
    <col min="7943" max="7943" width="7.625" style="697" customWidth="1"/>
    <col min="7944" max="7944" width="11.75" style="697" customWidth="1"/>
    <col min="7945" max="7945" width="9" style="697"/>
    <col min="7946" max="7946" width="11.875" style="697" bestFit="1" customWidth="1"/>
    <col min="7947" max="7947" width="7.125" style="697" customWidth="1"/>
    <col min="7948" max="7948" width="13" style="697" bestFit="1" customWidth="1"/>
    <col min="7949" max="8191" width="9" style="697"/>
    <col min="8192" max="8192" width="4.75" style="697" customWidth="1"/>
    <col min="8193" max="8193" width="9" style="697"/>
    <col min="8194" max="8194" width="19.75" style="697" customWidth="1"/>
    <col min="8195" max="8195" width="7.625" style="697" customWidth="1"/>
    <col min="8196" max="8196" width="11.875" style="697" bestFit="1" customWidth="1"/>
    <col min="8197" max="8197" width="9" style="697"/>
    <col min="8198" max="8198" width="9.5" style="697" customWidth="1"/>
    <col min="8199" max="8199" width="7.625" style="697" customWidth="1"/>
    <col min="8200" max="8200" width="11.75" style="697" customWidth="1"/>
    <col min="8201" max="8201" width="9" style="697"/>
    <col min="8202" max="8202" width="11.875" style="697" bestFit="1" customWidth="1"/>
    <col min="8203" max="8203" width="7.125" style="697" customWidth="1"/>
    <col min="8204" max="8204" width="13" style="697" bestFit="1" customWidth="1"/>
    <col min="8205" max="8447" width="9" style="697"/>
    <col min="8448" max="8448" width="4.75" style="697" customWidth="1"/>
    <col min="8449" max="8449" width="9" style="697"/>
    <col min="8450" max="8450" width="19.75" style="697" customWidth="1"/>
    <col min="8451" max="8451" width="7.625" style="697" customWidth="1"/>
    <col min="8452" max="8452" width="11.875" style="697" bestFit="1" customWidth="1"/>
    <col min="8453" max="8453" width="9" style="697"/>
    <col min="8454" max="8454" width="9.5" style="697" customWidth="1"/>
    <col min="8455" max="8455" width="7.625" style="697" customWidth="1"/>
    <col min="8456" max="8456" width="11.75" style="697" customWidth="1"/>
    <col min="8457" max="8457" width="9" style="697"/>
    <col min="8458" max="8458" width="11.875" style="697" bestFit="1" customWidth="1"/>
    <col min="8459" max="8459" width="7.125" style="697" customWidth="1"/>
    <col min="8460" max="8460" width="13" style="697" bestFit="1" customWidth="1"/>
    <col min="8461" max="8703" width="9" style="697"/>
    <col min="8704" max="8704" width="4.75" style="697" customWidth="1"/>
    <col min="8705" max="8705" width="9" style="697"/>
    <col min="8706" max="8706" width="19.75" style="697" customWidth="1"/>
    <col min="8707" max="8707" width="7.625" style="697" customWidth="1"/>
    <col min="8708" max="8708" width="11.875" style="697" bestFit="1" customWidth="1"/>
    <col min="8709" max="8709" width="9" style="697"/>
    <col min="8710" max="8710" width="9.5" style="697" customWidth="1"/>
    <col min="8711" max="8711" width="7.625" style="697" customWidth="1"/>
    <col min="8712" max="8712" width="11.75" style="697" customWidth="1"/>
    <col min="8713" max="8713" width="9" style="697"/>
    <col min="8714" max="8714" width="11.875" style="697" bestFit="1" customWidth="1"/>
    <col min="8715" max="8715" width="7.125" style="697" customWidth="1"/>
    <col min="8716" max="8716" width="13" style="697" bestFit="1" customWidth="1"/>
    <col min="8717" max="8959" width="9" style="697"/>
    <col min="8960" max="8960" width="4.75" style="697" customWidth="1"/>
    <col min="8961" max="8961" width="9" style="697"/>
    <col min="8962" max="8962" width="19.75" style="697" customWidth="1"/>
    <col min="8963" max="8963" width="7.625" style="697" customWidth="1"/>
    <col min="8964" max="8964" width="11.875" style="697" bestFit="1" customWidth="1"/>
    <col min="8965" max="8965" width="9" style="697"/>
    <col min="8966" max="8966" width="9.5" style="697" customWidth="1"/>
    <col min="8967" max="8967" width="7.625" style="697" customWidth="1"/>
    <col min="8968" max="8968" width="11.75" style="697" customWidth="1"/>
    <col min="8969" max="8969" width="9" style="697"/>
    <col min="8970" max="8970" width="11.875" style="697" bestFit="1" customWidth="1"/>
    <col min="8971" max="8971" width="7.125" style="697" customWidth="1"/>
    <col min="8972" max="8972" width="13" style="697" bestFit="1" customWidth="1"/>
    <col min="8973" max="9215" width="9" style="697"/>
    <col min="9216" max="9216" width="4.75" style="697" customWidth="1"/>
    <col min="9217" max="9217" width="9" style="697"/>
    <col min="9218" max="9218" width="19.75" style="697" customWidth="1"/>
    <col min="9219" max="9219" width="7.625" style="697" customWidth="1"/>
    <col min="9220" max="9220" width="11.875" style="697" bestFit="1" customWidth="1"/>
    <col min="9221" max="9221" width="9" style="697"/>
    <col min="9222" max="9222" width="9.5" style="697" customWidth="1"/>
    <col min="9223" max="9223" width="7.625" style="697" customWidth="1"/>
    <col min="9224" max="9224" width="11.75" style="697" customWidth="1"/>
    <col min="9225" max="9225" width="9" style="697"/>
    <col min="9226" max="9226" width="11.875" style="697" bestFit="1" customWidth="1"/>
    <col min="9227" max="9227" width="7.125" style="697" customWidth="1"/>
    <col min="9228" max="9228" width="13" style="697" bestFit="1" customWidth="1"/>
    <col min="9229" max="9471" width="9" style="697"/>
    <col min="9472" max="9472" width="4.75" style="697" customWidth="1"/>
    <col min="9473" max="9473" width="9" style="697"/>
    <col min="9474" max="9474" width="19.75" style="697" customWidth="1"/>
    <col min="9475" max="9475" width="7.625" style="697" customWidth="1"/>
    <col min="9476" max="9476" width="11.875" style="697" bestFit="1" customWidth="1"/>
    <col min="9477" max="9477" width="9" style="697"/>
    <col min="9478" max="9478" width="9.5" style="697" customWidth="1"/>
    <col min="9479" max="9479" width="7.625" style="697" customWidth="1"/>
    <col min="9480" max="9480" width="11.75" style="697" customWidth="1"/>
    <col min="9481" max="9481" width="9" style="697"/>
    <col min="9482" max="9482" width="11.875" style="697" bestFit="1" customWidth="1"/>
    <col min="9483" max="9483" width="7.125" style="697" customWidth="1"/>
    <col min="9484" max="9484" width="13" style="697" bestFit="1" customWidth="1"/>
    <col min="9485" max="9727" width="9" style="697"/>
    <col min="9728" max="9728" width="4.75" style="697" customWidth="1"/>
    <col min="9729" max="9729" width="9" style="697"/>
    <col min="9730" max="9730" width="19.75" style="697" customWidth="1"/>
    <col min="9731" max="9731" width="7.625" style="697" customWidth="1"/>
    <col min="9732" max="9732" width="11.875" style="697" bestFit="1" customWidth="1"/>
    <col min="9733" max="9733" width="9" style="697"/>
    <col min="9734" max="9734" width="9.5" style="697" customWidth="1"/>
    <col min="9735" max="9735" width="7.625" style="697" customWidth="1"/>
    <col min="9736" max="9736" width="11.75" style="697" customWidth="1"/>
    <col min="9737" max="9737" width="9" style="697"/>
    <col min="9738" max="9738" width="11.875" style="697" bestFit="1" customWidth="1"/>
    <col min="9739" max="9739" width="7.125" style="697" customWidth="1"/>
    <col min="9740" max="9740" width="13" style="697" bestFit="1" customWidth="1"/>
    <col min="9741" max="9983" width="9" style="697"/>
    <col min="9984" max="9984" width="4.75" style="697" customWidth="1"/>
    <col min="9985" max="9985" width="9" style="697"/>
    <col min="9986" max="9986" width="19.75" style="697" customWidth="1"/>
    <col min="9987" max="9987" width="7.625" style="697" customWidth="1"/>
    <col min="9988" max="9988" width="11.875" style="697" bestFit="1" customWidth="1"/>
    <col min="9989" max="9989" width="9" style="697"/>
    <col min="9990" max="9990" width="9.5" style="697" customWidth="1"/>
    <col min="9991" max="9991" width="7.625" style="697" customWidth="1"/>
    <col min="9992" max="9992" width="11.75" style="697" customWidth="1"/>
    <col min="9993" max="9993" width="9" style="697"/>
    <col min="9994" max="9994" width="11.875" style="697" bestFit="1" customWidth="1"/>
    <col min="9995" max="9995" width="7.125" style="697" customWidth="1"/>
    <col min="9996" max="9996" width="13" style="697" bestFit="1" customWidth="1"/>
    <col min="9997" max="10239" width="9" style="697"/>
    <col min="10240" max="10240" width="4.75" style="697" customWidth="1"/>
    <col min="10241" max="10241" width="9" style="697"/>
    <col min="10242" max="10242" width="19.75" style="697" customWidth="1"/>
    <col min="10243" max="10243" width="7.625" style="697" customWidth="1"/>
    <col min="10244" max="10244" width="11.875" style="697" bestFit="1" customWidth="1"/>
    <col min="10245" max="10245" width="9" style="697"/>
    <col min="10246" max="10246" width="9.5" style="697" customWidth="1"/>
    <col min="10247" max="10247" width="7.625" style="697" customWidth="1"/>
    <col min="10248" max="10248" width="11.75" style="697" customWidth="1"/>
    <col min="10249" max="10249" width="9" style="697"/>
    <col min="10250" max="10250" width="11.875" style="697" bestFit="1" customWidth="1"/>
    <col min="10251" max="10251" width="7.125" style="697" customWidth="1"/>
    <col min="10252" max="10252" width="13" style="697" bestFit="1" customWidth="1"/>
    <col min="10253" max="10495" width="9" style="697"/>
    <col min="10496" max="10496" width="4.75" style="697" customWidth="1"/>
    <col min="10497" max="10497" width="9" style="697"/>
    <col min="10498" max="10498" width="19.75" style="697" customWidth="1"/>
    <col min="10499" max="10499" width="7.625" style="697" customWidth="1"/>
    <col min="10500" max="10500" width="11.875" style="697" bestFit="1" customWidth="1"/>
    <col min="10501" max="10501" width="9" style="697"/>
    <col min="10502" max="10502" width="9.5" style="697" customWidth="1"/>
    <col min="10503" max="10503" width="7.625" style="697" customWidth="1"/>
    <col min="10504" max="10504" width="11.75" style="697" customWidth="1"/>
    <col min="10505" max="10505" width="9" style="697"/>
    <col min="10506" max="10506" width="11.875" style="697" bestFit="1" customWidth="1"/>
    <col min="10507" max="10507" width="7.125" style="697" customWidth="1"/>
    <col min="10508" max="10508" width="13" style="697" bestFit="1" customWidth="1"/>
    <col min="10509" max="10751" width="9" style="697"/>
    <col min="10752" max="10752" width="4.75" style="697" customWidth="1"/>
    <col min="10753" max="10753" width="9" style="697"/>
    <col min="10754" max="10754" width="19.75" style="697" customWidth="1"/>
    <col min="10755" max="10755" width="7.625" style="697" customWidth="1"/>
    <col min="10756" max="10756" width="11.875" style="697" bestFit="1" customWidth="1"/>
    <col min="10757" max="10757" width="9" style="697"/>
    <col min="10758" max="10758" width="9.5" style="697" customWidth="1"/>
    <col min="10759" max="10759" width="7.625" style="697" customWidth="1"/>
    <col min="10760" max="10760" width="11.75" style="697" customWidth="1"/>
    <col min="10761" max="10761" width="9" style="697"/>
    <col min="10762" max="10762" width="11.875" style="697" bestFit="1" customWidth="1"/>
    <col min="10763" max="10763" width="7.125" style="697" customWidth="1"/>
    <col min="10764" max="10764" width="13" style="697" bestFit="1" customWidth="1"/>
    <col min="10765" max="11007" width="9" style="697"/>
    <col min="11008" max="11008" width="4.75" style="697" customWidth="1"/>
    <col min="11009" max="11009" width="9" style="697"/>
    <col min="11010" max="11010" width="19.75" style="697" customWidth="1"/>
    <col min="11011" max="11011" width="7.625" style="697" customWidth="1"/>
    <col min="11012" max="11012" width="11.875" style="697" bestFit="1" customWidth="1"/>
    <col min="11013" max="11013" width="9" style="697"/>
    <col min="11014" max="11014" width="9.5" style="697" customWidth="1"/>
    <col min="11015" max="11015" width="7.625" style="697" customWidth="1"/>
    <col min="11016" max="11016" width="11.75" style="697" customWidth="1"/>
    <col min="11017" max="11017" width="9" style="697"/>
    <col min="11018" max="11018" width="11.875" style="697" bestFit="1" customWidth="1"/>
    <col min="11019" max="11019" width="7.125" style="697" customWidth="1"/>
    <col min="11020" max="11020" width="13" style="697" bestFit="1" customWidth="1"/>
    <col min="11021" max="11263" width="9" style="697"/>
    <col min="11264" max="11264" width="4.75" style="697" customWidth="1"/>
    <col min="11265" max="11265" width="9" style="697"/>
    <col min="11266" max="11266" width="19.75" style="697" customWidth="1"/>
    <col min="11267" max="11267" width="7.625" style="697" customWidth="1"/>
    <col min="11268" max="11268" width="11.875" style="697" bestFit="1" customWidth="1"/>
    <col min="11269" max="11269" width="9" style="697"/>
    <col min="11270" max="11270" width="9.5" style="697" customWidth="1"/>
    <col min="11271" max="11271" width="7.625" style="697" customWidth="1"/>
    <col min="11272" max="11272" width="11.75" style="697" customWidth="1"/>
    <col min="11273" max="11273" width="9" style="697"/>
    <col min="11274" max="11274" width="11.875" style="697" bestFit="1" customWidth="1"/>
    <col min="11275" max="11275" width="7.125" style="697" customWidth="1"/>
    <col min="11276" max="11276" width="13" style="697" bestFit="1" customWidth="1"/>
    <col min="11277" max="11519" width="9" style="697"/>
    <col min="11520" max="11520" width="4.75" style="697" customWidth="1"/>
    <col min="11521" max="11521" width="9" style="697"/>
    <col min="11522" max="11522" width="19.75" style="697" customWidth="1"/>
    <col min="11523" max="11523" width="7.625" style="697" customWidth="1"/>
    <col min="11524" max="11524" width="11.875" style="697" bestFit="1" customWidth="1"/>
    <col min="11525" max="11525" width="9" style="697"/>
    <col min="11526" max="11526" width="9.5" style="697" customWidth="1"/>
    <col min="11527" max="11527" width="7.625" style="697" customWidth="1"/>
    <col min="11528" max="11528" width="11.75" style="697" customWidth="1"/>
    <col min="11529" max="11529" width="9" style="697"/>
    <col min="11530" max="11530" width="11.875" style="697" bestFit="1" customWidth="1"/>
    <col min="11531" max="11531" width="7.125" style="697" customWidth="1"/>
    <col min="11532" max="11532" width="13" style="697" bestFit="1" customWidth="1"/>
    <col min="11533" max="11775" width="9" style="697"/>
    <col min="11776" max="11776" width="4.75" style="697" customWidth="1"/>
    <col min="11777" max="11777" width="9" style="697"/>
    <col min="11778" max="11778" width="19.75" style="697" customWidth="1"/>
    <col min="11779" max="11779" width="7.625" style="697" customWidth="1"/>
    <col min="11780" max="11780" width="11.875" style="697" bestFit="1" customWidth="1"/>
    <col min="11781" max="11781" width="9" style="697"/>
    <col min="11782" max="11782" width="9.5" style="697" customWidth="1"/>
    <col min="11783" max="11783" width="7.625" style="697" customWidth="1"/>
    <col min="11784" max="11784" width="11.75" style="697" customWidth="1"/>
    <col min="11785" max="11785" width="9" style="697"/>
    <col min="11786" max="11786" width="11.875" style="697" bestFit="1" customWidth="1"/>
    <col min="11787" max="11787" width="7.125" style="697" customWidth="1"/>
    <col min="11788" max="11788" width="13" style="697" bestFit="1" customWidth="1"/>
    <col min="11789" max="12031" width="9" style="697"/>
    <col min="12032" max="12032" width="4.75" style="697" customWidth="1"/>
    <col min="12033" max="12033" width="9" style="697"/>
    <col min="12034" max="12034" width="19.75" style="697" customWidth="1"/>
    <col min="12035" max="12035" width="7.625" style="697" customWidth="1"/>
    <col min="12036" max="12036" width="11.875" style="697" bestFit="1" customWidth="1"/>
    <col min="12037" max="12037" width="9" style="697"/>
    <col min="12038" max="12038" width="9.5" style="697" customWidth="1"/>
    <col min="12039" max="12039" width="7.625" style="697" customWidth="1"/>
    <col min="12040" max="12040" width="11.75" style="697" customWidth="1"/>
    <col min="12041" max="12041" width="9" style="697"/>
    <col min="12042" max="12042" width="11.875" style="697" bestFit="1" customWidth="1"/>
    <col min="12043" max="12043" width="7.125" style="697" customWidth="1"/>
    <col min="12044" max="12044" width="13" style="697" bestFit="1" customWidth="1"/>
    <col min="12045" max="12287" width="9" style="697"/>
    <col min="12288" max="12288" width="4.75" style="697" customWidth="1"/>
    <col min="12289" max="12289" width="9" style="697"/>
    <col min="12290" max="12290" width="19.75" style="697" customWidth="1"/>
    <col min="12291" max="12291" width="7.625" style="697" customWidth="1"/>
    <col min="12292" max="12292" width="11.875" style="697" bestFit="1" customWidth="1"/>
    <col min="12293" max="12293" width="9" style="697"/>
    <col min="12294" max="12294" width="9.5" style="697" customWidth="1"/>
    <col min="12295" max="12295" width="7.625" style="697" customWidth="1"/>
    <col min="12296" max="12296" width="11.75" style="697" customWidth="1"/>
    <col min="12297" max="12297" width="9" style="697"/>
    <col min="12298" max="12298" width="11.875" style="697" bestFit="1" customWidth="1"/>
    <col min="12299" max="12299" width="7.125" style="697" customWidth="1"/>
    <col min="12300" max="12300" width="13" style="697" bestFit="1" customWidth="1"/>
    <col min="12301" max="12543" width="9" style="697"/>
    <col min="12544" max="12544" width="4.75" style="697" customWidth="1"/>
    <col min="12545" max="12545" width="9" style="697"/>
    <col min="12546" max="12546" width="19.75" style="697" customWidth="1"/>
    <col min="12547" max="12547" width="7.625" style="697" customWidth="1"/>
    <col min="12548" max="12548" width="11.875" style="697" bestFit="1" customWidth="1"/>
    <col min="12549" max="12549" width="9" style="697"/>
    <col min="12550" max="12550" width="9.5" style="697" customWidth="1"/>
    <col min="12551" max="12551" width="7.625" style="697" customWidth="1"/>
    <col min="12552" max="12552" width="11.75" style="697" customWidth="1"/>
    <col min="12553" max="12553" width="9" style="697"/>
    <col min="12554" max="12554" width="11.875" style="697" bestFit="1" customWidth="1"/>
    <col min="12555" max="12555" width="7.125" style="697" customWidth="1"/>
    <col min="12556" max="12556" width="13" style="697" bestFit="1" customWidth="1"/>
    <col min="12557" max="12799" width="9" style="697"/>
    <col min="12800" max="12800" width="4.75" style="697" customWidth="1"/>
    <col min="12801" max="12801" width="9" style="697"/>
    <col min="12802" max="12802" width="19.75" style="697" customWidth="1"/>
    <col min="12803" max="12803" width="7.625" style="697" customWidth="1"/>
    <col min="12804" max="12804" width="11.875" style="697" bestFit="1" customWidth="1"/>
    <col min="12805" max="12805" width="9" style="697"/>
    <col min="12806" max="12806" width="9.5" style="697" customWidth="1"/>
    <col min="12807" max="12807" width="7.625" style="697" customWidth="1"/>
    <col min="12808" max="12808" width="11.75" style="697" customWidth="1"/>
    <col min="12809" max="12809" width="9" style="697"/>
    <col min="12810" max="12810" width="11.875" style="697" bestFit="1" customWidth="1"/>
    <col min="12811" max="12811" width="7.125" style="697" customWidth="1"/>
    <col min="12812" max="12812" width="13" style="697" bestFit="1" customWidth="1"/>
    <col min="12813" max="13055" width="9" style="697"/>
    <col min="13056" max="13056" width="4.75" style="697" customWidth="1"/>
    <col min="13057" max="13057" width="9" style="697"/>
    <col min="13058" max="13058" width="19.75" style="697" customWidth="1"/>
    <col min="13059" max="13059" width="7.625" style="697" customWidth="1"/>
    <col min="13060" max="13060" width="11.875" style="697" bestFit="1" customWidth="1"/>
    <col min="13061" max="13061" width="9" style="697"/>
    <col min="13062" max="13062" width="9.5" style="697" customWidth="1"/>
    <col min="13063" max="13063" width="7.625" style="697" customWidth="1"/>
    <col min="13064" max="13064" width="11.75" style="697" customWidth="1"/>
    <col min="13065" max="13065" width="9" style="697"/>
    <col min="13066" max="13066" width="11.875" style="697" bestFit="1" customWidth="1"/>
    <col min="13067" max="13067" width="7.125" style="697" customWidth="1"/>
    <col min="13068" max="13068" width="13" style="697" bestFit="1" customWidth="1"/>
    <col min="13069" max="13311" width="9" style="697"/>
    <col min="13312" max="13312" width="4.75" style="697" customWidth="1"/>
    <col min="13313" max="13313" width="9" style="697"/>
    <col min="13314" max="13314" width="19.75" style="697" customWidth="1"/>
    <col min="13315" max="13315" width="7.625" style="697" customWidth="1"/>
    <col min="13316" max="13316" width="11.875" style="697" bestFit="1" customWidth="1"/>
    <col min="13317" max="13317" width="9" style="697"/>
    <col min="13318" max="13318" width="9.5" style="697" customWidth="1"/>
    <col min="13319" max="13319" width="7.625" style="697" customWidth="1"/>
    <col min="13320" max="13320" width="11.75" style="697" customWidth="1"/>
    <col min="13321" max="13321" width="9" style="697"/>
    <col min="13322" max="13322" width="11.875" style="697" bestFit="1" customWidth="1"/>
    <col min="13323" max="13323" width="7.125" style="697" customWidth="1"/>
    <col min="13324" max="13324" width="13" style="697" bestFit="1" customWidth="1"/>
    <col min="13325" max="13567" width="9" style="697"/>
    <col min="13568" max="13568" width="4.75" style="697" customWidth="1"/>
    <col min="13569" max="13569" width="9" style="697"/>
    <col min="13570" max="13570" width="19.75" style="697" customWidth="1"/>
    <col min="13571" max="13571" width="7.625" style="697" customWidth="1"/>
    <col min="13572" max="13572" width="11.875" style="697" bestFit="1" customWidth="1"/>
    <col min="13573" max="13573" width="9" style="697"/>
    <col min="13574" max="13574" width="9.5" style="697" customWidth="1"/>
    <col min="13575" max="13575" width="7.625" style="697" customWidth="1"/>
    <col min="13576" max="13576" width="11.75" style="697" customWidth="1"/>
    <col min="13577" max="13577" width="9" style="697"/>
    <col min="13578" max="13578" width="11.875" style="697" bestFit="1" customWidth="1"/>
    <col min="13579" max="13579" width="7.125" style="697" customWidth="1"/>
    <col min="13580" max="13580" width="13" style="697" bestFit="1" customWidth="1"/>
    <col min="13581" max="13823" width="9" style="697"/>
    <col min="13824" max="13824" width="4.75" style="697" customWidth="1"/>
    <col min="13825" max="13825" width="9" style="697"/>
    <col min="13826" max="13826" width="19.75" style="697" customWidth="1"/>
    <col min="13827" max="13827" width="7.625" style="697" customWidth="1"/>
    <col min="13828" max="13828" width="11.875" style="697" bestFit="1" customWidth="1"/>
    <col min="13829" max="13829" width="9" style="697"/>
    <col min="13830" max="13830" width="9.5" style="697" customWidth="1"/>
    <col min="13831" max="13831" width="7.625" style="697" customWidth="1"/>
    <col min="13832" max="13832" width="11.75" style="697" customWidth="1"/>
    <col min="13833" max="13833" width="9" style="697"/>
    <col min="13834" max="13834" width="11.875" style="697" bestFit="1" customWidth="1"/>
    <col min="13835" max="13835" width="7.125" style="697" customWidth="1"/>
    <col min="13836" max="13836" width="13" style="697" bestFit="1" customWidth="1"/>
    <col min="13837" max="14079" width="9" style="697"/>
    <col min="14080" max="14080" width="4.75" style="697" customWidth="1"/>
    <col min="14081" max="14081" width="9" style="697"/>
    <col min="14082" max="14082" width="19.75" style="697" customWidth="1"/>
    <col min="14083" max="14083" width="7.625" style="697" customWidth="1"/>
    <col min="14084" max="14084" width="11.875" style="697" bestFit="1" customWidth="1"/>
    <col min="14085" max="14085" width="9" style="697"/>
    <col min="14086" max="14086" width="9.5" style="697" customWidth="1"/>
    <col min="14087" max="14087" width="7.625" style="697" customWidth="1"/>
    <col min="14088" max="14088" width="11.75" style="697" customWidth="1"/>
    <col min="14089" max="14089" width="9" style="697"/>
    <col min="14090" max="14090" width="11.875" style="697" bestFit="1" customWidth="1"/>
    <col min="14091" max="14091" width="7.125" style="697" customWidth="1"/>
    <col min="14092" max="14092" width="13" style="697" bestFit="1" customWidth="1"/>
    <col min="14093" max="14335" width="9" style="697"/>
    <col min="14336" max="14336" width="4.75" style="697" customWidth="1"/>
    <col min="14337" max="14337" width="9" style="697"/>
    <col min="14338" max="14338" width="19.75" style="697" customWidth="1"/>
    <col min="14339" max="14339" width="7.625" style="697" customWidth="1"/>
    <col min="14340" max="14340" width="11.875" style="697" bestFit="1" customWidth="1"/>
    <col min="14341" max="14341" width="9" style="697"/>
    <col min="14342" max="14342" width="9.5" style="697" customWidth="1"/>
    <col min="14343" max="14343" width="7.625" style="697" customWidth="1"/>
    <col min="14344" max="14344" width="11.75" style="697" customWidth="1"/>
    <col min="14345" max="14345" width="9" style="697"/>
    <col min="14346" max="14346" width="11.875" style="697" bestFit="1" customWidth="1"/>
    <col min="14347" max="14347" width="7.125" style="697" customWidth="1"/>
    <col min="14348" max="14348" width="13" style="697" bestFit="1" customWidth="1"/>
    <col min="14349" max="14591" width="9" style="697"/>
    <col min="14592" max="14592" width="4.75" style="697" customWidth="1"/>
    <col min="14593" max="14593" width="9" style="697"/>
    <col min="14594" max="14594" width="19.75" style="697" customWidth="1"/>
    <col min="14595" max="14595" width="7.625" style="697" customWidth="1"/>
    <col min="14596" max="14596" width="11.875" style="697" bestFit="1" customWidth="1"/>
    <col min="14597" max="14597" width="9" style="697"/>
    <col min="14598" max="14598" width="9.5" style="697" customWidth="1"/>
    <col min="14599" max="14599" width="7.625" style="697" customWidth="1"/>
    <col min="14600" max="14600" width="11.75" style="697" customWidth="1"/>
    <col min="14601" max="14601" width="9" style="697"/>
    <col min="14602" max="14602" width="11.875" style="697" bestFit="1" customWidth="1"/>
    <col min="14603" max="14603" width="7.125" style="697" customWidth="1"/>
    <col min="14604" max="14604" width="13" style="697" bestFit="1" customWidth="1"/>
    <col min="14605" max="14847" width="9" style="697"/>
    <col min="14848" max="14848" width="4.75" style="697" customWidth="1"/>
    <col min="14849" max="14849" width="9" style="697"/>
    <col min="14850" max="14850" width="19.75" style="697" customWidth="1"/>
    <col min="14851" max="14851" width="7.625" style="697" customWidth="1"/>
    <col min="14852" max="14852" width="11.875" style="697" bestFit="1" customWidth="1"/>
    <col min="14853" max="14853" width="9" style="697"/>
    <col min="14854" max="14854" width="9.5" style="697" customWidth="1"/>
    <col min="14855" max="14855" width="7.625" style="697" customWidth="1"/>
    <col min="14856" max="14856" width="11.75" style="697" customWidth="1"/>
    <col min="14857" max="14857" width="9" style="697"/>
    <col min="14858" max="14858" width="11.875" style="697" bestFit="1" customWidth="1"/>
    <col min="14859" max="14859" width="7.125" style="697" customWidth="1"/>
    <col min="14860" max="14860" width="13" style="697" bestFit="1" customWidth="1"/>
    <col min="14861" max="15103" width="9" style="697"/>
    <col min="15104" max="15104" width="4.75" style="697" customWidth="1"/>
    <col min="15105" max="15105" width="9" style="697"/>
    <col min="15106" max="15106" width="19.75" style="697" customWidth="1"/>
    <col min="15107" max="15107" width="7.625" style="697" customWidth="1"/>
    <col min="15108" max="15108" width="11.875" style="697" bestFit="1" customWidth="1"/>
    <col min="15109" max="15109" width="9" style="697"/>
    <col min="15110" max="15110" width="9.5" style="697" customWidth="1"/>
    <col min="15111" max="15111" width="7.625" style="697" customWidth="1"/>
    <col min="15112" max="15112" width="11.75" style="697" customWidth="1"/>
    <col min="15113" max="15113" width="9" style="697"/>
    <col min="15114" max="15114" width="11.875" style="697" bestFit="1" customWidth="1"/>
    <col min="15115" max="15115" width="7.125" style="697" customWidth="1"/>
    <col min="15116" max="15116" width="13" style="697" bestFit="1" customWidth="1"/>
    <col min="15117" max="15359" width="9" style="697"/>
    <col min="15360" max="15360" width="4.75" style="697" customWidth="1"/>
    <col min="15361" max="15361" width="9" style="697"/>
    <col min="15362" max="15362" width="19.75" style="697" customWidth="1"/>
    <col min="15363" max="15363" width="7.625" style="697" customWidth="1"/>
    <col min="15364" max="15364" width="11.875" style="697" bestFit="1" customWidth="1"/>
    <col min="15365" max="15365" width="9" style="697"/>
    <col min="15366" max="15366" width="9.5" style="697" customWidth="1"/>
    <col min="15367" max="15367" width="7.625" style="697" customWidth="1"/>
    <col min="15368" max="15368" width="11.75" style="697" customWidth="1"/>
    <col min="15369" max="15369" width="9" style="697"/>
    <col min="15370" max="15370" width="11.875" style="697" bestFit="1" customWidth="1"/>
    <col min="15371" max="15371" width="7.125" style="697" customWidth="1"/>
    <col min="15372" max="15372" width="13" style="697" bestFit="1" customWidth="1"/>
    <col min="15373" max="15615" width="9" style="697"/>
    <col min="15616" max="15616" width="4.75" style="697" customWidth="1"/>
    <col min="15617" max="15617" width="9" style="697"/>
    <col min="15618" max="15618" width="19.75" style="697" customWidth="1"/>
    <col min="15619" max="15619" width="7.625" style="697" customWidth="1"/>
    <col min="15620" max="15620" width="11.875" style="697" bestFit="1" customWidth="1"/>
    <col min="15621" max="15621" width="9" style="697"/>
    <col min="15622" max="15622" width="9.5" style="697" customWidth="1"/>
    <col min="15623" max="15623" width="7.625" style="697" customWidth="1"/>
    <col min="15624" max="15624" width="11.75" style="697" customWidth="1"/>
    <col min="15625" max="15625" width="9" style="697"/>
    <col min="15626" max="15626" width="11.875" style="697" bestFit="1" customWidth="1"/>
    <col min="15627" max="15627" width="7.125" style="697" customWidth="1"/>
    <col min="15628" max="15628" width="13" style="697" bestFit="1" customWidth="1"/>
    <col min="15629" max="15871" width="9" style="697"/>
    <col min="15872" max="15872" width="4.75" style="697" customWidth="1"/>
    <col min="15873" max="15873" width="9" style="697"/>
    <col min="15874" max="15874" width="19.75" style="697" customWidth="1"/>
    <col min="15875" max="15875" width="7.625" style="697" customWidth="1"/>
    <col min="15876" max="15876" width="11.875" style="697" bestFit="1" customWidth="1"/>
    <col min="15877" max="15877" width="9" style="697"/>
    <col min="15878" max="15878" width="9.5" style="697" customWidth="1"/>
    <col min="15879" max="15879" width="7.625" style="697" customWidth="1"/>
    <col min="15880" max="15880" width="11.75" style="697" customWidth="1"/>
    <col min="15881" max="15881" width="9" style="697"/>
    <col min="15882" max="15882" width="11.875" style="697" bestFit="1" customWidth="1"/>
    <col min="15883" max="15883" width="7.125" style="697" customWidth="1"/>
    <col min="15884" max="15884" width="13" style="697" bestFit="1" customWidth="1"/>
    <col min="15885" max="16127" width="9" style="697"/>
    <col min="16128" max="16128" width="4.75" style="697" customWidth="1"/>
    <col min="16129" max="16129" width="9" style="697"/>
    <col min="16130" max="16130" width="19.75" style="697" customWidth="1"/>
    <col min="16131" max="16131" width="7.625" style="697" customWidth="1"/>
    <col min="16132" max="16132" width="11.875" style="697" bestFit="1" customWidth="1"/>
    <col min="16133" max="16133" width="9" style="697"/>
    <col min="16134" max="16134" width="9.5" style="697" customWidth="1"/>
    <col min="16135" max="16135" width="7.625" style="697" customWidth="1"/>
    <col min="16136" max="16136" width="11.75" style="697" customWidth="1"/>
    <col min="16137" max="16137" width="9" style="697"/>
    <col min="16138" max="16138" width="11.875" style="697" bestFit="1" customWidth="1"/>
    <col min="16139" max="16139" width="7.125" style="697" customWidth="1"/>
    <col min="16140" max="16140" width="13" style="697" bestFit="1" customWidth="1"/>
    <col min="16141" max="16384" width="9" style="697"/>
  </cols>
  <sheetData>
    <row r="1" spans="1:14" s="710" customFormat="1">
      <c r="A1" s="965" t="s">
        <v>1112</v>
      </c>
      <c r="B1" s="966"/>
      <c r="C1" s="711"/>
      <c r="E1" s="967"/>
      <c r="I1" s="968"/>
      <c r="M1" s="312"/>
    </row>
    <row r="2" spans="1:14" s="710" customFormat="1">
      <c r="A2" s="969"/>
      <c r="B2" s="966"/>
      <c r="D2" s="967"/>
      <c r="E2" s="967"/>
      <c r="F2" s="967"/>
      <c r="G2" s="967"/>
      <c r="H2" s="967"/>
      <c r="I2" s="968"/>
      <c r="J2" s="967"/>
      <c r="K2" s="967"/>
      <c r="L2" s="967"/>
      <c r="M2" s="312">
        <f>113+29</f>
        <v>142</v>
      </c>
    </row>
    <row r="3" spans="1:14" s="710" customFormat="1">
      <c r="A3" s="970"/>
      <c r="B3" s="971" t="s">
        <v>1113</v>
      </c>
      <c r="C3" s="1459" t="s">
        <v>1114</v>
      </c>
      <c r="D3" s="1459"/>
      <c r="E3" s="1459" t="s">
        <v>1115</v>
      </c>
      <c r="F3" s="1459"/>
      <c r="G3" s="1459" t="s">
        <v>1116</v>
      </c>
      <c r="H3" s="1459"/>
      <c r="I3" s="1459" t="s">
        <v>1117</v>
      </c>
      <c r="J3" s="1459"/>
      <c r="K3" s="1459" t="s">
        <v>1118</v>
      </c>
      <c r="L3" s="1459"/>
      <c r="M3" s="742" t="s">
        <v>1119</v>
      </c>
    </row>
    <row r="4" spans="1:14" s="710" customFormat="1">
      <c r="A4" s="970"/>
      <c r="B4" s="972"/>
      <c r="C4" s="714" t="s">
        <v>1120</v>
      </c>
      <c r="D4" s="714" t="s">
        <v>1121</v>
      </c>
      <c r="E4" s="714" t="s">
        <v>1120</v>
      </c>
      <c r="F4" s="714" t="s">
        <v>1121</v>
      </c>
      <c r="G4" s="714" t="s">
        <v>1120</v>
      </c>
      <c r="H4" s="714" t="s">
        <v>1121</v>
      </c>
      <c r="I4" s="973" t="s">
        <v>1120</v>
      </c>
      <c r="J4" s="714" t="s">
        <v>1121</v>
      </c>
      <c r="K4" s="714" t="s">
        <v>1120</v>
      </c>
      <c r="L4" s="714" t="s">
        <v>1121</v>
      </c>
      <c r="M4" s="713"/>
    </row>
    <row r="5" spans="1:14" s="710" customFormat="1">
      <c r="A5" s="974" t="s">
        <v>1122</v>
      </c>
      <c r="B5" s="975" t="s">
        <v>1123</v>
      </c>
      <c r="C5" s="976"/>
      <c r="D5" s="976"/>
      <c r="E5" s="976"/>
      <c r="F5" s="976"/>
      <c r="G5" s="976"/>
      <c r="H5" s="976"/>
      <c r="I5" s="977"/>
      <c r="J5" s="976"/>
      <c r="K5" s="976"/>
      <c r="L5" s="976"/>
      <c r="M5" s="1456"/>
    </row>
    <row r="6" spans="1:14" s="710" customFormat="1">
      <c r="A6" s="1462" t="s">
        <v>1124</v>
      </c>
      <c r="B6" s="978" t="s">
        <v>1125</v>
      </c>
      <c r="C6" s="734"/>
      <c r="D6" s="734"/>
      <c r="E6" s="734"/>
      <c r="F6" s="734"/>
      <c r="G6" s="734"/>
      <c r="H6" s="734"/>
      <c r="I6" s="979"/>
      <c r="J6" s="734"/>
      <c r="K6" s="734"/>
      <c r="L6" s="734"/>
      <c r="M6" s="1457"/>
      <c r="N6" s="717"/>
    </row>
    <row r="7" spans="1:14" s="710" customFormat="1">
      <c r="A7" s="1463"/>
      <c r="B7" s="978" t="s">
        <v>1126</v>
      </c>
      <c r="C7" s="734"/>
      <c r="D7" s="734"/>
      <c r="E7" s="734"/>
      <c r="F7" s="734"/>
      <c r="G7" s="734"/>
      <c r="H7" s="734"/>
      <c r="I7" s="979"/>
      <c r="J7" s="734"/>
      <c r="K7" s="734"/>
      <c r="L7" s="734"/>
      <c r="M7" s="1457"/>
    </row>
    <row r="8" spans="1:14" s="710" customFormat="1">
      <c r="A8" s="1460" t="s">
        <v>1127</v>
      </c>
      <c r="B8" s="978" t="s">
        <v>1125</v>
      </c>
      <c r="C8" s="734"/>
      <c r="D8" s="734"/>
      <c r="E8" s="734"/>
      <c r="F8" s="734"/>
      <c r="G8" s="734"/>
      <c r="H8" s="734"/>
      <c r="I8" s="734"/>
      <c r="J8" s="734"/>
      <c r="K8" s="734"/>
      <c r="L8" s="734"/>
      <c r="M8" s="1457"/>
    </row>
    <row r="9" spans="1:14" s="710" customFormat="1">
      <c r="A9" s="1461"/>
      <c r="B9" s="978" t="s">
        <v>1126</v>
      </c>
      <c r="C9" s="734"/>
      <c r="D9" s="734"/>
      <c r="E9" s="734"/>
      <c r="F9" s="734"/>
      <c r="G9" s="734"/>
      <c r="H9" s="734"/>
      <c r="I9" s="734"/>
      <c r="J9" s="734"/>
      <c r="K9" s="734"/>
      <c r="L9" s="734"/>
      <c r="M9" s="1457"/>
    </row>
    <row r="10" spans="1:14" s="710" customFormat="1">
      <c r="A10" s="1464" t="s">
        <v>1128</v>
      </c>
      <c r="B10" s="978" t="s">
        <v>1125</v>
      </c>
      <c r="C10" s="734"/>
      <c r="D10" s="734"/>
      <c r="E10" s="734"/>
      <c r="F10" s="734"/>
      <c r="G10" s="734"/>
      <c r="H10" s="734"/>
      <c r="I10" s="734"/>
      <c r="J10" s="734"/>
      <c r="K10" s="734"/>
      <c r="L10" s="734"/>
      <c r="M10" s="1457"/>
    </row>
    <row r="11" spans="1:14" s="710" customFormat="1">
      <c r="A11" s="1465"/>
      <c r="B11" s="978" t="s">
        <v>1129</v>
      </c>
      <c r="C11" s="734"/>
      <c r="D11" s="734"/>
      <c r="E11" s="734"/>
      <c r="F11" s="734"/>
      <c r="G11" s="734"/>
      <c r="H11" s="734"/>
      <c r="I11" s="734"/>
      <c r="J11" s="734"/>
      <c r="K11" s="734"/>
      <c r="L11" s="734"/>
      <c r="M11" s="1457"/>
    </row>
    <row r="12" spans="1:14" s="710" customFormat="1">
      <c r="A12" s="1466" t="s">
        <v>1130</v>
      </c>
      <c r="B12" s="978" t="s">
        <v>1125</v>
      </c>
      <c r="C12" s="734"/>
      <c r="D12" s="734"/>
      <c r="E12" s="734"/>
      <c r="F12" s="734"/>
      <c r="G12" s="734"/>
      <c r="H12" s="734"/>
      <c r="I12" s="734"/>
      <c r="J12" s="734"/>
      <c r="K12" s="734"/>
      <c r="L12" s="734"/>
      <c r="M12" s="1457"/>
    </row>
    <row r="13" spans="1:14" s="710" customFormat="1">
      <c r="A13" s="1467"/>
      <c r="B13" s="978" t="s">
        <v>1126</v>
      </c>
      <c r="C13" s="734"/>
      <c r="D13" s="734"/>
      <c r="E13" s="734"/>
      <c r="F13" s="734"/>
      <c r="G13" s="734"/>
      <c r="H13" s="734"/>
      <c r="I13" s="734"/>
      <c r="J13" s="734"/>
      <c r="K13" s="734"/>
      <c r="L13" s="734"/>
      <c r="M13" s="1457"/>
    </row>
    <row r="14" spans="1:14" s="710" customFormat="1">
      <c r="A14" s="1468" t="s">
        <v>1131</v>
      </c>
      <c r="B14" s="978" t="s">
        <v>1132</v>
      </c>
      <c r="C14" s="734"/>
      <c r="D14" s="734"/>
      <c r="E14" s="734"/>
      <c r="F14" s="734"/>
      <c r="G14" s="734"/>
      <c r="H14" s="734"/>
      <c r="I14" s="734"/>
      <c r="J14" s="734"/>
      <c r="K14" s="734"/>
      <c r="L14" s="734"/>
      <c r="M14" s="1457"/>
    </row>
    <row r="15" spans="1:14" s="710" customFormat="1">
      <c r="A15" s="1469"/>
      <c r="B15" s="978" t="s">
        <v>1133</v>
      </c>
      <c r="C15" s="734"/>
      <c r="D15" s="734"/>
      <c r="E15" s="734"/>
      <c r="F15" s="734"/>
      <c r="G15" s="734"/>
      <c r="H15" s="734"/>
      <c r="I15" s="734"/>
      <c r="J15" s="734"/>
      <c r="K15" s="734"/>
      <c r="L15" s="734"/>
      <c r="M15" s="1457"/>
    </row>
    <row r="16" spans="1:14" s="710" customFormat="1">
      <c r="A16" s="974" t="s">
        <v>1134</v>
      </c>
      <c r="B16" s="975" t="s">
        <v>1135</v>
      </c>
      <c r="C16" s="976"/>
      <c r="D16" s="976"/>
      <c r="E16" s="976"/>
      <c r="F16" s="976"/>
      <c r="G16" s="976"/>
      <c r="H16" s="976"/>
      <c r="I16" s="977"/>
      <c r="J16" s="976"/>
      <c r="K16" s="976"/>
      <c r="L16" s="976"/>
      <c r="M16" s="1458"/>
    </row>
    <row r="17" spans="1:13" s="710" customFormat="1">
      <c r="A17" s="1462" t="s">
        <v>1136</v>
      </c>
      <c r="B17" s="978" t="s">
        <v>1132</v>
      </c>
      <c r="C17" s="734"/>
      <c r="D17" s="734"/>
      <c r="E17" s="734"/>
      <c r="F17" s="734"/>
      <c r="G17" s="734"/>
      <c r="H17" s="734"/>
      <c r="I17" s="979"/>
      <c r="J17" s="734"/>
      <c r="K17" s="734"/>
      <c r="L17" s="734"/>
      <c r="M17" s="713"/>
    </row>
    <row r="18" spans="1:13" s="710" customFormat="1">
      <c r="A18" s="1463"/>
      <c r="B18" s="978" t="s">
        <v>1133</v>
      </c>
      <c r="C18" s="734"/>
      <c r="D18" s="734"/>
      <c r="E18" s="734"/>
      <c r="F18" s="734"/>
      <c r="G18" s="734"/>
      <c r="H18" s="734"/>
      <c r="I18" s="979"/>
      <c r="J18" s="734"/>
      <c r="K18" s="734"/>
      <c r="L18" s="734"/>
      <c r="M18" s="713"/>
    </row>
    <row r="19" spans="1:13" s="710" customFormat="1">
      <c r="A19" s="1460" t="s">
        <v>1137</v>
      </c>
      <c r="B19" s="978" t="s">
        <v>1132</v>
      </c>
      <c r="C19" s="734"/>
      <c r="D19" s="734"/>
      <c r="E19" s="734"/>
      <c r="F19" s="734"/>
      <c r="G19" s="734"/>
      <c r="H19" s="734"/>
      <c r="I19" s="979"/>
      <c r="J19" s="734"/>
      <c r="K19" s="734"/>
      <c r="L19" s="734"/>
      <c r="M19" s="713"/>
    </row>
    <row r="20" spans="1:13" s="710" customFormat="1">
      <c r="A20" s="1461"/>
      <c r="B20" s="978" t="s">
        <v>1133</v>
      </c>
      <c r="C20" s="734"/>
      <c r="D20" s="734"/>
      <c r="E20" s="734"/>
      <c r="F20" s="734"/>
      <c r="G20" s="734"/>
      <c r="H20" s="734"/>
      <c r="I20" s="979"/>
      <c r="J20" s="734"/>
      <c r="K20" s="734"/>
      <c r="L20" s="734"/>
      <c r="M20" s="980"/>
    </row>
    <row r="21" spans="1:13" s="710" customFormat="1">
      <c r="A21" s="1464" t="s">
        <v>1138</v>
      </c>
      <c r="B21" s="978" t="s">
        <v>1132</v>
      </c>
      <c r="C21" s="734"/>
      <c r="D21" s="734"/>
      <c r="E21" s="734"/>
      <c r="F21" s="734"/>
      <c r="G21" s="734"/>
      <c r="H21" s="734"/>
      <c r="I21" s="979"/>
      <c r="J21" s="734"/>
      <c r="K21" s="734"/>
      <c r="L21" s="734"/>
      <c r="M21" s="713"/>
    </row>
    <row r="22" spans="1:13" s="710" customFormat="1">
      <c r="A22" s="1465"/>
      <c r="B22" s="978" t="s">
        <v>1133</v>
      </c>
      <c r="C22" s="734"/>
      <c r="D22" s="734"/>
      <c r="E22" s="734"/>
      <c r="F22" s="734"/>
      <c r="G22" s="734"/>
      <c r="H22" s="734"/>
      <c r="I22" s="979"/>
      <c r="J22" s="734"/>
      <c r="K22" s="734"/>
      <c r="L22" s="734"/>
      <c r="M22" s="713"/>
    </row>
    <row r="23" spans="1:13" s="710" customFormat="1">
      <c r="A23" s="1466" t="s">
        <v>1139</v>
      </c>
      <c r="B23" s="978" t="s">
        <v>1132</v>
      </c>
      <c r="C23" s="734"/>
      <c r="D23" s="734"/>
      <c r="E23" s="734"/>
      <c r="F23" s="734"/>
      <c r="G23" s="734"/>
      <c r="H23" s="734"/>
      <c r="I23" s="979"/>
      <c r="J23" s="734"/>
      <c r="K23" s="734"/>
      <c r="L23" s="734"/>
      <c r="M23" s="713"/>
    </row>
    <row r="24" spans="1:13" s="710" customFormat="1">
      <c r="A24" s="1467"/>
      <c r="B24" s="978" t="s">
        <v>1133</v>
      </c>
      <c r="C24" s="734"/>
      <c r="D24" s="734"/>
      <c r="E24" s="734"/>
      <c r="F24" s="734"/>
      <c r="G24" s="734"/>
      <c r="H24" s="734"/>
      <c r="I24" s="979"/>
      <c r="J24" s="734"/>
      <c r="K24" s="734"/>
      <c r="L24" s="734"/>
      <c r="M24" s="713"/>
    </row>
    <row r="25" spans="1:13" s="710" customFormat="1">
      <c r="A25" s="1468" t="s">
        <v>1131</v>
      </c>
      <c r="B25" s="978" t="s">
        <v>1132</v>
      </c>
      <c r="C25" s="734"/>
      <c r="D25" s="734"/>
      <c r="E25" s="734"/>
      <c r="F25" s="734"/>
      <c r="G25" s="734"/>
      <c r="H25" s="734"/>
      <c r="I25" s="979"/>
      <c r="J25" s="734"/>
      <c r="K25" s="734"/>
      <c r="L25" s="734"/>
      <c r="M25" s="713"/>
    </row>
    <row r="26" spans="1:13" s="710" customFormat="1">
      <c r="A26" s="1469"/>
      <c r="B26" s="978" t="s">
        <v>1133</v>
      </c>
      <c r="C26" s="734"/>
      <c r="D26" s="734"/>
      <c r="E26" s="734"/>
      <c r="F26" s="734"/>
      <c r="G26" s="734"/>
      <c r="H26" s="734"/>
      <c r="I26" s="979"/>
      <c r="J26" s="734"/>
      <c r="K26" s="734"/>
      <c r="L26" s="734"/>
      <c r="M26" s="713"/>
    </row>
    <row r="27" spans="1:13" s="710" customFormat="1">
      <c r="A27" s="974" t="s">
        <v>1140</v>
      </c>
      <c r="B27" s="975" t="s">
        <v>1135</v>
      </c>
      <c r="C27" s="981"/>
      <c r="D27" s="981"/>
      <c r="E27" s="981"/>
      <c r="F27" s="981"/>
      <c r="G27" s="981"/>
      <c r="H27" s="981"/>
      <c r="I27" s="982"/>
      <c r="J27" s="981"/>
      <c r="K27" s="983"/>
      <c r="L27" s="983"/>
      <c r="M27" s="718"/>
    </row>
    <row r="28" spans="1:13" s="710" customFormat="1">
      <c r="A28" s="984" t="s">
        <v>1137</v>
      </c>
      <c r="B28" s="985"/>
      <c r="C28" s="735"/>
      <c r="D28" s="735"/>
      <c r="E28" s="735"/>
      <c r="F28" s="735"/>
      <c r="G28" s="735"/>
      <c r="H28" s="735"/>
      <c r="I28" s="986"/>
      <c r="J28" s="735"/>
      <c r="K28" s="736"/>
      <c r="L28" s="736"/>
      <c r="M28" s="718"/>
    </row>
    <row r="29" spans="1:13" s="710" customFormat="1">
      <c r="A29" s="987" t="s">
        <v>1138</v>
      </c>
      <c r="B29" s="985"/>
      <c r="C29" s="735"/>
      <c r="D29" s="735"/>
      <c r="E29" s="735"/>
      <c r="F29" s="735"/>
      <c r="G29" s="735"/>
      <c r="H29" s="735"/>
      <c r="I29" s="986"/>
      <c r="J29" s="735"/>
      <c r="K29" s="736"/>
      <c r="L29" s="736"/>
      <c r="M29" s="718"/>
    </row>
    <row r="30" spans="1:13" s="710" customFormat="1">
      <c r="A30" s="988" t="s">
        <v>1139</v>
      </c>
      <c r="B30" s="985"/>
      <c r="C30" s="735"/>
      <c r="D30" s="735"/>
      <c r="E30" s="735"/>
      <c r="F30" s="735"/>
      <c r="G30" s="735"/>
      <c r="H30" s="735"/>
      <c r="I30" s="986"/>
      <c r="J30" s="735"/>
      <c r="K30" s="736"/>
      <c r="L30" s="736"/>
      <c r="M30" s="718"/>
    </row>
    <row r="31" spans="1:13" s="710" customFormat="1">
      <c r="A31" s="989" t="s">
        <v>1131</v>
      </c>
      <c r="B31" s="985"/>
      <c r="C31" s="735"/>
      <c r="D31" s="735"/>
      <c r="E31" s="735"/>
      <c r="F31" s="735"/>
      <c r="G31" s="735"/>
      <c r="H31" s="735"/>
      <c r="I31" s="986"/>
      <c r="J31" s="735"/>
      <c r="K31" s="736"/>
      <c r="L31" s="736"/>
      <c r="M31" s="718"/>
    </row>
    <row r="32" spans="1:13" s="710" customFormat="1">
      <c r="A32" s="974" t="s">
        <v>1141</v>
      </c>
      <c r="B32" s="975" t="s">
        <v>1142</v>
      </c>
      <c r="C32" s="976"/>
      <c r="D32" s="976"/>
      <c r="E32" s="976"/>
      <c r="F32" s="976"/>
      <c r="G32" s="976"/>
      <c r="H32" s="976"/>
      <c r="I32" s="977"/>
      <c r="J32" s="976"/>
      <c r="K32" s="990"/>
      <c r="L32" s="990"/>
      <c r="M32" s="719"/>
    </row>
    <row r="33" spans="1:13" s="710" customFormat="1">
      <c r="A33" s="991" t="s">
        <v>1143</v>
      </c>
      <c r="B33" s="975" t="s">
        <v>1144</v>
      </c>
      <c r="C33" s="976"/>
      <c r="D33" s="976"/>
      <c r="E33" s="976"/>
      <c r="F33" s="976"/>
      <c r="G33" s="976"/>
      <c r="H33" s="976"/>
      <c r="I33" s="977"/>
      <c r="J33" s="976"/>
      <c r="K33" s="976"/>
      <c r="L33" s="976"/>
      <c r="M33" s="713"/>
    </row>
    <row r="34" spans="1:13" s="312" customFormat="1">
      <c r="A34" s="1470" t="s">
        <v>1136</v>
      </c>
      <c r="B34" s="992" t="s">
        <v>1145</v>
      </c>
      <c r="C34" s="734"/>
      <c r="D34" s="734"/>
      <c r="E34" s="734"/>
      <c r="F34" s="734"/>
      <c r="G34" s="734"/>
      <c r="H34" s="734"/>
      <c r="I34" s="979"/>
      <c r="J34" s="734"/>
      <c r="K34" s="734"/>
      <c r="L34" s="734"/>
      <c r="M34" s="713"/>
    </row>
    <row r="35" spans="1:13" s="312" customFormat="1">
      <c r="A35" s="1471"/>
      <c r="B35" s="993" t="s">
        <v>1146</v>
      </c>
      <c r="C35" s="734"/>
      <c r="D35" s="734"/>
      <c r="E35" s="734"/>
      <c r="F35" s="734"/>
      <c r="G35" s="734"/>
      <c r="H35" s="734"/>
      <c r="I35" s="979"/>
      <c r="J35" s="734"/>
      <c r="K35" s="734"/>
      <c r="L35" s="734"/>
      <c r="M35" s="713"/>
    </row>
    <row r="36" spans="1:13" s="312" customFormat="1">
      <c r="A36" s="1460" t="s">
        <v>1147</v>
      </c>
      <c r="B36" s="992" t="s">
        <v>1148</v>
      </c>
      <c r="C36" s="734"/>
      <c r="D36" s="734"/>
      <c r="E36" s="734"/>
      <c r="F36" s="734"/>
      <c r="G36" s="734"/>
      <c r="H36" s="734"/>
      <c r="I36" s="979"/>
      <c r="J36" s="734"/>
      <c r="K36" s="734"/>
      <c r="L36" s="734"/>
      <c r="M36" s="713"/>
    </row>
    <row r="37" spans="1:13" s="312" customFormat="1">
      <c r="A37" s="1461"/>
      <c r="B37" s="993" t="s">
        <v>1146</v>
      </c>
      <c r="C37" s="734"/>
      <c r="D37" s="734"/>
      <c r="E37" s="734"/>
      <c r="F37" s="734"/>
      <c r="G37" s="734"/>
      <c r="H37" s="734"/>
      <c r="I37" s="979"/>
      <c r="J37" s="734"/>
      <c r="K37" s="734"/>
      <c r="L37" s="734"/>
      <c r="M37" s="980"/>
    </row>
    <row r="38" spans="1:13" s="312" customFormat="1">
      <c r="A38" s="1464" t="s">
        <v>1138</v>
      </c>
      <c r="B38" s="992" t="s">
        <v>1148</v>
      </c>
      <c r="C38" s="734"/>
      <c r="D38" s="734"/>
      <c r="E38" s="734"/>
      <c r="F38" s="734"/>
      <c r="G38" s="734"/>
      <c r="H38" s="734"/>
      <c r="I38" s="979"/>
      <c r="J38" s="734"/>
      <c r="K38" s="734"/>
      <c r="L38" s="734"/>
      <c r="M38" s="713"/>
    </row>
    <row r="39" spans="1:13" s="312" customFormat="1">
      <c r="A39" s="1465"/>
      <c r="B39" s="993" t="s">
        <v>1146</v>
      </c>
      <c r="C39" s="734"/>
      <c r="D39" s="734"/>
      <c r="E39" s="734"/>
      <c r="F39" s="734"/>
      <c r="G39" s="734"/>
      <c r="H39" s="734"/>
      <c r="I39" s="979"/>
      <c r="J39" s="734"/>
      <c r="K39" s="734"/>
      <c r="L39" s="734"/>
      <c r="M39" s="994"/>
    </row>
    <row r="40" spans="1:13" s="312" customFormat="1">
      <c r="A40" s="1466" t="s">
        <v>1139</v>
      </c>
      <c r="B40" s="992" t="s">
        <v>1148</v>
      </c>
      <c r="C40" s="734"/>
      <c r="D40" s="734"/>
      <c r="E40" s="734"/>
      <c r="F40" s="734"/>
      <c r="G40" s="734"/>
      <c r="H40" s="734"/>
      <c r="I40" s="979"/>
      <c r="J40" s="734"/>
      <c r="K40" s="734"/>
      <c r="L40" s="734"/>
      <c r="M40" s="713"/>
    </row>
    <row r="41" spans="1:13" s="312" customFormat="1">
      <c r="A41" s="1467"/>
      <c r="B41" s="993" t="s">
        <v>1146</v>
      </c>
      <c r="C41" s="734"/>
      <c r="D41" s="734"/>
      <c r="E41" s="734"/>
      <c r="F41" s="734"/>
      <c r="G41" s="734"/>
      <c r="H41" s="734"/>
      <c r="I41" s="979"/>
      <c r="J41" s="734"/>
      <c r="K41" s="734"/>
      <c r="L41" s="734"/>
      <c r="M41" s="980"/>
    </row>
    <row r="42" spans="1:13" s="312" customFormat="1">
      <c r="A42" s="1468" t="s">
        <v>1131</v>
      </c>
      <c r="B42" s="992" t="s">
        <v>1148</v>
      </c>
      <c r="C42" s="734"/>
      <c r="D42" s="734"/>
      <c r="E42" s="734"/>
      <c r="F42" s="734"/>
      <c r="G42" s="734"/>
      <c r="H42" s="734"/>
      <c r="I42" s="979"/>
      <c r="J42" s="734"/>
      <c r="K42" s="734"/>
      <c r="L42" s="734"/>
      <c r="M42" s="713"/>
    </row>
    <row r="43" spans="1:13" s="312" customFormat="1">
      <c r="A43" s="1469"/>
      <c r="B43" s="993" t="s">
        <v>1146</v>
      </c>
      <c r="C43" s="734"/>
      <c r="D43" s="734"/>
      <c r="E43" s="734"/>
      <c r="F43" s="734"/>
      <c r="G43" s="734"/>
      <c r="H43" s="734"/>
      <c r="I43" s="979"/>
      <c r="J43" s="734"/>
      <c r="K43" s="734"/>
      <c r="L43" s="734"/>
      <c r="M43" s="713"/>
    </row>
    <row r="44" spans="1:13" s="710" customFormat="1">
      <c r="A44" s="995"/>
      <c r="B44" s="996" t="s">
        <v>1149</v>
      </c>
      <c r="C44" s="997"/>
      <c r="D44" s="997"/>
      <c r="E44" s="997"/>
      <c r="F44" s="997"/>
      <c r="G44" s="997"/>
      <c r="H44" s="997"/>
      <c r="I44" s="998"/>
      <c r="J44" s="997"/>
      <c r="K44" s="997"/>
      <c r="L44" s="997"/>
      <c r="M44" s="712"/>
    </row>
    <row r="45" spans="1:13" s="710" customFormat="1">
      <c r="A45" s="970"/>
      <c r="B45" s="999" t="s">
        <v>1150</v>
      </c>
      <c r="C45" s="737"/>
      <c r="D45" s="738"/>
      <c r="E45" s="737"/>
      <c r="F45" s="738"/>
      <c r="G45" s="737"/>
      <c r="H45" s="738"/>
      <c r="I45" s="973"/>
      <c r="J45" s="738"/>
      <c r="K45" s="737"/>
      <c r="L45" s="739"/>
      <c r="M45" s="1000"/>
    </row>
    <row r="46" spans="1:13" s="312" customFormat="1">
      <c r="A46" s="1001"/>
      <c r="B46" s="1002" t="s">
        <v>1151</v>
      </c>
      <c r="C46" s="740"/>
      <c r="D46" s="733"/>
      <c r="E46" s="740"/>
      <c r="F46" s="733"/>
      <c r="G46" s="740"/>
      <c r="H46" s="733"/>
      <c r="I46" s="1003"/>
      <c r="J46" s="733"/>
      <c r="K46" s="740"/>
      <c r="L46" s="741"/>
      <c r="M46" s="1004"/>
    </row>
    <row r="47" spans="1:13" s="312" customFormat="1">
      <c r="A47" s="1001"/>
      <c r="B47" s="993" t="s">
        <v>1152</v>
      </c>
      <c r="C47" s="734"/>
      <c r="D47" s="734"/>
      <c r="E47" s="734"/>
      <c r="F47" s="734"/>
      <c r="G47" s="734"/>
      <c r="H47" s="734"/>
      <c r="I47" s="979"/>
      <c r="J47" s="734"/>
      <c r="K47" s="734"/>
      <c r="L47" s="733"/>
      <c r="M47" s="720"/>
    </row>
    <row r="48" spans="1:13" s="312" customFormat="1">
      <c r="A48" s="1001"/>
      <c r="B48" s="992" t="s">
        <v>1153</v>
      </c>
      <c r="C48" s="716"/>
      <c r="D48" s="716"/>
      <c r="E48" s="716"/>
      <c r="F48" s="716"/>
      <c r="G48" s="716"/>
      <c r="H48" s="716"/>
      <c r="I48" s="979"/>
      <c r="J48" s="716"/>
      <c r="K48" s="716"/>
      <c r="L48" s="715"/>
      <c r="M48" s="1000"/>
    </row>
    <row r="49" spans="1:19" s="312" customFormat="1" hidden="1">
      <c r="A49" s="1005" t="s">
        <v>98</v>
      </c>
      <c r="B49" s="1006" t="s">
        <v>1154</v>
      </c>
      <c r="C49" s="721">
        <v>0</v>
      </c>
      <c r="D49" s="722"/>
      <c r="E49" s="722">
        <v>0</v>
      </c>
      <c r="F49" s="723"/>
      <c r="G49" s="722">
        <v>0</v>
      </c>
      <c r="H49" s="724"/>
      <c r="I49" s="1007">
        <v>0</v>
      </c>
      <c r="J49" s="723">
        <v>0</v>
      </c>
      <c r="K49" s="723">
        <v>0</v>
      </c>
      <c r="L49" s="725">
        <f>D49+F49+H49+J49</f>
        <v>0</v>
      </c>
      <c r="M49" s="800"/>
    </row>
    <row r="50" spans="1:19" s="312" customFormat="1" hidden="1">
      <c r="A50" s="1001"/>
      <c r="B50" s="1008" t="s">
        <v>1155</v>
      </c>
      <c r="C50" s="726">
        <v>0</v>
      </c>
      <c r="D50" s="715"/>
      <c r="E50" s="715">
        <v>0</v>
      </c>
      <c r="F50" s="715"/>
      <c r="G50" s="715">
        <v>0</v>
      </c>
      <c r="H50" s="716"/>
      <c r="I50" s="1009">
        <v>0</v>
      </c>
      <c r="J50" s="715">
        <v>0</v>
      </c>
      <c r="K50" s="715">
        <v>0</v>
      </c>
      <c r="L50" s="727">
        <f>D50+F50+H50+J50</f>
        <v>0</v>
      </c>
      <c r="M50" s="720"/>
    </row>
    <row r="51" spans="1:19" s="312" customFormat="1" hidden="1">
      <c r="A51" s="1001"/>
      <c r="B51" s="1008" t="s">
        <v>1156</v>
      </c>
      <c r="C51" s="726">
        <v>0</v>
      </c>
      <c r="D51" s="715"/>
      <c r="E51" s="715">
        <v>0</v>
      </c>
      <c r="F51" s="715"/>
      <c r="G51" s="715">
        <v>0</v>
      </c>
      <c r="H51" s="716"/>
      <c r="I51" s="1009">
        <v>0</v>
      </c>
      <c r="J51" s="715">
        <v>0</v>
      </c>
      <c r="K51" s="715">
        <v>0</v>
      </c>
      <c r="L51" s="727">
        <f>D51+F51+H51+J51</f>
        <v>0</v>
      </c>
      <c r="M51" s="720"/>
    </row>
    <row r="52" spans="1:19" s="312" customFormat="1" ht="13.5" hidden="1" thickBot="1">
      <c r="A52" s="1001"/>
      <c r="B52" s="1008" t="s">
        <v>1157</v>
      </c>
      <c r="C52" s="728">
        <v>0</v>
      </c>
      <c r="D52" s="729">
        <f>D49+D50</f>
        <v>0</v>
      </c>
      <c r="E52" s="730">
        <f>E45+E49+E50</f>
        <v>0</v>
      </c>
      <c r="F52" s="729">
        <f>F49+F50</f>
        <v>0</v>
      </c>
      <c r="G52" s="730">
        <f>G45+G49+G50</f>
        <v>0</v>
      </c>
      <c r="H52" s="731">
        <f>SUM(H49:H50)</f>
        <v>0</v>
      </c>
      <c r="I52" s="1010">
        <f>I45+I49+I50</f>
        <v>0</v>
      </c>
      <c r="J52" s="715">
        <f>J49+J50+J51</f>
        <v>0</v>
      </c>
      <c r="K52" s="730">
        <f>K45+K49+K50</f>
        <v>0</v>
      </c>
      <c r="L52" s="727">
        <f>L49+L50+L51</f>
        <v>0</v>
      </c>
      <c r="M52" s="720"/>
    </row>
    <row r="53" spans="1:19" ht="13.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 ht="13.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</row>
    <row r="55" spans="1:19">
      <c r="A55" s="1011" t="s">
        <v>1158</v>
      </c>
      <c r="M55" s="697"/>
      <c r="N55" s="705"/>
    </row>
    <row r="56" spans="1:19" ht="13.5" customHeight="1">
      <c r="A56" s="1459">
        <v>2015</v>
      </c>
      <c r="B56" s="1014" t="s">
        <v>1159</v>
      </c>
      <c r="C56" s="1459" t="s">
        <v>1160</v>
      </c>
      <c r="D56" s="1459"/>
      <c r="E56" s="1459" t="s">
        <v>1161</v>
      </c>
      <c r="F56" s="1459"/>
      <c r="G56" s="1459" t="s">
        <v>1162</v>
      </c>
      <c r="H56" s="1459"/>
      <c r="I56" s="1459" t="s">
        <v>1163</v>
      </c>
      <c r="J56" s="1459"/>
      <c r="M56" s="697"/>
      <c r="N56" s="705"/>
    </row>
    <row r="57" spans="1:19">
      <c r="A57" s="1459"/>
      <c r="B57" s="1015"/>
      <c r="C57" s="1472"/>
      <c r="D57" s="1472"/>
      <c r="E57" s="1472"/>
      <c r="F57" s="1472"/>
      <c r="G57" s="1472"/>
      <c r="H57" s="1472"/>
      <c r="I57" s="1472"/>
      <c r="J57" s="1472"/>
      <c r="M57" s="697"/>
      <c r="N57" s="705"/>
    </row>
    <row r="58" spans="1:19" s="705" customFormat="1">
      <c r="A58" s="1016"/>
      <c r="B58" s="1017"/>
      <c r="I58" s="1018"/>
    </row>
    <row r="59" spans="1:19">
      <c r="A59" s="1011"/>
      <c r="B59" s="1017"/>
      <c r="M59" s="697"/>
      <c r="N59" s="705"/>
    </row>
    <row r="60" spans="1:19" ht="12.75" customHeight="1">
      <c r="A60" s="1473" t="s">
        <v>1164</v>
      </c>
      <c r="B60" s="1486" t="s">
        <v>1165</v>
      </c>
      <c r="C60" s="1487"/>
      <c r="D60" s="1486" t="s">
        <v>1166</v>
      </c>
      <c r="E60" s="1487"/>
      <c r="F60" s="1486" t="s">
        <v>1167</v>
      </c>
      <c r="G60" s="1487"/>
      <c r="H60" s="1486" t="s">
        <v>1168</v>
      </c>
      <c r="I60" s="1487"/>
      <c r="J60" s="1488" t="s">
        <v>1143</v>
      </c>
      <c r="K60" s="1473" t="s">
        <v>1169</v>
      </c>
      <c r="L60" s="1474" t="s">
        <v>1170</v>
      </c>
      <c r="M60" s="697"/>
      <c r="N60" s="1013"/>
      <c r="S60" s="705"/>
    </row>
    <row r="61" spans="1:19">
      <c r="A61" s="1473"/>
      <c r="B61" s="1019" t="s">
        <v>1171</v>
      </c>
      <c r="C61" s="1019" t="s">
        <v>1172</v>
      </c>
      <c r="D61" s="1019" t="s">
        <v>1171</v>
      </c>
      <c r="E61" s="1019" t="s">
        <v>1172</v>
      </c>
      <c r="F61" s="1019" t="s">
        <v>1171</v>
      </c>
      <c r="G61" s="1019" t="s">
        <v>1172</v>
      </c>
      <c r="H61" s="1019" t="s">
        <v>1171</v>
      </c>
      <c r="I61" s="1019" t="s">
        <v>1172</v>
      </c>
      <c r="J61" s="1489"/>
      <c r="K61" s="1473"/>
      <c r="L61" s="1475"/>
      <c r="M61" s="697"/>
      <c r="N61" s="1013"/>
      <c r="S61" s="705"/>
    </row>
    <row r="62" spans="1:19" ht="15">
      <c r="A62" s="1020" t="s">
        <v>1137</v>
      </c>
      <c r="B62" s="1021"/>
      <c r="C62" s="1022"/>
      <c r="D62" s="1021"/>
      <c r="E62" s="1022"/>
      <c r="F62" s="1021"/>
      <c r="G62" s="1022"/>
      <c r="H62" s="1021"/>
      <c r="I62" s="1022"/>
      <c r="J62" s="1021"/>
      <c r="K62" s="1022"/>
      <c r="L62" s="1023"/>
      <c r="M62" s="697"/>
      <c r="N62" s="1013"/>
      <c r="S62" s="705"/>
    </row>
    <row r="63" spans="1:19" ht="15">
      <c r="A63" s="1024" t="s">
        <v>1138</v>
      </c>
      <c r="B63" s="1021"/>
      <c r="C63" s="1022"/>
      <c r="D63" s="1021"/>
      <c r="E63" s="1022"/>
      <c r="F63" s="1021"/>
      <c r="G63" s="1022"/>
      <c r="H63" s="1021"/>
      <c r="I63" s="1022"/>
      <c r="J63" s="1021"/>
      <c r="K63" s="1022"/>
      <c r="L63" s="1023"/>
      <c r="M63" s="697"/>
      <c r="N63" s="1013"/>
      <c r="S63" s="705"/>
    </row>
    <row r="64" spans="1:19" ht="15">
      <c r="A64" s="1024" t="s">
        <v>1139</v>
      </c>
      <c r="B64" s="1021"/>
      <c r="C64" s="1022"/>
      <c r="D64" s="1021"/>
      <c r="E64" s="1022"/>
      <c r="F64" s="1021"/>
      <c r="G64" s="1022"/>
      <c r="H64" s="1021"/>
      <c r="I64" s="1022"/>
      <c r="J64" s="1021"/>
      <c r="K64" s="1022"/>
      <c r="L64" s="1023"/>
      <c r="M64" s="697"/>
      <c r="N64" s="1013"/>
      <c r="S64" s="705"/>
    </row>
    <row r="65" spans="1:19" ht="15">
      <c r="A65" s="1024" t="s">
        <v>1131</v>
      </c>
      <c r="B65" s="1021"/>
      <c r="C65" s="1022"/>
      <c r="D65" s="1021"/>
      <c r="E65" s="1022"/>
      <c r="F65" s="1021"/>
      <c r="G65" s="1022"/>
      <c r="H65" s="1021"/>
      <c r="I65" s="1022"/>
      <c r="J65" s="1021"/>
      <c r="K65" s="1022"/>
      <c r="L65" s="1023"/>
      <c r="M65" s="697"/>
      <c r="N65" s="1013"/>
      <c r="S65" s="705"/>
    </row>
    <row r="66" spans="1:19" ht="15">
      <c r="A66" s="1025" t="s">
        <v>1143</v>
      </c>
      <c r="B66" s="1026">
        <f t="shared" ref="B66" si="0">SUM(B62:B65)</f>
        <v>0</v>
      </c>
      <c r="C66" s="1027" t="e">
        <f>B66/$J$66</f>
        <v>#DIV/0!</v>
      </c>
      <c r="D66" s="1026">
        <f t="shared" ref="D66" si="1">SUM(D62:D65)</f>
        <v>0</v>
      </c>
      <c r="E66" s="1027" t="e">
        <f>D66/$J$66</f>
        <v>#DIV/0!</v>
      </c>
      <c r="F66" s="1026">
        <f>SUM(F62:F65)</f>
        <v>0</v>
      </c>
      <c r="G66" s="1027" t="e">
        <f>F66/$J$66</f>
        <v>#DIV/0!</v>
      </c>
      <c r="H66" s="1026">
        <f>G75</f>
        <v>0</v>
      </c>
      <c r="I66" s="1027" t="e">
        <f>H66/$J$66</f>
        <v>#DIV/0!</v>
      </c>
      <c r="J66" s="1026">
        <f t="shared" ref="J66" si="2">B66+D66+F66+H66</f>
        <v>0</v>
      </c>
      <c r="K66" s="1027">
        <f>$B$57</f>
        <v>0</v>
      </c>
      <c r="L66" s="1026">
        <f t="shared" ref="L66" si="3">J66*(1+K66)</f>
        <v>0</v>
      </c>
      <c r="M66" s="697"/>
      <c r="N66" s="1013"/>
      <c r="S66" s="705"/>
    </row>
    <row r="67" spans="1:19" s="705" customFormat="1">
      <c r="A67" s="1016"/>
      <c r="B67" s="1017"/>
      <c r="I67" s="1018"/>
    </row>
    <row r="68" spans="1:19" s="705" customFormat="1">
      <c r="A68" s="1016" t="s">
        <v>1173</v>
      </c>
      <c r="B68" s="1017"/>
      <c r="I68" s="1018"/>
    </row>
    <row r="69" spans="1:19" ht="15" customHeight="1">
      <c r="A69" s="1476" t="s">
        <v>1164</v>
      </c>
      <c r="B69" s="1477" t="s">
        <v>1174</v>
      </c>
      <c r="C69" s="1479" t="s">
        <v>1175</v>
      </c>
      <c r="D69" s="1480"/>
      <c r="E69" s="1480"/>
      <c r="F69" s="1481"/>
      <c r="G69" s="1482" t="s">
        <v>1176</v>
      </c>
      <c r="H69" s="1349" t="s">
        <v>1169</v>
      </c>
      <c r="I69" s="1484" t="s">
        <v>1177</v>
      </c>
      <c r="L69" s="705"/>
      <c r="M69" s="697"/>
    </row>
    <row r="70" spans="1:19" ht="15" customHeight="1">
      <c r="A70" s="1476"/>
      <c r="B70" s="1478"/>
      <c r="C70" s="1028" t="s">
        <v>1178</v>
      </c>
      <c r="D70" s="1028" t="s">
        <v>1179</v>
      </c>
      <c r="E70" s="1028" t="s">
        <v>1180</v>
      </c>
      <c r="F70" s="1029" t="s">
        <v>1181</v>
      </c>
      <c r="G70" s="1478"/>
      <c r="H70" s="1483"/>
      <c r="I70" s="1485"/>
      <c r="L70" s="705"/>
      <c r="M70" s="697"/>
    </row>
    <row r="71" spans="1:19" ht="15">
      <c r="A71" s="1020" t="s">
        <v>1137</v>
      </c>
      <c r="B71" s="1030"/>
      <c r="C71" s="1030"/>
      <c r="D71" s="1031"/>
      <c r="E71" s="1030"/>
      <c r="F71" s="1030"/>
      <c r="G71" s="1030"/>
      <c r="H71" s="1032"/>
      <c r="I71" s="1033"/>
      <c r="L71" s="705"/>
      <c r="M71" s="697"/>
    </row>
    <row r="72" spans="1:19">
      <c r="A72" s="1024" t="s">
        <v>1138</v>
      </c>
      <c r="B72" s="1031"/>
      <c r="C72" s="1031"/>
      <c r="D72" s="1031"/>
      <c r="E72" s="1031"/>
      <c r="F72" s="1031"/>
      <c r="G72" s="1031"/>
      <c r="H72" s="1032"/>
      <c r="I72" s="1033"/>
      <c r="L72" s="705"/>
      <c r="M72" s="697"/>
    </row>
    <row r="73" spans="1:19">
      <c r="A73" s="1024" t="s">
        <v>1139</v>
      </c>
      <c r="B73" s="1031"/>
      <c r="C73" s="1031"/>
      <c r="D73" s="1031"/>
      <c r="E73" s="1031"/>
      <c r="F73" s="1031"/>
      <c r="G73" s="1031"/>
      <c r="H73" s="1032"/>
      <c r="I73" s="1033"/>
      <c r="L73" s="705"/>
      <c r="M73" s="697"/>
    </row>
    <row r="74" spans="1:19">
      <c r="A74" s="1024" t="s">
        <v>1131</v>
      </c>
      <c r="B74" s="1031"/>
      <c r="C74" s="1031"/>
      <c r="D74" s="1031"/>
      <c r="E74" s="1031"/>
      <c r="F74" s="1031"/>
      <c r="G74" s="1031"/>
      <c r="H74" s="1032"/>
      <c r="I74" s="1033"/>
      <c r="L74" s="705"/>
      <c r="M74" s="697"/>
    </row>
    <row r="75" spans="1:19" ht="15">
      <c r="A75" s="1034" t="s">
        <v>1143</v>
      </c>
      <c r="B75" s="1035">
        <f>SUM(B71:B74)</f>
        <v>0</v>
      </c>
      <c r="C75" s="1035">
        <f t="shared" ref="C75:G75" si="4">SUM(C71:C74)</f>
        <v>0</v>
      </c>
      <c r="D75" s="1035">
        <f t="shared" si="4"/>
        <v>0</v>
      </c>
      <c r="E75" s="1035">
        <f t="shared" si="4"/>
        <v>0</v>
      </c>
      <c r="F75" s="1035">
        <f t="shared" si="4"/>
        <v>0</v>
      </c>
      <c r="G75" s="1035">
        <f t="shared" si="4"/>
        <v>0</v>
      </c>
      <c r="H75" s="1036">
        <f t="shared" ref="H75" si="5">$B$57</f>
        <v>0</v>
      </c>
      <c r="I75" s="1037">
        <f t="shared" ref="I75" si="6">G75*(1+H75)</f>
        <v>0</v>
      </c>
      <c r="L75" s="705"/>
      <c r="M75" s="697"/>
    </row>
    <row r="76" spans="1:19" s="1042" customFormat="1" ht="15">
      <c r="A76" s="1038" t="s">
        <v>1182</v>
      </c>
      <c r="B76" s="1039"/>
      <c r="C76" s="1039"/>
      <c r="D76" s="1039"/>
      <c r="E76" s="1039"/>
      <c r="F76" s="1039"/>
      <c r="G76" s="1040"/>
      <c r="H76" s="1039"/>
      <c r="I76" s="1041"/>
      <c r="J76" s="1040"/>
      <c r="K76" s="1039"/>
      <c r="L76" s="1039"/>
      <c r="N76" s="1043"/>
    </row>
    <row r="77" spans="1:19" s="1044" customFormat="1" ht="15">
      <c r="A77" s="1492" t="s">
        <v>1183</v>
      </c>
      <c r="B77" s="1494" t="s">
        <v>1174</v>
      </c>
      <c r="C77" s="1496" t="s">
        <v>1175</v>
      </c>
      <c r="D77" s="1497"/>
      <c r="E77" s="1497"/>
      <c r="F77" s="1498"/>
      <c r="G77" s="1499" t="s">
        <v>1184</v>
      </c>
      <c r="H77" s="1501" t="s">
        <v>1169</v>
      </c>
      <c r="I77" s="1503" t="s">
        <v>1177</v>
      </c>
      <c r="K77" s="84"/>
      <c r="L77" s="84"/>
      <c r="M77" s="84"/>
      <c r="N77" s="84"/>
      <c r="O77" s="84"/>
      <c r="P77" s="84"/>
      <c r="Q77" s="84"/>
    </row>
    <row r="78" spans="1:19" s="84" customFormat="1">
      <c r="A78" s="1493"/>
      <c r="B78" s="1495"/>
      <c r="C78" s="1045" t="s">
        <v>1178</v>
      </c>
      <c r="D78" s="1045" t="s">
        <v>1179</v>
      </c>
      <c r="E78" s="1045" t="s">
        <v>1180</v>
      </c>
      <c r="F78" s="1029" t="s">
        <v>1181</v>
      </c>
      <c r="G78" s="1500"/>
      <c r="H78" s="1502"/>
      <c r="I78" s="1504"/>
    </row>
    <row r="79" spans="1:19" s="84" customFormat="1" ht="15">
      <c r="A79" s="777" t="s">
        <v>1185</v>
      </c>
      <c r="B79" s="1046"/>
      <c r="C79" s="1047"/>
      <c r="D79" s="1047"/>
      <c r="E79" s="1047"/>
      <c r="F79" s="1047"/>
      <c r="G79" s="1047"/>
      <c r="H79" s="1022"/>
      <c r="I79" s="979"/>
    </row>
    <row r="80" spans="1:19" s="84" customFormat="1" ht="15">
      <c r="A80" s="1048" t="s">
        <v>1186</v>
      </c>
      <c r="B80" s="1046"/>
      <c r="C80" s="1047"/>
      <c r="D80" s="1047"/>
      <c r="E80" s="1047"/>
      <c r="F80" s="1047"/>
      <c r="G80" s="1047"/>
      <c r="H80" s="1022"/>
      <c r="I80" s="979"/>
    </row>
    <row r="81" spans="1:10" s="84" customFormat="1" ht="15">
      <c r="A81" s="1048" t="s">
        <v>1187</v>
      </c>
      <c r="B81" s="1046"/>
      <c r="C81" s="1047"/>
      <c r="D81" s="1047"/>
      <c r="E81" s="1047"/>
      <c r="F81" s="1047"/>
      <c r="G81" s="1047"/>
      <c r="H81" s="1022"/>
      <c r="I81" s="979"/>
    </row>
    <row r="82" spans="1:10" s="84" customFormat="1" ht="15">
      <c r="A82" s="1048" t="s">
        <v>1188</v>
      </c>
      <c r="B82" s="1046"/>
      <c r="C82" s="1047"/>
      <c r="D82" s="1047"/>
      <c r="E82" s="1047"/>
      <c r="F82" s="1047"/>
      <c r="G82" s="1047"/>
      <c r="H82" s="1022"/>
      <c r="I82" s="979"/>
    </row>
    <row r="83" spans="1:10" s="84" customFormat="1" ht="15">
      <c r="A83" s="1048" t="s">
        <v>1189</v>
      </c>
      <c r="B83" s="1046"/>
      <c r="C83" s="1047"/>
      <c r="D83" s="1047"/>
      <c r="E83" s="1047"/>
      <c r="F83" s="1047"/>
      <c r="G83" s="1047"/>
      <c r="H83" s="1022"/>
      <c r="I83" s="979"/>
    </row>
    <row r="84" spans="1:10" s="84" customFormat="1" ht="15">
      <c r="A84" s="1048" t="s">
        <v>1190</v>
      </c>
      <c r="B84" s="1046"/>
      <c r="C84" s="1047"/>
      <c r="D84" s="1047"/>
      <c r="E84" s="1047"/>
      <c r="F84" s="1047"/>
      <c r="G84" s="1047"/>
      <c r="H84" s="1022"/>
      <c r="I84" s="979"/>
    </row>
    <row r="85" spans="1:10" s="84" customFormat="1" ht="15">
      <c r="A85" s="1048" t="s">
        <v>1191</v>
      </c>
      <c r="B85" s="1046"/>
      <c r="C85" s="1047"/>
      <c r="D85" s="1047"/>
      <c r="E85" s="1047"/>
      <c r="F85" s="1047"/>
      <c r="G85" s="1047"/>
      <c r="H85" s="1022"/>
      <c r="I85" s="979"/>
    </row>
    <row r="86" spans="1:10" s="84" customFormat="1" ht="15">
      <c r="A86" s="1048" t="s">
        <v>1192</v>
      </c>
      <c r="B86" s="1046"/>
      <c r="C86" s="1047"/>
      <c r="D86" s="1047"/>
      <c r="E86" s="1047"/>
      <c r="F86" s="1047"/>
      <c r="G86" s="1047"/>
      <c r="H86" s="1022"/>
      <c r="I86" s="979"/>
    </row>
    <row r="87" spans="1:10" s="84" customFormat="1" ht="15">
      <c r="A87" s="1048" t="s">
        <v>1193</v>
      </c>
      <c r="B87" s="1046"/>
      <c r="C87" s="1047"/>
      <c r="D87" s="1047"/>
      <c r="E87" s="1047"/>
      <c r="F87" s="1047"/>
      <c r="G87" s="1047"/>
      <c r="H87" s="1022"/>
      <c r="I87" s="979"/>
    </row>
    <row r="88" spans="1:10" s="84" customFormat="1" ht="15">
      <c r="A88" s="1048" t="s">
        <v>1194</v>
      </c>
      <c r="B88" s="1046"/>
      <c r="C88" s="1047"/>
      <c r="D88" s="1047"/>
      <c r="E88" s="1047"/>
      <c r="F88" s="1047"/>
      <c r="G88" s="1047"/>
      <c r="H88" s="1022"/>
      <c r="I88" s="979"/>
      <c r="J88" s="1049"/>
    </row>
    <row r="89" spans="1:10" s="84" customFormat="1" ht="15">
      <c r="A89" s="1048" t="s">
        <v>1195</v>
      </c>
      <c r="B89" s="1046"/>
      <c r="C89" s="1047"/>
      <c r="D89" s="1047"/>
      <c r="E89" s="1047"/>
      <c r="F89" s="1047"/>
      <c r="G89" s="1047"/>
      <c r="H89" s="1022"/>
      <c r="I89" s="979"/>
    </row>
    <row r="90" spans="1:10" s="84" customFormat="1" ht="15">
      <c r="A90" s="1050" t="s">
        <v>1196</v>
      </c>
      <c r="B90" s="1046"/>
      <c r="C90" s="1047"/>
      <c r="D90" s="1047"/>
      <c r="E90" s="1047"/>
      <c r="F90" s="1047"/>
      <c r="G90" s="1047"/>
      <c r="H90" s="1022"/>
      <c r="I90" s="979"/>
    </row>
    <row r="91" spans="1:10" s="84" customFormat="1" ht="15">
      <c r="A91" s="1050" t="s">
        <v>1197</v>
      </c>
      <c r="B91" s="1046"/>
      <c r="C91" s="1047"/>
      <c r="D91" s="1047"/>
      <c r="E91" s="1047"/>
      <c r="F91" s="1047"/>
      <c r="G91" s="1047"/>
      <c r="H91" s="1022"/>
      <c r="I91" s="979"/>
    </row>
    <row r="92" spans="1:10" s="84" customFormat="1" ht="15">
      <c r="A92" s="1050" t="s">
        <v>1198</v>
      </c>
      <c r="B92" s="1046"/>
      <c r="C92" s="1047"/>
      <c r="D92" s="1047"/>
      <c r="E92" s="1047"/>
      <c r="F92" s="1047"/>
      <c r="G92" s="1047"/>
      <c r="H92" s="1022"/>
      <c r="I92" s="979"/>
    </row>
    <row r="93" spans="1:10" s="84" customFormat="1" ht="15">
      <c r="A93" s="1050" t="s">
        <v>1199</v>
      </c>
      <c r="B93" s="1046"/>
      <c r="C93" s="1047"/>
      <c r="D93" s="1047"/>
      <c r="E93" s="1047"/>
      <c r="F93" s="1047"/>
      <c r="G93" s="1047"/>
      <c r="H93" s="1022"/>
      <c r="I93" s="979"/>
    </row>
    <row r="94" spans="1:10" s="84" customFormat="1" ht="15">
      <c r="A94" s="1048" t="s">
        <v>1200</v>
      </c>
      <c r="B94" s="1046"/>
      <c r="C94" s="1047"/>
      <c r="D94" s="1047"/>
      <c r="E94" s="1047"/>
      <c r="F94" s="1047"/>
      <c r="G94" s="1047"/>
      <c r="H94" s="1022"/>
      <c r="I94" s="979"/>
    </row>
    <row r="95" spans="1:10" s="84" customFormat="1" ht="15">
      <c r="A95" s="1048" t="s">
        <v>1201</v>
      </c>
      <c r="B95" s="1046"/>
      <c r="C95" s="1047"/>
      <c r="D95" s="1047"/>
      <c r="E95" s="1047"/>
      <c r="F95" s="1047"/>
      <c r="G95" s="1047"/>
      <c r="H95" s="1022"/>
      <c r="I95" s="979"/>
    </row>
    <row r="96" spans="1:10" s="84" customFormat="1" ht="15">
      <c r="A96" s="1048" t="s">
        <v>1202</v>
      </c>
      <c r="B96" s="1046"/>
      <c r="C96" s="1047"/>
      <c r="D96" s="1047"/>
      <c r="E96" s="1047"/>
      <c r="F96" s="1047"/>
      <c r="G96" s="1047"/>
      <c r="H96" s="1022"/>
      <c r="I96" s="979"/>
    </row>
    <row r="97" spans="1:10" s="84" customFormat="1" ht="15">
      <c r="A97" s="1050" t="s">
        <v>1203</v>
      </c>
      <c r="B97" s="1046"/>
      <c r="C97" s="1047"/>
      <c r="D97" s="1047"/>
      <c r="E97" s="1047"/>
      <c r="F97" s="1047"/>
      <c r="G97" s="1047"/>
      <c r="H97" s="1022"/>
      <c r="I97" s="979"/>
    </row>
    <row r="98" spans="1:10" s="84" customFormat="1" ht="15">
      <c r="A98" s="1048" t="s">
        <v>1204</v>
      </c>
      <c r="B98" s="1046"/>
      <c r="C98" s="1047"/>
      <c r="D98" s="1047"/>
      <c r="E98" s="1047"/>
      <c r="F98" s="1047"/>
      <c r="G98" s="1047"/>
      <c r="H98" s="1022"/>
      <c r="I98" s="979"/>
    </row>
    <row r="99" spans="1:10" s="84" customFormat="1" ht="15">
      <c r="A99" s="1050" t="s">
        <v>1205</v>
      </c>
      <c r="B99" s="1046"/>
      <c r="C99" s="1047"/>
      <c r="D99" s="1047"/>
      <c r="E99" s="1047"/>
      <c r="F99" s="1047"/>
      <c r="G99" s="1047"/>
      <c r="H99" s="1022"/>
      <c r="I99" s="979"/>
    </row>
    <row r="100" spans="1:10" s="84" customFormat="1" ht="15">
      <c r="A100" s="1048" t="s">
        <v>1206</v>
      </c>
      <c r="B100" s="1046"/>
      <c r="C100" s="1047"/>
      <c r="D100" s="1047"/>
      <c r="E100" s="1047"/>
      <c r="F100" s="1047"/>
      <c r="G100" s="1047"/>
      <c r="H100" s="1022"/>
      <c r="I100" s="979"/>
    </row>
    <row r="101" spans="1:10" s="84" customFormat="1" ht="15">
      <c r="A101" s="1048" t="s">
        <v>1207</v>
      </c>
      <c r="B101" s="1046"/>
      <c r="C101" s="1047"/>
      <c r="D101" s="1047"/>
      <c r="E101" s="1047"/>
      <c r="F101" s="1047"/>
      <c r="G101" s="1047"/>
      <c r="H101" s="1022"/>
      <c r="I101" s="979"/>
    </row>
    <row r="102" spans="1:10" s="84" customFormat="1" ht="15">
      <c r="A102" s="1050" t="s">
        <v>1208</v>
      </c>
      <c r="B102" s="1046"/>
      <c r="C102" s="1047"/>
      <c r="D102" s="1047"/>
      <c r="E102" s="1047"/>
      <c r="F102" s="1047"/>
      <c r="G102" s="1047"/>
      <c r="H102" s="1022"/>
      <c r="I102" s="979"/>
    </row>
    <row r="103" spans="1:10" s="84" customFormat="1" ht="15">
      <c r="A103" s="1050" t="s">
        <v>1209</v>
      </c>
      <c r="B103" s="1046"/>
      <c r="C103" s="1047"/>
      <c r="D103" s="1047"/>
      <c r="E103" s="1047"/>
      <c r="F103" s="1047"/>
      <c r="G103" s="1047"/>
      <c r="H103" s="1022"/>
      <c r="I103" s="979"/>
    </row>
    <row r="104" spans="1:10" s="84" customFormat="1" ht="15">
      <c r="A104" s="1050" t="s">
        <v>1210</v>
      </c>
      <c r="B104" s="1046"/>
      <c r="C104" s="1047"/>
      <c r="D104" s="1047"/>
      <c r="E104" s="1047"/>
      <c r="F104" s="1047"/>
      <c r="G104" s="1047"/>
      <c r="H104" s="1022"/>
      <c r="I104" s="979"/>
    </row>
    <row r="105" spans="1:10" s="84" customFormat="1" ht="15">
      <c r="A105" s="283" t="s">
        <v>1211</v>
      </c>
      <c r="B105" s="1046"/>
      <c r="C105" s="1047"/>
      <c r="D105" s="1047"/>
      <c r="E105" s="1047"/>
      <c r="F105" s="1047"/>
      <c r="G105" s="1047"/>
      <c r="H105" s="1022"/>
      <c r="I105" s="979"/>
    </row>
    <row r="106" spans="1:10" s="84" customFormat="1" ht="15">
      <c r="A106" s="1051" t="s">
        <v>1143</v>
      </c>
      <c r="B106" s="1052">
        <f t="shared" ref="B106" si="7">SUM(B79:B105)</f>
        <v>0</v>
      </c>
      <c r="C106" s="732">
        <f t="shared" ref="C106:G106" si="8">SUM(C79:C105)</f>
        <v>0</v>
      </c>
      <c r="D106" s="732">
        <f t="shared" si="8"/>
        <v>0</v>
      </c>
      <c r="E106" s="732">
        <f t="shared" si="8"/>
        <v>0</v>
      </c>
      <c r="F106" s="732">
        <f t="shared" si="8"/>
        <v>0</v>
      </c>
      <c r="G106" s="732">
        <f t="shared" si="8"/>
        <v>0</v>
      </c>
      <c r="H106" s="1053">
        <f t="shared" ref="H106" si="9">$B$57</f>
        <v>0</v>
      </c>
      <c r="I106" s="1054">
        <f>SUM(I79:I105)</f>
        <v>0</v>
      </c>
    </row>
    <row r="107" spans="1:10" s="84" customFormat="1">
      <c r="A107" s="244"/>
      <c r="B107" s="1055"/>
      <c r="C107" s="1056"/>
      <c r="D107" s="1056"/>
      <c r="E107" s="1056"/>
      <c r="F107" s="1056"/>
      <c r="G107" s="1056"/>
      <c r="H107" s="1056"/>
      <c r="I107" s="1057"/>
      <c r="J107" s="1058"/>
    </row>
    <row r="108" spans="1:10" s="84" customFormat="1" ht="12.75" customHeight="1">
      <c r="A108" s="1505" t="s">
        <v>1138</v>
      </c>
      <c r="B108" s="1507" t="s">
        <v>1212</v>
      </c>
      <c r="C108" s="1509" t="s">
        <v>1175</v>
      </c>
      <c r="D108" s="1510"/>
      <c r="E108" s="1510"/>
      <c r="F108" s="1511"/>
      <c r="G108" s="1512" t="s">
        <v>1213</v>
      </c>
      <c r="H108" s="1514" t="s">
        <v>1169</v>
      </c>
      <c r="I108" s="1490" t="s">
        <v>1214</v>
      </c>
    </row>
    <row r="109" spans="1:10" s="84" customFormat="1" ht="15">
      <c r="A109" s="1506"/>
      <c r="B109" s="1508"/>
      <c r="C109" s="1028" t="s">
        <v>1178</v>
      </c>
      <c r="D109" s="1028" t="s">
        <v>1179</v>
      </c>
      <c r="E109" s="1028" t="s">
        <v>1180</v>
      </c>
      <c r="F109" s="1059" t="s">
        <v>1181</v>
      </c>
      <c r="G109" s="1513"/>
      <c r="H109" s="1514"/>
      <c r="I109" s="1491"/>
    </row>
    <row r="110" spans="1:10" s="84" customFormat="1" ht="15">
      <c r="A110" s="1060" t="s">
        <v>1215</v>
      </c>
      <c r="B110" s="1047"/>
      <c r="C110" s="1047"/>
      <c r="D110" s="1047"/>
      <c r="E110" s="1047"/>
      <c r="F110" s="1047"/>
      <c r="G110" s="1047"/>
      <c r="H110" s="1022"/>
      <c r="I110" s="1061"/>
    </row>
    <row r="111" spans="1:10" s="84" customFormat="1" ht="15">
      <c r="A111" s="1060" t="s">
        <v>1216</v>
      </c>
      <c r="B111" s="1047"/>
      <c r="C111" s="1047"/>
      <c r="D111" s="1047"/>
      <c r="E111" s="1047"/>
      <c r="F111" s="1047"/>
      <c r="G111" s="1047"/>
      <c r="H111" s="1022"/>
      <c r="I111" s="1061"/>
    </row>
    <row r="112" spans="1:10" s="84" customFormat="1" ht="15">
      <c r="A112" s="1060" t="s">
        <v>1217</v>
      </c>
      <c r="B112" s="1047"/>
      <c r="C112" s="1047"/>
      <c r="D112" s="1047"/>
      <c r="E112" s="1047"/>
      <c r="F112" s="1047"/>
      <c r="G112" s="1047"/>
      <c r="H112" s="1022"/>
      <c r="I112" s="1061"/>
    </row>
    <row r="113" spans="1:9" s="84" customFormat="1" ht="15">
      <c r="A113" s="1060" t="s">
        <v>1218</v>
      </c>
      <c r="B113" s="1047"/>
      <c r="C113" s="1047"/>
      <c r="D113" s="1047"/>
      <c r="E113" s="1047"/>
      <c r="F113" s="1047"/>
      <c r="G113" s="1047"/>
      <c r="H113" s="1022"/>
      <c r="I113" s="1061"/>
    </row>
    <row r="114" spans="1:9" s="84" customFormat="1" ht="15">
      <c r="A114" s="1060" t="s">
        <v>1219</v>
      </c>
      <c r="B114" s="1047"/>
      <c r="C114" s="1047"/>
      <c r="D114" s="1047"/>
      <c r="E114" s="1047"/>
      <c r="F114" s="1047"/>
      <c r="G114" s="1047"/>
      <c r="H114" s="1022"/>
      <c r="I114" s="1061"/>
    </row>
    <row r="115" spans="1:9" s="84" customFormat="1" ht="15">
      <c r="A115" s="1062" t="s">
        <v>1220</v>
      </c>
      <c r="B115" s="1047"/>
      <c r="C115" s="1047"/>
      <c r="D115" s="1047"/>
      <c r="E115" s="1047"/>
      <c r="F115" s="1047"/>
      <c r="G115" s="1047"/>
      <c r="H115" s="1022"/>
      <c r="I115" s="1061"/>
    </row>
    <row r="116" spans="1:9" s="84" customFormat="1" ht="15">
      <c r="A116" s="1060" t="s">
        <v>1221</v>
      </c>
      <c r="B116" s="1047"/>
      <c r="C116" s="1047"/>
      <c r="D116" s="1047"/>
      <c r="E116" s="1047"/>
      <c r="F116" s="1047"/>
      <c r="G116" s="1047"/>
      <c r="H116" s="1022"/>
      <c r="I116" s="1061"/>
    </row>
    <row r="117" spans="1:9" s="84" customFormat="1" ht="15">
      <c r="A117" s="1060" t="s">
        <v>1222</v>
      </c>
      <c r="B117" s="1047"/>
      <c r="C117" s="1047"/>
      <c r="D117" s="1047"/>
      <c r="E117" s="1047"/>
      <c r="F117" s="1047"/>
      <c r="G117" s="1047"/>
      <c r="H117" s="1022"/>
      <c r="I117" s="1061"/>
    </row>
    <row r="118" spans="1:9" s="84" customFormat="1" ht="15">
      <c r="A118" s="1060" t="s">
        <v>1223</v>
      </c>
      <c r="B118" s="1047"/>
      <c r="C118" s="1047"/>
      <c r="D118" s="1047"/>
      <c r="E118" s="1047"/>
      <c r="F118" s="1047"/>
      <c r="G118" s="1047"/>
      <c r="H118" s="1022"/>
      <c r="I118" s="1061"/>
    </row>
    <row r="119" spans="1:9" s="84" customFormat="1" ht="15">
      <c r="A119" s="1060" t="s">
        <v>1224</v>
      </c>
      <c r="B119" s="1047"/>
      <c r="C119" s="1047"/>
      <c r="D119" s="1047"/>
      <c r="E119" s="1047"/>
      <c r="F119" s="1047"/>
      <c r="G119" s="1047"/>
      <c r="H119" s="1022"/>
      <c r="I119" s="1061"/>
    </row>
    <row r="120" spans="1:9" s="84" customFormat="1" ht="15">
      <c r="A120" s="1060" t="s">
        <v>1225</v>
      </c>
      <c r="B120" s="1047"/>
      <c r="C120" s="1047"/>
      <c r="D120" s="1047"/>
      <c r="E120" s="1047"/>
      <c r="F120" s="1047"/>
      <c r="G120" s="1047"/>
      <c r="H120" s="1022"/>
      <c r="I120" s="1061"/>
    </row>
    <row r="121" spans="1:9" s="84" customFormat="1" ht="15">
      <c r="A121" s="1060" t="s">
        <v>1226</v>
      </c>
      <c r="B121" s="1047"/>
      <c r="C121" s="1047"/>
      <c r="D121" s="1047"/>
      <c r="E121" s="1047"/>
      <c r="F121" s="1047"/>
      <c r="G121" s="1047"/>
      <c r="H121" s="1022"/>
      <c r="I121" s="1061"/>
    </row>
    <row r="122" spans="1:9" s="84" customFormat="1" ht="15">
      <c r="A122" s="1060" t="s">
        <v>1227</v>
      </c>
      <c r="B122" s="1047"/>
      <c r="C122" s="1047"/>
      <c r="D122" s="1047"/>
      <c r="E122" s="1047"/>
      <c r="F122" s="1047"/>
      <c r="G122" s="1047"/>
      <c r="H122" s="1022"/>
      <c r="I122" s="1061"/>
    </row>
    <row r="123" spans="1:9" s="84" customFormat="1" ht="15">
      <c r="A123" s="1060" t="s">
        <v>1228</v>
      </c>
      <c r="B123" s="1047"/>
      <c r="C123" s="1047"/>
      <c r="D123" s="1047"/>
      <c r="E123" s="1047"/>
      <c r="F123" s="1047"/>
      <c r="G123" s="1047"/>
      <c r="H123" s="1022"/>
      <c r="I123" s="1061"/>
    </row>
    <row r="124" spans="1:9" s="84" customFormat="1" ht="15">
      <c r="A124" s="1060" t="s">
        <v>1229</v>
      </c>
      <c r="B124" s="1047"/>
      <c r="C124" s="1047"/>
      <c r="D124" s="1047"/>
      <c r="E124" s="1047"/>
      <c r="F124" s="1047"/>
      <c r="G124" s="1047"/>
      <c r="H124" s="1022"/>
      <c r="I124" s="1061"/>
    </row>
    <row r="125" spans="1:9" s="84" customFormat="1" ht="15">
      <c r="A125" s="1060" t="s">
        <v>1230</v>
      </c>
      <c r="B125" s="1047"/>
      <c r="C125" s="1047"/>
      <c r="D125" s="1047"/>
      <c r="E125" s="1047"/>
      <c r="F125" s="1047"/>
      <c r="G125" s="1047"/>
      <c r="H125" s="1022"/>
      <c r="I125" s="1061"/>
    </row>
    <row r="126" spans="1:9" s="84" customFormat="1" ht="15">
      <c r="A126" s="1060" t="s">
        <v>1231</v>
      </c>
      <c r="B126" s="1047"/>
      <c r="C126" s="1047"/>
      <c r="D126" s="1047"/>
      <c r="E126" s="1047"/>
      <c r="F126" s="1047"/>
      <c r="G126" s="1047"/>
      <c r="H126" s="1022"/>
      <c r="I126" s="1061"/>
    </row>
    <row r="127" spans="1:9" s="84" customFormat="1" ht="15">
      <c r="A127" s="1060" t="s">
        <v>1232</v>
      </c>
      <c r="B127" s="1047"/>
      <c r="C127" s="1047"/>
      <c r="D127" s="1047"/>
      <c r="E127" s="1047"/>
      <c r="F127" s="1047"/>
      <c r="G127" s="1047"/>
      <c r="H127" s="1022"/>
      <c r="I127" s="1061"/>
    </row>
    <row r="128" spans="1:9" s="84" customFormat="1" ht="15">
      <c r="A128" s="1062" t="s">
        <v>1233</v>
      </c>
      <c r="B128" s="1047"/>
      <c r="C128" s="1047"/>
      <c r="D128" s="1047"/>
      <c r="E128" s="1047"/>
      <c r="F128" s="1047"/>
      <c r="G128" s="1047"/>
      <c r="H128" s="1022"/>
      <c r="I128" s="1061"/>
    </row>
    <row r="129" spans="1:9" s="84" customFormat="1" ht="15">
      <c r="A129" s="1063" t="s">
        <v>1143</v>
      </c>
      <c r="B129" s="1052">
        <f t="shared" ref="B129:G129" si="10">SUM(B110:B128)</f>
        <v>0</v>
      </c>
      <c r="C129" s="732">
        <f t="shared" si="10"/>
        <v>0</v>
      </c>
      <c r="D129" s="732">
        <f t="shared" si="10"/>
        <v>0</v>
      </c>
      <c r="E129" s="732">
        <f t="shared" si="10"/>
        <v>0</v>
      </c>
      <c r="F129" s="732">
        <f t="shared" si="10"/>
        <v>0</v>
      </c>
      <c r="G129" s="732">
        <f t="shared" si="10"/>
        <v>0</v>
      </c>
      <c r="H129" s="1053">
        <f t="shared" ref="H129" si="11">$B$57</f>
        <v>0</v>
      </c>
      <c r="I129" s="1054">
        <f>SUM(I110:I128)</f>
        <v>0</v>
      </c>
    </row>
    <row r="130" spans="1:9" s="84" customFormat="1">
      <c r="A130" s="244"/>
      <c r="B130" s="1064"/>
      <c r="C130" s="1065"/>
      <c r="D130" s="1056"/>
      <c r="E130" s="1056"/>
      <c r="F130" s="1056"/>
      <c r="G130" s="1056"/>
      <c r="H130" s="1056"/>
      <c r="I130" s="1066"/>
    </row>
    <row r="131" spans="1:9" s="84" customFormat="1" ht="12.75" customHeight="1">
      <c r="A131" s="1515" t="s">
        <v>1139</v>
      </c>
      <c r="B131" s="1517" t="s">
        <v>1174</v>
      </c>
      <c r="C131" s="1519" t="s">
        <v>1175</v>
      </c>
      <c r="D131" s="1520"/>
      <c r="E131" s="1520"/>
      <c r="F131" s="1521"/>
      <c r="G131" s="1522" t="s">
        <v>1213</v>
      </c>
      <c r="H131" s="1524" t="s">
        <v>1169</v>
      </c>
      <c r="I131" s="1525" t="s">
        <v>1214</v>
      </c>
    </row>
    <row r="132" spans="1:9" s="84" customFormat="1" ht="15">
      <c r="A132" s="1516"/>
      <c r="B132" s="1518"/>
      <c r="C132" s="1028" t="s">
        <v>1178</v>
      </c>
      <c r="D132" s="1028" t="s">
        <v>1179</v>
      </c>
      <c r="E132" s="1028" t="s">
        <v>1180</v>
      </c>
      <c r="F132" s="1059" t="s">
        <v>1181</v>
      </c>
      <c r="G132" s="1523"/>
      <c r="H132" s="1524"/>
      <c r="I132" s="1526"/>
    </row>
    <row r="133" spans="1:9" s="84" customFormat="1" ht="15">
      <c r="A133" s="1062" t="s">
        <v>1234</v>
      </c>
      <c r="B133" s="1047"/>
      <c r="C133" s="1047"/>
      <c r="D133" s="1047"/>
      <c r="E133" s="1047"/>
      <c r="F133" s="1047"/>
      <c r="G133" s="1047"/>
      <c r="H133" s="1022"/>
      <c r="I133" s="1061"/>
    </row>
    <row r="134" spans="1:9" s="84" customFormat="1" ht="15">
      <c r="A134" s="1060" t="s">
        <v>1235</v>
      </c>
      <c r="B134" s="1047"/>
      <c r="C134" s="1047"/>
      <c r="D134" s="1047"/>
      <c r="E134" s="1047"/>
      <c r="F134" s="1047"/>
      <c r="G134" s="1047"/>
      <c r="H134" s="1022"/>
      <c r="I134" s="1061"/>
    </row>
    <row r="135" spans="1:9" s="84" customFormat="1" ht="15">
      <c r="A135" s="1060" t="s">
        <v>1236</v>
      </c>
      <c r="B135" s="1047"/>
      <c r="C135" s="1047"/>
      <c r="D135" s="1047"/>
      <c r="E135" s="1047"/>
      <c r="F135" s="1047"/>
      <c r="G135" s="1047"/>
      <c r="H135" s="1022"/>
      <c r="I135" s="1061"/>
    </row>
    <row r="136" spans="1:9" s="84" customFormat="1" ht="15">
      <c r="A136" s="1060" t="s">
        <v>1237</v>
      </c>
      <c r="B136" s="1047"/>
      <c r="C136" s="1047"/>
      <c r="D136" s="1047"/>
      <c r="E136" s="1047"/>
      <c r="F136" s="1047"/>
      <c r="G136" s="1047"/>
      <c r="H136" s="1022"/>
      <c r="I136" s="1061"/>
    </row>
    <row r="137" spans="1:9" s="84" customFormat="1" ht="15">
      <c r="A137" s="1060" t="s">
        <v>1238</v>
      </c>
      <c r="B137" s="1047"/>
      <c r="C137" s="1047"/>
      <c r="D137" s="1047"/>
      <c r="E137" s="1047"/>
      <c r="F137" s="1047"/>
      <c r="G137" s="1047"/>
      <c r="H137" s="1022"/>
      <c r="I137" s="1061"/>
    </row>
    <row r="138" spans="1:9" s="84" customFormat="1" ht="15">
      <c r="A138" s="1063" t="s">
        <v>1143</v>
      </c>
      <c r="B138" s="1052">
        <f t="shared" ref="B138:G138" si="12">SUM(B133:B137)</f>
        <v>0</v>
      </c>
      <c r="C138" s="732">
        <f t="shared" si="12"/>
        <v>0</v>
      </c>
      <c r="D138" s="732">
        <f t="shared" si="12"/>
        <v>0</v>
      </c>
      <c r="E138" s="732">
        <f t="shared" si="12"/>
        <v>0</v>
      </c>
      <c r="F138" s="732">
        <f t="shared" si="12"/>
        <v>0</v>
      </c>
      <c r="G138" s="732">
        <f t="shared" si="12"/>
        <v>0</v>
      </c>
      <c r="H138" s="1053">
        <f t="shared" ref="H138" si="13">$B$57</f>
        <v>0</v>
      </c>
      <c r="I138" s="1054">
        <f>SUM(I133:I137)</f>
        <v>0</v>
      </c>
    </row>
    <row r="139" spans="1:9" s="84" customFormat="1">
      <c r="A139" s="793"/>
      <c r="B139" s="1055"/>
      <c r="C139" s="1056"/>
      <c r="D139" s="1056"/>
      <c r="E139" s="1056"/>
      <c r="F139" s="1056"/>
      <c r="G139" s="1056"/>
      <c r="H139" s="1067"/>
      <c r="I139" s="1066"/>
    </row>
    <row r="140" spans="1:9" s="84" customFormat="1" ht="12.75" customHeight="1">
      <c r="A140" s="1505" t="s">
        <v>1131</v>
      </c>
      <c r="B140" s="1507" t="s">
        <v>1174</v>
      </c>
      <c r="C140" s="1509" t="s">
        <v>1175</v>
      </c>
      <c r="D140" s="1510"/>
      <c r="E140" s="1510"/>
      <c r="F140" s="1511"/>
      <c r="G140" s="1512" t="s">
        <v>1213</v>
      </c>
      <c r="H140" s="1514" t="s">
        <v>1239</v>
      </c>
      <c r="I140" s="1490" t="s">
        <v>1214</v>
      </c>
    </row>
    <row r="141" spans="1:9" s="84" customFormat="1" ht="15">
      <c r="A141" s="1506"/>
      <c r="B141" s="1508"/>
      <c r="C141" s="1028" t="s">
        <v>1178</v>
      </c>
      <c r="D141" s="1028" t="s">
        <v>1179</v>
      </c>
      <c r="E141" s="1028" t="s">
        <v>1180</v>
      </c>
      <c r="F141" s="1059" t="s">
        <v>1181</v>
      </c>
      <c r="G141" s="1513"/>
      <c r="H141" s="1514"/>
      <c r="I141" s="1491"/>
    </row>
    <row r="142" spans="1:9" s="84" customFormat="1" ht="15">
      <c r="A142" s="1062" t="s">
        <v>1240</v>
      </c>
      <c r="B142" s="1047"/>
      <c r="C142" s="1047"/>
      <c r="D142" s="1047"/>
      <c r="E142" s="1047"/>
      <c r="F142" s="1047"/>
      <c r="G142" s="1047"/>
      <c r="H142" s="1022"/>
      <c r="I142" s="1061"/>
    </row>
    <row r="143" spans="1:9" s="84" customFormat="1" ht="15">
      <c r="A143" s="1060" t="s">
        <v>1241</v>
      </c>
      <c r="B143" s="1047"/>
      <c r="C143" s="1047"/>
      <c r="D143" s="1047"/>
      <c r="E143" s="1047"/>
      <c r="F143" s="1047"/>
      <c r="G143" s="1047"/>
      <c r="H143" s="1022"/>
      <c r="I143" s="1061"/>
    </row>
    <row r="144" spans="1:9" s="84" customFormat="1" ht="15">
      <c r="A144" s="1060" t="s">
        <v>1242</v>
      </c>
      <c r="B144" s="1047"/>
      <c r="C144" s="1047"/>
      <c r="D144" s="1047"/>
      <c r="E144" s="1047"/>
      <c r="F144" s="1047"/>
      <c r="G144" s="1047"/>
      <c r="H144" s="1022"/>
      <c r="I144" s="1061"/>
    </row>
    <row r="145" spans="1:17" s="84" customFormat="1" ht="15">
      <c r="A145" s="1060" t="s">
        <v>1243</v>
      </c>
      <c r="B145" s="1047"/>
      <c r="C145" s="1047"/>
      <c r="D145" s="1047"/>
      <c r="E145" s="1047"/>
      <c r="F145" s="1047"/>
      <c r="G145" s="1047"/>
      <c r="H145" s="1022"/>
      <c r="I145" s="1061"/>
    </row>
    <row r="146" spans="1:17" s="84" customFormat="1" ht="15">
      <c r="A146" s="1060" t="s">
        <v>1244</v>
      </c>
      <c r="B146" s="1047"/>
      <c r="C146" s="1047"/>
      <c r="D146" s="1047"/>
      <c r="E146" s="1047"/>
      <c r="F146" s="1047"/>
      <c r="G146" s="1047"/>
      <c r="H146" s="1022"/>
      <c r="I146" s="1061"/>
    </row>
    <row r="147" spans="1:17" s="84" customFormat="1" ht="15">
      <c r="A147" s="1060" t="s">
        <v>1245</v>
      </c>
      <c r="B147" s="1047"/>
      <c r="C147" s="1047"/>
      <c r="D147" s="1047"/>
      <c r="E147" s="1047"/>
      <c r="F147" s="1047"/>
      <c r="G147" s="1047"/>
      <c r="H147" s="1022"/>
      <c r="I147" s="1061"/>
    </row>
    <row r="148" spans="1:17" s="84" customFormat="1" ht="15">
      <c r="A148" s="1060" t="s">
        <v>1246</v>
      </c>
      <c r="B148" s="1047"/>
      <c r="C148" s="1047"/>
      <c r="D148" s="1047"/>
      <c r="E148" s="1047"/>
      <c r="F148" s="1047"/>
      <c r="G148" s="1047"/>
      <c r="H148" s="1022"/>
      <c r="I148" s="1061"/>
    </row>
    <row r="149" spans="1:17" s="84" customFormat="1" ht="15">
      <c r="A149" s="1062" t="s">
        <v>1247</v>
      </c>
      <c r="B149" s="1047"/>
      <c r="C149" s="1047"/>
      <c r="D149" s="1047"/>
      <c r="E149" s="1047"/>
      <c r="F149" s="1047"/>
      <c r="G149" s="1047"/>
      <c r="H149" s="1022"/>
      <c r="I149" s="1061"/>
    </row>
    <row r="150" spans="1:17" s="84" customFormat="1" ht="15">
      <c r="A150" s="1068" t="s">
        <v>1248</v>
      </c>
      <c r="B150" s="1047"/>
      <c r="C150" s="1047"/>
      <c r="D150" s="1047"/>
      <c r="E150" s="1047"/>
      <c r="F150" s="1047"/>
      <c r="G150" s="1047"/>
      <c r="H150" s="1022"/>
      <c r="I150" s="1061"/>
    </row>
    <row r="151" spans="1:17" s="84" customFormat="1" ht="15">
      <c r="A151" s="1060" t="s">
        <v>1249</v>
      </c>
      <c r="B151" s="1047"/>
      <c r="C151" s="1047"/>
      <c r="D151" s="1047"/>
      <c r="E151" s="1047"/>
      <c r="F151" s="1047"/>
      <c r="G151" s="1047"/>
      <c r="H151" s="1022"/>
      <c r="I151" s="1061"/>
      <c r="K151" s="697"/>
      <c r="L151" s="697"/>
      <c r="M151" s="697"/>
      <c r="N151" s="697"/>
      <c r="O151" s="705"/>
      <c r="P151" s="697"/>
      <c r="Q151" s="697"/>
    </row>
    <row r="152" spans="1:17" s="84" customFormat="1" ht="15">
      <c r="A152" s="1060" t="s">
        <v>1250</v>
      </c>
      <c r="B152" s="1047"/>
      <c r="C152" s="1047"/>
      <c r="D152" s="1047"/>
      <c r="E152" s="1047"/>
      <c r="F152" s="1047"/>
      <c r="G152" s="1047"/>
      <c r="H152" s="1022"/>
      <c r="I152" s="1061"/>
      <c r="K152" s="697"/>
      <c r="L152" s="697"/>
      <c r="M152" s="697"/>
      <c r="N152" s="697"/>
      <c r="O152" s="705"/>
      <c r="P152" s="697"/>
      <c r="Q152" s="697"/>
    </row>
    <row r="153" spans="1:17" s="84" customFormat="1" ht="15">
      <c r="A153" s="1063" t="s">
        <v>1143</v>
      </c>
      <c r="B153" s="1052">
        <f t="shared" ref="B153:G153" si="14">SUM(B142:B152)</f>
        <v>0</v>
      </c>
      <c r="C153" s="732">
        <f t="shared" si="14"/>
        <v>0</v>
      </c>
      <c r="D153" s="732">
        <f t="shared" si="14"/>
        <v>0</v>
      </c>
      <c r="E153" s="732">
        <f t="shared" si="14"/>
        <v>0</v>
      </c>
      <c r="F153" s="732">
        <f t="shared" si="14"/>
        <v>0</v>
      </c>
      <c r="G153" s="732">
        <f t="shared" si="14"/>
        <v>0</v>
      </c>
      <c r="H153" s="1053">
        <f t="shared" ref="H153" si="15">$B$57</f>
        <v>0</v>
      </c>
      <c r="I153" s="1054">
        <f>SUM(I142:I152)</f>
        <v>0</v>
      </c>
      <c r="K153" s="697"/>
      <c r="L153" s="697"/>
      <c r="M153" s="697"/>
      <c r="N153" s="697"/>
      <c r="O153" s="705"/>
      <c r="P153" s="697"/>
      <c r="Q153" s="697"/>
    </row>
    <row r="154" spans="1:17" s="84" customFormat="1">
      <c r="A154" s="793"/>
      <c r="B154" s="1055"/>
      <c r="C154" s="1056"/>
      <c r="D154" s="1056"/>
      <c r="E154" s="1056"/>
      <c r="F154" s="1056"/>
      <c r="G154" s="1067"/>
      <c r="H154" s="1056"/>
      <c r="I154" s="1069"/>
      <c r="J154" s="697"/>
      <c r="K154" s="697"/>
      <c r="L154" s="697"/>
      <c r="M154" s="697"/>
      <c r="N154" s="705"/>
      <c r="O154" s="697"/>
      <c r="P154" s="697"/>
    </row>
    <row r="155" spans="1:17">
      <c r="M155" s="697"/>
      <c r="N155" s="705"/>
    </row>
    <row r="156" spans="1:17">
      <c r="M156" s="697"/>
      <c r="N156" s="705"/>
    </row>
    <row r="157" spans="1:17">
      <c r="M157" s="697"/>
      <c r="N157" s="705"/>
    </row>
    <row r="158" spans="1:17">
      <c r="A158" s="1016" t="s">
        <v>1251</v>
      </c>
      <c r="B158" s="1071"/>
      <c r="C158" s="705"/>
      <c r="D158" s="705"/>
      <c r="E158" s="705"/>
      <c r="F158" s="705"/>
      <c r="G158" s="705"/>
      <c r="H158" s="705"/>
      <c r="M158" s="697"/>
      <c r="N158" s="705"/>
    </row>
    <row r="159" spans="1:17" ht="13.9" customHeight="1">
      <c r="A159" s="1071" t="s">
        <v>1252</v>
      </c>
      <c r="B159" s="1071"/>
      <c r="C159" s="705"/>
      <c r="D159" s="705"/>
      <c r="E159" s="705"/>
      <c r="F159" s="705"/>
      <c r="G159" s="705"/>
      <c r="H159" s="705"/>
      <c r="M159" s="697"/>
      <c r="N159" s="705"/>
    </row>
    <row r="160" spans="1:17" ht="13.15" customHeight="1">
      <c r="A160" s="1071" t="s">
        <v>1253</v>
      </c>
      <c r="B160" s="1071">
        <v>6500</v>
      </c>
      <c r="C160" s="705"/>
      <c r="D160" s="705"/>
      <c r="E160" s="705"/>
      <c r="F160" s="705"/>
      <c r="G160" s="705"/>
      <c r="H160" s="705"/>
      <c r="M160" s="697"/>
      <c r="N160" s="705"/>
    </row>
    <row r="161" spans="1:14" ht="15" customHeight="1">
      <c r="A161" s="1072" t="s">
        <v>1254</v>
      </c>
      <c r="B161" s="1071">
        <v>11800</v>
      </c>
      <c r="C161" s="705"/>
      <c r="D161" s="705"/>
      <c r="E161" s="705"/>
      <c r="F161" s="705"/>
      <c r="G161" s="705"/>
      <c r="H161" s="705"/>
      <c r="M161" s="697"/>
      <c r="N161" s="705"/>
    </row>
    <row r="162" spans="1:14" ht="15" customHeight="1">
      <c r="A162" s="1071" t="s">
        <v>1255</v>
      </c>
      <c r="B162" s="1071">
        <v>8000</v>
      </c>
      <c r="C162" s="705"/>
      <c r="D162" s="705"/>
      <c r="E162" s="705"/>
      <c r="F162" s="705"/>
      <c r="G162" s="705"/>
      <c r="H162" s="705"/>
      <c r="M162" s="697"/>
      <c r="N162" s="705"/>
    </row>
    <row r="163" spans="1:14" ht="14.45" customHeight="1">
      <c r="A163" s="1071" t="s">
        <v>1256</v>
      </c>
      <c r="B163" s="1071">
        <v>1800</v>
      </c>
      <c r="C163" s="705"/>
      <c r="D163" s="705"/>
      <c r="E163" s="705"/>
      <c r="F163" s="705"/>
      <c r="G163" s="705"/>
      <c r="H163" s="705"/>
      <c r="M163" s="697"/>
      <c r="N163" s="705"/>
    </row>
    <row r="164" spans="1:14" ht="12" customHeight="1">
      <c r="A164" s="1071"/>
      <c r="B164" s="1071"/>
      <c r="C164" s="705"/>
      <c r="D164" s="705"/>
      <c r="E164" s="705"/>
      <c r="F164" s="705"/>
      <c r="G164" s="705"/>
      <c r="H164" s="705"/>
      <c r="M164" s="697"/>
      <c r="N164" s="705"/>
    </row>
    <row r="165" spans="1:14" ht="12" customHeight="1">
      <c r="A165" s="1071" t="s">
        <v>1257</v>
      </c>
      <c r="B165" s="1071"/>
      <c r="C165" s="705"/>
      <c r="D165" s="705"/>
      <c r="E165" s="705"/>
      <c r="F165" s="705"/>
      <c r="G165" s="705"/>
      <c r="H165" s="705"/>
      <c r="M165" s="697"/>
      <c r="N165" s="705"/>
    </row>
    <row r="166" spans="1:14" ht="12" customHeight="1">
      <c r="A166" s="1071" t="s">
        <v>1258</v>
      </c>
      <c r="B166" s="1071" t="s">
        <v>1259</v>
      </c>
      <c r="C166" s="705"/>
      <c r="D166" s="705"/>
      <c r="E166" s="705"/>
      <c r="F166" s="705"/>
      <c r="G166" s="705"/>
      <c r="H166" s="705"/>
    </row>
    <row r="167" spans="1:14" ht="12" customHeight="1">
      <c r="A167" s="1071" t="s">
        <v>1260</v>
      </c>
      <c r="B167" s="1071">
        <v>25000</v>
      </c>
      <c r="C167" s="705"/>
      <c r="D167" s="705"/>
      <c r="E167" s="705"/>
      <c r="F167" s="705"/>
      <c r="G167" s="705"/>
      <c r="H167" s="705"/>
    </row>
    <row r="168" spans="1:14" ht="12" customHeight="1">
      <c r="A168" s="1071" t="s">
        <v>1261</v>
      </c>
      <c r="B168" s="1071">
        <v>45000</v>
      </c>
      <c r="C168" s="705"/>
      <c r="D168" s="705"/>
      <c r="E168" s="705"/>
      <c r="F168" s="705"/>
      <c r="G168" s="705"/>
      <c r="H168" s="705"/>
    </row>
    <row r="169" spans="1:14">
      <c r="A169" s="1071" t="s">
        <v>1262</v>
      </c>
      <c r="B169" s="1071" t="s">
        <v>1263</v>
      </c>
      <c r="C169" s="705"/>
      <c r="D169" s="705"/>
      <c r="E169" s="705"/>
      <c r="F169" s="705"/>
      <c r="G169" s="705"/>
      <c r="H169" s="705"/>
    </row>
    <row r="170" spans="1:14">
      <c r="A170" s="1073"/>
      <c r="B170" s="1073"/>
      <c r="C170" s="1074"/>
      <c r="D170" s="1074"/>
      <c r="E170" s="1074"/>
      <c r="F170" s="1074"/>
      <c r="G170" s="1074"/>
      <c r="H170" s="1074"/>
    </row>
  </sheetData>
  <mergeCells count="68">
    <mergeCell ref="I140:I141"/>
    <mergeCell ref="A131:A132"/>
    <mergeCell ref="B131:B132"/>
    <mergeCell ref="C131:F131"/>
    <mergeCell ref="G131:G132"/>
    <mergeCell ref="H131:H132"/>
    <mergeCell ref="I131:I132"/>
    <mergeCell ref="A140:A141"/>
    <mergeCell ref="B140:B141"/>
    <mergeCell ref="C140:F140"/>
    <mergeCell ref="G140:G141"/>
    <mergeCell ref="H140:H141"/>
    <mergeCell ref="I108:I109"/>
    <mergeCell ref="A77:A78"/>
    <mergeCell ref="B77:B78"/>
    <mergeCell ref="C77:F77"/>
    <mergeCell ref="G77:G78"/>
    <mergeCell ref="H77:H78"/>
    <mergeCell ref="I77:I78"/>
    <mergeCell ref="A108:A109"/>
    <mergeCell ref="B108:B109"/>
    <mergeCell ref="C108:F108"/>
    <mergeCell ref="G108:G109"/>
    <mergeCell ref="H108:H109"/>
    <mergeCell ref="K60:K61"/>
    <mergeCell ref="L60:L61"/>
    <mergeCell ref="A69:A70"/>
    <mergeCell ref="B69:B70"/>
    <mergeCell ref="C69:F69"/>
    <mergeCell ref="G69:G70"/>
    <mergeCell ref="H69:H70"/>
    <mergeCell ref="I69:I70"/>
    <mergeCell ref="A60:A61"/>
    <mergeCell ref="B60:C60"/>
    <mergeCell ref="D60:E60"/>
    <mergeCell ref="F60:G60"/>
    <mergeCell ref="H60:I60"/>
    <mergeCell ref="J60:J61"/>
    <mergeCell ref="G56:H56"/>
    <mergeCell ref="I56:J56"/>
    <mergeCell ref="C57:D57"/>
    <mergeCell ref="E57:F57"/>
    <mergeCell ref="G57:H57"/>
    <mergeCell ref="I57:J57"/>
    <mergeCell ref="E56:F56"/>
    <mergeCell ref="A38:A39"/>
    <mergeCell ref="A40:A41"/>
    <mergeCell ref="A42:A43"/>
    <mergeCell ref="A56:A57"/>
    <mergeCell ref="C56:D56"/>
    <mergeCell ref="A36:A37"/>
    <mergeCell ref="A6:A7"/>
    <mergeCell ref="A8:A9"/>
    <mergeCell ref="A10:A11"/>
    <mergeCell ref="A12:A13"/>
    <mergeCell ref="A14:A15"/>
    <mergeCell ref="A17:A18"/>
    <mergeCell ref="A19:A20"/>
    <mergeCell ref="A21:A22"/>
    <mergeCell ref="A23:A24"/>
    <mergeCell ref="A25:A26"/>
    <mergeCell ref="A34:A35"/>
    <mergeCell ref="M5:M16"/>
    <mergeCell ref="C3:D3"/>
    <mergeCell ref="E3:F3"/>
    <mergeCell ref="G3:H3"/>
    <mergeCell ref="I3:J3"/>
    <mergeCell ref="K3:L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3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showGridLines="0" topLeftCell="B64" zoomScaleNormal="100" workbookViewId="0">
      <selection activeCell="H40" sqref="H40:H89"/>
    </sheetView>
  </sheetViews>
  <sheetFormatPr defaultColWidth="8.125" defaultRowHeight="12.75"/>
  <cols>
    <col min="1" max="1" width="8.125" style="681"/>
    <col min="2" max="2" width="12.625" style="681" customWidth="1"/>
    <col min="3" max="3" width="11.875" style="682" customWidth="1"/>
    <col min="4" max="4" width="13.625" style="76" customWidth="1"/>
    <col min="5" max="5" width="11.5" style="76" customWidth="1"/>
    <col min="6" max="6" width="12.25" style="681" customWidth="1"/>
    <col min="7" max="7" width="12.125" style="681" customWidth="1"/>
    <col min="8" max="8" width="18.625" style="681" customWidth="1"/>
    <col min="9" max="9" width="15.5" style="681" customWidth="1"/>
    <col min="10" max="10" width="13.75" style="681" customWidth="1"/>
    <col min="11" max="12" width="15.5" style="681" customWidth="1"/>
    <col min="13" max="16384" width="8.125" style="681"/>
  </cols>
  <sheetData>
    <row r="1" spans="1:11" ht="12.75" customHeight="1">
      <c r="A1" s="242" t="s">
        <v>1020</v>
      </c>
      <c r="B1" s="242"/>
      <c r="C1" s="920"/>
      <c r="D1" s="681"/>
    </row>
    <row r="2" spans="1:11" ht="12.75" customHeight="1">
      <c r="A2" s="921" t="s">
        <v>1021</v>
      </c>
      <c r="B2" s="920">
        <v>0.25</v>
      </c>
      <c r="C2" s="698"/>
      <c r="D2" s="681"/>
    </row>
    <row r="3" spans="1:11">
      <c r="J3" s="683"/>
    </row>
    <row r="4" spans="1:11" s="703" customFormat="1" ht="12.75" customHeight="1">
      <c r="A4" s="1527" t="s">
        <v>1022</v>
      </c>
      <c r="B4" s="1528" t="s">
        <v>1023</v>
      </c>
      <c r="C4" s="1529" t="s">
        <v>1024</v>
      </c>
      <c r="D4" s="1529"/>
      <c r="E4" s="1529"/>
      <c r="F4" s="1528" t="s">
        <v>1025</v>
      </c>
      <c r="G4" s="1528" t="s">
        <v>1026</v>
      </c>
      <c r="H4" s="1533" t="s">
        <v>1027</v>
      </c>
      <c r="I4" s="1533"/>
      <c r="J4" s="1528" t="s">
        <v>1028</v>
      </c>
      <c r="K4" s="1533" t="s">
        <v>1029</v>
      </c>
    </row>
    <row r="5" spans="1:11" s="703" customFormat="1" ht="12.75" customHeight="1">
      <c r="A5" s="1527"/>
      <c r="B5" s="1528"/>
      <c r="C5" s="1534" t="s">
        <v>1030</v>
      </c>
      <c r="D5" s="1534" t="s">
        <v>1031</v>
      </c>
      <c r="E5" s="1534" t="s">
        <v>1032</v>
      </c>
      <c r="F5" s="1528"/>
      <c r="G5" s="1528"/>
      <c r="H5" s="1533"/>
      <c r="I5" s="1533"/>
      <c r="J5" s="1528"/>
      <c r="K5" s="1533"/>
    </row>
    <row r="6" spans="1:11" s="703" customFormat="1" ht="12.75" customHeight="1">
      <c r="A6" s="1527"/>
      <c r="B6" s="1528"/>
      <c r="C6" s="1529"/>
      <c r="D6" s="1529"/>
      <c r="E6" s="1529"/>
      <c r="F6" s="1528"/>
      <c r="G6" s="1528"/>
      <c r="H6" s="922" t="s">
        <v>1033</v>
      </c>
      <c r="I6" s="922" t="s">
        <v>1034</v>
      </c>
      <c r="J6" s="1528"/>
      <c r="K6" s="1533"/>
    </row>
    <row r="7" spans="1:11" s="703" customFormat="1">
      <c r="A7" s="1527"/>
      <c r="B7" s="923" t="s">
        <v>1035</v>
      </c>
      <c r="C7" s="924" t="s">
        <v>1036</v>
      </c>
      <c r="D7" s="924" t="s">
        <v>1037</v>
      </c>
      <c r="E7" s="925" t="s">
        <v>1038</v>
      </c>
      <c r="F7" s="926" t="s">
        <v>1039</v>
      </c>
      <c r="G7" s="927" t="s">
        <v>1040</v>
      </c>
      <c r="H7" s="928" t="s">
        <v>1041</v>
      </c>
      <c r="I7" s="928" t="s">
        <v>1042</v>
      </c>
      <c r="J7" s="928" t="s">
        <v>1043</v>
      </c>
      <c r="K7" s="929" t="s">
        <v>1044</v>
      </c>
    </row>
    <row r="8" spans="1:11" s="703" customFormat="1">
      <c r="A8" s="1527"/>
      <c r="B8" s="930">
        <f>B14+B20+B26+B32</f>
        <v>499203.77</v>
      </c>
      <c r="C8" s="931">
        <f>C14+C20+C26+C32</f>
        <v>0</v>
      </c>
      <c r="D8" s="931">
        <f>D14+D20+D26+D32</f>
        <v>0</v>
      </c>
      <c r="E8" s="931">
        <f>E14+E20+E26+E32</f>
        <v>0</v>
      </c>
      <c r="F8" s="932">
        <f>C8+(D8/3)*4</f>
        <v>0</v>
      </c>
      <c r="G8" s="933">
        <f>(F8-B8)/B8</f>
        <v>-1</v>
      </c>
      <c r="H8" s="933" t="e">
        <f>C8/F8</f>
        <v>#DIV/0!</v>
      </c>
      <c r="I8" s="933" t="e">
        <f>D8/3*4/F8</f>
        <v>#DIV/0!</v>
      </c>
      <c r="J8" s="933">
        <f>B2</f>
        <v>0.25</v>
      </c>
      <c r="K8" s="934">
        <f>F8*(1+J8)</f>
        <v>0</v>
      </c>
    </row>
    <row r="9" spans="1:11" s="703" customFormat="1">
      <c r="A9" s="704"/>
      <c r="B9" s="684"/>
      <c r="C9" s="685"/>
      <c r="D9" s="685"/>
      <c r="E9" s="685"/>
      <c r="F9" s="690"/>
      <c r="G9" s="690"/>
      <c r="H9" s="684"/>
      <c r="I9" s="684"/>
      <c r="J9" s="686"/>
      <c r="K9" s="684"/>
    </row>
    <row r="10" spans="1:11" s="703" customFormat="1" ht="12.75" customHeight="1">
      <c r="A10" s="1530" t="s">
        <v>1045</v>
      </c>
      <c r="B10" s="1531" t="s">
        <v>1023</v>
      </c>
      <c r="C10" s="1532" t="s">
        <v>1024</v>
      </c>
      <c r="D10" s="1532"/>
      <c r="E10" s="1532"/>
      <c r="F10" s="1531" t="s">
        <v>1025</v>
      </c>
      <c r="G10" s="1531" t="s">
        <v>1026</v>
      </c>
      <c r="H10" s="1530" t="s">
        <v>1027</v>
      </c>
      <c r="I10" s="1530"/>
      <c r="J10" s="1531" t="s">
        <v>1028</v>
      </c>
      <c r="K10" s="1535" t="s">
        <v>1029</v>
      </c>
    </row>
    <row r="11" spans="1:11" s="703" customFormat="1" ht="12.75" customHeight="1">
      <c r="A11" s="1530"/>
      <c r="B11" s="1531"/>
      <c r="C11" s="1537" t="s">
        <v>1030</v>
      </c>
      <c r="D11" s="1537" t="s">
        <v>1031</v>
      </c>
      <c r="E11" s="1537" t="s">
        <v>1032</v>
      </c>
      <c r="F11" s="1531"/>
      <c r="G11" s="1531"/>
      <c r="H11" s="1530"/>
      <c r="I11" s="1530"/>
      <c r="J11" s="1531"/>
      <c r="K11" s="1536"/>
    </row>
    <row r="12" spans="1:11" s="703" customFormat="1" ht="12.75" customHeight="1">
      <c r="A12" s="1530"/>
      <c r="B12" s="1531"/>
      <c r="C12" s="1532"/>
      <c r="D12" s="1532"/>
      <c r="E12" s="1532"/>
      <c r="F12" s="1531"/>
      <c r="G12" s="1531"/>
      <c r="H12" s="935" t="s">
        <v>1033</v>
      </c>
      <c r="I12" s="935" t="s">
        <v>1034</v>
      </c>
      <c r="J12" s="1531"/>
      <c r="K12" s="1536"/>
    </row>
    <row r="13" spans="1:11" s="703" customFormat="1">
      <c r="A13" s="1530"/>
      <c r="B13" s="936" t="s">
        <v>1035</v>
      </c>
      <c r="C13" s="937" t="s">
        <v>1036</v>
      </c>
      <c r="D13" s="937" t="s">
        <v>1037</v>
      </c>
      <c r="E13" s="799" t="s">
        <v>1038</v>
      </c>
      <c r="F13" s="938" t="s">
        <v>1039</v>
      </c>
      <c r="G13" s="936" t="s">
        <v>1040</v>
      </c>
      <c r="H13" s="799" t="s">
        <v>1041</v>
      </c>
      <c r="I13" s="799" t="s">
        <v>1042</v>
      </c>
      <c r="J13" s="799" t="s">
        <v>1043</v>
      </c>
      <c r="K13" s="693" t="s">
        <v>1044</v>
      </c>
    </row>
    <row r="14" spans="1:11" s="703" customFormat="1">
      <c r="A14" s="1530"/>
      <c r="B14" s="939">
        <v>397244.6</v>
      </c>
      <c r="C14" s="940">
        <f>H43+H48+H49+H51+H53+H57</f>
        <v>0</v>
      </c>
      <c r="D14" s="940">
        <f>SUM(H40:H57)-C14</f>
        <v>0</v>
      </c>
      <c r="E14" s="940">
        <f>C14+D14</f>
        <v>0</v>
      </c>
      <c r="F14" s="939">
        <f>C14+(D14/3)*4</f>
        <v>0</v>
      </c>
      <c r="G14" s="941">
        <f>(F14-B14)/B14</f>
        <v>-1</v>
      </c>
      <c r="H14" s="941" t="e">
        <f>C14/F14</f>
        <v>#DIV/0!</v>
      </c>
      <c r="I14" s="941" t="e">
        <f>D14/3*4/F14</f>
        <v>#DIV/0!</v>
      </c>
      <c r="J14" s="941">
        <f>$J$8</f>
        <v>0.25</v>
      </c>
      <c r="K14" s="942">
        <f>F14*(1+J14)</f>
        <v>0</v>
      </c>
    </row>
    <row r="15" spans="1:11" s="704" customFormat="1">
      <c r="B15" s="684"/>
      <c r="C15" s="685"/>
      <c r="D15" s="685"/>
      <c r="E15" s="685"/>
      <c r="F15" s="690"/>
      <c r="G15" s="690"/>
      <c r="H15" s="684"/>
      <c r="I15" s="684"/>
      <c r="J15" s="686"/>
      <c r="K15" s="684"/>
    </row>
    <row r="16" spans="1:11" s="703" customFormat="1" ht="12.75" customHeight="1">
      <c r="A16" s="1538" t="s">
        <v>1046</v>
      </c>
      <c r="B16" s="1531" t="s">
        <v>1023</v>
      </c>
      <c r="C16" s="1532" t="s">
        <v>1024</v>
      </c>
      <c r="D16" s="1532"/>
      <c r="E16" s="1532"/>
      <c r="F16" s="1531" t="s">
        <v>1025</v>
      </c>
      <c r="G16" s="1531" t="s">
        <v>1026</v>
      </c>
      <c r="H16" s="1530" t="s">
        <v>1027</v>
      </c>
      <c r="I16" s="1530"/>
      <c r="J16" s="1531" t="s">
        <v>1028</v>
      </c>
      <c r="K16" s="1530" t="s">
        <v>1029</v>
      </c>
    </row>
    <row r="17" spans="1:11" s="703" customFormat="1" ht="12.75" customHeight="1">
      <c r="A17" s="1538"/>
      <c r="B17" s="1531"/>
      <c r="C17" s="1537" t="s">
        <v>1030</v>
      </c>
      <c r="D17" s="1537" t="s">
        <v>1031</v>
      </c>
      <c r="E17" s="1537" t="s">
        <v>1032</v>
      </c>
      <c r="F17" s="1531"/>
      <c r="G17" s="1531"/>
      <c r="H17" s="1530"/>
      <c r="I17" s="1530"/>
      <c r="J17" s="1531"/>
      <c r="K17" s="1530"/>
    </row>
    <row r="18" spans="1:11" s="703" customFormat="1" ht="12.75" customHeight="1">
      <c r="A18" s="1538"/>
      <c r="B18" s="1531"/>
      <c r="C18" s="1532"/>
      <c r="D18" s="1532"/>
      <c r="E18" s="1532"/>
      <c r="F18" s="1531"/>
      <c r="G18" s="1531"/>
      <c r="H18" s="935" t="s">
        <v>1033</v>
      </c>
      <c r="I18" s="935" t="s">
        <v>1034</v>
      </c>
      <c r="J18" s="1531"/>
      <c r="K18" s="1530"/>
    </row>
    <row r="19" spans="1:11" s="703" customFormat="1">
      <c r="A19" s="1538"/>
      <c r="B19" s="936" t="s">
        <v>1035</v>
      </c>
      <c r="C19" s="937" t="s">
        <v>1036</v>
      </c>
      <c r="D19" s="937" t="s">
        <v>1037</v>
      </c>
      <c r="E19" s="799" t="s">
        <v>1038</v>
      </c>
      <c r="F19" s="938" t="s">
        <v>1039</v>
      </c>
      <c r="G19" s="936" t="s">
        <v>1040</v>
      </c>
      <c r="H19" s="799" t="s">
        <v>1041</v>
      </c>
      <c r="I19" s="799" t="s">
        <v>1042</v>
      </c>
      <c r="J19" s="799" t="s">
        <v>1043</v>
      </c>
      <c r="K19" s="943" t="s">
        <v>1044</v>
      </c>
    </row>
    <row r="20" spans="1:11" s="703" customFormat="1">
      <c r="A20" s="1538"/>
      <c r="B20" s="939">
        <v>21031.07</v>
      </c>
      <c r="C20" s="940">
        <f>H73</f>
        <v>0</v>
      </c>
      <c r="D20" s="940">
        <f>SUM(H70:H74)-C20</f>
        <v>0</v>
      </c>
      <c r="E20" s="940">
        <f>C20+D20</f>
        <v>0</v>
      </c>
      <c r="F20" s="939">
        <f>C20+(D20/3)*4</f>
        <v>0</v>
      </c>
      <c r="G20" s="941">
        <f>(F20-B20)/B20</f>
        <v>-1</v>
      </c>
      <c r="H20" s="941" t="e">
        <f>C20/F20</f>
        <v>#DIV/0!</v>
      </c>
      <c r="I20" s="941" t="e">
        <f>D20/3*4/F20</f>
        <v>#DIV/0!</v>
      </c>
      <c r="J20" s="941">
        <f>$J$8</f>
        <v>0.25</v>
      </c>
      <c r="K20" s="944">
        <f>F20*(1+J20)</f>
        <v>0</v>
      </c>
    </row>
    <row r="21" spans="1:11" s="703" customFormat="1">
      <c r="B21" s="690"/>
      <c r="C21" s="945"/>
      <c r="D21" s="945"/>
      <c r="E21" s="945"/>
      <c r="F21" s="690"/>
      <c r="G21" s="946"/>
      <c r="H21" s="946"/>
      <c r="I21" s="946"/>
      <c r="J21" s="946"/>
      <c r="K21" s="788"/>
    </row>
    <row r="22" spans="1:11" s="703" customFormat="1" ht="12.75" customHeight="1">
      <c r="A22" s="1538" t="s">
        <v>1047</v>
      </c>
      <c r="B22" s="1531" t="s">
        <v>1023</v>
      </c>
      <c r="C22" s="1532" t="s">
        <v>1024</v>
      </c>
      <c r="D22" s="1532"/>
      <c r="E22" s="1532"/>
      <c r="F22" s="1531" t="s">
        <v>1025</v>
      </c>
      <c r="G22" s="1531" t="s">
        <v>1026</v>
      </c>
      <c r="H22" s="1530" t="s">
        <v>1027</v>
      </c>
      <c r="I22" s="1530"/>
      <c r="J22" s="1531" t="s">
        <v>1028</v>
      </c>
      <c r="K22" s="1530" t="s">
        <v>1029</v>
      </c>
    </row>
    <row r="23" spans="1:11" s="703" customFormat="1" ht="12.75" customHeight="1">
      <c r="A23" s="1538"/>
      <c r="B23" s="1531"/>
      <c r="C23" s="1537" t="s">
        <v>1030</v>
      </c>
      <c r="D23" s="1537" t="s">
        <v>1031</v>
      </c>
      <c r="E23" s="1537" t="s">
        <v>1032</v>
      </c>
      <c r="F23" s="1531"/>
      <c r="G23" s="1531"/>
      <c r="H23" s="1530"/>
      <c r="I23" s="1530"/>
      <c r="J23" s="1531"/>
      <c r="K23" s="1530"/>
    </row>
    <row r="24" spans="1:11" s="703" customFormat="1" ht="12.75" customHeight="1">
      <c r="A24" s="1538"/>
      <c r="B24" s="1531"/>
      <c r="C24" s="1532"/>
      <c r="D24" s="1532"/>
      <c r="E24" s="1532"/>
      <c r="F24" s="1531"/>
      <c r="G24" s="1531"/>
      <c r="H24" s="935" t="s">
        <v>1033</v>
      </c>
      <c r="I24" s="935" t="s">
        <v>1034</v>
      </c>
      <c r="J24" s="1531"/>
      <c r="K24" s="1530"/>
    </row>
    <row r="25" spans="1:11" s="703" customFormat="1">
      <c r="A25" s="1538"/>
      <c r="B25" s="947" t="s">
        <v>1035</v>
      </c>
      <c r="C25" s="702" t="s">
        <v>1036</v>
      </c>
      <c r="D25" s="702" t="s">
        <v>1037</v>
      </c>
      <c r="E25" s="700" t="s">
        <v>1038</v>
      </c>
      <c r="F25" s="948" t="s">
        <v>1039</v>
      </c>
      <c r="G25" s="701" t="s">
        <v>1040</v>
      </c>
      <c r="H25" s="694" t="s">
        <v>1041</v>
      </c>
      <c r="I25" s="694" t="s">
        <v>1042</v>
      </c>
      <c r="J25" s="694" t="s">
        <v>1043</v>
      </c>
      <c r="K25" s="693" t="s">
        <v>1044</v>
      </c>
    </row>
    <row r="26" spans="1:11" s="703" customFormat="1">
      <c r="A26" s="1538"/>
      <c r="B26" s="939">
        <v>6469.9</v>
      </c>
      <c r="C26" s="940">
        <f>H78+H83+H88</f>
        <v>0</v>
      </c>
      <c r="D26" s="940">
        <f>SUM(H75:H89)-C26</f>
        <v>0</v>
      </c>
      <c r="E26" s="940">
        <f>C26+D26</f>
        <v>0</v>
      </c>
      <c r="F26" s="949">
        <f>C26+(D26/3)*4</f>
        <v>0</v>
      </c>
      <c r="G26" s="950">
        <f>(F26-B26)/B26</f>
        <v>-1</v>
      </c>
      <c r="H26" s="950" t="e">
        <f>C26/F26</f>
        <v>#DIV/0!</v>
      </c>
      <c r="I26" s="950" t="e">
        <f>D26/3*4/F26</f>
        <v>#DIV/0!</v>
      </c>
      <c r="J26" s="941">
        <f>$J$8</f>
        <v>0.25</v>
      </c>
      <c r="K26" s="942">
        <f>F26*(1+J26)</f>
        <v>0</v>
      </c>
    </row>
    <row r="27" spans="1:11" s="703" customFormat="1">
      <c r="B27" s="690"/>
      <c r="C27" s="945"/>
      <c r="D27" s="945"/>
      <c r="E27" s="945"/>
      <c r="F27" s="690"/>
      <c r="G27" s="946"/>
      <c r="H27" s="946"/>
      <c r="I27" s="946"/>
      <c r="J27" s="946"/>
      <c r="K27" s="946"/>
    </row>
    <row r="28" spans="1:11" s="703" customFormat="1" ht="12.75" customHeight="1">
      <c r="A28" s="1538" t="s">
        <v>1048</v>
      </c>
      <c r="B28" s="1531" t="s">
        <v>1023</v>
      </c>
      <c r="C28" s="1532" t="s">
        <v>1024</v>
      </c>
      <c r="D28" s="1532"/>
      <c r="E28" s="1532"/>
      <c r="F28" s="1531" t="s">
        <v>1025</v>
      </c>
      <c r="G28" s="1531" t="s">
        <v>1026</v>
      </c>
      <c r="H28" s="1530" t="s">
        <v>1027</v>
      </c>
      <c r="I28" s="1530"/>
      <c r="J28" s="1531" t="s">
        <v>1028</v>
      </c>
      <c r="K28" s="1530" t="s">
        <v>1029</v>
      </c>
    </row>
    <row r="29" spans="1:11" s="703" customFormat="1" ht="12.75" customHeight="1">
      <c r="A29" s="1538"/>
      <c r="B29" s="1531"/>
      <c r="C29" s="1537" t="s">
        <v>1030</v>
      </c>
      <c r="D29" s="1537" t="s">
        <v>1031</v>
      </c>
      <c r="E29" s="1537" t="s">
        <v>1032</v>
      </c>
      <c r="F29" s="1531"/>
      <c r="G29" s="1531"/>
      <c r="H29" s="1530"/>
      <c r="I29" s="1530"/>
      <c r="J29" s="1531"/>
      <c r="K29" s="1530"/>
    </row>
    <row r="30" spans="1:11" s="703" customFormat="1" ht="12.75" customHeight="1">
      <c r="A30" s="1538"/>
      <c r="B30" s="1531"/>
      <c r="C30" s="1532"/>
      <c r="D30" s="1532"/>
      <c r="E30" s="1532"/>
      <c r="F30" s="1531"/>
      <c r="G30" s="1531"/>
      <c r="H30" s="935" t="s">
        <v>1033</v>
      </c>
      <c r="I30" s="935" t="s">
        <v>1034</v>
      </c>
      <c r="J30" s="1531"/>
      <c r="K30" s="1530"/>
    </row>
    <row r="31" spans="1:11" s="703" customFormat="1">
      <c r="A31" s="1538"/>
      <c r="B31" s="947" t="s">
        <v>1035</v>
      </c>
      <c r="C31" s="702" t="s">
        <v>1036</v>
      </c>
      <c r="D31" s="702" t="s">
        <v>1037</v>
      </c>
      <c r="E31" s="700" t="s">
        <v>1038</v>
      </c>
      <c r="F31" s="948" t="s">
        <v>1039</v>
      </c>
      <c r="G31" s="701" t="s">
        <v>1040</v>
      </c>
      <c r="H31" s="694" t="s">
        <v>1041</v>
      </c>
      <c r="I31" s="694" t="s">
        <v>1042</v>
      </c>
      <c r="J31" s="694" t="s">
        <v>1043</v>
      </c>
      <c r="K31" s="693" t="s">
        <v>1044</v>
      </c>
    </row>
    <row r="32" spans="1:11" s="703" customFormat="1">
      <c r="A32" s="1538"/>
      <c r="B32" s="939">
        <v>74458.2</v>
      </c>
      <c r="C32" s="940">
        <f>H58+H63+H68</f>
        <v>0</v>
      </c>
      <c r="D32" s="940">
        <f>SUM(H58:H69)-C32</f>
        <v>0</v>
      </c>
      <c r="E32" s="940">
        <f>C32+D32</f>
        <v>0</v>
      </c>
      <c r="F32" s="949">
        <f>C32+(D32/3)*4</f>
        <v>0</v>
      </c>
      <c r="G32" s="950">
        <f>(F32-B32)/B32</f>
        <v>-1</v>
      </c>
      <c r="H32" s="950" t="e">
        <f>C32/F32</f>
        <v>#DIV/0!</v>
      </c>
      <c r="I32" s="950" t="e">
        <f>D32/3*4/F32</f>
        <v>#DIV/0!</v>
      </c>
      <c r="J32" s="941">
        <f>$J$8</f>
        <v>0.25</v>
      </c>
      <c r="K32" s="942">
        <f>F32*(1+J32)</f>
        <v>0</v>
      </c>
    </row>
    <row r="33" spans="1:13" s="704" customFormat="1">
      <c r="C33" s="685"/>
      <c r="D33" s="685"/>
      <c r="E33" s="685"/>
      <c r="F33" s="684"/>
      <c r="G33" s="684"/>
      <c r="H33" s="684"/>
      <c r="I33" s="684"/>
      <c r="J33" s="686"/>
      <c r="K33" s="684"/>
    </row>
    <row r="34" spans="1:13" s="704" customFormat="1">
      <c r="B34" s="705"/>
      <c r="C34" s="685"/>
      <c r="D34" s="685"/>
      <c r="E34" s="685"/>
      <c r="F34" s="684"/>
      <c r="G34" s="684"/>
      <c r="H34" s="684"/>
      <c r="I34" s="684"/>
      <c r="J34" s="686"/>
      <c r="K34" s="684"/>
    </row>
    <row r="35" spans="1:13" s="704" customFormat="1">
      <c r="A35" s="705" t="s">
        <v>1049</v>
      </c>
      <c r="B35" s="705"/>
      <c r="C35" s="685"/>
      <c r="D35" s="685"/>
      <c r="E35" s="685"/>
      <c r="F35" s="684"/>
      <c r="G35" s="684"/>
      <c r="H35" s="684"/>
      <c r="I35" s="684"/>
      <c r="J35" s="686"/>
      <c r="K35" s="684"/>
    </row>
    <row r="36" spans="1:13" s="704" customFormat="1">
      <c r="B36" s="705"/>
      <c r="C36" s="685"/>
      <c r="D36" s="685"/>
      <c r="E36" s="685"/>
      <c r="F36" s="684"/>
      <c r="G36" s="684"/>
      <c r="H36" s="684"/>
      <c r="I36" s="684"/>
      <c r="J36" s="686"/>
      <c r="K36" s="684"/>
    </row>
    <row r="37" spans="1:13" s="704" customFormat="1">
      <c r="B37" s="951" t="s">
        <v>1050</v>
      </c>
      <c r="C37" s="685"/>
      <c r="D37" s="685"/>
      <c r="E37" s="685"/>
      <c r="F37" s="684"/>
      <c r="G37" s="684"/>
      <c r="H37" s="684"/>
      <c r="I37" s="686"/>
      <c r="J37" s="684"/>
    </row>
    <row r="38" spans="1:13">
      <c r="B38" s="194"/>
    </row>
    <row r="39" spans="1:13">
      <c r="B39" s="777" t="s">
        <v>774</v>
      </c>
      <c r="C39" s="1539" t="s">
        <v>775</v>
      </c>
      <c r="D39" s="1540"/>
      <c r="E39" s="1540"/>
      <c r="F39" s="1540"/>
      <c r="G39" s="1541"/>
      <c r="H39" s="777" t="s">
        <v>1051</v>
      </c>
      <c r="I39" s="691"/>
      <c r="J39" s="691"/>
      <c r="K39" s="691"/>
    </row>
    <row r="40" spans="1:13">
      <c r="A40" s="952"/>
      <c r="B40" s="89" t="s">
        <v>1052</v>
      </c>
      <c r="C40" s="20" t="s">
        <v>1053</v>
      </c>
      <c r="D40" s="750"/>
      <c r="E40" s="750"/>
      <c r="F40" s="750"/>
      <c r="G40" s="751"/>
      <c r="H40" s="953"/>
      <c r="I40" s="688"/>
      <c r="J40" s="688"/>
      <c r="K40" s="688"/>
    </row>
    <row r="41" spans="1:13">
      <c r="A41" s="952"/>
      <c r="B41" s="89" t="s">
        <v>1052</v>
      </c>
      <c r="C41" s="20" t="s">
        <v>1054</v>
      </c>
      <c r="D41" s="750"/>
      <c r="E41" s="750"/>
      <c r="F41" s="750"/>
      <c r="G41" s="751"/>
      <c r="H41" s="953"/>
      <c r="I41" s="688"/>
      <c r="J41" s="688"/>
      <c r="K41" s="688"/>
    </row>
    <row r="42" spans="1:13">
      <c r="A42" s="952"/>
      <c r="B42" s="89" t="s">
        <v>1052</v>
      </c>
      <c r="C42" s="20" t="s">
        <v>1055</v>
      </c>
      <c r="D42" s="750"/>
      <c r="E42" s="750"/>
      <c r="F42" s="750"/>
      <c r="G42" s="751"/>
      <c r="H42" s="953"/>
      <c r="I42" s="688"/>
      <c r="J42" s="688"/>
      <c r="K42" s="688"/>
    </row>
    <row r="43" spans="1:13">
      <c r="A43" s="952"/>
      <c r="B43" s="954" t="s">
        <v>1052</v>
      </c>
      <c r="C43" s="955" t="s">
        <v>1056</v>
      </c>
      <c r="D43" s="956"/>
      <c r="E43" s="956"/>
      <c r="F43" s="956"/>
      <c r="G43" s="957"/>
      <c r="H43" s="958"/>
      <c r="I43" s="688"/>
      <c r="J43" s="688"/>
      <c r="K43" s="688"/>
    </row>
    <row r="44" spans="1:13">
      <c r="A44" s="952"/>
      <c r="B44" s="89" t="s">
        <v>1052</v>
      </c>
      <c r="C44" s="20" t="s">
        <v>1057</v>
      </c>
      <c r="D44" s="750"/>
      <c r="E44" s="750"/>
      <c r="F44" s="750"/>
      <c r="G44" s="751"/>
      <c r="H44" s="953"/>
      <c r="I44" s="688"/>
      <c r="J44" s="688"/>
      <c r="K44" s="688"/>
    </row>
    <row r="45" spans="1:13">
      <c r="A45" s="952"/>
      <c r="B45" s="89" t="s">
        <v>1058</v>
      </c>
      <c r="C45" s="749" t="s">
        <v>1059</v>
      </c>
      <c r="D45" s="750"/>
      <c r="E45" s="750"/>
      <c r="F45" s="750"/>
      <c r="G45" s="751"/>
      <c r="H45" s="959"/>
      <c r="I45" s="688"/>
      <c r="J45" s="688"/>
      <c r="K45" s="688"/>
      <c r="M45" s="689"/>
    </row>
    <row r="46" spans="1:13">
      <c r="A46" s="952"/>
      <c r="B46" s="89" t="s">
        <v>1058</v>
      </c>
      <c r="C46" s="749" t="s">
        <v>1060</v>
      </c>
      <c r="D46" s="750"/>
      <c r="E46" s="750"/>
      <c r="F46" s="750"/>
      <c r="G46" s="751"/>
      <c r="H46" s="959"/>
      <c r="I46" s="688"/>
      <c r="J46" s="688"/>
      <c r="K46" s="688"/>
      <c r="M46" s="689"/>
    </row>
    <row r="47" spans="1:13">
      <c r="A47" s="952"/>
      <c r="B47" s="89" t="s">
        <v>1058</v>
      </c>
      <c r="C47" s="749" t="s">
        <v>1061</v>
      </c>
      <c r="D47" s="750"/>
      <c r="E47" s="750"/>
      <c r="F47" s="750"/>
      <c r="G47" s="751"/>
      <c r="H47" s="959"/>
      <c r="I47" s="688"/>
      <c r="J47" s="688"/>
      <c r="K47" s="688"/>
      <c r="M47" s="689"/>
    </row>
    <row r="48" spans="1:13">
      <c r="A48" s="952"/>
      <c r="B48" s="954" t="s">
        <v>1058</v>
      </c>
      <c r="C48" s="955" t="s">
        <v>1062</v>
      </c>
      <c r="D48" s="956"/>
      <c r="E48" s="956"/>
      <c r="F48" s="956"/>
      <c r="G48" s="957"/>
      <c r="H48" s="958"/>
      <c r="I48" s="688"/>
      <c r="J48" s="688"/>
      <c r="K48" s="688"/>
      <c r="M48" s="689"/>
    </row>
    <row r="49" spans="1:13">
      <c r="A49" s="952"/>
      <c r="B49" s="954" t="s">
        <v>1058</v>
      </c>
      <c r="C49" s="955" t="s">
        <v>1063</v>
      </c>
      <c r="D49" s="956"/>
      <c r="E49" s="956"/>
      <c r="F49" s="956"/>
      <c r="G49" s="957"/>
      <c r="H49" s="958"/>
      <c r="I49" s="688"/>
      <c r="J49" s="688"/>
      <c r="K49" s="688"/>
      <c r="M49" s="689"/>
    </row>
    <row r="50" spans="1:13">
      <c r="A50" s="952"/>
      <c r="B50" s="89" t="s">
        <v>1058</v>
      </c>
      <c r="C50" s="749" t="s">
        <v>1064</v>
      </c>
      <c r="D50" s="750"/>
      <c r="E50" s="750"/>
      <c r="F50" s="750"/>
      <c r="G50" s="751"/>
      <c r="H50" s="959"/>
      <c r="I50" s="688"/>
      <c r="J50" s="688"/>
      <c r="K50" s="688"/>
      <c r="M50" s="689"/>
    </row>
    <row r="51" spans="1:13">
      <c r="A51" s="952"/>
      <c r="B51" s="954" t="s">
        <v>1065</v>
      </c>
      <c r="C51" s="955" t="s">
        <v>1066</v>
      </c>
      <c r="D51" s="956"/>
      <c r="E51" s="956"/>
      <c r="F51" s="956"/>
      <c r="G51" s="957"/>
      <c r="H51" s="958"/>
      <c r="I51" s="688"/>
      <c r="J51" s="688"/>
      <c r="K51" s="688"/>
      <c r="M51" s="689"/>
    </row>
    <row r="52" spans="1:13">
      <c r="A52" s="952"/>
      <c r="B52" s="89" t="s">
        <v>1067</v>
      </c>
      <c r="C52" s="749" t="s">
        <v>1068</v>
      </c>
      <c r="D52" s="750"/>
      <c r="E52" s="750"/>
      <c r="F52" s="750"/>
      <c r="G52" s="751"/>
      <c r="H52" s="699"/>
      <c r="I52" s="688"/>
      <c r="J52" s="688"/>
      <c r="K52" s="688"/>
      <c r="M52" s="689"/>
    </row>
    <row r="53" spans="1:13">
      <c r="A53" s="952"/>
      <c r="B53" s="954" t="s">
        <v>1067</v>
      </c>
      <c r="C53" s="955" t="s">
        <v>1069</v>
      </c>
      <c r="D53" s="956"/>
      <c r="E53" s="956"/>
      <c r="F53" s="956"/>
      <c r="G53" s="957"/>
      <c r="H53" s="958"/>
      <c r="I53" s="688"/>
      <c r="J53" s="688"/>
      <c r="K53" s="688"/>
      <c r="M53" s="689"/>
    </row>
    <row r="54" spans="1:13">
      <c r="A54" s="952"/>
      <c r="B54" s="89" t="s">
        <v>1070</v>
      </c>
      <c r="C54" s="89" t="s">
        <v>1071</v>
      </c>
      <c r="D54" s="750"/>
      <c r="E54" s="750"/>
      <c r="F54" s="750"/>
      <c r="G54" s="751"/>
      <c r="H54" s="953"/>
      <c r="I54" s="690"/>
      <c r="J54" s="690"/>
      <c r="K54" s="690"/>
      <c r="M54" s="689"/>
    </row>
    <row r="55" spans="1:13">
      <c r="A55" s="952"/>
      <c r="B55" s="89" t="s">
        <v>1072</v>
      </c>
      <c r="C55" s="89" t="s">
        <v>1073</v>
      </c>
      <c r="D55" s="750"/>
      <c r="E55" s="750"/>
      <c r="F55" s="750"/>
      <c r="G55" s="751"/>
      <c r="H55" s="953"/>
      <c r="I55" s="690"/>
      <c r="J55" s="690"/>
      <c r="K55" s="690"/>
      <c r="M55" s="689"/>
    </row>
    <row r="56" spans="1:13">
      <c r="A56" s="952"/>
      <c r="B56" s="89" t="s">
        <v>1072</v>
      </c>
      <c r="C56" s="89" t="s">
        <v>1074</v>
      </c>
      <c r="D56" s="750"/>
      <c r="E56" s="750"/>
      <c r="F56" s="750"/>
      <c r="G56" s="751"/>
      <c r="H56" s="953"/>
      <c r="I56" s="690"/>
      <c r="J56" s="690"/>
      <c r="K56" s="690"/>
      <c r="M56" s="689"/>
    </row>
    <row r="57" spans="1:13">
      <c r="A57" s="952"/>
      <c r="B57" s="954" t="s">
        <v>1072</v>
      </c>
      <c r="C57" s="955" t="s">
        <v>1075</v>
      </c>
      <c r="D57" s="956"/>
      <c r="E57" s="956"/>
      <c r="F57" s="956"/>
      <c r="G57" s="957"/>
      <c r="H57" s="958"/>
      <c r="I57" s="690"/>
      <c r="J57" s="690"/>
      <c r="K57" s="690"/>
      <c r="M57" s="689"/>
    </row>
    <row r="58" spans="1:13">
      <c r="A58" s="960"/>
      <c r="B58" s="954" t="s">
        <v>1076</v>
      </c>
      <c r="C58" s="961" t="s">
        <v>1063</v>
      </c>
      <c r="D58" s="956"/>
      <c r="E58" s="956"/>
      <c r="F58" s="956"/>
      <c r="G58" s="957"/>
      <c r="H58" s="962"/>
      <c r="I58" s="688"/>
      <c r="J58" s="688"/>
      <c r="K58" s="688"/>
    </row>
    <row r="59" spans="1:13">
      <c r="A59" s="960"/>
      <c r="B59" s="89" t="s">
        <v>1076</v>
      </c>
      <c r="C59" s="749" t="s">
        <v>1064</v>
      </c>
      <c r="D59" s="750"/>
      <c r="E59" s="750"/>
      <c r="F59" s="750"/>
      <c r="G59" s="751"/>
      <c r="H59" s="699"/>
      <c r="I59" s="688"/>
      <c r="J59" s="688"/>
      <c r="K59" s="688"/>
    </row>
    <row r="60" spans="1:13">
      <c r="A60" s="960"/>
      <c r="B60" s="89" t="s">
        <v>1077</v>
      </c>
      <c r="C60" s="20" t="s">
        <v>1068</v>
      </c>
      <c r="D60" s="750"/>
      <c r="E60" s="750"/>
      <c r="F60" s="750"/>
      <c r="G60" s="751"/>
      <c r="H60" s="953"/>
      <c r="I60" s="688"/>
      <c r="J60" s="688"/>
      <c r="K60" s="688"/>
    </row>
    <row r="61" spans="1:13">
      <c r="A61" s="960"/>
      <c r="B61" s="89" t="s">
        <v>1077</v>
      </c>
      <c r="C61" s="20" t="s">
        <v>1078</v>
      </c>
      <c r="D61" s="750"/>
      <c r="E61" s="750"/>
      <c r="F61" s="750"/>
      <c r="G61" s="751"/>
      <c r="H61" s="953"/>
      <c r="I61" s="688"/>
      <c r="J61" s="688"/>
      <c r="K61" s="688"/>
    </row>
    <row r="62" spans="1:13">
      <c r="A62" s="960"/>
      <c r="B62" s="89" t="s">
        <v>1077</v>
      </c>
      <c r="C62" s="20" t="s">
        <v>1079</v>
      </c>
      <c r="D62" s="750"/>
      <c r="E62" s="750"/>
      <c r="F62" s="750"/>
      <c r="G62" s="751"/>
      <c r="H62" s="953"/>
      <c r="I62" s="688"/>
      <c r="J62" s="688"/>
      <c r="K62" s="688"/>
    </row>
    <row r="63" spans="1:13">
      <c r="A63" s="960"/>
      <c r="B63" s="954" t="s">
        <v>1077</v>
      </c>
      <c r="C63" s="955" t="s">
        <v>1069</v>
      </c>
      <c r="D63" s="956"/>
      <c r="E63" s="956"/>
      <c r="F63" s="956"/>
      <c r="G63" s="957"/>
      <c r="H63" s="958"/>
      <c r="I63" s="688"/>
      <c r="J63" s="688"/>
      <c r="K63" s="688"/>
    </row>
    <row r="64" spans="1:13">
      <c r="A64" s="960"/>
      <c r="B64" s="89" t="s">
        <v>1077</v>
      </c>
      <c r="C64" s="20" t="s">
        <v>1080</v>
      </c>
      <c r="D64" s="750"/>
      <c r="E64" s="750"/>
      <c r="F64" s="750"/>
      <c r="G64" s="751"/>
      <c r="H64" s="953"/>
      <c r="I64" s="688"/>
      <c r="J64" s="688"/>
      <c r="K64" s="688"/>
    </row>
    <row r="65" spans="1:13">
      <c r="A65" s="960"/>
      <c r="B65" s="89" t="s">
        <v>1081</v>
      </c>
      <c r="C65" s="20" t="s">
        <v>1082</v>
      </c>
      <c r="D65" s="750"/>
      <c r="E65" s="750"/>
      <c r="F65" s="750"/>
      <c r="G65" s="751"/>
      <c r="H65" s="953"/>
      <c r="I65" s="688"/>
      <c r="J65" s="688"/>
      <c r="K65" s="688"/>
    </row>
    <row r="66" spans="1:13">
      <c r="A66" s="960"/>
      <c r="B66" s="89" t="s">
        <v>1081</v>
      </c>
      <c r="C66" s="20" t="s">
        <v>1083</v>
      </c>
      <c r="D66" s="750"/>
      <c r="E66" s="750"/>
      <c r="F66" s="750"/>
      <c r="G66" s="751"/>
      <c r="H66" s="953"/>
      <c r="I66" s="688"/>
      <c r="J66" s="688"/>
      <c r="K66" s="688"/>
    </row>
    <row r="67" spans="1:13">
      <c r="A67" s="960"/>
      <c r="B67" s="89" t="s">
        <v>1081</v>
      </c>
      <c r="C67" s="20" t="s">
        <v>1084</v>
      </c>
      <c r="D67" s="750"/>
      <c r="E67" s="750"/>
      <c r="F67" s="750"/>
      <c r="G67" s="751"/>
      <c r="H67" s="953"/>
      <c r="I67" s="688"/>
      <c r="J67" s="688"/>
      <c r="K67" s="688"/>
    </row>
    <row r="68" spans="1:13">
      <c r="A68" s="960"/>
      <c r="B68" s="954" t="s">
        <v>1081</v>
      </c>
      <c r="C68" s="955" t="s">
        <v>1085</v>
      </c>
      <c r="D68" s="956"/>
      <c r="E68" s="956"/>
      <c r="F68" s="956"/>
      <c r="G68" s="957"/>
      <c r="H68" s="953"/>
      <c r="I68" s="688"/>
      <c r="J68" s="688"/>
      <c r="K68" s="688"/>
    </row>
    <row r="69" spans="1:13">
      <c r="A69" s="960"/>
      <c r="B69" s="89" t="s">
        <v>1081</v>
      </c>
      <c r="C69" s="20" t="s">
        <v>1086</v>
      </c>
      <c r="D69" s="750"/>
      <c r="E69" s="750"/>
      <c r="F69" s="750"/>
      <c r="G69" s="751"/>
      <c r="H69" s="953"/>
      <c r="I69" s="688"/>
      <c r="J69" s="688"/>
      <c r="K69" s="688"/>
    </row>
    <row r="70" spans="1:13">
      <c r="A70" s="963"/>
      <c r="B70" s="89" t="s">
        <v>1087</v>
      </c>
      <c r="C70" s="20" t="s">
        <v>1088</v>
      </c>
      <c r="D70" s="750"/>
      <c r="E70" s="750"/>
      <c r="F70" s="750"/>
      <c r="G70" s="751"/>
      <c r="H70" s="953"/>
      <c r="I70" s="690"/>
      <c r="J70" s="690"/>
      <c r="K70" s="690"/>
      <c r="M70" s="689"/>
    </row>
    <row r="71" spans="1:13">
      <c r="A71" s="963"/>
      <c r="B71" s="89" t="s">
        <v>1087</v>
      </c>
      <c r="C71" s="20" t="s">
        <v>1089</v>
      </c>
      <c r="D71" s="750"/>
      <c r="E71" s="750"/>
      <c r="F71" s="750"/>
      <c r="G71" s="751"/>
      <c r="H71" s="953"/>
      <c r="I71" s="690"/>
      <c r="J71" s="690"/>
      <c r="K71" s="690"/>
    </row>
    <row r="72" spans="1:13">
      <c r="A72" s="963"/>
      <c r="B72" s="89" t="s">
        <v>1087</v>
      </c>
      <c r="C72" s="20" t="s">
        <v>1090</v>
      </c>
      <c r="D72" s="750"/>
      <c r="E72" s="750"/>
      <c r="F72" s="750"/>
      <c r="G72" s="751"/>
      <c r="H72" s="953"/>
      <c r="I72" s="690"/>
      <c r="J72" s="690"/>
      <c r="K72" s="690"/>
    </row>
    <row r="73" spans="1:13">
      <c r="A73" s="963"/>
      <c r="B73" s="954" t="s">
        <v>1087</v>
      </c>
      <c r="C73" s="955" t="s">
        <v>1091</v>
      </c>
      <c r="D73" s="956"/>
      <c r="E73" s="956"/>
      <c r="F73" s="956"/>
      <c r="G73" s="957"/>
      <c r="H73" s="958"/>
      <c r="I73" s="690"/>
      <c r="J73" s="690"/>
      <c r="K73" s="690"/>
    </row>
    <row r="74" spans="1:13" ht="12" customHeight="1">
      <c r="A74" s="963"/>
      <c r="B74" s="89" t="s">
        <v>1087</v>
      </c>
      <c r="C74" s="20" t="s">
        <v>1092</v>
      </c>
      <c r="D74" s="750"/>
      <c r="E74" s="750"/>
      <c r="F74" s="750"/>
      <c r="G74" s="751"/>
      <c r="H74" s="953"/>
      <c r="I74" s="690"/>
      <c r="J74" s="690"/>
      <c r="K74" s="690"/>
    </row>
    <row r="75" spans="1:13">
      <c r="A75" s="964"/>
      <c r="B75" s="89" t="s">
        <v>1093</v>
      </c>
      <c r="C75" s="20" t="s">
        <v>1094</v>
      </c>
      <c r="D75" s="750"/>
      <c r="E75" s="750"/>
      <c r="F75" s="750"/>
      <c r="G75" s="751"/>
      <c r="H75" s="953"/>
      <c r="I75" s="690"/>
      <c r="J75" s="690"/>
      <c r="K75" s="690"/>
    </row>
    <row r="76" spans="1:13">
      <c r="A76" s="964"/>
      <c r="B76" s="89" t="s">
        <v>1093</v>
      </c>
      <c r="C76" s="20" t="s">
        <v>1095</v>
      </c>
      <c r="D76" s="750"/>
      <c r="E76" s="750"/>
      <c r="F76" s="750"/>
      <c r="G76" s="751"/>
      <c r="H76" s="953"/>
      <c r="I76" s="690"/>
      <c r="J76" s="690"/>
      <c r="K76" s="690"/>
    </row>
    <row r="77" spans="1:13">
      <c r="A77" s="964"/>
      <c r="B77" s="89" t="s">
        <v>1093</v>
      </c>
      <c r="C77" s="20" t="s">
        <v>1096</v>
      </c>
      <c r="D77" s="750"/>
      <c r="E77" s="750"/>
      <c r="F77" s="750"/>
      <c r="G77" s="751"/>
      <c r="H77" s="953"/>
      <c r="I77" s="690"/>
      <c r="J77" s="690"/>
      <c r="K77" s="690"/>
    </row>
    <row r="78" spans="1:13">
      <c r="A78" s="964"/>
      <c r="B78" s="954" t="s">
        <v>1097</v>
      </c>
      <c r="C78" s="955" t="s">
        <v>1098</v>
      </c>
      <c r="D78" s="956"/>
      <c r="E78" s="956"/>
      <c r="F78" s="956"/>
      <c r="G78" s="957"/>
      <c r="H78" s="958"/>
      <c r="I78" s="690"/>
      <c r="J78" s="690"/>
      <c r="K78" s="690"/>
    </row>
    <row r="79" spans="1:13">
      <c r="A79" s="964"/>
      <c r="B79" s="89" t="s">
        <v>1093</v>
      </c>
      <c r="C79" s="20" t="s">
        <v>1099</v>
      </c>
      <c r="D79" s="750"/>
      <c r="E79" s="750"/>
      <c r="F79" s="750"/>
      <c r="G79" s="751"/>
      <c r="H79" s="953"/>
      <c r="I79" s="690"/>
      <c r="J79" s="690"/>
      <c r="K79" s="690"/>
    </row>
    <row r="80" spans="1:13">
      <c r="A80" s="964"/>
      <c r="B80" s="89" t="s">
        <v>1100</v>
      </c>
      <c r="C80" s="89" t="s">
        <v>1101</v>
      </c>
      <c r="D80" s="750"/>
      <c r="E80" s="750"/>
      <c r="F80" s="750"/>
      <c r="G80" s="751"/>
      <c r="H80" s="953"/>
      <c r="I80" s="690"/>
      <c r="J80" s="690"/>
      <c r="K80" s="690"/>
    </row>
    <row r="81" spans="1:13">
      <c r="A81" s="964"/>
      <c r="B81" s="89" t="s">
        <v>1100</v>
      </c>
      <c r="C81" s="89" t="s">
        <v>1102</v>
      </c>
      <c r="D81" s="750"/>
      <c r="E81" s="750"/>
      <c r="F81" s="750"/>
      <c r="G81" s="751"/>
      <c r="H81" s="953"/>
      <c r="I81" s="690"/>
      <c r="J81" s="690"/>
      <c r="K81" s="690"/>
    </row>
    <row r="82" spans="1:13">
      <c r="A82" s="964"/>
      <c r="B82" s="89" t="s">
        <v>1100</v>
      </c>
      <c r="C82" s="89" t="s">
        <v>1103</v>
      </c>
      <c r="D82" s="750"/>
      <c r="E82" s="750"/>
      <c r="F82" s="750"/>
      <c r="G82" s="751"/>
      <c r="H82" s="953"/>
      <c r="I82" s="690"/>
      <c r="J82" s="690"/>
      <c r="K82" s="690"/>
    </row>
    <row r="83" spans="1:13">
      <c r="A83" s="964"/>
      <c r="B83" s="954" t="s">
        <v>1100</v>
      </c>
      <c r="C83" s="955" t="s">
        <v>1104</v>
      </c>
      <c r="D83" s="956"/>
      <c r="E83" s="956"/>
      <c r="F83" s="956"/>
      <c r="G83" s="957"/>
      <c r="H83" s="958"/>
      <c r="I83" s="690"/>
      <c r="J83" s="690"/>
      <c r="K83" s="690"/>
    </row>
    <row r="84" spans="1:13">
      <c r="A84" s="964"/>
      <c r="B84" s="89" t="s">
        <v>1105</v>
      </c>
      <c r="C84" s="89" t="s">
        <v>1106</v>
      </c>
      <c r="D84" s="750"/>
      <c r="E84" s="750"/>
      <c r="F84" s="750"/>
      <c r="G84" s="751"/>
      <c r="H84" s="953"/>
      <c r="I84" s="690"/>
      <c r="J84" s="690"/>
      <c r="K84" s="690"/>
    </row>
    <row r="85" spans="1:13">
      <c r="A85" s="964"/>
      <c r="B85" s="89" t="s">
        <v>1105</v>
      </c>
      <c r="C85" s="89" t="s">
        <v>1107</v>
      </c>
      <c r="D85" s="750"/>
      <c r="E85" s="750"/>
      <c r="F85" s="750"/>
      <c r="G85" s="751"/>
      <c r="H85" s="953"/>
      <c r="I85" s="690"/>
      <c r="J85" s="690"/>
      <c r="K85" s="690"/>
    </row>
    <row r="86" spans="1:13">
      <c r="A86" s="964"/>
      <c r="B86" s="89" t="s">
        <v>1105</v>
      </c>
      <c r="C86" s="89" t="s">
        <v>1108</v>
      </c>
      <c r="D86" s="750"/>
      <c r="E86" s="750"/>
      <c r="F86" s="750"/>
      <c r="G86" s="751"/>
      <c r="H86" s="953"/>
      <c r="I86" s="690"/>
      <c r="J86" s="690"/>
      <c r="K86" s="690"/>
      <c r="M86" s="689"/>
    </row>
    <row r="87" spans="1:13">
      <c r="A87" s="964"/>
      <c r="B87" s="89" t="s">
        <v>1105</v>
      </c>
      <c r="C87" s="89" t="s">
        <v>1109</v>
      </c>
      <c r="D87" s="750"/>
      <c r="E87" s="750"/>
      <c r="F87" s="750"/>
      <c r="G87" s="751"/>
      <c r="H87" s="953"/>
      <c r="I87" s="690"/>
      <c r="J87" s="690"/>
      <c r="K87" s="690"/>
      <c r="M87" s="689"/>
    </row>
    <row r="88" spans="1:13">
      <c r="A88" s="964"/>
      <c r="B88" s="954" t="s">
        <v>1105</v>
      </c>
      <c r="C88" s="955" t="s">
        <v>1110</v>
      </c>
      <c r="D88" s="956"/>
      <c r="E88" s="956"/>
      <c r="F88" s="956"/>
      <c r="G88" s="957"/>
      <c r="H88" s="958"/>
      <c r="I88" s="690"/>
      <c r="J88" s="690"/>
      <c r="K88" s="690"/>
      <c r="M88" s="689"/>
    </row>
    <row r="89" spans="1:13">
      <c r="A89" s="964"/>
      <c r="B89" s="89" t="s">
        <v>1105</v>
      </c>
      <c r="C89" s="89" t="s">
        <v>1111</v>
      </c>
      <c r="D89" s="750"/>
      <c r="E89" s="750"/>
      <c r="F89" s="750"/>
      <c r="G89" s="751"/>
      <c r="H89" s="953"/>
      <c r="I89" s="690"/>
      <c r="J89" s="690"/>
      <c r="K89" s="690"/>
      <c r="M89" s="689"/>
    </row>
    <row r="90" spans="1:13">
      <c r="B90" s="687"/>
      <c r="C90" s="1539" t="s">
        <v>97</v>
      </c>
      <c r="D90" s="1540"/>
      <c r="E90" s="1540"/>
      <c r="F90" s="1540"/>
      <c r="G90" s="1541"/>
      <c r="H90" s="699">
        <f>SUM(H40:H89)</f>
        <v>0</v>
      </c>
      <c r="I90" s="695"/>
      <c r="J90" s="695"/>
      <c r="K90" s="695"/>
    </row>
    <row r="91" spans="1:13">
      <c r="B91" s="691"/>
      <c r="C91" s="685"/>
      <c r="D91" s="696"/>
    </row>
    <row r="92" spans="1:13">
      <c r="C92" s="705"/>
      <c r="D92" s="705"/>
      <c r="E92" s="705"/>
    </row>
    <row r="93" spans="1:13" s="692" customFormat="1"/>
  </sheetData>
  <mergeCells count="57">
    <mergeCell ref="C90:G90"/>
    <mergeCell ref="J28:J30"/>
    <mergeCell ref="K28:K30"/>
    <mergeCell ref="C29:C30"/>
    <mergeCell ref="D29:D30"/>
    <mergeCell ref="E29:E30"/>
    <mergeCell ref="C39:G39"/>
    <mergeCell ref="H28:I29"/>
    <mergeCell ref="A28:A32"/>
    <mergeCell ref="B28:B30"/>
    <mergeCell ref="C28:E28"/>
    <mergeCell ref="F28:F30"/>
    <mergeCell ref="G28:G30"/>
    <mergeCell ref="H22:I23"/>
    <mergeCell ref="J22:J24"/>
    <mergeCell ref="K22:K24"/>
    <mergeCell ref="C23:C24"/>
    <mergeCell ref="D23:D24"/>
    <mergeCell ref="E23:E24"/>
    <mergeCell ref="J16:J18"/>
    <mergeCell ref="K16:K18"/>
    <mergeCell ref="C17:C18"/>
    <mergeCell ref="D17:D18"/>
    <mergeCell ref="E17:E18"/>
    <mergeCell ref="H16:I17"/>
    <mergeCell ref="A22:A26"/>
    <mergeCell ref="B22:B24"/>
    <mergeCell ref="C22:E22"/>
    <mergeCell ref="F22:F24"/>
    <mergeCell ref="G22:G24"/>
    <mergeCell ref="A16:A20"/>
    <mergeCell ref="B16:B18"/>
    <mergeCell ref="C16:E16"/>
    <mergeCell ref="F16:F18"/>
    <mergeCell ref="G16:G18"/>
    <mergeCell ref="H10:I11"/>
    <mergeCell ref="J10:J12"/>
    <mergeCell ref="K10:K12"/>
    <mergeCell ref="C11:C12"/>
    <mergeCell ref="D11:D12"/>
    <mergeCell ref="E11:E12"/>
    <mergeCell ref="J4:J6"/>
    <mergeCell ref="K4:K6"/>
    <mergeCell ref="C5:C6"/>
    <mergeCell ref="D5:D6"/>
    <mergeCell ref="E5:E6"/>
    <mergeCell ref="H4:I5"/>
    <mergeCell ref="A10:A14"/>
    <mergeCell ref="B10:B12"/>
    <mergeCell ref="C10:E10"/>
    <mergeCell ref="F10:F12"/>
    <mergeCell ref="G10:G12"/>
    <mergeCell ref="A4:A8"/>
    <mergeCell ref="B4:B6"/>
    <mergeCell ref="C4:E4"/>
    <mergeCell ref="F4:F6"/>
    <mergeCell ref="G4:G6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showGridLines="0" zoomScaleNormal="100" workbookViewId="0">
      <pane xSplit="4" ySplit="3" topLeftCell="E34" activePane="bottomRight" state="frozen"/>
      <selection pane="topRight" activeCell="E1" sqref="E1"/>
      <selection pane="bottomLeft" activeCell="A4" sqref="A4"/>
      <selection pane="bottomRight" activeCell="A43" sqref="A43:XFD58"/>
    </sheetView>
  </sheetViews>
  <sheetFormatPr defaultRowHeight="14.25"/>
  <cols>
    <col min="1" max="1" width="9" style="552"/>
    <col min="2" max="2" width="13.125" style="552" bestFit="1" customWidth="1"/>
    <col min="3" max="3" width="10.25" style="552" bestFit="1" customWidth="1"/>
    <col min="4" max="4" width="11.375" style="552" bestFit="1" customWidth="1"/>
    <col min="5" max="5" width="14" style="552" bestFit="1" customWidth="1"/>
    <col min="6" max="6" width="10.25" style="552" bestFit="1" customWidth="1"/>
    <col min="7" max="8" width="8.5" style="552" bestFit="1" customWidth="1"/>
    <col min="9" max="9" width="11.625" style="833" bestFit="1" customWidth="1"/>
    <col min="10" max="10" width="10.625" style="833" customWidth="1"/>
    <col min="11" max="11" width="11.625" style="833" bestFit="1" customWidth="1"/>
    <col min="12" max="12" width="33.375" style="552" customWidth="1"/>
    <col min="13" max="13" width="10.875" style="833" bestFit="1" customWidth="1"/>
    <col min="14" max="14" width="12.875" style="833" customWidth="1"/>
    <col min="15" max="15" width="9.5" style="833" customWidth="1"/>
    <col min="16" max="16" width="12.125" style="833" bestFit="1" customWidth="1"/>
    <col min="17" max="16384" width="9" style="552"/>
  </cols>
  <sheetData>
    <row r="1" spans="1:17" s="804" customFormat="1" ht="30" customHeight="1" thickTop="1">
      <c r="A1" s="1543" t="s">
        <v>796</v>
      </c>
      <c r="B1" s="1544"/>
      <c r="C1" s="1544"/>
      <c r="D1" s="1544"/>
      <c r="E1" s="1544"/>
      <c r="F1" s="1544"/>
      <c r="G1" s="1544"/>
      <c r="H1" s="1544"/>
      <c r="I1" s="1544"/>
      <c r="J1" s="1544"/>
      <c r="K1" s="1544"/>
      <c r="L1" s="1544"/>
      <c r="M1" s="1544"/>
      <c r="N1" s="1544"/>
      <c r="O1" s="1544"/>
      <c r="P1" s="1545"/>
      <c r="Q1" s="552"/>
    </row>
    <row r="2" spans="1:17" s="804" customFormat="1">
      <c r="A2" s="1546" t="s">
        <v>797</v>
      </c>
      <c r="B2" s="1546"/>
      <c r="C2" s="1546"/>
      <c r="D2" s="1546"/>
      <c r="E2" s="1546"/>
      <c r="F2" s="1546"/>
      <c r="G2" s="1546"/>
      <c r="H2" s="1546"/>
      <c r="I2" s="1546"/>
      <c r="J2" s="1546"/>
      <c r="K2" s="1546"/>
      <c r="L2" s="1546"/>
      <c r="M2" s="1547" t="s">
        <v>798</v>
      </c>
      <c r="N2" s="1547"/>
      <c r="O2" s="1548" t="s">
        <v>799</v>
      </c>
      <c r="P2" s="1549"/>
      <c r="Q2" s="552"/>
    </row>
    <row r="3" spans="1:17" s="804" customFormat="1" ht="24">
      <c r="A3" s="805" t="s">
        <v>800</v>
      </c>
      <c r="B3" s="806" t="s">
        <v>801</v>
      </c>
      <c r="C3" s="806" t="s">
        <v>802</v>
      </c>
      <c r="D3" s="807" t="s">
        <v>803</v>
      </c>
      <c r="E3" s="807" t="s">
        <v>804</v>
      </c>
      <c r="F3" s="808" t="s">
        <v>805</v>
      </c>
      <c r="G3" s="807" t="s">
        <v>806</v>
      </c>
      <c r="H3" s="807" t="s">
        <v>262</v>
      </c>
      <c r="I3" s="809" t="s">
        <v>807</v>
      </c>
      <c r="J3" s="810" t="s">
        <v>808</v>
      </c>
      <c r="K3" s="810" t="s">
        <v>809</v>
      </c>
      <c r="L3" s="811" t="s">
        <v>571</v>
      </c>
      <c r="M3" s="810" t="s">
        <v>810</v>
      </c>
      <c r="N3" s="810" t="s">
        <v>811</v>
      </c>
      <c r="O3" s="812" t="s">
        <v>812</v>
      </c>
      <c r="P3" s="813" t="s">
        <v>813</v>
      </c>
      <c r="Q3" s="552"/>
    </row>
    <row r="4" spans="1:17" ht="14.25" customHeight="1">
      <c r="A4" s="814">
        <v>1</v>
      </c>
      <c r="B4" s="322"/>
      <c r="C4" s="322"/>
      <c r="D4" s="19"/>
      <c r="E4" s="19"/>
      <c r="F4" s="19"/>
      <c r="G4" s="19"/>
      <c r="H4" s="19"/>
      <c r="I4" s="815"/>
      <c r="J4" s="815"/>
      <c r="K4" s="815"/>
      <c r="L4" s="21"/>
      <c r="M4" s="816"/>
      <c r="N4" s="816"/>
      <c r="O4" s="816"/>
      <c r="P4" s="816"/>
    </row>
    <row r="5" spans="1:17" ht="14.25" customHeight="1">
      <c r="A5" s="814">
        <v>2</v>
      </c>
      <c r="B5" s="322"/>
      <c r="C5" s="322"/>
      <c r="D5" s="19"/>
      <c r="E5" s="19"/>
      <c r="F5" s="20"/>
      <c r="G5" s="19"/>
      <c r="H5" s="19"/>
      <c r="I5" s="815"/>
      <c r="J5" s="815"/>
      <c r="K5" s="815"/>
      <c r="L5" s="21"/>
      <c r="M5" s="816"/>
      <c r="N5" s="816"/>
      <c r="O5" s="816"/>
      <c r="P5" s="816"/>
    </row>
    <row r="6" spans="1:17" ht="14.25" customHeight="1">
      <c r="A6" s="814">
        <v>3</v>
      </c>
      <c r="B6" s="322"/>
      <c r="C6" s="322"/>
      <c r="D6" s="19"/>
      <c r="E6" s="19"/>
      <c r="F6" s="20"/>
      <c r="G6" s="19"/>
      <c r="H6" s="19"/>
      <c r="I6" s="815"/>
      <c r="J6" s="815"/>
      <c r="K6" s="815"/>
      <c r="L6" s="21"/>
      <c r="M6" s="816"/>
      <c r="N6" s="816"/>
      <c r="O6" s="816"/>
      <c r="P6" s="816"/>
    </row>
    <row r="7" spans="1:17" ht="14.25" customHeight="1">
      <c r="A7" s="814">
        <v>4</v>
      </c>
      <c r="B7" s="328"/>
      <c r="C7" s="817"/>
      <c r="D7" s="325"/>
      <c r="E7" s="325"/>
      <c r="F7" s="329"/>
      <c r="G7" s="325"/>
      <c r="H7" s="325"/>
      <c r="I7" s="815"/>
      <c r="J7" s="818"/>
      <c r="K7" s="818"/>
      <c r="L7" s="21"/>
      <c r="M7" s="816"/>
      <c r="N7" s="816"/>
      <c r="O7" s="816"/>
      <c r="P7" s="816"/>
    </row>
    <row r="8" spans="1:17" ht="14.25" customHeight="1">
      <c r="A8" s="814">
        <v>5</v>
      </c>
      <c r="B8" s="22"/>
      <c r="C8" s="22"/>
      <c r="D8" s="19"/>
      <c r="E8" s="19"/>
      <c r="F8" s="20"/>
      <c r="G8" s="19"/>
      <c r="H8" s="19"/>
      <c r="I8" s="815"/>
      <c r="J8" s="815"/>
      <c r="K8" s="815"/>
      <c r="L8" s="21"/>
      <c r="M8" s="816"/>
      <c r="N8" s="816"/>
      <c r="O8" s="816"/>
      <c r="P8" s="816"/>
    </row>
    <row r="9" spans="1:17" ht="14.25" customHeight="1">
      <c r="A9" s="814">
        <v>6</v>
      </c>
      <c r="B9" s="322"/>
      <c r="C9" s="322"/>
      <c r="D9" s="19"/>
      <c r="E9" s="19"/>
      <c r="F9" s="20"/>
      <c r="G9" s="19"/>
      <c r="H9" s="19"/>
      <c r="I9" s="815"/>
      <c r="J9" s="815"/>
      <c r="K9" s="815"/>
      <c r="L9" s="21"/>
      <c r="M9" s="816"/>
      <c r="N9" s="816"/>
      <c r="O9" s="816"/>
      <c r="P9" s="816"/>
    </row>
    <row r="10" spans="1:17" ht="14.25" customHeight="1">
      <c r="A10" s="814">
        <v>7</v>
      </c>
      <c r="B10" s="322"/>
      <c r="C10" s="551"/>
      <c r="D10" s="19"/>
      <c r="E10" s="19"/>
      <c r="F10" s="20"/>
      <c r="G10" s="19"/>
      <c r="H10" s="19"/>
      <c r="I10" s="815"/>
      <c r="J10" s="815"/>
      <c r="K10" s="815"/>
      <c r="L10" s="819"/>
      <c r="M10" s="816"/>
      <c r="N10" s="816"/>
      <c r="O10" s="816"/>
      <c r="P10" s="816"/>
    </row>
    <row r="11" spans="1:17" ht="14.25" customHeight="1">
      <c r="A11" s="814">
        <v>8</v>
      </c>
      <c r="B11" s="322"/>
      <c r="C11" s="322"/>
      <c r="D11" s="19"/>
      <c r="E11" s="19"/>
      <c r="F11" s="20"/>
      <c r="G11" s="19"/>
      <c r="H11" s="19"/>
      <c r="I11" s="815"/>
      <c r="J11" s="815"/>
      <c r="K11" s="815"/>
      <c r="L11" s="21"/>
      <c r="M11" s="816"/>
      <c r="N11" s="816"/>
      <c r="O11" s="816"/>
      <c r="P11" s="816"/>
    </row>
    <row r="12" spans="1:17" s="820" customFormat="1" ht="14.25" customHeight="1">
      <c r="A12" s="814">
        <v>9</v>
      </c>
      <c r="B12" s="322"/>
      <c r="C12" s="322"/>
      <c r="D12" s="323"/>
      <c r="E12" s="323"/>
      <c r="F12" s="20"/>
      <c r="G12" s="324"/>
      <c r="H12" s="325"/>
      <c r="I12" s="815"/>
      <c r="J12" s="815"/>
      <c r="K12" s="815"/>
      <c r="L12" s="21"/>
      <c r="M12" s="816"/>
      <c r="N12" s="816"/>
      <c r="O12" s="816"/>
      <c r="P12" s="547"/>
      <c r="Q12" s="552"/>
    </row>
    <row r="13" spans="1:17" s="820" customFormat="1" ht="14.25" customHeight="1">
      <c r="A13" s="814">
        <v>10</v>
      </c>
      <c r="B13" s="322"/>
      <c r="C13" s="322"/>
      <c r="D13" s="325"/>
      <c r="E13" s="325"/>
      <c r="F13" s="20"/>
      <c r="G13" s="325"/>
      <c r="H13" s="325"/>
      <c r="I13" s="815"/>
      <c r="J13" s="815"/>
      <c r="K13" s="815"/>
      <c r="L13" s="21"/>
      <c r="M13" s="816"/>
      <c r="N13" s="816"/>
      <c r="O13" s="816"/>
      <c r="P13" s="816"/>
      <c r="Q13" s="552"/>
    </row>
    <row r="14" spans="1:17" ht="14.25" customHeight="1">
      <c r="A14" s="814">
        <v>11</v>
      </c>
      <c r="B14" s="322"/>
      <c r="C14" s="322"/>
      <c r="D14" s="325"/>
      <c r="E14" s="325"/>
      <c r="F14" s="20"/>
      <c r="G14" s="325"/>
      <c r="H14" s="325"/>
      <c r="I14" s="815"/>
      <c r="J14" s="815"/>
      <c r="K14" s="815"/>
      <c r="L14" s="819"/>
      <c r="M14" s="816"/>
      <c r="N14" s="816"/>
      <c r="O14" s="816"/>
      <c r="P14" s="816"/>
    </row>
    <row r="15" spans="1:17" ht="14.25" customHeight="1">
      <c r="A15" s="814">
        <v>12</v>
      </c>
      <c r="B15" s="322"/>
      <c r="C15" s="322"/>
      <c r="D15" s="325"/>
      <c r="E15" s="325"/>
      <c r="F15" s="20"/>
      <c r="G15" s="325"/>
      <c r="H15" s="325"/>
      <c r="I15" s="815"/>
      <c r="J15" s="815"/>
      <c r="K15" s="815"/>
      <c r="L15" s="21"/>
      <c r="M15" s="816"/>
      <c r="N15" s="816"/>
      <c r="O15" s="816"/>
      <c r="P15" s="816"/>
    </row>
    <row r="16" spans="1:17" ht="14.25" customHeight="1">
      <c r="A16" s="814">
        <v>13</v>
      </c>
      <c r="B16" s="20"/>
      <c r="C16" s="20"/>
      <c r="D16" s="19"/>
      <c r="E16" s="19"/>
      <c r="F16" s="20"/>
      <c r="G16" s="326"/>
      <c r="H16" s="326"/>
      <c r="I16" s="815"/>
      <c r="J16" s="815"/>
      <c r="K16" s="815"/>
      <c r="L16" s="21"/>
      <c r="M16" s="816"/>
      <c r="N16" s="816"/>
      <c r="O16" s="816"/>
      <c r="P16" s="816"/>
    </row>
    <row r="17" spans="1:16" ht="14.25" customHeight="1">
      <c r="A17" s="814">
        <v>14</v>
      </c>
      <c r="B17" s="20"/>
      <c r="C17" s="327"/>
      <c r="D17" s="19"/>
      <c r="E17" s="19"/>
      <c r="F17" s="20"/>
      <c r="G17" s="326"/>
      <c r="H17" s="326"/>
      <c r="I17" s="815"/>
      <c r="J17" s="815"/>
      <c r="K17" s="815"/>
      <c r="L17" s="21"/>
      <c r="M17" s="816"/>
      <c r="N17" s="816"/>
      <c r="O17" s="816"/>
      <c r="P17" s="816"/>
    </row>
    <row r="18" spans="1:16" ht="14.25" customHeight="1">
      <c r="A18" s="814">
        <v>15</v>
      </c>
      <c r="B18" s="20"/>
      <c r="C18" s="821"/>
      <c r="D18" s="19"/>
      <c r="E18" s="19"/>
      <c r="F18" s="20"/>
      <c r="G18" s="326"/>
      <c r="H18" s="326"/>
      <c r="I18" s="815"/>
      <c r="J18" s="815"/>
      <c r="K18" s="815"/>
      <c r="L18" s="819"/>
      <c r="M18" s="816"/>
      <c r="N18" s="816"/>
      <c r="O18" s="816"/>
      <c r="P18" s="816"/>
    </row>
    <row r="19" spans="1:16" ht="14.25" customHeight="1">
      <c r="A19" s="814">
        <v>16</v>
      </c>
      <c r="B19" s="323"/>
      <c r="C19" s="323"/>
      <c r="D19" s="19"/>
      <c r="E19" s="19"/>
      <c r="F19" s="20"/>
      <c r="G19" s="19"/>
      <c r="H19" s="19"/>
      <c r="I19" s="815"/>
      <c r="J19" s="815"/>
      <c r="K19" s="815"/>
      <c r="L19" s="819"/>
      <c r="M19" s="816"/>
      <c r="N19" s="816"/>
      <c r="O19" s="816"/>
      <c r="P19" s="822"/>
    </row>
    <row r="20" spans="1:16" ht="14.25" customHeight="1">
      <c r="A20" s="814">
        <v>17</v>
      </c>
      <c r="B20" s="322"/>
      <c r="C20" s="322"/>
      <c r="D20" s="323"/>
      <c r="E20" s="323"/>
      <c r="F20" s="20"/>
      <c r="G20" s="323"/>
      <c r="H20" s="323"/>
      <c r="I20" s="815"/>
      <c r="J20" s="815"/>
      <c r="K20" s="815"/>
      <c r="L20" s="21"/>
      <c r="M20" s="816"/>
      <c r="N20" s="816"/>
      <c r="O20" s="816"/>
      <c r="P20" s="816"/>
    </row>
    <row r="21" spans="1:16" ht="14.25" customHeight="1">
      <c r="A21" s="814">
        <v>18</v>
      </c>
      <c r="B21" s="322"/>
      <c r="C21" s="322"/>
      <c r="D21" s="19"/>
      <c r="E21" s="19"/>
      <c r="F21" s="20"/>
      <c r="G21" s="19"/>
      <c r="H21" s="323"/>
      <c r="I21" s="815"/>
      <c r="J21" s="815"/>
      <c r="K21" s="815"/>
      <c r="L21" s="21"/>
      <c r="M21" s="816"/>
      <c r="N21" s="816"/>
      <c r="O21" s="816"/>
      <c r="P21" s="816"/>
    </row>
    <row r="22" spans="1:16" ht="14.25" customHeight="1">
      <c r="A22" s="814">
        <v>19</v>
      </c>
      <c r="B22" s="322"/>
      <c r="C22" s="322"/>
      <c r="D22" s="19"/>
      <c r="E22" s="19"/>
      <c r="F22" s="20"/>
      <c r="G22" s="19"/>
      <c r="H22" s="323"/>
      <c r="I22" s="815"/>
      <c r="J22" s="815"/>
      <c r="K22" s="815"/>
      <c r="L22" s="819"/>
      <c r="M22" s="816"/>
      <c r="N22" s="816"/>
      <c r="O22" s="816"/>
      <c r="P22" s="816"/>
    </row>
    <row r="23" spans="1:16" ht="14.25" customHeight="1">
      <c r="A23" s="814">
        <v>20</v>
      </c>
      <c r="B23" s="328"/>
      <c r="C23" s="20"/>
      <c r="D23" s="325"/>
      <c r="E23" s="325"/>
      <c r="F23" s="329"/>
      <c r="G23" s="325"/>
      <c r="H23" s="323"/>
      <c r="I23" s="815"/>
      <c r="J23" s="815"/>
      <c r="K23" s="815"/>
      <c r="L23" s="21"/>
      <c r="M23" s="816"/>
      <c r="N23" s="816"/>
      <c r="O23" s="816"/>
      <c r="P23" s="816"/>
    </row>
    <row r="24" spans="1:16" ht="14.25" customHeight="1">
      <c r="A24" s="814">
        <v>21</v>
      </c>
      <c r="B24" s="328"/>
      <c r="C24" s="20"/>
      <c r="D24" s="325"/>
      <c r="E24" s="325"/>
      <c r="F24" s="329"/>
      <c r="G24" s="325"/>
      <c r="H24" s="323"/>
      <c r="I24" s="815"/>
      <c r="J24" s="815"/>
      <c r="K24" s="815"/>
      <c r="L24" s="21"/>
      <c r="M24" s="816"/>
      <c r="N24" s="816"/>
      <c r="O24" s="816"/>
      <c r="P24" s="816"/>
    </row>
    <row r="25" spans="1:16" ht="14.25" customHeight="1">
      <c r="A25" s="814">
        <v>22</v>
      </c>
      <c r="B25" s="328"/>
      <c r="C25" s="819"/>
      <c r="D25" s="19"/>
      <c r="E25" s="19"/>
      <c r="F25" s="329"/>
      <c r="G25" s="325"/>
      <c r="H25" s="325"/>
      <c r="I25" s="815"/>
      <c r="J25" s="815"/>
      <c r="K25" s="815"/>
      <c r="L25" s="21"/>
      <c r="M25" s="816"/>
      <c r="N25" s="816"/>
      <c r="O25" s="816"/>
      <c r="P25" s="816"/>
    </row>
    <row r="26" spans="1:16" ht="14.25" customHeight="1">
      <c r="A26" s="814">
        <v>23</v>
      </c>
      <c r="B26" s="328"/>
      <c r="C26" s="819"/>
      <c r="D26" s="19"/>
      <c r="E26" s="19"/>
      <c r="F26" s="329"/>
      <c r="G26" s="325"/>
      <c r="H26" s="325"/>
      <c r="I26" s="815"/>
      <c r="J26" s="815"/>
      <c r="K26" s="815"/>
      <c r="L26" s="21"/>
      <c r="M26" s="816"/>
      <c r="N26" s="816"/>
      <c r="O26" s="816"/>
      <c r="P26" s="816"/>
    </row>
    <row r="27" spans="1:16" ht="14.25" customHeight="1" thickBot="1">
      <c r="A27" s="553" t="s">
        <v>814</v>
      </c>
      <c r="B27" s="553"/>
      <c r="C27" s="553"/>
      <c r="D27" s="823"/>
      <c r="E27" s="823"/>
      <c r="F27" s="823"/>
      <c r="G27" s="823"/>
      <c r="H27" s="823"/>
      <c r="I27" s="823"/>
      <c r="J27" s="824"/>
      <c r="K27" s="824"/>
      <c r="L27" s="825"/>
      <c r="M27" s="554"/>
      <c r="N27" s="554"/>
      <c r="O27" s="555"/>
      <c r="P27" s="555"/>
    </row>
    <row r="28" spans="1:16" ht="21" customHeight="1" thickTop="1">
      <c r="A28" s="826"/>
      <c r="B28" s="827"/>
      <c r="C28" s="827"/>
      <c r="D28" s="828"/>
      <c r="E28" s="828"/>
      <c r="F28" s="828"/>
      <c r="G28" s="828"/>
      <c r="H28" s="828"/>
      <c r="I28" s="829"/>
      <c r="J28" s="830"/>
      <c r="K28" s="830"/>
      <c r="L28" s="831"/>
      <c r="M28" s="832"/>
      <c r="P28" s="548"/>
    </row>
    <row r="29" spans="1:16" ht="21" customHeight="1">
      <c r="B29" s="826" t="s">
        <v>815</v>
      </c>
      <c r="C29" s="826" t="s">
        <v>816</v>
      </c>
      <c r="D29" s="826" t="s">
        <v>817</v>
      </c>
      <c r="E29" s="826" t="s">
        <v>818</v>
      </c>
      <c r="F29" s="826" t="s">
        <v>819</v>
      </c>
      <c r="G29" s="550" t="s">
        <v>820</v>
      </c>
      <c r="H29" s="828"/>
      <c r="I29" s="829"/>
      <c r="J29" s="830"/>
      <c r="K29" s="830"/>
      <c r="L29" s="831"/>
      <c r="M29" s="832"/>
      <c r="N29" s="834"/>
      <c r="O29" s="549"/>
      <c r="P29" s="548"/>
    </row>
    <row r="30" spans="1:16" ht="21" customHeight="1">
      <c r="A30" s="826" t="s">
        <v>821</v>
      </c>
      <c r="B30" s="835">
        <f>K4+K5+K9+K17+K18</f>
        <v>0</v>
      </c>
      <c r="C30" s="835">
        <f>K6+K12+K13+K14+K15+K16</f>
        <v>0</v>
      </c>
      <c r="D30" s="836">
        <f>K8+K20+K21+K23+K24+K7+K25+K26</f>
        <v>0</v>
      </c>
      <c r="E30" s="836">
        <f>K10+K11+K19+K22</f>
        <v>0</v>
      </c>
      <c r="F30" s="836">
        <f>SUM(B30:E30)</f>
        <v>0</v>
      </c>
      <c r="G30" s="828"/>
      <c r="H30" s="828"/>
      <c r="I30" s="829"/>
      <c r="J30" s="830"/>
      <c r="K30" s="830"/>
      <c r="L30" s="837" t="s">
        <v>822</v>
      </c>
      <c r="M30" s="549">
        <f>K27+P27+N27</f>
        <v>0</v>
      </c>
      <c r="N30" s="834"/>
      <c r="O30" s="549"/>
      <c r="P30" s="548"/>
    </row>
    <row r="31" spans="1:16" ht="23.25" customHeight="1">
      <c r="A31" s="826" t="s">
        <v>823</v>
      </c>
      <c r="B31" s="838">
        <f>(N27+P27)/12*3</f>
        <v>0</v>
      </c>
      <c r="C31" s="838">
        <f>B31</f>
        <v>0</v>
      </c>
      <c r="D31" s="838">
        <f>B31</f>
        <v>0</v>
      </c>
      <c r="E31" s="838">
        <f>B31</f>
        <v>0</v>
      </c>
      <c r="F31" s="839">
        <f>SUM(B31:E31)</f>
        <v>0</v>
      </c>
      <c r="G31" s="840">
        <f>F31/12</f>
        <v>0</v>
      </c>
      <c r="H31" s="841"/>
      <c r="I31" s="838"/>
      <c r="J31" s="842"/>
      <c r="K31" s="842"/>
      <c r="L31" s="843"/>
      <c r="M31" s="844"/>
      <c r="N31" s="844"/>
      <c r="O31" s="844"/>
      <c r="P31" s="844"/>
    </row>
    <row r="32" spans="1:16" ht="23.25" customHeight="1">
      <c r="A32" s="845"/>
      <c r="B32" s="845"/>
      <c r="C32" s="845"/>
      <c r="D32" s="841"/>
      <c r="E32" s="841"/>
      <c r="F32" s="841"/>
      <c r="G32" s="841"/>
      <c r="H32" s="841"/>
      <c r="I32" s="838"/>
      <c r="J32" s="842"/>
      <c r="K32" s="842"/>
      <c r="L32" s="843"/>
      <c r="M32" s="844"/>
      <c r="N32" s="844"/>
      <c r="O32" s="844"/>
      <c r="P32" s="844"/>
    </row>
    <row r="33" spans="1:12">
      <c r="A33" s="846"/>
      <c r="B33" s="847" t="s">
        <v>824</v>
      </c>
    </row>
    <row r="35" spans="1:12">
      <c r="A35" s="847" t="s">
        <v>825</v>
      </c>
      <c r="B35" s="847"/>
      <c r="C35" s="847"/>
      <c r="D35" s="820"/>
      <c r="E35" s="820"/>
      <c r="F35" s="820"/>
      <c r="G35" s="820"/>
      <c r="H35" s="820"/>
      <c r="I35" s="848"/>
      <c r="J35" s="848"/>
      <c r="K35" s="848"/>
      <c r="L35" s="820"/>
    </row>
    <row r="36" spans="1:12">
      <c r="A36" s="820"/>
      <c r="B36" s="820"/>
      <c r="C36" s="820"/>
      <c r="D36" s="820"/>
      <c r="E36" s="820"/>
      <c r="F36" s="820"/>
      <c r="G36" s="820"/>
      <c r="H36" s="820"/>
      <c r="I36" s="848"/>
      <c r="J36" s="848"/>
      <c r="K36" s="848"/>
      <c r="L36" s="820"/>
    </row>
    <row r="37" spans="1:12">
      <c r="A37" s="820"/>
      <c r="B37" s="820"/>
      <c r="C37" s="820"/>
      <c r="D37" s="820"/>
      <c r="E37" s="820"/>
      <c r="F37" s="820"/>
      <c r="G37" s="820"/>
      <c r="H37" s="820"/>
      <c r="I37" s="848"/>
      <c r="J37" s="848"/>
      <c r="K37" s="848"/>
      <c r="L37" s="820"/>
    </row>
    <row r="38" spans="1:12">
      <c r="A38" s="820"/>
      <c r="B38" s="820"/>
      <c r="C38" s="820"/>
      <c r="D38" s="820"/>
      <c r="E38" s="820"/>
      <c r="F38" s="820"/>
      <c r="G38" s="820"/>
      <c r="H38" s="820"/>
      <c r="I38" s="848"/>
      <c r="J38" s="848"/>
      <c r="K38" s="848"/>
      <c r="L38" s="820"/>
    </row>
    <row r="39" spans="1:12">
      <c r="A39" s="820"/>
      <c r="B39" s="820"/>
      <c r="C39" s="820"/>
      <c r="D39" s="820"/>
      <c r="E39" s="820"/>
      <c r="F39" s="820"/>
      <c r="G39" s="820"/>
      <c r="H39" s="820"/>
      <c r="I39" s="848"/>
      <c r="J39" s="848"/>
      <c r="K39" s="848"/>
      <c r="L39" s="820"/>
    </row>
    <row r="40" spans="1:12">
      <c r="A40" s="820"/>
      <c r="B40" s="820"/>
      <c r="C40" s="820"/>
      <c r="D40" s="820"/>
      <c r="E40" s="820"/>
      <c r="F40" s="820"/>
      <c r="G40" s="820"/>
      <c r="H40" s="820"/>
      <c r="I40" s="848"/>
      <c r="J40" s="848"/>
      <c r="K40" s="848"/>
      <c r="L40" s="820"/>
    </row>
    <row r="41" spans="1:12">
      <c r="A41" s="820"/>
      <c r="B41" s="820"/>
      <c r="C41" s="820"/>
      <c r="D41" s="820"/>
      <c r="E41" s="820"/>
      <c r="F41" s="820"/>
      <c r="G41" s="820"/>
      <c r="H41" s="820"/>
      <c r="I41" s="848"/>
      <c r="J41" s="848"/>
      <c r="K41" s="848"/>
      <c r="L41" s="820"/>
    </row>
    <row r="42" spans="1:12">
      <c r="A42" s="820"/>
      <c r="B42" s="820"/>
      <c r="C42" s="820"/>
      <c r="D42" s="820"/>
      <c r="E42" s="820"/>
      <c r="F42" s="820"/>
      <c r="G42" s="820"/>
      <c r="H42" s="820"/>
      <c r="I42" s="848"/>
      <c r="J42" s="848"/>
      <c r="K42" s="848"/>
      <c r="L42" s="820"/>
    </row>
    <row r="43" spans="1:12">
      <c r="A43" s="847"/>
      <c r="B43" s="820"/>
      <c r="C43" s="820"/>
      <c r="D43" s="820"/>
      <c r="E43" s="820"/>
      <c r="F43" s="820"/>
      <c r="G43" s="820"/>
      <c r="H43" s="820"/>
      <c r="I43" s="848"/>
      <c r="J43" s="848"/>
      <c r="K43" s="848"/>
      <c r="L43" s="820"/>
    </row>
    <row r="44" spans="1:12">
      <c r="A44" s="820"/>
      <c r="B44" s="820"/>
      <c r="C44" s="820"/>
      <c r="D44" s="820"/>
      <c r="E44" s="820"/>
      <c r="F44" s="820"/>
      <c r="G44" s="820"/>
      <c r="H44" s="820"/>
      <c r="I44" s="848"/>
      <c r="J44" s="848"/>
      <c r="K44" s="848"/>
      <c r="L44" s="820"/>
    </row>
    <row r="45" spans="1:12">
      <c r="A45" s="820"/>
      <c r="B45" s="820"/>
      <c r="C45" s="820"/>
      <c r="D45" s="820"/>
      <c r="E45" s="820"/>
      <c r="F45" s="820"/>
      <c r="G45" s="820"/>
      <c r="H45" s="820"/>
      <c r="I45" s="848"/>
      <c r="J45" s="848"/>
      <c r="K45" s="848"/>
      <c r="L45" s="820"/>
    </row>
    <row r="46" spans="1:12">
      <c r="A46" s="820"/>
      <c r="B46" s="820"/>
      <c r="C46" s="820"/>
      <c r="D46" s="820"/>
      <c r="E46" s="820"/>
      <c r="F46" s="820"/>
      <c r="G46" s="820"/>
      <c r="H46" s="820"/>
      <c r="I46" s="848"/>
      <c r="J46" s="848"/>
      <c r="K46" s="848"/>
      <c r="L46" s="820"/>
    </row>
    <row r="47" spans="1:12">
      <c r="A47" s="820"/>
      <c r="B47" s="820"/>
      <c r="C47" s="820"/>
      <c r="D47" s="820"/>
      <c r="E47" s="820"/>
      <c r="F47" s="820"/>
      <c r="G47" s="820"/>
      <c r="H47" s="820"/>
      <c r="I47" s="848"/>
      <c r="J47" s="848"/>
      <c r="K47" s="848"/>
      <c r="L47" s="820"/>
    </row>
    <row r="48" spans="1:12">
      <c r="A48" s="820"/>
      <c r="B48" s="820"/>
      <c r="C48" s="820"/>
      <c r="D48" s="820"/>
      <c r="E48" s="820"/>
      <c r="F48" s="820"/>
      <c r="G48" s="820"/>
      <c r="H48" s="820"/>
      <c r="I48" s="848"/>
      <c r="J48" s="848"/>
      <c r="K48" s="848"/>
      <c r="L48" s="820"/>
    </row>
    <row r="49" spans="1:12">
      <c r="A49" s="820"/>
      <c r="B49" s="820"/>
      <c r="C49" s="820"/>
      <c r="D49" s="820"/>
      <c r="E49" s="820"/>
      <c r="F49" s="820"/>
      <c r="G49" s="820"/>
      <c r="H49" s="820"/>
      <c r="I49" s="848"/>
      <c r="J49" s="848"/>
      <c r="K49" s="848"/>
      <c r="L49" s="820"/>
    </row>
    <row r="50" spans="1:12">
      <c r="A50" s="820"/>
      <c r="B50" s="820"/>
      <c r="C50" s="820"/>
      <c r="D50" s="820"/>
      <c r="E50" s="820"/>
      <c r="F50" s="820"/>
      <c r="G50" s="820"/>
      <c r="H50" s="820"/>
      <c r="I50" s="848"/>
      <c r="J50" s="848"/>
      <c r="K50" s="848"/>
      <c r="L50" s="820"/>
    </row>
    <row r="51" spans="1:12">
      <c r="A51" s="820"/>
      <c r="B51" s="820"/>
      <c r="C51" s="820"/>
      <c r="D51" s="820"/>
      <c r="E51" s="820"/>
      <c r="F51" s="820"/>
      <c r="G51" s="820"/>
      <c r="H51" s="820"/>
      <c r="I51" s="848"/>
      <c r="J51" s="848"/>
      <c r="K51" s="848"/>
      <c r="L51" s="820"/>
    </row>
    <row r="52" spans="1:12">
      <c r="A52" s="820"/>
      <c r="B52" s="820"/>
      <c r="C52" s="820"/>
      <c r="D52" s="820"/>
      <c r="E52" s="820"/>
      <c r="F52" s="820"/>
      <c r="G52" s="820"/>
      <c r="H52" s="820"/>
      <c r="I52" s="848"/>
      <c r="J52" s="848"/>
      <c r="K52" s="848"/>
      <c r="L52" s="820"/>
    </row>
    <row r="53" spans="1:12">
      <c r="A53" s="847"/>
      <c r="B53" s="847"/>
      <c r="C53" s="847"/>
      <c r="D53" s="820"/>
      <c r="E53" s="820"/>
      <c r="F53" s="820"/>
      <c r="G53" s="820"/>
      <c r="H53" s="820"/>
      <c r="I53" s="848"/>
      <c r="J53" s="848"/>
      <c r="K53" s="848"/>
      <c r="L53" s="820"/>
    </row>
    <row r="54" spans="1:12">
      <c r="A54" s="820"/>
      <c r="B54" s="820"/>
      <c r="C54" s="820"/>
      <c r="D54" s="820"/>
      <c r="E54" s="820"/>
      <c r="F54" s="820"/>
      <c r="G54" s="820"/>
      <c r="H54" s="820"/>
      <c r="I54" s="848"/>
      <c r="J54" s="848"/>
      <c r="K54" s="848"/>
      <c r="L54" s="820"/>
    </row>
    <row r="55" spans="1:12">
      <c r="A55" s="820"/>
      <c r="B55" s="820"/>
      <c r="C55" s="820"/>
      <c r="D55" s="820"/>
      <c r="E55" s="820"/>
      <c r="F55" s="820"/>
      <c r="G55" s="820"/>
      <c r="H55" s="820"/>
      <c r="I55" s="848"/>
      <c r="J55" s="848"/>
      <c r="K55" s="848"/>
      <c r="L55" s="820"/>
    </row>
    <row r="56" spans="1:12">
      <c r="A56" s="847"/>
      <c r="B56" s="847"/>
      <c r="C56" s="847"/>
      <c r="D56" s="820"/>
      <c r="E56" s="820"/>
      <c r="F56" s="820"/>
      <c r="G56" s="820"/>
      <c r="H56" s="820"/>
      <c r="I56" s="848"/>
      <c r="J56" s="848"/>
      <c r="K56" s="848"/>
      <c r="L56" s="820"/>
    </row>
    <row r="57" spans="1:12">
      <c r="A57" s="820"/>
      <c r="B57" s="820"/>
      <c r="C57" s="820"/>
      <c r="D57" s="820"/>
      <c r="E57" s="820"/>
      <c r="F57" s="820"/>
      <c r="G57" s="820"/>
      <c r="H57" s="820"/>
      <c r="I57" s="848"/>
      <c r="J57" s="848"/>
      <c r="K57" s="848"/>
      <c r="L57" s="820"/>
    </row>
    <row r="58" spans="1:12">
      <c r="A58" s="820"/>
      <c r="B58" s="820"/>
      <c r="C58" s="820"/>
      <c r="D58" s="820"/>
      <c r="E58" s="820"/>
      <c r="F58" s="820"/>
      <c r="G58" s="820"/>
      <c r="H58" s="820"/>
      <c r="I58" s="848"/>
      <c r="J58" s="848"/>
      <c r="K58" s="848"/>
      <c r="L58" s="820"/>
    </row>
    <row r="59" spans="1:12">
      <c r="A59" s="1542"/>
      <c r="B59" s="1542"/>
      <c r="C59" s="1542"/>
      <c r="D59" s="1542"/>
      <c r="E59" s="1542"/>
      <c r="F59" s="1542"/>
      <c r="G59" s="1542"/>
      <c r="H59" s="1542"/>
      <c r="I59" s="1542"/>
      <c r="J59" s="1542"/>
      <c r="K59" s="1542"/>
      <c r="L59" s="1542"/>
    </row>
    <row r="60" spans="1:12">
      <c r="A60" s="1542"/>
      <c r="B60" s="1542"/>
      <c r="C60" s="1542"/>
      <c r="D60" s="1542"/>
      <c r="E60" s="1542"/>
      <c r="F60" s="1542"/>
      <c r="G60" s="1542"/>
      <c r="H60" s="1542"/>
      <c r="I60" s="1542"/>
      <c r="J60" s="1542"/>
      <c r="K60" s="1542"/>
      <c r="L60" s="1542"/>
    </row>
  </sheetData>
  <mergeCells count="6">
    <mergeCell ref="A60:L60"/>
    <mergeCell ref="A1:P1"/>
    <mergeCell ref="A2:L2"/>
    <mergeCell ref="M2:N2"/>
    <mergeCell ref="O2:P2"/>
    <mergeCell ref="A59:L59"/>
  </mergeCells>
  <phoneticPr fontId="1" type="noConversion"/>
  <printOptions horizontalCentered="1"/>
  <pageMargins left="0.19685039370078741" right="0.19685039370078741" top="0.59055118110236227" bottom="0.59055118110236227" header="0.51181102362204722" footer="0.51181102362204722"/>
  <pageSetup paperSize="9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17"/>
  <sheetViews>
    <sheetView showGridLines="0" workbookViewId="0">
      <selection activeCell="E9" sqref="E9"/>
    </sheetView>
  </sheetViews>
  <sheetFormatPr defaultRowHeight="12.75"/>
  <cols>
    <col min="1" max="1" width="19.25" style="606" customWidth="1"/>
    <col min="2" max="4" width="15.625" style="606" customWidth="1"/>
    <col min="5" max="5" width="17.125" style="606" customWidth="1"/>
    <col min="6" max="6" width="17" style="606" bestFit="1" customWidth="1"/>
    <col min="7" max="7" width="15" style="606" bestFit="1" customWidth="1"/>
    <col min="8" max="16384" width="9" style="606"/>
  </cols>
  <sheetData>
    <row r="1" spans="1:7" s="243" customFormat="1">
      <c r="A1" s="1550" t="s">
        <v>1634</v>
      </c>
      <c r="B1" s="1550"/>
      <c r="C1" s="1550"/>
      <c r="D1" s="1550"/>
      <c r="E1" s="242"/>
      <c r="F1" s="242"/>
      <c r="G1" s="242"/>
    </row>
    <row r="2" spans="1:7" s="243" customFormat="1">
      <c r="A2" s="244"/>
      <c r="B2" s="244"/>
      <c r="C2" s="244"/>
      <c r="D2" s="244"/>
    </row>
    <row r="3" spans="1:7" s="243" customFormat="1">
      <c r="A3" s="1551" t="s">
        <v>1635</v>
      </c>
      <c r="B3" s="1553" t="s">
        <v>1636</v>
      </c>
      <c r="C3" s="1553"/>
      <c r="D3" s="1553"/>
    </row>
    <row r="4" spans="1:7" s="243" customFormat="1">
      <c r="A4" s="1552"/>
      <c r="B4" s="282" t="s">
        <v>1637</v>
      </c>
      <c r="C4" s="282" t="s">
        <v>1638</v>
      </c>
      <c r="D4" s="283" t="s">
        <v>1639</v>
      </c>
    </row>
    <row r="5" spans="1:7" s="243" customFormat="1">
      <c r="A5" s="545"/>
      <c r="B5" s="245"/>
      <c r="C5" s="246"/>
      <c r="D5" s="284"/>
    </row>
    <row r="6" spans="1:7" s="243" customFormat="1">
      <c r="A6" s="545"/>
      <c r="B6" s="245"/>
      <c r="C6" s="246"/>
      <c r="D6" s="284"/>
    </row>
    <row r="7" spans="1:7" s="243" customFormat="1">
      <c r="A7" s="285"/>
      <c r="B7" s="247"/>
      <c r="C7" s="246"/>
      <c r="D7" s="284"/>
    </row>
    <row r="8" spans="1:7" s="243" customFormat="1">
      <c r="A8" s="248"/>
      <c r="B8" s="249"/>
      <c r="C8" s="250"/>
      <c r="D8" s="250"/>
    </row>
    <row r="9" spans="1:7" s="243" customFormat="1">
      <c r="A9" s="89"/>
      <c r="B9" s="247"/>
      <c r="C9" s="246"/>
      <c r="D9" s="284"/>
    </row>
    <row r="10" spans="1:7" s="243" customFormat="1">
      <c r="A10" s="89"/>
      <c r="B10" s="247"/>
      <c r="C10" s="246"/>
      <c r="D10" s="284"/>
    </row>
    <row r="11" spans="1:7" s="243" customFormat="1">
      <c r="A11" s="89"/>
      <c r="B11" s="247"/>
      <c r="C11" s="246"/>
      <c r="D11" s="284"/>
    </row>
    <row r="12" spans="1:7" s="243" customFormat="1">
      <c r="A12" s="89"/>
      <c r="B12" s="247"/>
      <c r="C12" s="246"/>
      <c r="D12" s="284"/>
    </row>
    <row r="13" spans="1:7" s="243" customFormat="1">
      <c r="A13" s="89"/>
      <c r="B13" s="247"/>
      <c r="C13" s="246"/>
      <c r="D13" s="284"/>
    </row>
    <row r="14" spans="1:7" s="243" customFormat="1">
      <c r="A14" s="248"/>
      <c r="B14" s="249"/>
      <c r="C14" s="250"/>
      <c r="D14" s="250"/>
    </row>
    <row r="15" spans="1:7" s="243" customFormat="1">
      <c r="A15" s="254"/>
      <c r="B15" s="247"/>
      <c r="C15" s="246"/>
      <c r="D15" s="246"/>
    </row>
    <row r="16" spans="1:7" s="243" customFormat="1">
      <c r="A16" s="151"/>
      <c r="B16" s="251"/>
      <c r="C16" s="252"/>
      <c r="D16" s="252"/>
    </row>
    <row r="17" spans="1:4" s="243" customFormat="1">
      <c r="A17" s="194"/>
      <c r="B17" s="253"/>
      <c r="C17" s="1190" t="s">
        <v>776</v>
      </c>
      <c r="D17" s="203">
        <f>(D14+D8)/12</f>
        <v>0</v>
      </c>
    </row>
  </sheetData>
  <mergeCells count="3">
    <mergeCell ref="A1:D1"/>
    <mergeCell ref="A3:A4"/>
    <mergeCell ref="B3:D3"/>
  </mergeCells>
  <phoneticPr fontId="1" type="noConversion"/>
  <printOptions horizontalCentered="1"/>
  <pageMargins left="0.27559055118110237" right="0.27559055118110237" top="0.98425196850393704" bottom="0.98425196850393704" header="0.51181102362204722" footer="0.51181102362204722"/>
  <pageSetup paperSize="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workbookViewId="0">
      <pane xSplit="6" ySplit="3" topLeftCell="K40" activePane="bottomRight" state="frozen"/>
      <selection pane="topRight" activeCell="G1" sqref="G1"/>
      <selection pane="bottomLeft" activeCell="A4" sqref="A4"/>
      <selection pane="bottomRight" activeCell="K38" sqref="K38"/>
    </sheetView>
  </sheetViews>
  <sheetFormatPr defaultRowHeight="12.75"/>
  <cols>
    <col min="1" max="1" width="3.125" style="567" bestFit="1" customWidth="1"/>
    <col min="2" max="2" width="10.375" style="859" customWidth="1"/>
    <col min="3" max="3" width="1.25" style="853" customWidth="1"/>
    <col min="4" max="4" width="14.625" style="35" customWidth="1"/>
    <col min="5" max="5" width="4.75" style="30" customWidth="1"/>
    <col min="6" max="6" width="25" style="851" customWidth="1"/>
    <col min="7" max="10" width="10.125" style="852" customWidth="1"/>
    <col min="11" max="11" width="21.5" style="852" customWidth="1"/>
    <col min="12" max="12" width="58.375" style="31" customWidth="1"/>
    <col min="13" max="13" width="21.25" style="853" customWidth="1"/>
    <col min="14" max="15" width="9" style="853"/>
    <col min="16" max="16" width="36.5" style="853" customWidth="1"/>
    <col min="17" max="255" width="9" style="853"/>
    <col min="256" max="256" width="2.875" style="853" customWidth="1"/>
    <col min="257" max="257" width="15" style="853" customWidth="1"/>
    <col min="258" max="258" width="1.25" style="853" customWidth="1"/>
    <col min="259" max="259" width="22.75" style="853" customWidth="1"/>
    <col min="260" max="260" width="3.25" style="853" customWidth="1"/>
    <col min="261" max="261" width="15.75" style="853" customWidth="1"/>
    <col min="262" max="262" width="12.125" style="853" customWidth="1"/>
    <col min="263" max="263" width="13.125" style="853" customWidth="1"/>
    <col min="264" max="264" width="12.5" style="853" customWidth="1"/>
    <col min="265" max="265" width="12.75" style="853" customWidth="1"/>
    <col min="266" max="266" width="17.875" style="853" customWidth="1"/>
    <col min="267" max="267" width="91.125" style="853" customWidth="1"/>
    <col min="268" max="268" width="27.125" style="853" customWidth="1"/>
    <col min="269" max="511" width="9" style="853"/>
    <col min="512" max="512" width="2.875" style="853" customWidth="1"/>
    <col min="513" max="513" width="15" style="853" customWidth="1"/>
    <col min="514" max="514" width="1.25" style="853" customWidth="1"/>
    <col min="515" max="515" width="22.75" style="853" customWidth="1"/>
    <col min="516" max="516" width="3.25" style="853" customWidth="1"/>
    <col min="517" max="517" width="15.75" style="853" customWidth="1"/>
    <col min="518" max="518" width="12.125" style="853" customWidth="1"/>
    <col min="519" max="519" width="13.125" style="853" customWidth="1"/>
    <col min="520" max="520" width="12.5" style="853" customWidth="1"/>
    <col min="521" max="521" width="12.75" style="853" customWidth="1"/>
    <col min="522" max="522" width="17.875" style="853" customWidth="1"/>
    <col min="523" max="523" width="91.125" style="853" customWidth="1"/>
    <col min="524" max="524" width="27.125" style="853" customWidth="1"/>
    <col min="525" max="767" width="9" style="853"/>
    <col min="768" max="768" width="2.875" style="853" customWidth="1"/>
    <col min="769" max="769" width="15" style="853" customWidth="1"/>
    <col min="770" max="770" width="1.25" style="853" customWidth="1"/>
    <col min="771" max="771" width="22.75" style="853" customWidth="1"/>
    <col min="772" max="772" width="3.25" style="853" customWidth="1"/>
    <col min="773" max="773" width="15.75" style="853" customWidth="1"/>
    <col min="774" max="774" width="12.125" style="853" customWidth="1"/>
    <col min="775" max="775" width="13.125" style="853" customWidth="1"/>
    <col min="776" max="776" width="12.5" style="853" customWidth="1"/>
    <col min="777" max="777" width="12.75" style="853" customWidth="1"/>
    <col min="778" max="778" width="17.875" style="853" customWidth="1"/>
    <col min="779" max="779" width="91.125" style="853" customWidth="1"/>
    <col min="780" max="780" width="27.125" style="853" customWidth="1"/>
    <col min="781" max="1023" width="9" style="853"/>
    <col min="1024" max="1024" width="2.875" style="853" customWidth="1"/>
    <col min="1025" max="1025" width="15" style="853" customWidth="1"/>
    <col min="1026" max="1026" width="1.25" style="853" customWidth="1"/>
    <col min="1027" max="1027" width="22.75" style="853" customWidth="1"/>
    <col min="1028" max="1028" width="3.25" style="853" customWidth="1"/>
    <col min="1029" max="1029" width="15.75" style="853" customWidth="1"/>
    <col min="1030" max="1030" width="12.125" style="853" customWidth="1"/>
    <col min="1031" max="1031" width="13.125" style="853" customWidth="1"/>
    <col min="1032" max="1032" width="12.5" style="853" customWidth="1"/>
    <col min="1033" max="1033" width="12.75" style="853" customWidth="1"/>
    <col min="1034" max="1034" width="17.875" style="853" customWidth="1"/>
    <col min="1035" max="1035" width="91.125" style="853" customWidth="1"/>
    <col min="1036" max="1036" width="27.125" style="853" customWidth="1"/>
    <col min="1037" max="1279" width="9" style="853"/>
    <col min="1280" max="1280" width="2.875" style="853" customWidth="1"/>
    <col min="1281" max="1281" width="15" style="853" customWidth="1"/>
    <col min="1282" max="1282" width="1.25" style="853" customWidth="1"/>
    <col min="1283" max="1283" width="22.75" style="853" customWidth="1"/>
    <col min="1284" max="1284" width="3.25" style="853" customWidth="1"/>
    <col min="1285" max="1285" width="15.75" style="853" customWidth="1"/>
    <col min="1286" max="1286" width="12.125" style="853" customWidth="1"/>
    <col min="1287" max="1287" width="13.125" style="853" customWidth="1"/>
    <col min="1288" max="1288" width="12.5" style="853" customWidth="1"/>
    <col min="1289" max="1289" width="12.75" style="853" customWidth="1"/>
    <col min="1290" max="1290" width="17.875" style="853" customWidth="1"/>
    <col min="1291" max="1291" width="91.125" style="853" customWidth="1"/>
    <col min="1292" max="1292" width="27.125" style="853" customWidth="1"/>
    <col min="1293" max="1535" width="9" style="853"/>
    <col min="1536" max="1536" width="2.875" style="853" customWidth="1"/>
    <col min="1537" max="1537" width="15" style="853" customWidth="1"/>
    <col min="1538" max="1538" width="1.25" style="853" customWidth="1"/>
    <col min="1539" max="1539" width="22.75" style="853" customWidth="1"/>
    <col min="1540" max="1540" width="3.25" style="853" customWidth="1"/>
    <col min="1541" max="1541" width="15.75" style="853" customWidth="1"/>
    <col min="1542" max="1542" width="12.125" style="853" customWidth="1"/>
    <col min="1543" max="1543" width="13.125" style="853" customWidth="1"/>
    <col min="1544" max="1544" width="12.5" style="853" customWidth="1"/>
    <col min="1545" max="1545" width="12.75" style="853" customWidth="1"/>
    <col min="1546" max="1546" width="17.875" style="853" customWidth="1"/>
    <col min="1547" max="1547" width="91.125" style="853" customWidth="1"/>
    <col min="1548" max="1548" width="27.125" style="853" customWidth="1"/>
    <col min="1549" max="1791" width="9" style="853"/>
    <col min="1792" max="1792" width="2.875" style="853" customWidth="1"/>
    <col min="1793" max="1793" width="15" style="853" customWidth="1"/>
    <col min="1794" max="1794" width="1.25" style="853" customWidth="1"/>
    <col min="1795" max="1795" width="22.75" style="853" customWidth="1"/>
    <col min="1796" max="1796" width="3.25" style="853" customWidth="1"/>
    <col min="1797" max="1797" width="15.75" style="853" customWidth="1"/>
    <col min="1798" max="1798" width="12.125" style="853" customWidth="1"/>
    <col min="1799" max="1799" width="13.125" style="853" customWidth="1"/>
    <col min="1800" max="1800" width="12.5" style="853" customWidth="1"/>
    <col min="1801" max="1801" width="12.75" style="853" customWidth="1"/>
    <col min="1802" max="1802" width="17.875" style="853" customWidth="1"/>
    <col min="1803" max="1803" width="91.125" style="853" customWidth="1"/>
    <col min="1804" max="1804" width="27.125" style="853" customWidth="1"/>
    <col min="1805" max="2047" width="9" style="853"/>
    <col min="2048" max="2048" width="2.875" style="853" customWidth="1"/>
    <col min="2049" max="2049" width="15" style="853" customWidth="1"/>
    <col min="2050" max="2050" width="1.25" style="853" customWidth="1"/>
    <col min="2051" max="2051" width="22.75" style="853" customWidth="1"/>
    <col min="2052" max="2052" width="3.25" style="853" customWidth="1"/>
    <col min="2053" max="2053" width="15.75" style="853" customWidth="1"/>
    <col min="2054" max="2054" width="12.125" style="853" customWidth="1"/>
    <col min="2055" max="2055" width="13.125" style="853" customWidth="1"/>
    <col min="2056" max="2056" width="12.5" style="853" customWidth="1"/>
    <col min="2057" max="2057" width="12.75" style="853" customWidth="1"/>
    <col min="2058" max="2058" width="17.875" style="853" customWidth="1"/>
    <col min="2059" max="2059" width="91.125" style="853" customWidth="1"/>
    <col min="2060" max="2060" width="27.125" style="853" customWidth="1"/>
    <col min="2061" max="2303" width="9" style="853"/>
    <col min="2304" max="2304" width="2.875" style="853" customWidth="1"/>
    <col min="2305" max="2305" width="15" style="853" customWidth="1"/>
    <col min="2306" max="2306" width="1.25" style="853" customWidth="1"/>
    <col min="2307" max="2307" width="22.75" style="853" customWidth="1"/>
    <col min="2308" max="2308" width="3.25" style="853" customWidth="1"/>
    <col min="2309" max="2309" width="15.75" style="853" customWidth="1"/>
    <col min="2310" max="2310" width="12.125" style="853" customWidth="1"/>
    <col min="2311" max="2311" width="13.125" style="853" customWidth="1"/>
    <col min="2312" max="2312" width="12.5" style="853" customWidth="1"/>
    <col min="2313" max="2313" width="12.75" style="853" customWidth="1"/>
    <col min="2314" max="2314" width="17.875" style="853" customWidth="1"/>
    <col min="2315" max="2315" width="91.125" style="853" customWidth="1"/>
    <col min="2316" max="2316" width="27.125" style="853" customWidth="1"/>
    <col min="2317" max="2559" width="9" style="853"/>
    <col min="2560" max="2560" width="2.875" style="853" customWidth="1"/>
    <col min="2561" max="2561" width="15" style="853" customWidth="1"/>
    <col min="2562" max="2562" width="1.25" style="853" customWidth="1"/>
    <col min="2563" max="2563" width="22.75" style="853" customWidth="1"/>
    <col min="2564" max="2564" width="3.25" style="853" customWidth="1"/>
    <col min="2565" max="2565" width="15.75" style="853" customWidth="1"/>
    <col min="2566" max="2566" width="12.125" style="853" customWidth="1"/>
    <col min="2567" max="2567" width="13.125" style="853" customWidth="1"/>
    <col min="2568" max="2568" width="12.5" style="853" customWidth="1"/>
    <col min="2569" max="2569" width="12.75" style="853" customWidth="1"/>
    <col min="2570" max="2570" width="17.875" style="853" customWidth="1"/>
    <col min="2571" max="2571" width="91.125" style="853" customWidth="1"/>
    <col min="2572" max="2572" width="27.125" style="853" customWidth="1"/>
    <col min="2573" max="2815" width="9" style="853"/>
    <col min="2816" max="2816" width="2.875" style="853" customWidth="1"/>
    <col min="2817" max="2817" width="15" style="853" customWidth="1"/>
    <col min="2818" max="2818" width="1.25" style="853" customWidth="1"/>
    <col min="2819" max="2819" width="22.75" style="853" customWidth="1"/>
    <col min="2820" max="2820" width="3.25" style="853" customWidth="1"/>
    <col min="2821" max="2821" width="15.75" style="853" customWidth="1"/>
    <col min="2822" max="2822" width="12.125" style="853" customWidth="1"/>
    <col min="2823" max="2823" width="13.125" style="853" customWidth="1"/>
    <col min="2824" max="2824" width="12.5" style="853" customWidth="1"/>
    <col min="2825" max="2825" width="12.75" style="853" customWidth="1"/>
    <col min="2826" max="2826" width="17.875" style="853" customWidth="1"/>
    <col min="2827" max="2827" width="91.125" style="853" customWidth="1"/>
    <col min="2828" max="2828" width="27.125" style="853" customWidth="1"/>
    <col min="2829" max="3071" width="9" style="853"/>
    <col min="3072" max="3072" width="2.875" style="853" customWidth="1"/>
    <col min="3073" max="3073" width="15" style="853" customWidth="1"/>
    <col min="3074" max="3074" width="1.25" style="853" customWidth="1"/>
    <col min="3075" max="3075" width="22.75" style="853" customWidth="1"/>
    <col min="3076" max="3076" width="3.25" style="853" customWidth="1"/>
    <col min="3077" max="3077" width="15.75" style="853" customWidth="1"/>
    <col min="3078" max="3078" width="12.125" style="853" customWidth="1"/>
    <col min="3079" max="3079" width="13.125" style="853" customWidth="1"/>
    <col min="3080" max="3080" width="12.5" style="853" customWidth="1"/>
    <col min="3081" max="3081" width="12.75" style="853" customWidth="1"/>
    <col min="3082" max="3082" width="17.875" style="853" customWidth="1"/>
    <col min="3083" max="3083" width="91.125" style="853" customWidth="1"/>
    <col min="3084" max="3084" width="27.125" style="853" customWidth="1"/>
    <col min="3085" max="3327" width="9" style="853"/>
    <col min="3328" max="3328" width="2.875" style="853" customWidth="1"/>
    <col min="3329" max="3329" width="15" style="853" customWidth="1"/>
    <col min="3330" max="3330" width="1.25" style="853" customWidth="1"/>
    <col min="3331" max="3331" width="22.75" style="853" customWidth="1"/>
    <col min="3332" max="3332" width="3.25" style="853" customWidth="1"/>
    <col min="3333" max="3333" width="15.75" style="853" customWidth="1"/>
    <col min="3334" max="3334" width="12.125" style="853" customWidth="1"/>
    <col min="3335" max="3335" width="13.125" style="853" customWidth="1"/>
    <col min="3336" max="3336" width="12.5" style="853" customWidth="1"/>
    <col min="3337" max="3337" width="12.75" style="853" customWidth="1"/>
    <col min="3338" max="3338" width="17.875" style="853" customWidth="1"/>
    <col min="3339" max="3339" width="91.125" style="853" customWidth="1"/>
    <col min="3340" max="3340" width="27.125" style="853" customWidth="1"/>
    <col min="3341" max="3583" width="9" style="853"/>
    <col min="3584" max="3584" width="2.875" style="853" customWidth="1"/>
    <col min="3585" max="3585" width="15" style="853" customWidth="1"/>
    <col min="3586" max="3586" width="1.25" style="853" customWidth="1"/>
    <col min="3587" max="3587" width="22.75" style="853" customWidth="1"/>
    <col min="3588" max="3588" width="3.25" style="853" customWidth="1"/>
    <col min="3589" max="3589" width="15.75" style="853" customWidth="1"/>
    <col min="3590" max="3590" width="12.125" style="853" customWidth="1"/>
    <col min="3591" max="3591" width="13.125" style="853" customWidth="1"/>
    <col min="3592" max="3592" width="12.5" style="853" customWidth="1"/>
    <col min="3593" max="3593" width="12.75" style="853" customWidth="1"/>
    <col min="3594" max="3594" width="17.875" style="853" customWidth="1"/>
    <col min="3595" max="3595" width="91.125" style="853" customWidth="1"/>
    <col min="3596" max="3596" width="27.125" style="853" customWidth="1"/>
    <col min="3597" max="3839" width="9" style="853"/>
    <col min="3840" max="3840" width="2.875" style="853" customWidth="1"/>
    <col min="3841" max="3841" width="15" style="853" customWidth="1"/>
    <col min="3842" max="3842" width="1.25" style="853" customWidth="1"/>
    <col min="3843" max="3843" width="22.75" style="853" customWidth="1"/>
    <col min="3844" max="3844" width="3.25" style="853" customWidth="1"/>
    <col min="3845" max="3845" width="15.75" style="853" customWidth="1"/>
    <col min="3846" max="3846" width="12.125" style="853" customWidth="1"/>
    <col min="3847" max="3847" width="13.125" style="853" customWidth="1"/>
    <col min="3848" max="3848" width="12.5" style="853" customWidth="1"/>
    <col min="3849" max="3849" width="12.75" style="853" customWidth="1"/>
    <col min="3850" max="3850" width="17.875" style="853" customWidth="1"/>
    <col min="3851" max="3851" width="91.125" style="853" customWidth="1"/>
    <col min="3852" max="3852" width="27.125" style="853" customWidth="1"/>
    <col min="3853" max="4095" width="9" style="853"/>
    <col min="4096" max="4096" width="2.875" style="853" customWidth="1"/>
    <col min="4097" max="4097" width="15" style="853" customWidth="1"/>
    <col min="4098" max="4098" width="1.25" style="853" customWidth="1"/>
    <col min="4099" max="4099" width="22.75" style="853" customWidth="1"/>
    <col min="4100" max="4100" width="3.25" style="853" customWidth="1"/>
    <col min="4101" max="4101" width="15.75" style="853" customWidth="1"/>
    <col min="4102" max="4102" width="12.125" style="853" customWidth="1"/>
    <col min="4103" max="4103" width="13.125" style="853" customWidth="1"/>
    <col min="4104" max="4104" width="12.5" style="853" customWidth="1"/>
    <col min="4105" max="4105" width="12.75" style="853" customWidth="1"/>
    <col min="4106" max="4106" width="17.875" style="853" customWidth="1"/>
    <col min="4107" max="4107" width="91.125" style="853" customWidth="1"/>
    <col min="4108" max="4108" width="27.125" style="853" customWidth="1"/>
    <col min="4109" max="4351" width="9" style="853"/>
    <col min="4352" max="4352" width="2.875" style="853" customWidth="1"/>
    <col min="4353" max="4353" width="15" style="853" customWidth="1"/>
    <col min="4354" max="4354" width="1.25" style="853" customWidth="1"/>
    <col min="4355" max="4355" width="22.75" style="853" customWidth="1"/>
    <col min="4356" max="4356" width="3.25" style="853" customWidth="1"/>
    <col min="4357" max="4357" width="15.75" style="853" customWidth="1"/>
    <col min="4358" max="4358" width="12.125" style="853" customWidth="1"/>
    <col min="4359" max="4359" width="13.125" style="853" customWidth="1"/>
    <col min="4360" max="4360" width="12.5" style="853" customWidth="1"/>
    <col min="4361" max="4361" width="12.75" style="853" customWidth="1"/>
    <col min="4362" max="4362" width="17.875" style="853" customWidth="1"/>
    <col min="4363" max="4363" width="91.125" style="853" customWidth="1"/>
    <col min="4364" max="4364" width="27.125" style="853" customWidth="1"/>
    <col min="4365" max="4607" width="9" style="853"/>
    <col min="4608" max="4608" width="2.875" style="853" customWidth="1"/>
    <col min="4609" max="4609" width="15" style="853" customWidth="1"/>
    <col min="4610" max="4610" width="1.25" style="853" customWidth="1"/>
    <col min="4611" max="4611" width="22.75" style="853" customWidth="1"/>
    <col min="4612" max="4612" width="3.25" style="853" customWidth="1"/>
    <col min="4613" max="4613" width="15.75" style="853" customWidth="1"/>
    <col min="4614" max="4614" width="12.125" style="853" customWidth="1"/>
    <col min="4615" max="4615" width="13.125" style="853" customWidth="1"/>
    <col min="4616" max="4616" width="12.5" style="853" customWidth="1"/>
    <col min="4617" max="4617" width="12.75" style="853" customWidth="1"/>
    <col min="4618" max="4618" width="17.875" style="853" customWidth="1"/>
    <col min="4619" max="4619" width="91.125" style="853" customWidth="1"/>
    <col min="4620" max="4620" width="27.125" style="853" customWidth="1"/>
    <col min="4621" max="4863" width="9" style="853"/>
    <col min="4864" max="4864" width="2.875" style="853" customWidth="1"/>
    <col min="4865" max="4865" width="15" style="853" customWidth="1"/>
    <col min="4866" max="4866" width="1.25" style="853" customWidth="1"/>
    <col min="4867" max="4867" width="22.75" style="853" customWidth="1"/>
    <col min="4868" max="4868" width="3.25" style="853" customWidth="1"/>
    <col min="4869" max="4869" width="15.75" style="853" customWidth="1"/>
    <col min="4870" max="4870" width="12.125" style="853" customWidth="1"/>
    <col min="4871" max="4871" width="13.125" style="853" customWidth="1"/>
    <col min="4872" max="4872" width="12.5" style="853" customWidth="1"/>
    <col min="4873" max="4873" width="12.75" style="853" customWidth="1"/>
    <col min="4874" max="4874" width="17.875" style="853" customWidth="1"/>
    <col min="4875" max="4875" width="91.125" style="853" customWidth="1"/>
    <col min="4876" max="4876" width="27.125" style="853" customWidth="1"/>
    <col min="4877" max="5119" width="9" style="853"/>
    <col min="5120" max="5120" width="2.875" style="853" customWidth="1"/>
    <col min="5121" max="5121" width="15" style="853" customWidth="1"/>
    <col min="5122" max="5122" width="1.25" style="853" customWidth="1"/>
    <col min="5123" max="5123" width="22.75" style="853" customWidth="1"/>
    <col min="5124" max="5124" width="3.25" style="853" customWidth="1"/>
    <col min="5125" max="5125" width="15.75" style="853" customWidth="1"/>
    <col min="5126" max="5126" width="12.125" style="853" customWidth="1"/>
    <col min="5127" max="5127" width="13.125" style="853" customWidth="1"/>
    <col min="5128" max="5128" width="12.5" style="853" customWidth="1"/>
    <col min="5129" max="5129" width="12.75" style="853" customWidth="1"/>
    <col min="5130" max="5130" width="17.875" style="853" customWidth="1"/>
    <col min="5131" max="5131" width="91.125" style="853" customWidth="1"/>
    <col min="5132" max="5132" width="27.125" style="853" customWidth="1"/>
    <col min="5133" max="5375" width="9" style="853"/>
    <col min="5376" max="5376" width="2.875" style="853" customWidth="1"/>
    <col min="5377" max="5377" width="15" style="853" customWidth="1"/>
    <col min="5378" max="5378" width="1.25" style="853" customWidth="1"/>
    <col min="5379" max="5379" width="22.75" style="853" customWidth="1"/>
    <col min="5380" max="5380" width="3.25" style="853" customWidth="1"/>
    <col min="5381" max="5381" width="15.75" style="853" customWidth="1"/>
    <col min="5382" max="5382" width="12.125" style="853" customWidth="1"/>
    <col min="5383" max="5383" width="13.125" style="853" customWidth="1"/>
    <col min="5384" max="5384" width="12.5" style="853" customWidth="1"/>
    <col min="5385" max="5385" width="12.75" style="853" customWidth="1"/>
    <col min="5386" max="5386" width="17.875" style="853" customWidth="1"/>
    <col min="5387" max="5387" width="91.125" style="853" customWidth="1"/>
    <col min="5388" max="5388" width="27.125" style="853" customWidth="1"/>
    <col min="5389" max="5631" width="9" style="853"/>
    <col min="5632" max="5632" width="2.875" style="853" customWidth="1"/>
    <col min="5633" max="5633" width="15" style="853" customWidth="1"/>
    <col min="5634" max="5634" width="1.25" style="853" customWidth="1"/>
    <col min="5635" max="5635" width="22.75" style="853" customWidth="1"/>
    <col min="5636" max="5636" width="3.25" style="853" customWidth="1"/>
    <col min="5637" max="5637" width="15.75" style="853" customWidth="1"/>
    <col min="5638" max="5638" width="12.125" style="853" customWidth="1"/>
    <col min="5639" max="5639" width="13.125" style="853" customWidth="1"/>
    <col min="5640" max="5640" width="12.5" style="853" customWidth="1"/>
    <col min="5641" max="5641" width="12.75" style="853" customWidth="1"/>
    <col min="5642" max="5642" width="17.875" style="853" customWidth="1"/>
    <col min="5643" max="5643" width="91.125" style="853" customWidth="1"/>
    <col min="5644" max="5644" width="27.125" style="853" customWidth="1"/>
    <col min="5645" max="5887" width="9" style="853"/>
    <col min="5888" max="5888" width="2.875" style="853" customWidth="1"/>
    <col min="5889" max="5889" width="15" style="853" customWidth="1"/>
    <col min="5890" max="5890" width="1.25" style="853" customWidth="1"/>
    <col min="5891" max="5891" width="22.75" style="853" customWidth="1"/>
    <col min="5892" max="5892" width="3.25" style="853" customWidth="1"/>
    <col min="5893" max="5893" width="15.75" style="853" customWidth="1"/>
    <col min="5894" max="5894" width="12.125" style="853" customWidth="1"/>
    <col min="5895" max="5895" width="13.125" style="853" customWidth="1"/>
    <col min="5896" max="5896" width="12.5" style="853" customWidth="1"/>
    <col min="5897" max="5897" width="12.75" style="853" customWidth="1"/>
    <col min="5898" max="5898" width="17.875" style="853" customWidth="1"/>
    <col min="5899" max="5899" width="91.125" style="853" customWidth="1"/>
    <col min="5900" max="5900" width="27.125" style="853" customWidth="1"/>
    <col min="5901" max="6143" width="9" style="853"/>
    <col min="6144" max="6144" width="2.875" style="853" customWidth="1"/>
    <col min="6145" max="6145" width="15" style="853" customWidth="1"/>
    <col min="6146" max="6146" width="1.25" style="853" customWidth="1"/>
    <col min="6147" max="6147" width="22.75" style="853" customWidth="1"/>
    <col min="6148" max="6148" width="3.25" style="853" customWidth="1"/>
    <col min="6149" max="6149" width="15.75" style="853" customWidth="1"/>
    <col min="6150" max="6150" width="12.125" style="853" customWidth="1"/>
    <col min="6151" max="6151" width="13.125" style="853" customWidth="1"/>
    <col min="6152" max="6152" width="12.5" style="853" customWidth="1"/>
    <col min="6153" max="6153" width="12.75" style="853" customWidth="1"/>
    <col min="6154" max="6154" width="17.875" style="853" customWidth="1"/>
    <col min="6155" max="6155" width="91.125" style="853" customWidth="1"/>
    <col min="6156" max="6156" width="27.125" style="853" customWidth="1"/>
    <col min="6157" max="6399" width="9" style="853"/>
    <col min="6400" max="6400" width="2.875" style="853" customWidth="1"/>
    <col min="6401" max="6401" width="15" style="853" customWidth="1"/>
    <col min="6402" max="6402" width="1.25" style="853" customWidth="1"/>
    <col min="6403" max="6403" width="22.75" style="853" customWidth="1"/>
    <col min="6404" max="6404" width="3.25" style="853" customWidth="1"/>
    <col min="6405" max="6405" width="15.75" style="853" customWidth="1"/>
    <col min="6406" max="6406" width="12.125" style="853" customWidth="1"/>
    <col min="6407" max="6407" width="13.125" style="853" customWidth="1"/>
    <col min="6408" max="6408" width="12.5" style="853" customWidth="1"/>
    <col min="6409" max="6409" width="12.75" style="853" customWidth="1"/>
    <col min="6410" max="6410" width="17.875" style="853" customWidth="1"/>
    <col min="6411" max="6411" width="91.125" style="853" customWidth="1"/>
    <col min="6412" max="6412" width="27.125" style="853" customWidth="1"/>
    <col min="6413" max="6655" width="9" style="853"/>
    <col min="6656" max="6656" width="2.875" style="853" customWidth="1"/>
    <col min="6657" max="6657" width="15" style="853" customWidth="1"/>
    <col min="6658" max="6658" width="1.25" style="853" customWidth="1"/>
    <col min="6659" max="6659" width="22.75" style="853" customWidth="1"/>
    <col min="6660" max="6660" width="3.25" style="853" customWidth="1"/>
    <col min="6661" max="6661" width="15.75" style="853" customWidth="1"/>
    <col min="6662" max="6662" width="12.125" style="853" customWidth="1"/>
    <col min="6663" max="6663" width="13.125" style="853" customWidth="1"/>
    <col min="6664" max="6664" width="12.5" style="853" customWidth="1"/>
    <col min="6665" max="6665" width="12.75" style="853" customWidth="1"/>
    <col min="6666" max="6666" width="17.875" style="853" customWidth="1"/>
    <col min="6667" max="6667" width="91.125" style="853" customWidth="1"/>
    <col min="6668" max="6668" width="27.125" style="853" customWidth="1"/>
    <col min="6669" max="6911" width="9" style="853"/>
    <col min="6912" max="6912" width="2.875" style="853" customWidth="1"/>
    <col min="6913" max="6913" width="15" style="853" customWidth="1"/>
    <col min="6914" max="6914" width="1.25" style="853" customWidth="1"/>
    <col min="6915" max="6915" width="22.75" style="853" customWidth="1"/>
    <col min="6916" max="6916" width="3.25" style="853" customWidth="1"/>
    <col min="6917" max="6917" width="15.75" style="853" customWidth="1"/>
    <col min="6918" max="6918" width="12.125" style="853" customWidth="1"/>
    <col min="6919" max="6919" width="13.125" style="853" customWidth="1"/>
    <col min="6920" max="6920" width="12.5" style="853" customWidth="1"/>
    <col min="6921" max="6921" width="12.75" style="853" customWidth="1"/>
    <col min="6922" max="6922" width="17.875" style="853" customWidth="1"/>
    <col min="6923" max="6923" width="91.125" style="853" customWidth="1"/>
    <col min="6924" max="6924" width="27.125" style="853" customWidth="1"/>
    <col min="6925" max="7167" width="9" style="853"/>
    <col min="7168" max="7168" width="2.875" style="853" customWidth="1"/>
    <col min="7169" max="7169" width="15" style="853" customWidth="1"/>
    <col min="7170" max="7170" width="1.25" style="853" customWidth="1"/>
    <col min="7171" max="7171" width="22.75" style="853" customWidth="1"/>
    <col min="7172" max="7172" width="3.25" style="853" customWidth="1"/>
    <col min="7173" max="7173" width="15.75" style="853" customWidth="1"/>
    <col min="7174" max="7174" width="12.125" style="853" customWidth="1"/>
    <col min="7175" max="7175" width="13.125" style="853" customWidth="1"/>
    <col min="7176" max="7176" width="12.5" style="853" customWidth="1"/>
    <col min="7177" max="7177" width="12.75" style="853" customWidth="1"/>
    <col min="7178" max="7178" width="17.875" style="853" customWidth="1"/>
    <col min="7179" max="7179" width="91.125" style="853" customWidth="1"/>
    <col min="7180" max="7180" width="27.125" style="853" customWidth="1"/>
    <col min="7181" max="7423" width="9" style="853"/>
    <col min="7424" max="7424" width="2.875" style="853" customWidth="1"/>
    <col min="7425" max="7425" width="15" style="853" customWidth="1"/>
    <col min="7426" max="7426" width="1.25" style="853" customWidth="1"/>
    <col min="7427" max="7427" width="22.75" style="853" customWidth="1"/>
    <col min="7428" max="7428" width="3.25" style="853" customWidth="1"/>
    <col min="7429" max="7429" width="15.75" style="853" customWidth="1"/>
    <col min="7430" max="7430" width="12.125" style="853" customWidth="1"/>
    <col min="7431" max="7431" width="13.125" style="853" customWidth="1"/>
    <col min="7432" max="7432" width="12.5" style="853" customWidth="1"/>
    <col min="7433" max="7433" width="12.75" style="853" customWidth="1"/>
    <col min="7434" max="7434" width="17.875" style="853" customWidth="1"/>
    <col min="7435" max="7435" width="91.125" style="853" customWidth="1"/>
    <col min="7436" max="7436" width="27.125" style="853" customWidth="1"/>
    <col min="7437" max="7679" width="9" style="853"/>
    <col min="7680" max="7680" width="2.875" style="853" customWidth="1"/>
    <col min="7681" max="7681" width="15" style="853" customWidth="1"/>
    <col min="7682" max="7682" width="1.25" style="853" customWidth="1"/>
    <col min="7683" max="7683" width="22.75" style="853" customWidth="1"/>
    <col min="7684" max="7684" width="3.25" style="853" customWidth="1"/>
    <col min="7685" max="7685" width="15.75" style="853" customWidth="1"/>
    <col min="7686" max="7686" width="12.125" style="853" customWidth="1"/>
    <col min="7687" max="7687" width="13.125" style="853" customWidth="1"/>
    <col min="7688" max="7688" width="12.5" style="853" customWidth="1"/>
    <col min="7689" max="7689" width="12.75" style="853" customWidth="1"/>
    <col min="7690" max="7690" width="17.875" style="853" customWidth="1"/>
    <col min="7691" max="7691" width="91.125" style="853" customWidth="1"/>
    <col min="7692" max="7692" width="27.125" style="853" customWidth="1"/>
    <col min="7693" max="7935" width="9" style="853"/>
    <col min="7936" max="7936" width="2.875" style="853" customWidth="1"/>
    <col min="7937" max="7937" width="15" style="853" customWidth="1"/>
    <col min="7938" max="7938" width="1.25" style="853" customWidth="1"/>
    <col min="7939" max="7939" width="22.75" style="853" customWidth="1"/>
    <col min="7940" max="7940" width="3.25" style="853" customWidth="1"/>
    <col min="7941" max="7941" width="15.75" style="853" customWidth="1"/>
    <col min="7942" max="7942" width="12.125" style="853" customWidth="1"/>
    <col min="7943" max="7943" width="13.125" style="853" customWidth="1"/>
    <col min="7944" max="7944" width="12.5" style="853" customWidth="1"/>
    <col min="7945" max="7945" width="12.75" style="853" customWidth="1"/>
    <col min="7946" max="7946" width="17.875" style="853" customWidth="1"/>
    <col min="7947" max="7947" width="91.125" style="853" customWidth="1"/>
    <col min="7948" max="7948" width="27.125" style="853" customWidth="1"/>
    <col min="7949" max="8191" width="9" style="853"/>
    <col min="8192" max="8192" width="2.875" style="853" customWidth="1"/>
    <col min="8193" max="8193" width="15" style="853" customWidth="1"/>
    <col min="8194" max="8194" width="1.25" style="853" customWidth="1"/>
    <col min="8195" max="8195" width="22.75" style="853" customWidth="1"/>
    <col min="8196" max="8196" width="3.25" style="853" customWidth="1"/>
    <col min="8197" max="8197" width="15.75" style="853" customWidth="1"/>
    <col min="8198" max="8198" width="12.125" style="853" customWidth="1"/>
    <col min="8199" max="8199" width="13.125" style="853" customWidth="1"/>
    <col min="8200" max="8200" width="12.5" style="853" customWidth="1"/>
    <col min="8201" max="8201" width="12.75" style="853" customWidth="1"/>
    <col min="8202" max="8202" width="17.875" style="853" customWidth="1"/>
    <col min="8203" max="8203" width="91.125" style="853" customWidth="1"/>
    <col min="8204" max="8204" width="27.125" style="853" customWidth="1"/>
    <col min="8205" max="8447" width="9" style="853"/>
    <col min="8448" max="8448" width="2.875" style="853" customWidth="1"/>
    <col min="8449" max="8449" width="15" style="853" customWidth="1"/>
    <col min="8450" max="8450" width="1.25" style="853" customWidth="1"/>
    <col min="8451" max="8451" width="22.75" style="853" customWidth="1"/>
    <col min="8452" max="8452" width="3.25" style="853" customWidth="1"/>
    <col min="8453" max="8453" width="15.75" style="853" customWidth="1"/>
    <col min="8454" max="8454" width="12.125" style="853" customWidth="1"/>
    <col min="8455" max="8455" width="13.125" style="853" customWidth="1"/>
    <col min="8456" max="8456" width="12.5" style="853" customWidth="1"/>
    <col min="8457" max="8457" width="12.75" style="853" customWidth="1"/>
    <col min="8458" max="8458" width="17.875" style="853" customWidth="1"/>
    <col min="8459" max="8459" width="91.125" style="853" customWidth="1"/>
    <col min="8460" max="8460" width="27.125" style="853" customWidth="1"/>
    <col min="8461" max="8703" width="9" style="853"/>
    <col min="8704" max="8704" width="2.875" style="853" customWidth="1"/>
    <col min="8705" max="8705" width="15" style="853" customWidth="1"/>
    <col min="8706" max="8706" width="1.25" style="853" customWidth="1"/>
    <col min="8707" max="8707" width="22.75" style="853" customWidth="1"/>
    <col min="8708" max="8708" width="3.25" style="853" customWidth="1"/>
    <col min="8709" max="8709" width="15.75" style="853" customWidth="1"/>
    <col min="8710" max="8710" width="12.125" style="853" customWidth="1"/>
    <col min="8711" max="8711" width="13.125" style="853" customWidth="1"/>
    <col min="8712" max="8712" width="12.5" style="853" customWidth="1"/>
    <col min="8713" max="8713" width="12.75" style="853" customWidth="1"/>
    <col min="8714" max="8714" width="17.875" style="853" customWidth="1"/>
    <col min="8715" max="8715" width="91.125" style="853" customWidth="1"/>
    <col min="8716" max="8716" width="27.125" style="853" customWidth="1"/>
    <col min="8717" max="8959" width="9" style="853"/>
    <col min="8960" max="8960" width="2.875" style="853" customWidth="1"/>
    <col min="8961" max="8961" width="15" style="853" customWidth="1"/>
    <col min="8962" max="8962" width="1.25" style="853" customWidth="1"/>
    <col min="8963" max="8963" width="22.75" style="853" customWidth="1"/>
    <col min="8964" max="8964" width="3.25" style="853" customWidth="1"/>
    <col min="8965" max="8965" width="15.75" style="853" customWidth="1"/>
    <col min="8966" max="8966" width="12.125" style="853" customWidth="1"/>
    <col min="8967" max="8967" width="13.125" style="853" customWidth="1"/>
    <col min="8968" max="8968" width="12.5" style="853" customWidth="1"/>
    <col min="8969" max="8969" width="12.75" style="853" customWidth="1"/>
    <col min="8970" max="8970" width="17.875" style="853" customWidth="1"/>
    <col min="8971" max="8971" width="91.125" style="853" customWidth="1"/>
    <col min="8972" max="8972" width="27.125" style="853" customWidth="1"/>
    <col min="8973" max="9215" width="9" style="853"/>
    <col min="9216" max="9216" width="2.875" style="853" customWidth="1"/>
    <col min="9217" max="9217" width="15" style="853" customWidth="1"/>
    <col min="9218" max="9218" width="1.25" style="853" customWidth="1"/>
    <col min="9219" max="9219" width="22.75" style="853" customWidth="1"/>
    <col min="9220" max="9220" width="3.25" style="853" customWidth="1"/>
    <col min="9221" max="9221" width="15.75" style="853" customWidth="1"/>
    <col min="9222" max="9222" width="12.125" style="853" customWidth="1"/>
    <col min="9223" max="9223" width="13.125" style="853" customWidth="1"/>
    <col min="9224" max="9224" width="12.5" style="853" customWidth="1"/>
    <col min="9225" max="9225" width="12.75" style="853" customWidth="1"/>
    <col min="9226" max="9226" width="17.875" style="853" customWidth="1"/>
    <col min="9227" max="9227" width="91.125" style="853" customWidth="1"/>
    <col min="9228" max="9228" width="27.125" style="853" customWidth="1"/>
    <col min="9229" max="9471" width="9" style="853"/>
    <col min="9472" max="9472" width="2.875" style="853" customWidth="1"/>
    <col min="9473" max="9473" width="15" style="853" customWidth="1"/>
    <col min="9474" max="9474" width="1.25" style="853" customWidth="1"/>
    <col min="9475" max="9475" width="22.75" style="853" customWidth="1"/>
    <col min="9476" max="9476" width="3.25" style="853" customWidth="1"/>
    <col min="9477" max="9477" width="15.75" style="853" customWidth="1"/>
    <col min="9478" max="9478" width="12.125" style="853" customWidth="1"/>
    <col min="9479" max="9479" width="13.125" style="853" customWidth="1"/>
    <col min="9480" max="9480" width="12.5" style="853" customWidth="1"/>
    <col min="9481" max="9481" width="12.75" style="853" customWidth="1"/>
    <col min="9482" max="9482" width="17.875" style="853" customWidth="1"/>
    <col min="9483" max="9483" width="91.125" style="853" customWidth="1"/>
    <col min="9484" max="9484" width="27.125" style="853" customWidth="1"/>
    <col min="9485" max="9727" width="9" style="853"/>
    <col min="9728" max="9728" width="2.875" style="853" customWidth="1"/>
    <col min="9729" max="9729" width="15" style="853" customWidth="1"/>
    <col min="9730" max="9730" width="1.25" style="853" customWidth="1"/>
    <col min="9731" max="9731" width="22.75" style="853" customWidth="1"/>
    <col min="9732" max="9732" width="3.25" style="853" customWidth="1"/>
    <col min="9733" max="9733" width="15.75" style="853" customWidth="1"/>
    <col min="9734" max="9734" width="12.125" style="853" customWidth="1"/>
    <col min="9735" max="9735" width="13.125" style="853" customWidth="1"/>
    <col min="9736" max="9736" width="12.5" style="853" customWidth="1"/>
    <col min="9737" max="9737" width="12.75" style="853" customWidth="1"/>
    <col min="9738" max="9738" width="17.875" style="853" customWidth="1"/>
    <col min="9739" max="9739" width="91.125" style="853" customWidth="1"/>
    <col min="9740" max="9740" width="27.125" style="853" customWidth="1"/>
    <col min="9741" max="9983" width="9" style="853"/>
    <col min="9984" max="9984" width="2.875" style="853" customWidth="1"/>
    <col min="9985" max="9985" width="15" style="853" customWidth="1"/>
    <col min="9986" max="9986" width="1.25" style="853" customWidth="1"/>
    <col min="9987" max="9987" width="22.75" style="853" customWidth="1"/>
    <col min="9988" max="9988" width="3.25" style="853" customWidth="1"/>
    <col min="9989" max="9989" width="15.75" style="853" customWidth="1"/>
    <col min="9990" max="9990" width="12.125" style="853" customWidth="1"/>
    <col min="9991" max="9991" width="13.125" style="853" customWidth="1"/>
    <col min="9992" max="9992" width="12.5" style="853" customWidth="1"/>
    <col min="9993" max="9993" width="12.75" style="853" customWidth="1"/>
    <col min="9994" max="9994" width="17.875" style="853" customWidth="1"/>
    <col min="9995" max="9995" width="91.125" style="853" customWidth="1"/>
    <col min="9996" max="9996" width="27.125" style="853" customWidth="1"/>
    <col min="9997" max="10239" width="9" style="853"/>
    <col min="10240" max="10240" width="2.875" style="853" customWidth="1"/>
    <col min="10241" max="10241" width="15" style="853" customWidth="1"/>
    <col min="10242" max="10242" width="1.25" style="853" customWidth="1"/>
    <col min="10243" max="10243" width="22.75" style="853" customWidth="1"/>
    <col min="10244" max="10244" width="3.25" style="853" customWidth="1"/>
    <col min="10245" max="10245" width="15.75" style="853" customWidth="1"/>
    <col min="10246" max="10246" width="12.125" style="853" customWidth="1"/>
    <col min="10247" max="10247" width="13.125" style="853" customWidth="1"/>
    <col min="10248" max="10248" width="12.5" style="853" customWidth="1"/>
    <col min="10249" max="10249" width="12.75" style="853" customWidth="1"/>
    <col min="10250" max="10250" width="17.875" style="853" customWidth="1"/>
    <col min="10251" max="10251" width="91.125" style="853" customWidth="1"/>
    <col min="10252" max="10252" width="27.125" style="853" customWidth="1"/>
    <col min="10253" max="10495" width="9" style="853"/>
    <col min="10496" max="10496" width="2.875" style="853" customWidth="1"/>
    <col min="10497" max="10497" width="15" style="853" customWidth="1"/>
    <col min="10498" max="10498" width="1.25" style="853" customWidth="1"/>
    <col min="10499" max="10499" width="22.75" style="853" customWidth="1"/>
    <col min="10500" max="10500" width="3.25" style="853" customWidth="1"/>
    <col min="10501" max="10501" width="15.75" style="853" customWidth="1"/>
    <col min="10502" max="10502" width="12.125" style="853" customWidth="1"/>
    <col min="10503" max="10503" width="13.125" style="853" customWidth="1"/>
    <col min="10504" max="10504" width="12.5" style="853" customWidth="1"/>
    <col min="10505" max="10505" width="12.75" style="853" customWidth="1"/>
    <col min="10506" max="10506" width="17.875" style="853" customWidth="1"/>
    <col min="10507" max="10507" width="91.125" style="853" customWidth="1"/>
    <col min="10508" max="10508" width="27.125" style="853" customWidth="1"/>
    <col min="10509" max="10751" width="9" style="853"/>
    <col min="10752" max="10752" width="2.875" style="853" customWidth="1"/>
    <col min="10753" max="10753" width="15" style="853" customWidth="1"/>
    <col min="10754" max="10754" width="1.25" style="853" customWidth="1"/>
    <col min="10755" max="10755" width="22.75" style="853" customWidth="1"/>
    <col min="10756" max="10756" width="3.25" style="853" customWidth="1"/>
    <col min="10757" max="10757" width="15.75" style="853" customWidth="1"/>
    <col min="10758" max="10758" width="12.125" style="853" customWidth="1"/>
    <col min="10759" max="10759" width="13.125" style="853" customWidth="1"/>
    <col min="10760" max="10760" width="12.5" style="853" customWidth="1"/>
    <col min="10761" max="10761" width="12.75" style="853" customWidth="1"/>
    <col min="10762" max="10762" width="17.875" style="853" customWidth="1"/>
    <col min="10763" max="10763" width="91.125" style="853" customWidth="1"/>
    <col min="10764" max="10764" width="27.125" style="853" customWidth="1"/>
    <col min="10765" max="11007" width="9" style="853"/>
    <col min="11008" max="11008" width="2.875" style="853" customWidth="1"/>
    <col min="11009" max="11009" width="15" style="853" customWidth="1"/>
    <col min="11010" max="11010" width="1.25" style="853" customWidth="1"/>
    <col min="11011" max="11011" width="22.75" style="853" customWidth="1"/>
    <col min="11012" max="11012" width="3.25" style="853" customWidth="1"/>
    <col min="11013" max="11013" width="15.75" style="853" customWidth="1"/>
    <col min="11014" max="11014" width="12.125" style="853" customWidth="1"/>
    <col min="11015" max="11015" width="13.125" style="853" customWidth="1"/>
    <col min="11016" max="11016" width="12.5" style="853" customWidth="1"/>
    <col min="11017" max="11017" width="12.75" style="853" customWidth="1"/>
    <col min="11018" max="11018" width="17.875" style="853" customWidth="1"/>
    <col min="11019" max="11019" width="91.125" style="853" customWidth="1"/>
    <col min="11020" max="11020" width="27.125" style="853" customWidth="1"/>
    <col min="11021" max="11263" width="9" style="853"/>
    <col min="11264" max="11264" width="2.875" style="853" customWidth="1"/>
    <col min="11265" max="11265" width="15" style="853" customWidth="1"/>
    <col min="11266" max="11266" width="1.25" style="853" customWidth="1"/>
    <col min="11267" max="11267" width="22.75" style="853" customWidth="1"/>
    <col min="11268" max="11268" width="3.25" style="853" customWidth="1"/>
    <col min="11269" max="11269" width="15.75" style="853" customWidth="1"/>
    <col min="11270" max="11270" width="12.125" style="853" customWidth="1"/>
    <col min="11271" max="11271" width="13.125" style="853" customWidth="1"/>
    <col min="11272" max="11272" width="12.5" style="853" customWidth="1"/>
    <col min="11273" max="11273" width="12.75" style="853" customWidth="1"/>
    <col min="11274" max="11274" width="17.875" style="853" customWidth="1"/>
    <col min="11275" max="11275" width="91.125" style="853" customWidth="1"/>
    <col min="11276" max="11276" width="27.125" style="853" customWidth="1"/>
    <col min="11277" max="11519" width="9" style="853"/>
    <col min="11520" max="11520" width="2.875" style="853" customWidth="1"/>
    <col min="11521" max="11521" width="15" style="853" customWidth="1"/>
    <col min="11522" max="11522" width="1.25" style="853" customWidth="1"/>
    <col min="11523" max="11523" width="22.75" style="853" customWidth="1"/>
    <col min="11524" max="11524" width="3.25" style="853" customWidth="1"/>
    <col min="11525" max="11525" width="15.75" style="853" customWidth="1"/>
    <col min="11526" max="11526" width="12.125" style="853" customWidth="1"/>
    <col min="11527" max="11527" width="13.125" style="853" customWidth="1"/>
    <col min="11528" max="11528" width="12.5" style="853" customWidth="1"/>
    <col min="11529" max="11529" width="12.75" style="853" customWidth="1"/>
    <col min="11530" max="11530" width="17.875" style="853" customWidth="1"/>
    <col min="11531" max="11531" width="91.125" style="853" customWidth="1"/>
    <col min="11532" max="11532" width="27.125" style="853" customWidth="1"/>
    <col min="11533" max="11775" width="9" style="853"/>
    <col min="11776" max="11776" width="2.875" style="853" customWidth="1"/>
    <col min="11777" max="11777" width="15" style="853" customWidth="1"/>
    <col min="11778" max="11778" width="1.25" style="853" customWidth="1"/>
    <col min="11779" max="11779" width="22.75" style="853" customWidth="1"/>
    <col min="11780" max="11780" width="3.25" style="853" customWidth="1"/>
    <col min="11781" max="11781" width="15.75" style="853" customWidth="1"/>
    <col min="11782" max="11782" width="12.125" style="853" customWidth="1"/>
    <col min="11783" max="11783" width="13.125" style="853" customWidth="1"/>
    <col min="11784" max="11784" width="12.5" style="853" customWidth="1"/>
    <col min="11785" max="11785" width="12.75" style="853" customWidth="1"/>
    <col min="11786" max="11786" width="17.875" style="853" customWidth="1"/>
    <col min="11787" max="11787" width="91.125" style="853" customWidth="1"/>
    <col min="11788" max="11788" width="27.125" style="853" customWidth="1"/>
    <col min="11789" max="12031" width="9" style="853"/>
    <col min="12032" max="12032" width="2.875" style="853" customWidth="1"/>
    <col min="12033" max="12033" width="15" style="853" customWidth="1"/>
    <col min="12034" max="12034" width="1.25" style="853" customWidth="1"/>
    <col min="12035" max="12035" width="22.75" style="853" customWidth="1"/>
    <col min="12036" max="12036" width="3.25" style="853" customWidth="1"/>
    <col min="12037" max="12037" width="15.75" style="853" customWidth="1"/>
    <col min="12038" max="12038" width="12.125" style="853" customWidth="1"/>
    <col min="12039" max="12039" width="13.125" style="853" customWidth="1"/>
    <col min="12040" max="12040" width="12.5" style="853" customWidth="1"/>
    <col min="12041" max="12041" width="12.75" style="853" customWidth="1"/>
    <col min="12042" max="12042" width="17.875" style="853" customWidth="1"/>
    <col min="12043" max="12043" width="91.125" style="853" customWidth="1"/>
    <col min="12044" max="12044" width="27.125" style="853" customWidth="1"/>
    <col min="12045" max="12287" width="9" style="853"/>
    <col min="12288" max="12288" width="2.875" style="853" customWidth="1"/>
    <col min="12289" max="12289" width="15" style="853" customWidth="1"/>
    <col min="12290" max="12290" width="1.25" style="853" customWidth="1"/>
    <col min="12291" max="12291" width="22.75" style="853" customWidth="1"/>
    <col min="12292" max="12292" width="3.25" style="853" customWidth="1"/>
    <col min="12293" max="12293" width="15.75" style="853" customWidth="1"/>
    <col min="12294" max="12294" width="12.125" style="853" customWidth="1"/>
    <col min="12295" max="12295" width="13.125" style="853" customWidth="1"/>
    <col min="12296" max="12296" width="12.5" style="853" customWidth="1"/>
    <col min="12297" max="12297" width="12.75" style="853" customWidth="1"/>
    <col min="12298" max="12298" width="17.875" style="853" customWidth="1"/>
    <col min="12299" max="12299" width="91.125" style="853" customWidth="1"/>
    <col min="12300" max="12300" width="27.125" style="853" customWidth="1"/>
    <col min="12301" max="12543" width="9" style="853"/>
    <col min="12544" max="12544" width="2.875" style="853" customWidth="1"/>
    <col min="12545" max="12545" width="15" style="853" customWidth="1"/>
    <col min="12546" max="12546" width="1.25" style="853" customWidth="1"/>
    <col min="12547" max="12547" width="22.75" style="853" customWidth="1"/>
    <col min="12548" max="12548" width="3.25" style="853" customWidth="1"/>
    <col min="12549" max="12549" width="15.75" style="853" customWidth="1"/>
    <col min="12550" max="12550" width="12.125" style="853" customWidth="1"/>
    <col min="12551" max="12551" width="13.125" style="853" customWidth="1"/>
    <col min="12552" max="12552" width="12.5" style="853" customWidth="1"/>
    <col min="12553" max="12553" width="12.75" style="853" customWidth="1"/>
    <col min="12554" max="12554" width="17.875" style="853" customWidth="1"/>
    <col min="12555" max="12555" width="91.125" style="853" customWidth="1"/>
    <col min="12556" max="12556" width="27.125" style="853" customWidth="1"/>
    <col min="12557" max="12799" width="9" style="853"/>
    <col min="12800" max="12800" width="2.875" style="853" customWidth="1"/>
    <col min="12801" max="12801" width="15" style="853" customWidth="1"/>
    <col min="12802" max="12802" width="1.25" style="853" customWidth="1"/>
    <col min="12803" max="12803" width="22.75" style="853" customWidth="1"/>
    <col min="12804" max="12804" width="3.25" style="853" customWidth="1"/>
    <col min="12805" max="12805" width="15.75" style="853" customWidth="1"/>
    <col min="12806" max="12806" width="12.125" style="853" customWidth="1"/>
    <col min="12807" max="12807" width="13.125" style="853" customWidth="1"/>
    <col min="12808" max="12808" width="12.5" style="853" customWidth="1"/>
    <col min="12809" max="12809" width="12.75" style="853" customWidth="1"/>
    <col min="12810" max="12810" width="17.875" style="853" customWidth="1"/>
    <col min="12811" max="12811" width="91.125" style="853" customWidth="1"/>
    <col min="12812" max="12812" width="27.125" style="853" customWidth="1"/>
    <col min="12813" max="13055" width="9" style="853"/>
    <col min="13056" max="13056" width="2.875" style="853" customWidth="1"/>
    <col min="13057" max="13057" width="15" style="853" customWidth="1"/>
    <col min="13058" max="13058" width="1.25" style="853" customWidth="1"/>
    <col min="13059" max="13059" width="22.75" style="853" customWidth="1"/>
    <col min="13060" max="13060" width="3.25" style="853" customWidth="1"/>
    <col min="13061" max="13061" width="15.75" style="853" customWidth="1"/>
    <col min="13062" max="13062" width="12.125" style="853" customWidth="1"/>
    <col min="13063" max="13063" width="13.125" style="853" customWidth="1"/>
    <col min="13064" max="13064" width="12.5" style="853" customWidth="1"/>
    <col min="13065" max="13065" width="12.75" style="853" customWidth="1"/>
    <col min="13066" max="13066" width="17.875" style="853" customWidth="1"/>
    <col min="13067" max="13067" width="91.125" style="853" customWidth="1"/>
    <col min="13068" max="13068" width="27.125" style="853" customWidth="1"/>
    <col min="13069" max="13311" width="9" style="853"/>
    <col min="13312" max="13312" width="2.875" style="853" customWidth="1"/>
    <col min="13313" max="13313" width="15" style="853" customWidth="1"/>
    <col min="13314" max="13314" width="1.25" style="853" customWidth="1"/>
    <col min="13315" max="13315" width="22.75" style="853" customWidth="1"/>
    <col min="13316" max="13316" width="3.25" style="853" customWidth="1"/>
    <col min="13317" max="13317" width="15.75" style="853" customWidth="1"/>
    <col min="13318" max="13318" width="12.125" style="853" customWidth="1"/>
    <col min="13319" max="13319" width="13.125" style="853" customWidth="1"/>
    <col min="13320" max="13320" width="12.5" style="853" customWidth="1"/>
    <col min="13321" max="13321" width="12.75" style="853" customWidth="1"/>
    <col min="13322" max="13322" width="17.875" style="853" customWidth="1"/>
    <col min="13323" max="13323" width="91.125" style="853" customWidth="1"/>
    <col min="13324" max="13324" width="27.125" style="853" customWidth="1"/>
    <col min="13325" max="13567" width="9" style="853"/>
    <col min="13568" max="13568" width="2.875" style="853" customWidth="1"/>
    <col min="13569" max="13569" width="15" style="853" customWidth="1"/>
    <col min="13570" max="13570" width="1.25" style="853" customWidth="1"/>
    <col min="13571" max="13571" width="22.75" style="853" customWidth="1"/>
    <col min="13572" max="13572" width="3.25" style="853" customWidth="1"/>
    <col min="13573" max="13573" width="15.75" style="853" customWidth="1"/>
    <col min="13574" max="13574" width="12.125" style="853" customWidth="1"/>
    <col min="13575" max="13575" width="13.125" style="853" customWidth="1"/>
    <col min="13576" max="13576" width="12.5" style="853" customWidth="1"/>
    <col min="13577" max="13577" width="12.75" style="853" customWidth="1"/>
    <col min="13578" max="13578" width="17.875" style="853" customWidth="1"/>
    <col min="13579" max="13579" width="91.125" style="853" customWidth="1"/>
    <col min="13580" max="13580" width="27.125" style="853" customWidth="1"/>
    <col min="13581" max="13823" width="9" style="853"/>
    <col min="13824" max="13824" width="2.875" style="853" customWidth="1"/>
    <col min="13825" max="13825" width="15" style="853" customWidth="1"/>
    <col min="13826" max="13826" width="1.25" style="853" customWidth="1"/>
    <col min="13827" max="13827" width="22.75" style="853" customWidth="1"/>
    <col min="13828" max="13828" width="3.25" style="853" customWidth="1"/>
    <col min="13829" max="13829" width="15.75" style="853" customWidth="1"/>
    <col min="13830" max="13830" width="12.125" style="853" customWidth="1"/>
    <col min="13831" max="13831" width="13.125" style="853" customWidth="1"/>
    <col min="13832" max="13832" width="12.5" style="853" customWidth="1"/>
    <col min="13833" max="13833" width="12.75" style="853" customWidth="1"/>
    <col min="13834" max="13834" width="17.875" style="853" customWidth="1"/>
    <col min="13835" max="13835" width="91.125" style="853" customWidth="1"/>
    <col min="13836" max="13836" width="27.125" style="853" customWidth="1"/>
    <col min="13837" max="14079" width="9" style="853"/>
    <col min="14080" max="14080" width="2.875" style="853" customWidth="1"/>
    <col min="14081" max="14081" width="15" style="853" customWidth="1"/>
    <col min="14082" max="14082" width="1.25" style="853" customWidth="1"/>
    <col min="14083" max="14083" width="22.75" style="853" customWidth="1"/>
    <col min="14084" max="14084" width="3.25" style="853" customWidth="1"/>
    <col min="14085" max="14085" width="15.75" style="853" customWidth="1"/>
    <col min="14086" max="14086" width="12.125" style="853" customWidth="1"/>
    <col min="14087" max="14087" width="13.125" style="853" customWidth="1"/>
    <col min="14088" max="14088" width="12.5" style="853" customWidth="1"/>
    <col min="14089" max="14089" width="12.75" style="853" customWidth="1"/>
    <col min="14090" max="14090" width="17.875" style="853" customWidth="1"/>
    <col min="14091" max="14091" width="91.125" style="853" customWidth="1"/>
    <col min="14092" max="14092" width="27.125" style="853" customWidth="1"/>
    <col min="14093" max="14335" width="9" style="853"/>
    <col min="14336" max="14336" width="2.875" style="853" customWidth="1"/>
    <col min="14337" max="14337" width="15" style="853" customWidth="1"/>
    <col min="14338" max="14338" width="1.25" style="853" customWidth="1"/>
    <col min="14339" max="14339" width="22.75" style="853" customWidth="1"/>
    <col min="14340" max="14340" width="3.25" style="853" customWidth="1"/>
    <col min="14341" max="14341" width="15.75" style="853" customWidth="1"/>
    <col min="14342" max="14342" width="12.125" style="853" customWidth="1"/>
    <col min="14343" max="14343" width="13.125" style="853" customWidth="1"/>
    <col min="14344" max="14344" width="12.5" style="853" customWidth="1"/>
    <col min="14345" max="14345" width="12.75" style="853" customWidth="1"/>
    <col min="14346" max="14346" width="17.875" style="853" customWidth="1"/>
    <col min="14347" max="14347" width="91.125" style="853" customWidth="1"/>
    <col min="14348" max="14348" width="27.125" style="853" customWidth="1"/>
    <col min="14349" max="14591" width="9" style="853"/>
    <col min="14592" max="14592" width="2.875" style="853" customWidth="1"/>
    <col min="14593" max="14593" width="15" style="853" customWidth="1"/>
    <col min="14594" max="14594" width="1.25" style="853" customWidth="1"/>
    <col min="14595" max="14595" width="22.75" style="853" customWidth="1"/>
    <col min="14596" max="14596" width="3.25" style="853" customWidth="1"/>
    <col min="14597" max="14597" width="15.75" style="853" customWidth="1"/>
    <col min="14598" max="14598" width="12.125" style="853" customWidth="1"/>
    <col min="14599" max="14599" width="13.125" style="853" customWidth="1"/>
    <col min="14600" max="14600" width="12.5" style="853" customWidth="1"/>
    <col min="14601" max="14601" width="12.75" style="853" customWidth="1"/>
    <col min="14602" max="14602" width="17.875" style="853" customWidth="1"/>
    <col min="14603" max="14603" width="91.125" style="853" customWidth="1"/>
    <col min="14604" max="14604" width="27.125" style="853" customWidth="1"/>
    <col min="14605" max="14847" width="9" style="853"/>
    <col min="14848" max="14848" width="2.875" style="853" customWidth="1"/>
    <col min="14849" max="14849" width="15" style="853" customWidth="1"/>
    <col min="14850" max="14850" width="1.25" style="853" customWidth="1"/>
    <col min="14851" max="14851" width="22.75" style="853" customWidth="1"/>
    <col min="14852" max="14852" width="3.25" style="853" customWidth="1"/>
    <col min="14853" max="14853" width="15.75" style="853" customWidth="1"/>
    <col min="14854" max="14854" width="12.125" style="853" customWidth="1"/>
    <col min="14855" max="14855" width="13.125" style="853" customWidth="1"/>
    <col min="14856" max="14856" width="12.5" style="853" customWidth="1"/>
    <col min="14857" max="14857" width="12.75" style="853" customWidth="1"/>
    <col min="14858" max="14858" width="17.875" style="853" customWidth="1"/>
    <col min="14859" max="14859" width="91.125" style="853" customWidth="1"/>
    <col min="14860" max="14860" width="27.125" style="853" customWidth="1"/>
    <col min="14861" max="15103" width="9" style="853"/>
    <col min="15104" max="15104" width="2.875" style="853" customWidth="1"/>
    <col min="15105" max="15105" width="15" style="853" customWidth="1"/>
    <col min="15106" max="15106" width="1.25" style="853" customWidth="1"/>
    <col min="15107" max="15107" width="22.75" style="853" customWidth="1"/>
    <col min="15108" max="15108" width="3.25" style="853" customWidth="1"/>
    <col min="15109" max="15109" width="15.75" style="853" customWidth="1"/>
    <col min="15110" max="15110" width="12.125" style="853" customWidth="1"/>
    <col min="15111" max="15111" width="13.125" style="853" customWidth="1"/>
    <col min="15112" max="15112" width="12.5" style="853" customWidth="1"/>
    <col min="15113" max="15113" width="12.75" style="853" customWidth="1"/>
    <col min="15114" max="15114" width="17.875" style="853" customWidth="1"/>
    <col min="15115" max="15115" width="91.125" style="853" customWidth="1"/>
    <col min="15116" max="15116" width="27.125" style="853" customWidth="1"/>
    <col min="15117" max="15359" width="9" style="853"/>
    <col min="15360" max="15360" width="2.875" style="853" customWidth="1"/>
    <col min="15361" max="15361" width="15" style="853" customWidth="1"/>
    <col min="15362" max="15362" width="1.25" style="853" customWidth="1"/>
    <col min="15363" max="15363" width="22.75" style="853" customWidth="1"/>
    <col min="15364" max="15364" width="3.25" style="853" customWidth="1"/>
    <col min="15365" max="15365" width="15.75" style="853" customWidth="1"/>
    <col min="15366" max="15366" width="12.125" style="853" customWidth="1"/>
    <col min="15367" max="15367" width="13.125" style="853" customWidth="1"/>
    <col min="15368" max="15368" width="12.5" style="853" customWidth="1"/>
    <col min="15369" max="15369" width="12.75" style="853" customWidth="1"/>
    <col min="15370" max="15370" width="17.875" style="853" customWidth="1"/>
    <col min="15371" max="15371" width="91.125" style="853" customWidth="1"/>
    <col min="15372" max="15372" width="27.125" style="853" customWidth="1"/>
    <col min="15373" max="15615" width="9" style="853"/>
    <col min="15616" max="15616" width="2.875" style="853" customWidth="1"/>
    <col min="15617" max="15617" width="15" style="853" customWidth="1"/>
    <col min="15618" max="15618" width="1.25" style="853" customWidth="1"/>
    <col min="15619" max="15619" width="22.75" style="853" customWidth="1"/>
    <col min="15620" max="15620" width="3.25" style="853" customWidth="1"/>
    <col min="15621" max="15621" width="15.75" style="853" customWidth="1"/>
    <col min="15622" max="15622" width="12.125" style="853" customWidth="1"/>
    <col min="15623" max="15623" width="13.125" style="853" customWidth="1"/>
    <col min="15624" max="15624" width="12.5" style="853" customWidth="1"/>
    <col min="15625" max="15625" width="12.75" style="853" customWidth="1"/>
    <col min="15626" max="15626" width="17.875" style="853" customWidth="1"/>
    <col min="15627" max="15627" width="91.125" style="853" customWidth="1"/>
    <col min="15628" max="15628" width="27.125" style="853" customWidth="1"/>
    <col min="15629" max="15871" width="9" style="853"/>
    <col min="15872" max="15872" width="2.875" style="853" customWidth="1"/>
    <col min="15873" max="15873" width="15" style="853" customWidth="1"/>
    <col min="15874" max="15874" width="1.25" style="853" customWidth="1"/>
    <col min="15875" max="15875" width="22.75" style="853" customWidth="1"/>
    <col min="15876" max="15876" width="3.25" style="853" customWidth="1"/>
    <col min="15877" max="15877" width="15.75" style="853" customWidth="1"/>
    <col min="15878" max="15878" width="12.125" style="853" customWidth="1"/>
    <col min="15879" max="15879" width="13.125" style="853" customWidth="1"/>
    <col min="15880" max="15880" width="12.5" style="853" customWidth="1"/>
    <col min="15881" max="15881" width="12.75" style="853" customWidth="1"/>
    <col min="15882" max="15882" width="17.875" style="853" customWidth="1"/>
    <col min="15883" max="15883" width="91.125" style="853" customWidth="1"/>
    <col min="15884" max="15884" width="27.125" style="853" customWidth="1"/>
    <col min="15885" max="16127" width="9" style="853"/>
    <col min="16128" max="16128" width="2.875" style="853" customWidth="1"/>
    <col min="16129" max="16129" width="15" style="853" customWidth="1"/>
    <col min="16130" max="16130" width="1.25" style="853" customWidth="1"/>
    <col min="16131" max="16131" width="22.75" style="853" customWidth="1"/>
    <col min="16132" max="16132" width="3.25" style="853" customWidth="1"/>
    <col min="16133" max="16133" width="15.75" style="853" customWidth="1"/>
    <col min="16134" max="16134" width="12.125" style="853" customWidth="1"/>
    <col min="16135" max="16135" width="13.125" style="853" customWidth="1"/>
    <col min="16136" max="16136" width="12.5" style="853" customWidth="1"/>
    <col min="16137" max="16137" width="12.75" style="853" customWidth="1"/>
    <col min="16138" max="16138" width="17.875" style="853" customWidth="1"/>
    <col min="16139" max="16139" width="91.125" style="853" customWidth="1"/>
    <col min="16140" max="16140" width="27.125" style="853" customWidth="1"/>
    <col min="16141" max="16384" width="9" style="853"/>
  </cols>
  <sheetData>
    <row r="1" spans="1:18">
      <c r="B1" s="849" t="s">
        <v>263</v>
      </c>
      <c r="C1" s="850"/>
      <c r="D1" s="29" t="s">
        <v>264</v>
      </c>
    </row>
    <row r="2" spans="1:18" s="859" customFormat="1" ht="25.5">
      <c r="A2" s="854"/>
      <c r="B2" s="855" t="s">
        <v>99</v>
      </c>
      <c r="C2" s="30"/>
      <c r="D2" s="856" t="s">
        <v>100</v>
      </c>
      <c r="E2" s="855"/>
      <c r="F2" s="857"/>
      <c r="G2" s="858"/>
      <c r="H2" s="858"/>
      <c r="I2" s="858"/>
      <c r="J2" s="858"/>
      <c r="K2" s="858"/>
      <c r="L2" s="32" t="s">
        <v>7</v>
      </c>
    </row>
    <row r="3" spans="1:18">
      <c r="B3" s="860"/>
      <c r="C3" s="861"/>
      <c r="D3" s="862"/>
      <c r="E3" s="863"/>
      <c r="F3" s="864"/>
      <c r="G3" s="33" t="s">
        <v>34</v>
      </c>
      <c r="H3" s="33" t="s">
        <v>35</v>
      </c>
      <c r="I3" s="33" t="s">
        <v>36</v>
      </c>
      <c r="J3" s="33" t="s">
        <v>37</v>
      </c>
      <c r="K3" s="33"/>
      <c r="L3" s="34"/>
    </row>
    <row r="4" spans="1:18" s="880" customFormat="1" ht="25.5">
      <c r="A4" s="890" t="s">
        <v>988</v>
      </c>
      <c r="B4" s="880" t="s">
        <v>989</v>
      </c>
      <c r="D4" s="888" t="s">
        <v>990</v>
      </c>
      <c r="E4" s="882" t="s">
        <v>991</v>
      </c>
      <c r="F4" s="891"/>
      <c r="G4" s="884"/>
      <c r="H4" s="884"/>
      <c r="I4" s="884"/>
      <c r="J4" s="884"/>
      <c r="K4" s="892"/>
      <c r="L4" s="889"/>
      <c r="M4" s="893"/>
      <c r="N4" s="893"/>
      <c r="P4" s="889"/>
      <c r="Q4" s="893"/>
      <c r="R4" s="893"/>
    </row>
    <row r="5" spans="1:18" s="880" customFormat="1" ht="15">
      <c r="A5" s="890"/>
      <c r="D5" s="888"/>
      <c r="E5" s="882" t="s">
        <v>992</v>
      </c>
      <c r="F5" s="891"/>
      <c r="G5" s="894"/>
      <c r="H5" s="894"/>
      <c r="I5" s="894"/>
      <c r="J5" s="894"/>
      <c r="K5" s="892"/>
      <c r="L5" s="889"/>
    </row>
    <row r="6" spans="1:18" s="880" customFormat="1" ht="15">
      <c r="A6" s="890"/>
      <c r="D6" s="888"/>
      <c r="E6" s="882" t="s">
        <v>993</v>
      </c>
      <c r="F6" s="891"/>
      <c r="G6" s="894"/>
      <c r="H6" s="894"/>
      <c r="I6" s="894"/>
      <c r="J6" s="894"/>
      <c r="K6" s="884"/>
      <c r="L6" s="895"/>
    </row>
    <row r="7" spans="1:18" s="880" customFormat="1" ht="15">
      <c r="A7" s="890"/>
      <c r="D7" s="888"/>
      <c r="E7" s="882" t="s">
        <v>994</v>
      </c>
      <c r="F7" s="891"/>
      <c r="G7" s="894"/>
      <c r="H7" s="894"/>
      <c r="I7" s="894"/>
      <c r="J7" s="894"/>
      <c r="K7" s="884"/>
      <c r="L7" s="896"/>
    </row>
    <row r="8" spans="1:18" s="866" customFormat="1" ht="15">
      <c r="A8" s="897"/>
      <c r="B8" s="897"/>
      <c r="C8" s="898"/>
      <c r="D8" s="898"/>
      <c r="E8" s="882" t="s">
        <v>995</v>
      </c>
      <c r="F8" s="891"/>
      <c r="G8" s="894"/>
      <c r="H8" s="894"/>
      <c r="I8" s="894"/>
      <c r="J8" s="894"/>
      <c r="K8" s="884"/>
      <c r="L8" s="899"/>
    </row>
    <row r="9" spans="1:18" s="866" customFormat="1" ht="15">
      <c r="A9" s="897"/>
      <c r="B9" s="897"/>
      <c r="C9" s="898"/>
      <c r="D9" s="898"/>
      <c r="E9" s="900" t="s">
        <v>996</v>
      </c>
      <c r="F9" s="891"/>
      <c r="G9" s="894"/>
      <c r="H9" s="894"/>
      <c r="I9" s="894"/>
      <c r="J9" s="894"/>
      <c r="K9" s="884"/>
      <c r="L9" s="899"/>
    </row>
    <row r="10" spans="1:18" s="880" customFormat="1">
      <c r="B10" s="901"/>
      <c r="C10" s="901"/>
      <c r="D10" s="902"/>
      <c r="E10" s="903"/>
      <c r="F10" s="916"/>
      <c r="G10" s="917"/>
      <c r="H10" s="917"/>
      <c r="I10" s="917"/>
      <c r="J10" s="917"/>
      <c r="K10" s="917"/>
      <c r="L10" s="904"/>
    </row>
    <row r="11" spans="1:18" s="866" customFormat="1" ht="25.5">
      <c r="A11" s="897"/>
      <c r="B11" s="897"/>
      <c r="C11" s="898"/>
      <c r="D11" s="905" t="s">
        <v>997</v>
      </c>
      <c r="E11" s="906" t="s">
        <v>998</v>
      </c>
      <c r="F11" s="907"/>
      <c r="G11" s="908"/>
      <c r="H11" s="908"/>
      <c r="I11" s="908"/>
      <c r="J11" s="908"/>
      <c r="K11" s="908"/>
    </row>
    <row r="12" spans="1:18" s="866" customFormat="1">
      <c r="A12" s="897"/>
      <c r="B12" s="897"/>
      <c r="C12" s="898"/>
      <c r="D12" s="898"/>
      <c r="E12" s="906" t="s">
        <v>999</v>
      </c>
      <c r="F12" s="909"/>
      <c r="G12" s="908"/>
      <c r="H12" s="908"/>
      <c r="I12" s="908"/>
      <c r="J12" s="908"/>
      <c r="K12" s="908"/>
    </row>
    <row r="13" spans="1:18" s="866" customFormat="1" ht="15">
      <c r="A13" s="897"/>
      <c r="B13" s="897"/>
      <c r="C13" s="898"/>
      <c r="D13" s="898"/>
      <c r="E13" s="906" t="s">
        <v>1000</v>
      </c>
      <c r="F13" s="909"/>
      <c r="G13" s="908"/>
      <c r="H13" s="908"/>
      <c r="I13" s="908"/>
      <c r="J13" s="908"/>
      <c r="K13" s="892"/>
    </row>
    <row r="14" spans="1:18" s="880" customFormat="1" ht="31.5" customHeight="1">
      <c r="A14" s="910"/>
      <c r="B14" s="910"/>
      <c r="C14" s="910"/>
      <c r="D14" s="905"/>
      <c r="E14" s="906" t="s">
        <v>1001</v>
      </c>
      <c r="F14" s="909"/>
      <c r="G14" s="908"/>
      <c r="H14" s="908"/>
      <c r="I14" s="908"/>
      <c r="J14" s="908"/>
      <c r="K14" s="892"/>
      <c r="L14" s="866"/>
    </row>
    <row r="15" spans="1:18" s="880" customFormat="1" ht="48" customHeight="1">
      <c r="A15" s="910"/>
      <c r="B15" s="910"/>
      <c r="C15" s="910"/>
      <c r="D15" s="905"/>
      <c r="E15" s="906" t="s">
        <v>1002</v>
      </c>
      <c r="F15" s="907"/>
      <c r="G15" s="894"/>
      <c r="H15" s="894"/>
      <c r="I15" s="894"/>
      <c r="J15" s="894"/>
      <c r="K15" s="908"/>
      <c r="L15" s="866"/>
    </row>
    <row r="16" spans="1:18" s="880" customFormat="1">
      <c r="A16" s="910"/>
      <c r="B16" s="910"/>
      <c r="C16" s="910"/>
      <c r="D16" s="905"/>
      <c r="E16" s="906" t="s">
        <v>1003</v>
      </c>
      <c r="F16" s="909"/>
      <c r="G16" s="908"/>
      <c r="H16" s="908"/>
      <c r="J16" s="908"/>
      <c r="K16" s="908"/>
      <c r="L16" s="866"/>
    </row>
    <row r="17" spans="1:22" s="866" customFormat="1">
      <c r="A17" s="897"/>
      <c r="B17" s="897"/>
      <c r="C17" s="898"/>
      <c r="D17" s="898"/>
      <c r="E17" s="906" t="s">
        <v>1004</v>
      </c>
      <c r="F17" s="909"/>
      <c r="G17" s="908"/>
      <c r="H17" s="908"/>
      <c r="I17" s="908"/>
      <c r="J17" s="908"/>
      <c r="K17" s="908"/>
    </row>
    <row r="18" spans="1:22" s="880" customFormat="1">
      <c r="A18" s="910"/>
      <c r="B18" s="910"/>
      <c r="C18" s="906"/>
      <c r="D18" s="905"/>
      <c r="E18" s="906" t="s">
        <v>1005</v>
      </c>
      <c r="F18" s="909"/>
      <c r="G18" s="908"/>
      <c r="H18" s="908"/>
      <c r="I18" s="908"/>
      <c r="J18" s="908"/>
      <c r="K18" s="908"/>
      <c r="L18" s="866"/>
    </row>
    <row r="19" spans="1:22" s="880" customFormat="1">
      <c r="A19" s="910"/>
      <c r="B19" s="911"/>
      <c r="C19" s="910"/>
      <c r="D19" s="905"/>
      <c r="E19" s="906" t="s">
        <v>1006</v>
      </c>
      <c r="F19" s="909"/>
      <c r="G19" s="912"/>
      <c r="H19" s="908"/>
      <c r="I19" s="908"/>
      <c r="J19" s="908"/>
      <c r="K19" s="908"/>
      <c r="L19" s="866"/>
    </row>
    <row r="20" spans="1:22" s="880" customFormat="1">
      <c r="A20" s="910"/>
      <c r="B20" s="910"/>
      <c r="C20" s="910"/>
      <c r="D20" s="905"/>
      <c r="E20" s="906" t="s">
        <v>1007</v>
      </c>
      <c r="F20" s="909"/>
      <c r="G20" s="908"/>
      <c r="H20" s="908"/>
      <c r="I20" s="908"/>
      <c r="J20" s="908"/>
      <c r="K20" s="908"/>
      <c r="L20" s="866"/>
    </row>
    <row r="21" spans="1:22" s="880" customFormat="1">
      <c r="A21" s="910"/>
      <c r="B21" s="910"/>
      <c r="C21" s="910"/>
      <c r="D21" s="905"/>
      <c r="E21" s="906" t="s">
        <v>1008</v>
      </c>
      <c r="F21" s="909"/>
      <c r="G21" s="908"/>
      <c r="H21" s="908"/>
      <c r="I21" s="908"/>
      <c r="J21" s="908"/>
      <c r="K21" s="908"/>
      <c r="L21" s="866"/>
    </row>
    <row r="22" spans="1:22" s="880" customFormat="1">
      <c r="A22" s="910"/>
      <c r="B22" s="910"/>
      <c r="C22" s="910"/>
      <c r="D22" s="905"/>
      <c r="E22" s="906" t="s">
        <v>140</v>
      </c>
      <c r="F22" s="909"/>
      <c r="G22" s="908"/>
      <c r="H22" s="908"/>
      <c r="I22" s="908"/>
      <c r="J22" s="908"/>
      <c r="K22" s="908"/>
      <c r="L22" s="866"/>
    </row>
    <row r="23" spans="1:22" s="880" customFormat="1">
      <c r="B23" s="913"/>
      <c r="C23" s="913"/>
      <c r="D23" s="914"/>
      <c r="E23" s="906" t="s">
        <v>1009</v>
      </c>
      <c r="F23" s="883"/>
      <c r="G23" s="915"/>
      <c r="H23" s="915"/>
      <c r="I23" s="915"/>
      <c r="J23" s="915"/>
      <c r="K23" s="915"/>
      <c r="L23" s="866"/>
      <c r="M23" s="913"/>
      <c r="N23" s="913"/>
      <c r="O23" s="913"/>
      <c r="P23" s="913"/>
      <c r="Q23" s="913"/>
      <c r="R23" s="913"/>
      <c r="S23" s="913"/>
      <c r="T23" s="913"/>
      <c r="U23" s="913"/>
      <c r="V23" s="913"/>
    </row>
    <row r="24" spans="1:22" s="880" customFormat="1">
      <c r="A24" s="890"/>
      <c r="D24" s="888"/>
      <c r="E24" s="906" t="s">
        <v>1010</v>
      </c>
      <c r="F24" s="891"/>
      <c r="G24" s="884"/>
      <c r="H24" s="884"/>
      <c r="I24" s="884"/>
      <c r="J24" s="884"/>
      <c r="K24" s="884"/>
      <c r="L24" s="888"/>
    </row>
    <row r="25" spans="1:22" s="880" customFormat="1">
      <c r="A25" s="890"/>
      <c r="D25" s="888"/>
      <c r="E25" s="906" t="s">
        <v>1011</v>
      </c>
      <c r="F25" s="891"/>
      <c r="G25" s="884"/>
      <c r="H25" s="884"/>
      <c r="I25" s="884"/>
      <c r="J25" s="884"/>
      <c r="K25" s="884"/>
      <c r="L25" s="888"/>
    </row>
    <row r="26" spans="1:22" s="873" customFormat="1">
      <c r="A26" s="867"/>
      <c r="B26" s="867"/>
      <c r="C26" s="867"/>
      <c r="D26" s="868"/>
      <c r="E26" s="869" t="s">
        <v>1011</v>
      </c>
      <c r="F26" s="870"/>
      <c r="G26" s="871"/>
      <c r="H26" s="871"/>
      <c r="I26" s="871"/>
      <c r="J26" s="871"/>
      <c r="K26" s="871"/>
      <c r="L26" s="872"/>
    </row>
    <row r="27" spans="1:22" s="873" customFormat="1">
      <c r="A27" s="867"/>
      <c r="B27" s="867"/>
      <c r="C27" s="867"/>
      <c r="D27" s="868"/>
      <c r="E27" s="874" t="s">
        <v>1012</v>
      </c>
      <c r="F27" s="870"/>
      <c r="G27" s="871"/>
      <c r="H27" s="871"/>
      <c r="I27" s="871"/>
      <c r="J27" s="871"/>
      <c r="K27" s="871"/>
      <c r="L27" s="872"/>
    </row>
    <row r="28" spans="1:22" s="873" customFormat="1">
      <c r="A28" s="867"/>
      <c r="B28" s="867"/>
      <c r="C28" s="867"/>
      <c r="D28" s="868"/>
      <c r="E28" s="874" t="s">
        <v>1013</v>
      </c>
      <c r="F28" s="870"/>
      <c r="G28" s="871"/>
      <c r="H28" s="871"/>
      <c r="I28" s="871"/>
      <c r="J28" s="871"/>
      <c r="K28" s="871"/>
      <c r="L28" s="870"/>
    </row>
    <row r="29" spans="1:22" s="873" customFormat="1">
      <c r="A29" s="867"/>
      <c r="B29" s="867"/>
      <c r="C29" s="867"/>
      <c r="D29" s="868"/>
      <c r="E29" s="874" t="s">
        <v>1014</v>
      </c>
      <c r="F29" s="870"/>
      <c r="G29" s="871"/>
      <c r="H29" s="871"/>
      <c r="I29" s="871"/>
      <c r="J29" s="871"/>
      <c r="K29" s="871"/>
      <c r="L29" s="870"/>
    </row>
    <row r="30" spans="1:22">
      <c r="A30" s="875"/>
      <c r="B30" s="865"/>
      <c r="C30" s="865"/>
      <c r="D30" s="568"/>
      <c r="E30" s="876"/>
      <c r="F30" s="918"/>
      <c r="G30" s="919"/>
      <c r="H30" s="919"/>
      <c r="I30" s="919"/>
      <c r="J30" s="919"/>
      <c r="K30" s="919"/>
      <c r="L30" s="570"/>
    </row>
    <row r="31" spans="1:22" s="880" customFormat="1">
      <c r="D31" s="881" t="s">
        <v>1015</v>
      </c>
      <c r="E31" s="882" t="s">
        <v>1016</v>
      </c>
      <c r="F31" s="883"/>
      <c r="G31" s="884"/>
      <c r="H31" s="885"/>
      <c r="I31" s="884"/>
      <c r="J31" s="884"/>
      <c r="K31" s="886"/>
      <c r="L31" s="887"/>
    </row>
    <row r="32" spans="1:22" s="880" customFormat="1">
      <c r="D32" s="888" t="s">
        <v>582</v>
      </c>
      <c r="E32" s="882" t="s">
        <v>1017</v>
      </c>
      <c r="F32" s="883"/>
      <c r="G32" s="884"/>
      <c r="H32" s="884"/>
      <c r="I32" s="885"/>
      <c r="J32" s="884"/>
      <c r="K32" s="885"/>
      <c r="L32" s="889"/>
    </row>
    <row r="33" spans="2:12">
      <c r="B33" s="865"/>
      <c r="C33" s="865"/>
      <c r="D33" s="568"/>
      <c r="E33" s="569"/>
      <c r="F33" s="918"/>
      <c r="G33" s="919"/>
      <c r="H33" s="919"/>
      <c r="I33" s="919"/>
      <c r="J33" s="919"/>
      <c r="K33" s="919"/>
      <c r="L33" s="572"/>
    </row>
    <row r="34" spans="2:12">
      <c r="B34" s="854"/>
      <c r="C34" s="567"/>
      <c r="D34" s="573"/>
      <c r="E34" s="571"/>
      <c r="F34" s="877"/>
      <c r="G34" s="878"/>
      <c r="H34" s="878"/>
      <c r="I34" s="878"/>
      <c r="J34" s="878"/>
      <c r="K34" s="878"/>
      <c r="L34" s="574"/>
    </row>
    <row r="35" spans="2:12">
      <c r="B35" s="854"/>
      <c r="C35" s="567"/>
      <c r="D35" s="575" t="s">
        <v>1018</v>
      </c>
      <c r="E35" s="571"/>
      <c r="F35" s="877"/>
      <c r="G35" s="879"/>
      <c r="H35" s="879"/>
      <c r="I35" s="879"/>
      <c r="J35" s="879"/>
      <c r="K35" s="879"/>
      <c r="L35" s="574"/>
    </row>
    <row r="36" spans="2:12">
      <c r="B36" s="854"/>
      <c r="C36" s="567"/>
      <c r="D36" s="573"/>
      <c r="E36" s="571"/>
      <c r="F36" s="877"/>
      <c r="G36" s="878"/>
      <c r="H36" s="878"/>
      <c r="I36" s="878"/>
      <c r="J36" s="878"/>
      <c r="K36" s="878"/>
      <c r="L36" s="574"/>
    </row>
    <row r="37" spans="2:12">
      <c r="D37" s="36"/>
    </row>
    <row r="38" spans="2:12" ht="24">
      <c r="B38" s="1235" t="s">
        <v>1953</v>
      </c>
      <c r="C38" s="1236">
        <v>200000</v>
      </c>
      <c r="D38" s="1236"/>
      <c r="E38" s="1236"/>
      <c r="F38" s="1236"/>
      <c r="G38" s="1236">
        <f t="shared" ref="G38" si="0">SUM(C38:F38)</f>
        <v>200000</v>
      </c>
      <c r="L38" s="1237"/>
    </row>
    <row r="40" spans="2:12">
      <c r="G40" s="852" t="s">
        <v>1019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3:O34"/>
  <sheetViews>
    <sheetView showGridLines="0" workbookViewId="0">
      <selection activeCell="C20" sqref="C20:O20"/>
    </sheetView>
  </sheetViews>
  <sheetFormatPr defaultRowHeight="12.75"/>
  <cols>
    <col min="1" max="1" width="3.875" style="160" customWidth="1"/>
    <col min="2" max="2" width="35.375" style="160" customWidth="1"/>
    <col min="3" max="4" width="8.625" style="160" customWidth="1"/>
    <col min="5" max="5" width="9.25" style="160" customWidth="1"/>
    <col min="6" max="14" width="8.625" style="160" customWidth="1"/>
    <col min="15" max="15" width="12.75" style="160" bestFit="1" customWidth="1"/>
    <col min="16" max="16384" width="9" style="160"/>
  </cols>
  <sheetData>
    <row r="3" spans="2:15">
      <c r="B3" s="1555" t="s">
        <v>1502</v>
      </c>
      <c r="C3" s="1555"/>
      <c r="D3" s="1555"/>
      <c r="E3" s="1555"/>
      <c r="F3" s="1555"/>
      <c r="G3" s="1555"/>
      <c r="H3" s="1555"/>
      <c r="I3" s="1555"/>
      <c r="J3" s="1555"/>
      <c r="K3" s="1555"/>
      <c r="L3" s="1555"/>
      <c r="M3" s="1555"/>
      <c r="N3" s="1555"/>
      <c r="O3" s="1555"/>
    </row>
    <row r="4" spans="2:15">
      <c r="B4" s="795" t="s">
        <v>770</v>
      </c>
      <c r="C4" s="1207" t="s">
        <v>595</v>
      </c>
      <c r="D4" s="1207" t="s">
        <v>596</v>
      </c>
      <c r="E4" s="1207" t="s">
        <v>597</v>
      </c>
      <c r="F4" s="1207" t="s">
        <v>598</v>
      </c>
      <c r="G4" s="673" t="s">
        <v>599</v>
      </c>
      <c r="H4" s="673" t="s">
        <v>600</v>
      </c>
      <c r="I4" s="674" t="s">
        <v>601</v>
      </c>
      <c r="J4" s="673" t="s">
        <v>602</v>
      </c>
      <c r="K4" s="673" t="s">
        <v>603</v>
      </c>
      <c r="L4" s="674" t="s">
        <v>604</v>
      </c>
      <c r="M4" s="674" t="s">
        <v>605</v>
      </c>
      <c r="N4" s="674" t="s">
        <v>606</v>
      </c>
      <c r="O4" s="673" t="s">
        <v>771</v>
      </c>
    </row>
    <row r="5" spans="2:15">
      <c r="B5" s="662" t="s">
        <v>765</v>
      </c>
      <c r="C5" s="663"/>
      <c r="D5" s="663"/>
      <c r="E5" s="663"/>
      <c r="F5" s="663"/>
      <c r="G5" s="663"/>
      <c r="H5" s="663"/>
      <c r="I5" s="664"/>
      <c r="J5" s="663"/>
      <c r="K5" s="663"/>
      <c r="L5" s="665"/>
      <c r="M5" s="665"/>
      <c r="N5" s="665"/>
      <c r="O5" s="666">
        <f>SUM(C5:N5)</f>
        <v>0</v>
      </c>
    </row>
    <row r="6" spans="2:15">
      <c r="B6" s="662" t="s">
        <v>766</v>
      </c>
      <c r="C6" s="663"/>
      <c r="D6" s="663"/>
      <c r="E6" s="663"/>
      <c r="F6" s="663"/>
      <c r="G6" s="663"/>
      <c r="H6" s="663"/>
      <c r="I6" s="664"/>
      <c r="J6" s="663"/>
      <c r="K6" s="663"/>
      <c r="L6" s="665"/>
      <c r="M6" s="665"/>
      <c r="N6" s="665"/>
      <c r="O6" s="666">
        <f>SUM(C6:N6)</f>
        <v>0</v>
      </c>
    </row>
    <row r="7" spans="2:15">
      <c r="B7" s="662" t="s">
        <v>767</v>
      </c>
      <c r="C7" s="663"/>
      <c r="D7" s="663"/>
      <c r="E7" s="663"/>
      <c r="F7" s="663"/>
      <c r="G7" s="663"/>
      <c r="H7" s="663"/>
      <c r="I7" s="664"/>
      <c r="J7" s="663"/>
      <c r="K7" s="663"/>
      <c r="L7" s="665"/>
      <c r="M7" s="665"/>
      <c r="N7" s="665"/>
      <c r="O7" s="666">
        <f>SUM(C7:N7)</f>
        <v>0</v>
      </c>
    </row>
    <row r="8" spans="2:15">
      <c r="B8" s="675" t="s">
        <v>772</v>
      </c>
      <c r="C8" s="676"/>
      <c r="D8" s="676"/>
      <c r="E8" s="676"/>
      <c r="F8" s="676"/>
      <c r="G8" s="676"/>
      <c r="H8" s="676"/>
      <c r="I8" s="676"/>
      <c r="J8" s="676"/>
      <c r="K8" s="676"/>
      <c r="L8" s="676"/>
      <c r="M8" s="676"/>
      <c r="N8" s="676"/>
      <c r="O8" s="676">
        <f>SUM(O5:O7)</f>
        <v>0</v>
      </c>
    </row>
    <row r="9" spans="2:15">
      <c r="B9" s="662" t="s">
        <v>768</v>
      </c>
      <c r="C9" s="663"/>
      <c r="D9" s="663"/>
      <c r="E9" s="663"/>
      <c r="F9" s="663"/>
      <c r="G9" s="663"/>
      <c r="H9" s="663"/>
      <c r="I9" s="663"/>
      <c r="J9" s="663"/>
      <c r="K9" s="663"/>
      <c r="L9" s="663"/>
      <c r="M9" s="663"/>
      <c r="N9" s="663"/>
      <c r="O9" s="663">
        <f>SUM(C9:N9)</f>
        <v>0</v>
      </c>
    </row>
    <row r="10" spans="2:15">
      <c r="B10" s="662" t="s">
        <v>769</v>
      </c>
      <c r="C10" s="663"/>
      <c r="D10" s="663"/>
      <c r="E10" s="663"/>
      <c r="F10" s="663"/>
      <c r="G10" s="663"/>
      <c r="H10" s="663"/>
      <c r="I10" s="663"/>
      <c r="J10" s="663"/>
      <c r="K10" s="663"/>
      <c r="L10" s="663"/>
      <c r="M10" s="663"/>
      <c r="N10" s="663"/>
      <c r="O10" s="663">
        <f>SUM(C10:N10)</f>
        <v>0</v>
      </c>
    </row>
    <row r="11" spans="2:15">
      <c r="B11" s="662" t="s">
        <v>773</v>
      </c>
      <c r="C11" s="663">
        <f>SUM(C8:C10)</f>
        <v>0</v>
      </c>
      <c r="D11" s="663">
        <f t="shared" ref="D11:N11" si="0">SUM(D8:D10)</f>
        <v>0</v>
      </c>
      <c r="E11" s="663">
        <f t="shared" si="0"/>
        <v>0</v>
      </c>
      <c r="F11" s="663">
        <f t="shared" si="0"/>
        <v>0</v>
      </c>
      <c r="G11" s="663">
        <f t="shared" si="0"/>
        <v>0</v>
      </c>
      <c r="H11" s="663">
        <f t="shared" si="0"/>
        <v>0</v>
      </c>
      <c r="I11" s="663">
        <f t="shared" si="0"/>
        <v>0</v>
      </c>
      <c r="J11" s="663">
        <f t="shared" si="0"/>
        <v>0</v>
      </c>
      <c r="K11" s="663">
        <f t="shared" si="0"/>
        <v>0</v>
      </c>
      <c r="L11" s="663">
        <f t="shared" si="0"/>
        <v>0</v>
      </c>
      <c r="M11" s="663">
        <f t="shared" si="0"/>
        <v>0</v>
      </c>
      <c r="N11" s="663">
        <f t="shared" si="0"/>
        <v>0</v>
      </c>
      <c r="O11" s="663">
        <f>SUM(O8:O10)</f>
        <v>0</v>
      </c>
    </row>
    <row r="12" spans="2:15" ht="24" customHeight="1"/>
    <row r="13" spans="2:15">
      <c r="B13" s="1555" t="s">
        <v>1503</v>
      </c>
      <c r="C13" s="1555"/>
      <c r="D13" s="1555"/>
      <c r="E13" s="1555"/>
      <c r="F13" s="1555"/>
      <c r="G13" s="1555"/>
      <c r="H13" s="1555"/>
      <c r="I13" s="1555"/>
      <c r="J13" s="1555"/>
      <c r="K13" s="1555"/>
      <c r="L13" s="1555"/>
      <c r="M13" s="1555"/>
      <c r="N13" s="1555"/>
      <c r="O13" s="1555"/>
    </row>
    <row r="14" spans="2:15">
      <c r="B14" s="795" t="s">
        <v>770</v>
      </c>
      <c r="C14" s="673" t="s">
        <v>595</v>
      </c>
      <c r="D14" s="673" t="s">
        <v>596</v>
      </c>
      <c r="E14" s="673" t="s">
        <v>597</v>
      </c>
      <c r="F14" s="673" t="s">
        <v>598</v>
      </c>
      <c r="G14" s="673" t="s">
        <v>599</v>
      </c>
      <c r="H14" s="673" t="s">
        <v>600</v>
      </c>
      <c r="I14" s="674" t="s">
        <v>601</v>
      </c>
      <c r="J14" s="673" t="s">
        <v>602</v>
      </c>
      <c r="K14" s="673" t="s">
        <v>603</v>
      </c>
      <c r="L14" s="674" t="s">
        <v>604</v>
      </c>
      <c r="M14" s="674" t="s">
        <v>605</v>
      </c>
      <c r="N14" s="674" t="s">
        <v>606</v>
      </c>
      <c r="O14" s="673" t="s">
        <v>771</v>
      </c>
    </row>
    <row r="15" spans="2:15">
      <c r="B15" s="662" t="s">
        <v>1504</v>
      </c>
      <c r="C15" s="663"/>
      <c r="D15" s="663"/>
      <c r="E15" s="663"/>
      <c r="F15" s="663"/>
      <c r="G15" s="663"/>
      <c r="H15" s="663"/>
      <c r="I15" s="664"/>
      <c r="J15" s="663"/>
      <c r="K15" s="663"/>
      <c r="L15" s="665"/>
      <c r="M15" s="665"/>
      <c r="N15" s="665"/>
      <c r="O15" s="666">
        <f>SUM(C15:N15)</f>
        <v>0</v>
      </c>
    </row>
    <row r="16" spans="2:15">
      <c r="B16" s="662" t="s">
        <v>1505</v>
      </c>
      <c r="C16" s="663"/>
      <c r="D16" s="663"/>
      <c r="E16" s="663"/>
      <c r="F16" s="663"/>
      <c r="G16" s="663"/>
      <c r="H16" s="663"/>
      <c r="I16" s="664"/>
      <c r="J16" s="663"/>
      <c r="K16" s="663"/>
      <c r="L16" s="665"/>
      <c r="M16" s="665"/>
      <c r="N16" s="665"/>
      <c r="O16" s="666">
        <f>SUM(C16:N16)</f>
        <v>0</v>
      </c>
    </row>
    <row r="17" spans="1:15">
      <c r="B17" s="662" t="s">
        <v>1506</v>
      </c>
      <c r="C17" s="663"/>
      <c r="D17" s="663"/>
      <c r="E17" s="663"/>
      <c r="F17" s="663"/>
      <c r="G17" s="663"/>
      <c r="H17" s="663"/>
      <c r="I17" s="664"/>
      <c r="J17" s="663"/>
      <c r="K17" s="663"/>
      <c r="L17" s="665"/>
      <c r="M17" s="665"/>
      <c r="N17" s="665"/>
      <c r="O17" s="666">
        <f>SUM(C17:N17)</f>
        <v>0</v>
      </c>
    </row>
    <row r="18" spans="1:15">
      <c r="B18" s="677" t="s">
        <v>1507</v>
      </c>
      <c r="C18" s="678"/>
      <c r="D18" s="678"/>
      <c r="E18" s="678"/>
      <c r="F18" s="678"/>
      <c r="G18" s="678"/>
      <c r="H18" s="678"/>
      <c r="I18" s="678"/>
      <c r="J18" s="678"/>
      <c r="K18" s="678"/>
      <c r="L18" s="678"/>
      <c r="M18" s="678"/>
      <c r="N18" s="678"/>
      <c r="O18" s="679">
        <f>SUM(C18:N18)</f>
        <v>0</v>
      </c>
    </row>
    <row r="19" spans="1:15">
      <c r="B19" s="667" t="s">
        <v>1508</v>
      </c>
      <c r="C19" s="668">
        <f>C15+C18</f>
        <v>0</v>
      </c>
      <c r="D19" s="668">
        <f>SUM(D15:D17)</f>
        <v>0</v>
      </c>
      <c r="E19" s="668">
        <f t="shared" ref="E19:O19" si="1">SUM(E15:E17)</f>
        <v>0</v>
      </c>
      <c r="F19" s="668">
        <f t="shared" si="1"/>
        <v>0</v>
      </c>
      <c r="G19" s="668">
        <f t="shared" si="1"/>
        <v>0</v>
      </c>
      <c r="H19" s="668">
        <f t="shared" si="1"/>
        <v>0</v>
      </c>
      <c r="I19" s="668">
        <f t="shared" si="1"/>
        <v>0</v>
      </c>
      <c r="J19" s="668">
        <f t="shared" si="1"/>
        <v>0</v>
      </c>
      <c r="K19" s="668">
        <f t="shared" si="1"/>
        <v>0</v>
      </c>
      <c r="L19" s="668">
        <f t="shared" si="1"/>
        <v>0</v>
      </c>
      <c r="M19" s="668">
        <f t="shared" si="1"/>
        <v>0</v>
      </c>
      <c r="N19" s="668">
        <f t="shared" si="1"/>
        <v>0</v>
      </c>
      <c r="O19" s="668">
        <f t="shared" si="1"/>
        <v>0</v>
      </c>
    </row>
    <row r="20" spans="1:15">
      <c r="B20" s="662" t="s">
        <v>1509</v>
      </c>
      <c r="C20" s="1556"/>
      <c r="D20" s="1557"/>
      <c r="E20" s="1557"/>
      <c r="F20" s="1557"/>
      <c r="G20" s="1557"/>
      <c r="H20" s="1557"/>
      <c r="I20" s="1557"/>
      <c r="J20" s="1557"/>
      <c r="K20" s="1557"/>
      <c r="L20" s="1557"/>
      <c r="M20" s="1557"/>
      <c r="N20" s="1557"/>
      <c r="O20" s="1558"/>
    </row>
    <row r="21" spans="1:15">
      <c r="B21" s="669" t="s">
        <v>1510</v>
      </c>
      <c r="C21" s="670">
        <f>C18*C20</f>
        <v>0</v>
      </c>
      <c r="D21" s="670">
        <f>D18*C20</f>
        <v>0</v>
      </c>
      <c r="E21" s="670">
        <f>E18*C20</f>
        <v>0</v>
      </c>
      <c r="F21" s="670">
        <f>F18*C20</f>
        <v>0</v>
      </c>
      <c r="G21" s="670">
        <f>G18*C20</f>
        <v>0</v>
      </c>
      <c r="H21" s="670">
        <f>H18*C20</f>
        <v>0</v>
      </c>
      <c r="I21" s="670">
        <f>I18*C20</f>
        <v>0</v>
      </c>
      <c r="J21" s="670">
        <f>J18*C20</f>
        <v>0</v>
      </c>
      <c r="K21" s="670">
        <f>K18*C20</f>
        <v>0</v>
      </c>
      <c r="L21" s="670">
        <f>L18*C20</f>
        <v>0</v>
      </c>
      <c r="M21" s="670">
        <f>M18*C20</f>
        <v>0</v>
      </c>
      <c r="N21" s="670">
        <f>N18*C20</f>
        <v>0</v>
      </c>
      <c r="O21" s="670">
        <f>(O18*C20)-(45*C20)</f>
        <v>0</v>
      </c>
    </row>
    <row r="27" spans="1:15">
      <c r="A27" s="1559" t="s">
        <v>1511</v>
      </c>
      <c r="B27" s="1560"/>
      <c r="C27" s="1560"/>
      <c r="D27" s="1560"/>
      <c r="E27" s="1560"/>
      <c r="F27" s="1560"/>
      <c r="G27" s="1560"/>
      <c r="H27" s="1560"/>
      <c r="I27" s="1560"/>
      <c r="J27" s="1560"/>
      <c r="K27" s="1560"/>
      <c r="L27" s="1560"/>
    </row>
    <row r="28" spans="1:15" ht="27.75" customHeight="1">
      <c r="A28" s="797" t="s">
        <v>1512</v>
      </c>
      <c r="B28" s="797" t="s">
        <v>1513</v>
      </c>
      <c r="C28" s="797" t="s">
        <v>1514</v>
      </c>
      <c r="D28" s="797" t="s">
        <v>1515</v>
      </c>
      <c r="E28" s="797" t="s">
        <v>1516</v>
      </c>
      <c r="F28" s="1401" t="s">
        <v>1517</v>
      </c>
      <c r="G28" s="1401"/>
      <c r="H28" s="1401"/>
      <c r="I28" s="1401"/>
      <c r="J28" s="1401"/>
      <c r="K28" s="1401"/>
      <c r="L28" s="1401"/>
    </row>
    <row r="29" spans="1:15" ht="52.5" customHeight="1">
      <c r="A29" s="798" t="s">
        <v>1518</v>
      </c>
      <c r="B29" s="798" t="s">
        <v>1519</v>
      </c>
      <c r="C29" s="671">
        <f>O18</f>
        <v>0</v>
      </c>
      <c r="D29" s="798"/>
      <c r="E29" s="798">
        <f>C29*D29</f>
        <v>0</v>
      </c>
      <c r="F29" s="1554"/>
      <c r="G29" s="1554"/>
      <c r="H29" s="1554"/>
      <c r="I29" s="1554"/>
      <c r="J29" s="1554"/>
      <c r="K29" s="1554"/>
      <c r="L29" s="1554"/>
      <c r="M29" s="672"/>
      <c r="N29" s="672"/>
    </row>
    <row r="30" spans="1:15" ht="32.25" customHeight="1">
      <c r="A30" s="798" t="s">
        <v>1520</v>
      </c>
      <c r="B30" s="798" t="s">
        <v>1521</v>
      </c>
      <c r="C30" s="798"/>
      <c r="D30" s="798"/>
      <c r="E30" s="798">
        <f>C30*D30</f>
        <v>0</v>
      </c>
      <c r="F30" s="1554"/>
      <c r="G30" s="1554"/>
      <c r="H30" s="1554"/>
      <c r="I30" s="1554"/>
      <c r="J30" s="1554"/>
      <c r="K30" s="1554"/>
      <c r="L30" s="1554"/>
      <c r="M30" s="672"/>
      <c r="N30" s="672"/>
    </row>
    <row r="31" spans="1:15">
      <c r="A31" s="798" t="s">
        <v>1522</v>
      </c>
      <c r="B31" s="798" t="s">
        <v>1523</v>
      </c>
      <c r="C31" s="798"/>
      <c r="D31" s="798"/>
      <c r="E31" s="798">
        <f>C31*D31</f>
        <v>0</v>
      </c>
      <c r="F31" s="1561"/>
      <c r="G31" s="1562"/>
      <c r="H31" s="1562"/>
      <c r="I31" s="1562"/>
      <c r="J31" s="1562"/>
      <c r="K31" s="1562"/>
      <c r="L31" s="1563"/>
    </row>
    <row r="32" spans="1:15">
      <c r="A32" s="798" t="s">
        <v>1524</v>
      </c>
      <c r="B32" s="798" t="s">
        <v>1525</v>
      </c>
      <c r="C32" s="798"/>
      <c r="D32" s="798"/>
      <c r="E32" s="798">
        <f>C32*D32</f>
        <v>0</v>
      </c>
      <c r="F32" s="1561"/>
      <c r="G32" s="1562"/>
      <c r="H32" s="1562"/>
      <c r="I32" s="1562"/>
      <c r="J32" s="1562"/>
      <c r="K32" s="1562"/>
      <c r="L32" s="1563"/>
    </row>
    <row r="33" spans="1:12">
      <c r="A33" s="798" t="s">
        <v>1526</v>
      </c>
      <c r="B33" s="798" t="s">
        <v>1527</v>
      </c>
      <c r="C33" s="798">
        <f>C29*3</f>
        <v>0</v>
      </c>
      <c r="D33" s="798">
        <v>40</v>
      </c>
      <c r="E33" s="798">
        <f>C33*D33</f>
        <v>0</v>
      </c>
      <c r="F33" s="1564"/>
      <c r="G33" s="1565"/>
      <c r="H33" s="1565"/>
      <c r="I33" s="1565"/>
      <c r="J33" s="1565"/>
      <c r="K33" s="1565"/>
      <c r="L33" s="1566"/>
    </row>
    <row r="34" spans="1:12">
      <c r="A34" s="1567" t="s">
        <v>1528</v>
      </c>
      <c r="B34" s="1568"/>
      <c r="C34" s="1568"/>
      <c r="D34" s="1569"/>
      <c r="E34" s="680">
        <f>SUM(E29:E33)</f>
        <v>0</v>
      </c>
      <c r="F34" s="1570"/>
      <c r="G34" s="1570"/>
      <c r="H34" s="1570"/>
      <c r="I34" s="1570"/>
      <c r="J34" s="1570"/>
      <c r="K34" s="1570"/>
      <c r="L34" s="1570"/>
    </row>
  </sheetData>
  <mergeCells count="12">
    <mergeCell ref="F30:L30"/>
    <mergeCell ref="F31:L31"/>
    <mergeCell ref="F32:L32"/>
    <mergeCell ref="F33:L33"/>
    <mergeCell ref="A34:D34"/>
    <mergeCell ref="F34:L34"/>
    <mergeCell ref="F29:L29"/>
    <mergeCell ref="B3:O3"/>
    <mergeCell ref="B13:O13"/>
    <mergeCell ref="C20:O20"/>
    <mergeCell ref="A27:L27"/>
    <mergeCell ref="F28:L28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142"/>
  <sheetViews>
    <sheetView showGridLines="0" zoomScale="90" zoomScaleNormal="90" workbookViewId="0">
      <pane xSplit="5" ySplit="5" topLeftCell="F121" activePane="bottomRight" state="frozen"/>
      <selection pane="topRight" activeCell="F1" sqref="F1"/>
      <selection pane="bottomLeft" activeCell="A6" sqref="A6"/>
      <selection pane="bottomRight" activeCell="K6" sqref="K6:K115"/>
    </sheetView>
  </sheetViews>
  <sheetFormatPr defaultRowHeight="12.75" outlineLevelRow="1"/>
  <cols>
    <col min="1" max="1" width="3.125" style="194" bestFit="1" customWidth="1"/>
    <col min="2" max="2" width="3.125" style="194" customWidth="1"/>
    <col min="3" max="3" width="15.125" style="287" customWidth="1"/>
    <col min="4" max="4" width="29.75" style="287" customWidth="1"/>
    <col min="5" max="5" width="16.75" style="194" bestFit="1" customWidth="1"/>
    <col min="6" max="7" width="14.625" style="308" bestFit="1" customWidth="1"/>
    <col min="8" max="8" width="13.25" style="308" customWidth="1"/>
    <col min="9" max="9" width="14.625" style="308" bestFit="1" customWidth="1"/>
    <col min="10" max="10" width="14.625" style="288" bestFit="1" customWidth="1"/>
    <col min="11" max="11" width="14.625" style="288" customWidth="1"/>
    <col min="12" max="12" width="8.375" style="288" bestFit="1" customWidth="1"/>
    <col min="13" max="13" width="86.875" style="84" customWidth="1"/>
    <col min="14" max="14" width="3.375" style="194" customWidth="1"/>
    <col min="15" max="15" width="10.75" style="194" bestFit="1" customWidth="1"/>
    <col min="16" max="16384" width="9" style="194"/>
  </cols>
  <sheetData>
    <row r="1" spans="1:20">
      <c r="A1" s="286" t="s">
        <v>553</v>
      </c>
      <c r="B1" s="286"/>
    </row>
    <row r="3" spans="1:20" ht="15.75" thickBot="1">
      <c r="C3" s="289" t="s">
        <v>99</v>
      </c>
      <c r="D3" s="290" t="s">
        <v>100</v>
      </c>
      <c r="E3" s="291" t="s">
        <v>554</v>
      </c>
      <c r="F3" s="291" t="s">
        <v>34</v>
      </c>
      <c r="G3" s="291" t="s">
        <v>35</v>
      </c>
      <c r="H3" s="291" t="s">
        <v>36</v>
      </c>
      <c r="I3" s="291" t="s">
        <v>37</v>
      </c>
      <c r="J3" s="542" t="s">
        <v>101</v>
      </c>
      <c r="K3" s="1310"/>
      <c r="L3" s="1310"/>
      <c r="M3" s="292"/>
    </row>
    <row r="4" spans="1:20">
      <c r="E4" s="293" t="s">
        <v>102</v>
      </c>
      <c r="F4" s="293"/>
      <c r="G4" s="293"/>
      <c r="H4" s="293"/>
      <c r="I4" s="293"/>
      <c r="J4" s="294" t="s">
        <v>103</v>
      </c>
      <c r="K4" s="1311" t="s">
        <v>555</v>
      </c>
      <c r="L4" s="1571" t="s">
        <v>556</v>
      </c>
      <c r="M4" s="295"/>
    </row>
    <row r="5" spans="1:20" ht="15">
      <c r="A5" s="296"/>
      <c r="B5" s="296"/>
      <c r="C5" s="297"/>
      <c r="D5" s="298"/>
      <c r="E5" s="293" t="s">
        <v>557</v>
      </c>
      <c r="F5" s="293"/>
      <c r="G5" s="293"/>
      <c r="H5" s="293"/>
      <c r="I5" s="293"/>
      <c r="J5" s="294" t="s">
        <v>558</v>
      </c>
      <c r="K5" s="1312"/>
      <c r="L5" s="1314"/>
    </row>
    <row r="6" spans="1:20" s="299" customFormat="1">
      <c r="A6" s="296" t="s">
        <v>278</v>
      </c>
      <c r="B6" s="296"/>
      <c r="C6" s="303" t="s">
        <v>106</v>
      </c>
      <c r="D6" s="319" t="s">
        <v>559</v>
      </c>
      <c r="E6" s="479">
        <f>[26]物业房租车位费!K23/12</f>
        <v>282914.69375000003</v>
      </c>
      <c r="F6" s="479"/>
      <c r="G6" s="479"/>
      <c r="H6" s="479"/>
      <c r="I6" s="479"/>
      <c r="J6" s="479">
        <f>SUM(F6:I6)</f>
        <v>0</v>
      </c>
      <c r="K6" s="479"/>
      <c r="L6" s="500" t="e">
        <f>(J6-K6)/K6</f>
        <v>#DIV/0!</v>
      </c>
      <c r="M6" s="463"/>
      <c r="N6" s="194"/>
      <c r="O6" s="194"/>
      <c r="P6" s="194"/>
      <c r="Q6" s="194"/>
      <c r="R6" s="194"/>
      <c r="S6" s="194"/>
      <c r="T6" s="194"/>
    </row>
    <row r="7" spans="1:20" s="299" customFormat="1">
      <c r="A7" s="296"/>
      <c r="B7" s="296"/>
      <c r="C7" s="303"/>
      <c r="D7" s="499" t="s">
        <v>282</v>
      </c>
      <c r="E7" s="479">
        <f>[26]物业房租车位费!G23/12</f>
        <v>444998.96625000011</v>
      </c>
      <c r="F7" s="479"/>
      <c r="G7" s="479"/>
      <c r="H7" s="479"/>
      <c r="I7" s="479"/>
      <c r="J7" s="479">
        <f t="shared" ref="J7:J18" si="0">SUM(F7:I7)</f>
        <v>0</v>
      </c>
      <c r="K7" s="479"/>
      <c r="L7" s="500" t="e">
        <f t="shared" ref="L7:L26" si="1">(J7-K7)/K7</f>
        <v>#DIV/0!</v>
      </c>
      <c r="M7" s="463"/>
      <c r="N7" s="194"/>
      <c r="O7" s="194"/>
      <c r="P7" s="194"/>
      <c r="Q7" s="194"/>
      <c r="R7" s="194"/>
      <c r="S7" s="194"/>
      <c r="T7" s="194"/>
    </row>
    <row r="8" spans="1:20" s="299" customFormat="1">
      <c r="A8" s="296"/>
      <c r="B8" s="296"/>
      <c r="C8" s="303"/>
      <c r="D8" s="319" t="s">
        <v>560</v>
      </c>
      <c r="E8" s="479">
        <f>([26]物业房租车位费!K36+[26]物业房租车位费!K39)/12</f>
        <v>21999.657166666668</v>
      </c>
      <c r="F8" s="479"/>
      <c r="G8" s="479"/>
      <c r="H8" s="479"/>
      <c r="I8" s="479"/>
      <c r="J8" s="479">
        <f t="shared" si="0"/>
        <v>0</v>
      </c>
      <c r="K8" s="479"/>
      <c r="L8" s="500" t="e">
        <f t="shared" si="1"/>
        <v>#DIV/0!</v>
      </c>
      <c r="M8" s="463"/>
      <c r="N8" s="194"/>
      <c r="O8" s="194"/>
      <c r="P8" s="194"/>
      <c r="Q8" s="194"/>
      <c r="R8" s="194"/>
      <c r="S8" s="194"/>
      <c r="T8" s="194"/>
    </row>
    <row r="9" spans="1:20" s="299" customFormat="1">
      <c r="A9" s="296"/>
      <c r="B9" s="296"/>
      <c r="C9" s="303"/>
      <c r="D9" s="319" t="s">
        <v>610</v>
      </c>
      <c r="E9" s="479">
        <f>([26]物业房租车位费!G36+[26]物业房租车位费!G39)/12</f>
        <v>2819.5033333333336</v>
      </c>
      <c r="F9" s="479"/>
      <c r="G9" s="479"/>
      <c r="H9" s="479"/>
      <c r="I9" s="479"/>
      <c r="J9" s="479">
        <f t="shared" si="0"/>
        <v>0</v>
      </c>
      <c r="K9" s="479"/>
      <c r="L9" s="500" t="e">
        <f t="shared" si="1"/>
        <v>#DIV/0!</v>
      </c>
      <c r="M9" s="463"/>
      <c r="N9" s="194"/>
      <c r="O9" s="194"/>
      <c r="P9" s="194"/>
      <c r="Q9" s="194"/>
      <c r="R9" s="194"/>
      <c r="S9" s="194"/>
      <c r="T9" s="194"/>
    </row>
    <row r="10" spans="1:20" s="299" customFormat="1">
      <c r="A10" s="302"/>
      <c r="B10" s="302"/>
      <c r="C10" s="303"/>
      <c r="D10" s="319" t="s">
        <v>611</v>
      </c>
      <c r="E10" s="479">
        <f>[26]物业房租车位费!L41/6</f>
        <v>41666.666666666664</v>
      </c>
      <c r="F10" s="479"/>
      <c r="G10" s="479"/>
      <c r="H10" s="479"/>
      <c r="I10" s="479"/>
      <c r="J10" s="479">
        <f t="shared" si="0"/>
        <v>0</v>
      </c>
      <c r="K10" s="479"/>
      <c r="L10" s="500" t="e">
        <f t="shared" si="1"/>
        <v>#DIV/0!</v>
      </c>
      <c r="M10" s="24"/>
      <c r="N10" s="194"/>
      <c r="O10" s="194"/>
      <c r="P10" s="194"/>
      <c r="Q10" s="194"/>
      <c r="R10" s="194"/>
      <c r="S10" s="194"/>
      <c r="T10" s="194"/>
    </row>
    <row r="11" spans="1:20" s="299" customFormat="1">
      <c r="A11" s="302"/>
      <c r="B11" s="302"/>
      <c r="C11" s="303"/>
      <c r="D11" s="319" t="s">
        <v>612</v>
      </c>
      <c r="E11" s="479">
        <f>[26]物业房租车位费!L42/12</f>
        <v>641190</v>
      </c>
      <c r="F11" s="479"/>
      <c r="G11" s="479"/>
      <c r="H11" s="479"/>
      <c r="I11" s="479"/>
      <c r="J11" s="479">
        <f t="shared" si="0"/>
        <v>0</v>
      </c>
      <c r="K11" s="479"/>
      <c r="L11" s="500" t="e">
        <f t="shared" si="1"/>
        <v>#DIV/0!</v>
      </c>
      <c r="M11" s="24"/>
      <c r="N11" s="194"/>
      <c r="O11" s="194"/>
      <c r="P11" s="194"/>
      <c r="Q11" s="194"/>
      <c r="R11" s="194"/>
      <c r="S11" s="194"/>
      <c r="T11" s="194"/>
    </row>
    <row r="12" spans="1:20" s="299" customFormat="1">
      <c r="A12" s="302"/>
      <c r="B12" s="302"/>
      <c r="C12" s="303"/>
      <c r="D12" s="319" t="s">
        <v>613</v>
      </c>
      <c r="E12" s="479">
        <f>[26]物业房租车位费!H42/12</f>
        <v>56347</v>
      </c>
      <c r="F12" s="479"/>
      <c r="G12" s="479"/>
      <c r="H12" s="479"/>
      <c r="I12" s="479"/>
      <c r="J12" s="479">
        <f t="shared" si="0"/>
        <v>0</v>
      </c>
      <c r="K12" s="479"/>
      <c r="L12" s="500" t="e">
        <f t="shared" si="1"/>
        <v>#DIV/0!</v>
      </c>
      <c r="M12" s="465"/>
      <c r="N12" s="194"/>
      <c r="O12" s="194"/>
      <c r="P12" s="194"/>
      <c r="Q12" s="194"/>
      <c r="R12" s="194"/>
      <c r="S12" s="194"/>
      <c r="T12" s="194"/>
    </row>
    <row r="13" spans="1:20" s="299" customFormat="1">
      <c r="A13" s="302"/>
      <c r="B13" s="302"/>
      <c r="C13" s="303"/>
      <c r="D13" s="319" t="s">
        <v>614</v>
      </c>
      <c r="E13" s="479">
        <f>([26]物业房租车位费!L43+[26]物业房租车位费!L44)/12</f>
        <v>1239350</v>
      </c>
      <c r="F13" s="479"/>
      <c r="G13" s="479"/>
      <c r="H13" s="479"/>
      <c r="I13" s="479"/>
      <c r="J13" s="479">
        <f t="shared" si="0"/>
        <v>0</v>
      </c>
      <c r="K13" s="479"/>
      <c r="L13" s="500" t="e">
        <f t="shared" si="1"/>
        <v>#DIV/0!</v>
      </c>
      <c r="M13" s="464"/>
      <c r="N13" s="194"/>
      <c r="O13" s="194"/>
      <c r="P13" s="194"/>
      <c r="Q13" s="194"/>
      <c r="R13" s="194"/>
      <c r="S13" s="194"/>
      <c r="T13" s="194"/>
    </row>
    <row r="14" spans="1:20" s="299" customFormat="1">
      <c r="A14" s="302"/>
      <c r="B14" s="302"/>
      <c r="C14" s="303"/>
      <c r="D14" s="319" t="s">
        <v>615</v>
      </c>
      <c r="E14" s="479">
        <f>([26]物业房租车位费!H43+[26]物业房租车位费!H44)/12</f>
        <v>104189</v>
      </c>
      <c r="F14" s="479"/>
      <c r="G14" s="479"/>
      <c r="H14" s="479"/>
      <c r="I14" s="479"/>
      <c r="J14" s="479">
        <f t="shared" si="0"/>
        <v>0</v>
      </c>
      <c r="K14" s="479"/>
      <c r="L14" s="500" t="e">
        <f t="shared" si="1"/>
        <v>#DIV/0!</v>
      </c>
      <c r="M14" s="465"/>
      <c r="N14" s="194"/>
      <c r="O14" s="194"/>
      <c r="P14" s="194"/>
      <c r="Q14" s="194"/>
      <c r="R14" s="194"/>
      <c r="S14" s="194"/>
      <c r="T14" s="194"/>
    </row>
    <row r="15" spans="1:20" s="299" customFormat="1">
      <c r="A15" s="302"/>
      <c r="B15" s="302"/>
      <c r="C15" s="303"/>
      <c r="D15" s="319" t="s">
        <v>616</v>
      </c>
      <c r="E15" s="479">
        <f>[26]物业房租车位费!L45/12</f>
        <v>627678.07999999996</v>
      </c>
      <c r="F15" s="479"/>
      <c r="G15" s="479"/>
      <c r="H15" s="479"/>
      <c r="I15" s="479"/>
      <c r="J15" s="479">
        <f t="shared" si="0"/>
        <v>0</v>
      </c>
      <c r="K15" s="479"/>
      <c r="L15" s="500" t="e">
        <f t="shared" si="1"/>
        <v>#DIV/0!</v>
      </c>
      <c r="M15" s="464"/>
      <c r="N15" s="194"/>
      <c r="O15" s="194"/>
      <c r="P15" s="194"/>
      <c r="Q15" s="194"/>
      <c r="R15" s="194"/>
      <c r="S15" s="194"/>
      <c r="T15" s="194"/>
    </row>
    <row r="16" spans="1:20" s="299" customFormat="1">
      <c r="A16" s="302"/>
      <c r="B16" s="302"/>
      <c r="C16" s="303"/>
      <c r="D16" s="319" t="s">
        <v>617</v>
      </c>
      <c r="E16" s="479">
        <f>[26]物业房租车位费!H45/12</f>
        <v>76866.880000000005</v>
      </c>
      <c r="F16" s="479"/>
      <c r="G16" s="479"/>
      <c r="H16" s="479"/>
      <c r="I16" s="479"/>
      <c r="J16" s="479">
        <f t="shared" si="0"/>
        <v>0</v>
      </c>
      <c r="K16" s="479"/>
      <c r="L16" s="500" t="e">
        <f t="shared" si="1"/>
        <v>#DIV/0!</v>
      </c>
      <c r="M16" s="464"/>
      <c r="N16" s="194"/>
      <c r="O16" s="194"/>
      <c r="P16" s="194"/>
      <c r="Q16" s="194"/>
      <c r="R16" s="194"/>
      <c r="S16" s="194"/>
      <c r="T16" s="194"/>
    </row>
    <row r="17" spans="1:20" s="299" customFormat="1">
      <c r="A17" s="302"/>
      <c r="B17" s="302"/>
      <c r="C17" s="303"/>
      <c r="D17" s="319" t="s">
        <v>618</v>
      </c>
      <c r="E17" s="479">
        <f>J17/12</f>
        <v>0</v>
      </c>
      <c r="F17" s="479"/>
      <c r="G17" s="479"/>
      <c r="H17" s="479"/>
      <c r="I17" s="479"/>
      <c r="J17" s="479">
        <f t="shared" si="0"/>
        <v>0</v>
      </c>
      <c r="K17" s="479"/>
      <c r="L17" s="500" t="e">
        <f t="shared" si="1"/>
        <v>#DIV/0!</v>
      </c>
      <c r="M17" s="464"/>
      <c r="N17" s="194"/>
      <c r="O17" s="194"/>
      <c r="P17" s="194"/>
      <c r="Q17" s="194"/>
      <c r="R17" s="194"/>
      <c r="S17" s="194"/>
      <c r="T17" s="194"/>
    </row>
    <row r="18" spans="1:20" s="299" customFormat="1">
      <c r="A18" s="302"/>
      <c r="B18" s="302"/>
      <c r="C18" s="303"/>
      <c r="D18" s="319" t="s">
        <v>619</v>
      </c>
      <c r="E18" s="479">
        <f>[26]物业房租车位费!H46/12</f>
        <v>76216.44</v>
      </c>
      <c r="F18" s="479"/>
      <c r="G18" s="479"/>
      <c r="H18" s="479"/>
      <c r="I18" s="479"/>
      <c r="J18" s="479">
        <f t="shared" si="0"/>
        <v>0</v>
      </c>
      <c r="K18" s="479"/>
      <c r="L18" s="500" t="e">
        <f t="shared" si="1"/>
        <v>#DIV/0!</v>
      </c>
      <c r="M18" s="24"/>
      <c r="N18" s="194"/>
      <c r="O18" s="194"/>
      <c r="P18" s="194"/>
      <c r="Q18" s="194"/>
      <c r="R18" s="194"/>
      <c r="S18" s="194"/>
      <c r="T18" s="194"/>
    </row>
    <row r="19" spans="1:20" s="299" customFormat="1" ht="15">
      <c r="A19" s="302"/>
      <c r="B19" s="302"/>
      <c r="C19" s="303"/>
      <c r="D19" s="319"/>
      <c r="E19" s="479"/>
      <c r="F19" s="480">
        <f>SUM(F6:F18)</f>
        <v>0</v>
      </c>
      <c r="G19" s="480">
        <f>SUM(G6:G18)</f>
        <v>0</v>
      </c>
      <c r="H19" s="480">
        <f>SUM(H6:H18)</f>
        <v>0</v>
      </c>
      <c r="I19" s="480">
        <f>SUM(I6:I18)</f>
        <v>0</v>
      </c>
      <c r="J19" s="637">
        <f>SUM(J6:J18)</f>
        <v>0</v>
      </c>
      <c r="K19" s="481"/>
      <c r="L19" s="481"/>
      <c r="M19" s="84"/>
      <c r="N19" s="194"/>
      <c r="O19" s="194"/>
      <c r="P19" s="194"/>
      <c r="Q19" s="194"/>
      <c r="R19" s="194"/>
      <c r="S19" s="194"/>
      <c r="T19" s="194"/>
    </row>
    <row r="20" spans="1:20" s="299" customFormat="1">
      <c r="A20" s="296" t="s">
        <v>278</v>
      </c>
      <c r="B20" s="296"/>
      <c r="C20" s="303" t="s">
        <v>109</v>
      </c>
      <c r="D20" s="319" t="s">
        <v>620</v>
      </c>
      <c r="E20" s="308">
        <f>SUM([26]物业房租车位费!L49:L50)/12</f>
        <v>24480</v>
      </c>
      <c r="F20" s="479"/>
      <c r="G20" s="479"/>
      <c r="H20" s="479"/>
      <c r="I20" s="479"/>
      <c r="J20" s="479">
        <f t="shared" ref="J20:J26" si="2">SUM(F20:I20)</f>
        <v>0</v>
      </c>
      <c r="K20" s="479"/>
      <c r="L20" s="500" t="e">
        <f t="shared" si="1"/>
        <v>#DIV/0!</v>
      </c>
      <c r="M20" s="24"/>
      <c r="N20" s="194"/>
      <c r="O20" s="194"/>
      <c r="P20" s="194"/>
      <c r="Q20" s="194"/>
      <c r="R20" s="194"/>
      <c r="S20" s="194"/>
      <c r="T20" s="194"/>
    </row>
    <row r="21" spans="1:20" s="299" customFormat="1">
      <c r="A21" s="296"/>
      <c r="B21" s="296"/>
      <c r="C21" s="303"/>
      <c r="D21" s="319" t="s">
        <v>621</v>
      </c>
      <c r="E21" s="308">
        <f>[26]物业房租车位费!L51/12</f>
        <v>30166.666666666668</v>
      </c>
      <c r="F21" s="479"/>
      <c r="G21" s="479"/>
      <c r="H21" s="479"/>
      <c r="I21" s="479"/>
      <c r="J21" s="479">
        <f t="shared" si="2"/>
        <v>0</v>
      </c>
      <c r="K21" s="479"/>
      <c r="L21" s="500" t="e">
        <f t="shared" si="1"/>
        <v>#DIV/0!</v>
      </c>
      <c r="M21" s="464"/>
      <c r="N21" s="194"/>
      <c r="O21" s="194"/>
      <c r="P21" s="194"/>
      <c r="Q21" s="194"/>
      <c r="R21" s="194"/>
      <c r="S21" s="194"/>
      <c r="T21" s="194"/>
    </row>
    <row r="22" spans="1:20" s="299" customFormat="1">
      <c r="A22" s="296"/>
      <c r="B22" s="296"/>
      <c r="C22" s="303"/>
      <c r="D22" s="319" t="s">
        <v>622</v>
      </c>
      <c r="E22" s="308">
        <f>[26]物业房租车位费!L52/12</f>
        <v>4900</v>
      </c>
      <c r="F22" s="479"/>
      <c r="G22" s="479"/>
      <c r="H22" s="479"/>
      <c r="I22" s="479"/>
      <c r="J22" s="479">
        <f t="shared" si="2"/>
        <v>0</v>
      </c>
      <c r="K22" s="479"/>
      <c r="L22" s="500" t="e">
        <f t="shared" si="1"/>
        <v>#DIV/0!</v>
      </c>
      <c r="M22" s="464"/>
      <c r="N22" s="194"/>
      <c r="O22" s="194"/>
      <c r="P22" s="194"/>
      <c r="Q22" s="194"/>
      <c r="R22" s="194"/>
      <c r="S22" s="194"/>
      <c r="T22" s="194"/>
    </row>
    <row r="23" spans="1:20" s="299" customFormat="1">
      <c r="A23" s="296"/>
      <c r="B23" s="296"/>
      <c r="C23" s="303"/>
      <c r="D23" s="319" t="s">
        <v>623</v>
      </c>
      <c r="E23" s="308">
        <f>[26]物业房租车位费!L53/12</f>
        <v>10500</v>
      </c>
      <c r="F23" s="479"/>
      <c r="G23" s="479"/>
      <c r="H23" s="479"/>
      <c r="I23" s="479"/>
      <c r="J23" s="479">
        <f t="shared" si="2"/>
        <v>0</v>
      </c>
      <c r="K23" s="479"/>
      <c r="L23" s="500" t="e">
        <f t="shared" si="1"/>
        <v>#DIV/0!</v>
      </c>
      <c r="M23" s="464"/>
      <c r="N23" s="194"/>
      <c r="O23" s="194"/>
      <c r="P23" s="194"/>
      <c r="Q23" s="194"/>
      <c r="R23" s="194"/>
      <c r="S23" s="194"/>
      <c r="T23" s="194"/>
    </row>
    <row r="24" spans="1:20" s="299" customFormat="1">
      <c r="A24" s="296"/>
      <c r="B24" s="296"/>
      <c r="C24" s="303"/>
      <c r="D24" s="319" t="s">
        <v>624</v>
      </c>
      <c r="E24" s="308">
        <f>[26]物业房租车位费!L54/12</f>
        <v>15600</v>
      </c>
      <c r="F24" s="479"/>
      <c r="G24" s="479"/>
      <c r="H24" s="479"/>
      <c r="I24" s="479"/>
      <c r="J24" s="479">
        <f t="shared" si="2"/>
        <v>0</v>
      </c>
      <c r="K24" s="479"/>
      <c r="L24" s="500" t="e">
        <f t="shared" si="1"/>
        <v>#DIV/0!</v>
      </c>
      <c r="M24" s="24"/>
      <c r="N24" s="194"/>
      <c r="O24" s="194"/>
      <c r="P24" s="194"/>
      <c r="Q24" s="194"/>
      <c r="R24" s="194"/>
      <c r="S24" s="194"/>
      <c r="T24" s="194"/>
    </row>
    <row r="25" spans="1:20" s="299" customFormat="1">
      <c r="A25" s="296"/>
      <c r="B25" s="296"/>
      <c r="C25" s="303"/>
      <c r="D25" s="319" t="s">
        <v>625</v>
      </c>
      <c r="E25" s="308">
        <f>([26]物业房租车位费!H55+[26]物业房租车位费!H56+[26]物业房租车位费!L55+[26]物业房租车位费!L56)/12</f>
        <v>14800</v>
      </c>
      <c r="F25" s="479"/>
      <c r="G25" s="479"/>
      <c r="H25" s="479"/>
      <c r="I25" s="479"/>
      <c r="J25" s="479">
        <f t="shared" si="2"/>
        <v>0</v>
      </c>
      <c r="K25" s="479"/>
      <c r="L25" s="500" t="e">
        <f t="shared" si="1"/>
        <v>#DIV/0!</v>
      </c>
      <c r="M25" s="23"/>
      <c r="N25" s="194"/>
      <c r="O25" s="194"/>
      <c r="P25" s="194"/>
      <c r="Q25" s="194"/>
      <c r="R25" s="194"/>
      <c r="S25" s="194"/>
      <c r="T25" s="194"/>
    </row>
    <row r="26" spans="1:20" s="299" customFormat="1">
      <c r="A26" s="296"/>
      <c r="B26" s="296"/>
      <c r="C26" s="303"/>
      <c r="D26" s="319" t="s">
        <v>626</v>
      </c>
      <c r="E26" s="308">
        <f>([26]物业房租车位费!H57+[26]物业房租车位费!H58+[26]物业房租车位费!L57+[26]物业房租车位费!L58)/12</f>
        <v>14800</v>
      </c>
      <c r="F26" s="479"/>
      <c r="G26" s="479"/>
      <c r="H26" s="479"/>
      <c r="I26" s="479"/>
      <c r="J26" s="479">
        <f t="shared" si="2"/>
        <v>0</v>
      </c>
      <c r="K26" s="479"/>
      <c r="L26" s="500" t="e">
        <f t="shared" si="1"/>
        <v>#DIV/0!</v>
      </c>
      <c r="M26" s="23"/>
      <c r="N26" s="194"/>
      <c r="O26" s="194"/>
      <c r="P26" s="194"/>
      <c r="Q26" s="194"/>
      <c r="R26" s="194"/>
      <c r="S26" s="194"/>
      <c r="T26" s="194"/>
    </row>
    <row r="27" spans="1:20" s="299" customFormat="1" ht="15">
      <c r="A27" s="296"/>
      <c r="B27" s="296"/>
      <c r="C27" s="303"/>
      <c r="D27" s="319"/>
      <c r="E27" s="308"/>
      <c r="F27" s="480">
        <f>SUM(F20:F26)</f>
        <v>0</v>
      </c>
      <c r="G27" s="480">
        <f>SUM(G20:G26)</f>
        <v>0</v>
      </c>
      <c r="H27" s="480">
        <f>SUM(H20:H26)</f>
        <v>0</v>
      </c>
      <c r="I27" s="480">
        <f>SUM(I20:I26)</f>
        <v>0</v>
      </c>
      <c r="J27" s="637">
        <f>SUM(J20:J26)</f>
        <v>0</v>
      </c>
      <c r="K27" s="481"/>
      <c r="L27" s="481"/>
      <c r="M27" s="466"/>
      <c r="N27" s="194"/>
      <c r="O27" s="194"/>
      <c r="P27" s="194"/>
      <c r="Q27" s="194"/>
      <c r="R27" s="194"/>
      <c r="S27" s="194"/>
      <c r="T27" s="194"/>
    </row>
    <row r="28" spans="1:20" s="299" customFormat="1">
      <c r="A28" s="296" t="s">
        <v>278</v>
      </c>
      <c r="B28" s="296"/>
      <c r="C28" s="303" t="s">
        <v>110</v>
      </c>
      <c r="D28" s="319" t="s">
        <v>627</v>
      </c>
      <c r="E28" s="308">
        <f>'[26]部分费用明细（水电植物耗材茶歇）'!E17*74%</f>
        <v>195933.5</v>
      </c>
      <c r="F28" s="479"/>
      <c r="G28" s="479"/>
      <c r="H28" s="479"/>
      <c r="I28" s="479"/>
      <c r="J28" s="479">
        <f>SUM(F28:I28)</f>
        <v>0</v>
      </c>
      <c r="K28" s="479"/>
      <c r="L28" s="500" t="e">
        <f>(J28-K28)/K28</f>
        <v>#DIV/0!</v>
      </c>
      <c r="M28" s="464"/>
      <c r="N28" s="194"/>
      <c r="O28" s="194"/>
      <c r="P28" s="194"/>
      <c r="Q28" s="194"/>
      <c r="R28" s="194"/>
      <c r="S28" s="194"/>
      <c r="T28" s="194"/>
    </row>
    <row r="29" spans="1:20" s="299" customFormat="1">
      <c r="A29" s="302"/>
      <c r="B29" s="302"/>
      <c r="C29" s="303"/>
      <c r="D29" s="319" t="s">
        <v>628</v>
      </c>
      <c r="E29" s="308">
        <f>'[26]部分费用明细（水电植物耗材茶歇）'!H17</f>
        <v>478</v>
      </c>
      <c r="F29" s="479"/>
      <c r="G29" s="479"/>
      <c r="H29" s="479"/>
      <c r="I29" s="479"/>
      <c r="J29" s="479">
        <f t="shared" ref="J29:J33" si="3">SUM(F29:I29)</f>
        <v>0</v>
      </c>
      <c r="K29" s="479"/>
      <c r="L29" s="500" t="e">
        <f t="shared" ref="L29:L40" si="4">(J29-K29)/K29</f>
        <v>#DIV/0!</v>
      </c>
      <c r="M29" s="464"/>
      <c r="N29" s="194"/>
      <c r="O29" s="194"/>
      <c r="P29" s="194"/>
      <c r="Q29" s="194"/>
      <c r="R29" s="194"/>
      <c r="S29" s="194"/>
      <c r="T29" s="194"/>
    </row>
    <row r="30" spans="1:20" s="299" customFormat="1">
      <c r="A30" s="296"/>
      <c r="B30" s="296"/>
      <c r="C30" s="303"/>
      <c r="D30" s="319" t="s">
        <v>629</v>
      </c>
      <c r="E30" s="308">
        <f>ROUND('[26]部分费用明细（水电植物耗材茶歇）'!K17,0)</f>
        <v>18918</v>
      </c>
      <c r="F30" s="479"/>
      <c r="G30" s="479"/>
      <c r="H30" s="479"/>
      <c r="I30" s="479"/>
      <c r="J30" s="479">
        <f t="shared" si="3"/>
        <v>0</v>
      </c>
      <c r="K30" s="479"/>
      <c r="L30" s="500" t="e">
        <f t="shared" si="4"/>
        <v>#DIV/0!</v>
      </c>
      <c r="M30" s="464"/>
      <c r="N30" s="194"/>
      <c r="O30" s="194"/>
      <c r="P30" s="194"/>
      <c r="Q30" s="194"/>
      <c r="R30" s="194"/>
      <c r="S30" s="476"/>
      <c r="T30" s="194"/>
    </row>
    <row r="31" spans="1:20" s="299" customFormat="1">
      <c r="A31" s="296"/>
      <c r="B31" s="296"/>
      <c r="C31" s="303"/>
      <c r="D31" s="319" t="s">
        <v>630</v>
      </c>
      <c r="E31" s="308">
        <f>ROUND('[26]部分费用明细（水电植物耗材茶歇）'!N17,0)</f>
        <v>37423</v>
      </c>
      <c r="F31" s="479"/>
      <c r="G31" s="479"/>
      <c r="H31" s="479"/>
      <c r="I31" s="479"/>
      <c r="J31" s="479">
        <f t="shared" si="3"/>
        <v>0</v>
      </c>
      <c r="K31" s="479"/>
      <c r="L31" s="500" t="e">
        <f t="shared" si="4"/>
        <v>#DIV/0!</v>
      </c>
      <c r="M31" s="464"/>
      <c r="N31" s="194"/>
      <c r="O31" s="194"/>
      <c r="P31" s="194"/>
      <c r="Q31" s="194"/>
      <c r="R31" s="194"/>
      <c r="S31" s="194"/>
      <c r="T31" s="194"/>
    </row>
    <row r="32" spans="1:20" s="299" customFormat="1">
      <c r="A32" s="296"/>
      <c r="B32" s="296"/>
      <c r="C32" s="303"/>
      <c r="D32" s="319" t="s">
        <v>589</v>
      </c>
      <c r="E32" s="308">
        <f>'[26]部分费用明细（水电植物耗材茶歇）'!Q17</f>
        <v>22381</v>
      </c>
      <c r="F32" s="479"/>
      <c r="G32" s="479"/>
      <c r="H32" s="479"/>
      <c r="I32" s="479"/>
      <c r="J32" s="479">
        <f t="shared" si="3"/>
        <v>0</v>
      </c>
      <c r="K32" s="48"/>
      <c r="L32" s="500" t="e">
        <f t="shared" si="4"/>
        <v>#DIV/0!</v>
      </c>
      <c r="M32" s="464"/>
      <c r="N32" s="194"/>
      <c r="O32" s="194"/>
      <c r="P32" s="194"/>
      <c r="Q32" s="194"/>
      <c r="R32" s="194"/>
      <c r="S32" s="194"/>
      <c r="T32" s="194"/>
    </row>
    <row r="33" spans="1:20" s="299" customFormat="1">
      <c r="A33" s="296"/>
      <c r="B33" s="296"/>
      <c r="C33" s="303"/>
      <c r="D33" s="319" t="s">
        <v>590</v>
      </c>
      <c r="E33" s="308">
        <f>ROUND('[26]部分费用明细（水电植物耗材茶歇）'!T17,0)</f>
        <v>32374</v>
      </c>
      <c r="F33" s="479"/>
      <c r="G33" s="479"/>
      <c r="H33" s="479"/>
      <c r="I33" s="479"/>
      <c r="J33" s="479">
        <f t="shared" si="3"/>
        <v>0</v>
      </c>
      <c r="K33" s="48"/>
      <c r="L33" s="500" t="e">
        <f t="shared" si="4"/>
        <v>#DIV/0!</v>
      </c>
      <c r="M33" s="464"/>
      <c r="N33" s="194"/>
      <c r="O33" s="194"/>
      <c r="P33" s="194"/>
      <c r="Q33" s="194"/>
      <c r="R33" s="194"/>
      <c r="S33" s="194"/>
      <c r="T33" s="194"/>
    </row>
    <row r="34" spans="1:20" s="299" customFormat="1" ht="15">
      <c r="A34" s="302"/>
      <c r="B34" s="302"/>
      <c r="C34" s="303"/>
      <c r="D34" s="319"/>
      <c r="E34" s="308"/>
      <c r="F34" s="480">
        <f>SUM(F28:F33)</f>
        <v>0</v>
      </c>
      <c r="G34" s="480">
        <f>SUM(G28:G33)</f>
        <v>0</v>
      </c>
      <c r="H34" s="480">
        <f>SUM(H28:H33)</f>
        <v>0</v>
      </c>
      <c r="I34" s="480">
        <f>SUM(I28:I33)</f>
        <v>0</v>
      </c>
      <c r="J34" s="637">
        <f>SUM(J28:J33)</f>
        <v>0</v>
      </c>
      <c r="K34" s="481"/>
      <c r="L34" s="481"/>
      <c r="M34" s="466"/>
      <c r="N34" s="194"/>
      <c r="O34" s="194"/>
      <c r="P34" s="194"/>
      <c r="Q34" s="194"/>
      <c r="R34" s="194"/>
      <c r="S34" s="194"/>
      <c r="T34" s="194"/>
    </row>
    <row r="35" spans="1:20" s="299" customFormat="1">
      <c r="A35" s="296" t="s">
        <v>278</v>
      </c>
      <c r="B35" s="296"/>
      <c r="C35" s="303" t="s">
        <v>112</v>
      </c>
      <c r="D35" s="304" t="s">
        <v>631</v>
      </c>
      <c r="E35" s="308">
        <f>'[26]部分费用明细（水电植物耗材茶歇）'!E36*74%</f>
        <v>20033.28</v>
      </c>
      <c r="F35" s="479"/>
      <c r="G35" s="479"/>
      <c r="H35" s="479"/>
      <c r="I35" s="479"/>
      <c r="J35" s="479">
        <f t="shared" ref="J35:J40" si="5">SUM(F35:I35)</f>
        <v>0</v>
      </c>
      <c r="K35" s="479"/>
      <c r="L35" s="500" t="e">
        <f t="shared" si="4"/>
        <v>#DIV/0!</v>
      </c>
      <c r="M35" s="464"/>
      <c r="N35" s="194"/>
      <c r="O35" s="194"/>
      <c r="P35" s="194"/>
      <c r="Q35" s="194"/>
      <c r="R35" s="194"/>
      <c r="S35" s="194"/>
      <c r="T35" s="194"/>
    </row>
    <row r="36" spans="1:20" s="299" customFormat="1">
      <c r="A36" s="296"/>
      <c r="B36" s="296"/>
      <c r="C36" s="303"/>
      <c r="D36" s="304" t="s">
        <v>632</v>
      </c>
      <c r="E36" s="308">
        <f>'[26]部分费用明细（水电植物耗材茶歇）'!G36+'[26]部分费用明细（水电植物耗材茶歇）'!Q36+'[26]部分费用明细（水电植物耗材茶歇）'!S36</f>
        <v>564</v>
      </c>
      <c r="F36" s="479"/>
      <c r="G36" s="479"/>
      <c r="H36" s="479"/>
      <c r="I36" s="479"/>
      <c r="J36" s="479">
        <f t="shared" si="5"/>
        <v>0</v>
      </c>
      <c r="K36" s="479"/>
      <c r="L36" s="500" t="e">
        <f t="shared" si="4"/>
        <v>#DIV/0!</v>
      </c>
      <c r="M36" s="464"/>
      <c r="N36" s="194"/>
      <c r="O36" s="194"/>
      <c r="P36" s="194"/>
      <c r="Q36" s="194"/>
      <c r="R36" s="194"/>
      <c r="S36" s="194"/>
      <c r="T36" s="194"/>
    </row>
    <row r="37" spans="1:20" s="299" customFormat="1">
      <c r="A37" s="296"/>
      <c r="B37" s="296"/>
      <c r="C37" s="303"/>
      <c r="D37" s="319" t="s">
        <v>633</v>
      </c>
      <c r="E37" s="308">
        <f>ROUND('[26]部分费用明细（水电植物耗材茶歇）'!I36,0)</f>
        <v>2976</v>
      </c>
      <c r="F37" s="479"/>
      <c r="G37" s="479"/>
      <c r="H37" s="479"/>
      <c r="I37" s="479"/>
      <c r="J37" s="479">
        <f t="shared" si="5"/>
        <v>0</v>
      </c>
      <c r="K37" s="479"/>
      <c r="L37" s="500" t="e">
        <f t="shared" si="4"/>
        <v>#DIV/0!</v>
      </c>
      <c r="M37" s="464"/>
      <c r="N37" s="194"/>
      <c r="O37" s="194"/>
      <c r="P37" s="194"/>
      <c r="Q37" s="194"/>
      <c r="R37" s="194"/>
      <c r="S37" s="194"/>
      <c r="T37" s="194"/>
    </row>
    <row r="38" spans="1:20" s="299" customFormat="1">
      <c r="A38" s="296"/>
      <c r="B38" s="296"/>
      <c r="C38" s="303"/>
      <c r="D38" s="319" t="s">
        <v>634</v>
      </c>
      <c r="E38" s="308">
        <f>ROUND('[26]部分费用明细（水电植物耗材茶歇）'!K36,0)</f>
        <v>5868</v>
      </c>
      <c r="F38" s="479"/>
      <c r="G38" s="479"/>
      <c r="H38" s="479"/>
      <c r="I38" s="479"/>
      <c r="J38" s="479">
        <f t="shared" si="5"/>
        <v>0</v>
      </c>
      <c r="K38" s="479"/>
      <c r="L38" s="500" t="e">
        <f t="shared" si="4"/>
        <v>#DIV/0!</v>
      </c>
      <c r="M38" s="464"/>
      <c r="N38" s="194"/>
      <c r="O38" s="194"/>
      <c r="P38" s="194"/>
      <c r="Q38" s="194"/>
      <c r="R38" s="194"/>
      <c r="S38" s="194"/>
      <c r="T38" s="194"/>
    </row>
    <row r="39" spans="1:20" s="299" customFormat="1">
      <c r="A39" s="296"/>
      <c r="B39" s="296"/>
      <c r="C39" s="303"/>
      <c r="D39" s="319" t="s">
        <v>635</v>
      </c>
      <c r="E39" s="308">
        <f>'[26]部分费用明细（水电植物耗材茶歇）'!M36</f>
        <v>3648</v>
      </c>
      <c r="F39" s="479"/>
      <c r="G39" s="479"/>
      <c r="H39" s="479"/>
      <c r="I39" s="479"/>
      <c r="J39" s="479">
        <f t="shared" si="5"/>
        <v>0</v>
      </c>
      <c r="K39" s="48"/>
      <c r="L39" s="500" t="e">
        <f t="shared" si="4"/>
        <v>#DIV/0!</v>
      </c>
      <c r="M39" s="464"/>
      <c r="N39" s="194"/>
      <c r="O39" s="194"/>
      <c r="P39" s="194"/>
      <c r="Q39" s="194"/>
      <c r="R39" s="194"/>
      <c r="S39" s="194"/>
      <c r="T39" s="194"/>
    </row>
    <row r="40" spans="1:20" s="299" customFormat="1">
      <c r="A40" s="296"/>
      <c r="B40" s="296"/>
      <c r="C40" s="303"/>
      <c r="D40" s="319" t="s">
        <v>636</v>
      </c>
      <c r="E40" s="308">
        <f>'[26]部分费用明细（水电植物耗材茶歇）'!O36</f>
        <v>5664</v>
      </c>
      <c r="F40" s="479"/>
      <c r="G40" s="479"/>
      <c r="H40" s="479"/>
      <c r="I40" s="479"/>
      <c r="J40" s="479">
        <f t="shared" si="5"/>
        <v>0</v>
      </c>
      <c r="K40" s="48"/>
      <c r="L40" s="500" t="e">
        <f t="shared" si="4"/>
        <v>#DIV/0!</v>
      </c>
      <c r="M40" s="464"/>
      <c r="N40" s="194"/>
      <c r="O40" s="194"/>
      <c r="P40" s="194"/>
      <c r="Q40" s="194"/>
      <c r="R40" s="194"/>
      <c r="S40" s="194"/>
      <c r="T40" s="194"/>
    </row>
    <row r="41" spans="1:20" s="299" customFormat="1" ht="15">
      <c r="A41" s="296"/>
      <c r="B41" s="296"/>
      <c r="C41" s="303"/>
      <c r="D41" s="304"/>
      <c r="E41" s="308"/>
      <c r="F41" s="480"/>
      <c r="G41" s="480"/>
      <c r="H41" s="480"/>
      <c r="I41" s="480"/>
      <c r="J41" s="637">
        <f>SUM(J35:J40)</f>
        <v>0</v>
      </c>
      <c r="K41" s="481"/>
      <c r="L41" s="481"/>
      <c r="M41" s="84"/>
      <c r="N41" s="194"/>
      <c r="O41" s="194"/>
      <c r="P41" s="194"/>
      <c r="Q41" s="194"/>
      <c r="R41" s="194"/>
      <c r="S41" s="194"/>
      <c r="T41" s="194"/>
    </row>
    <row r="42" spans="1:20" s="299" customFormat="1">
      <c r="A42" s="296" t="s">
        <v>278</v>
      </c>
      <c r="B42" s="296"/>
      <c r="C42" s="303" t="s">
        <v>114</v>
      </c>
      <c r="D42" s="304" t="s">
        <v>637</v>
      </c>
      <c r="E42" s="308">
        <f>[26]保安服务费!H13*74%</f>
        <v>120546</v>
      </c>
      <c r="F42" s="479"/>
      <c r="G42" s="479"/>
      <c r="H42" s="479"/>
      <c r="I42" s="479"/>
      <c r="J42" s="479">
        <f>SUM(F42:I42)</f>
        <v>0</v>
      </c>
      <c r="K42" s="479"/>
      <c r="L42" s="500" t="e">
        <f>(J42-K42)/K42</f>
        <v>#DIV/0!</v>
      </c>
      <c r="M42" s="464"/>
      <c r="N42" s="194"/>
      <c r="O42" s="194"/>
      <c r="P42" s="194"/>
      <c r="Q42" s="194"/>
      <c r="R42" s="194"/>
      <c r="S42" s="194"/>
      <c r="T42" s="194"/>
    </row>
    <row r="43" spans="1:20" s="299" customFormat="1">
      <c r="A43" s="296"/>
      <c r="B43" s="296"/>
      <c r="C43" s="303"/>
      <c r="D43" s="319" t="s">
        <v>638</v>
      </c>
      <c r="E43" s="308">
        <f>[26]保安服务费!H26</f>
        <v>32580</v>
      </c>
      <c r="F43" s="479"/>
      <c r="G43" s="479"/>
      <c r="H43" s="479"/>
      <c r="I43" s="479"/>
      <c r="J43" s="479">
        <f t="shared" ref="J43:J46" si="6">SUM(F43:I43)</f>
        <v>0</v>
      </c>
      <c r="K43" s="479"/>
      <c r="L43" s="500" t="e">
        <f t="shared" ref="L43:L46" si="7">(J43-K43)/K43</f>
        <v>#DIV/0!</v>
      </c>
      <c r="M43" s="464"/>
      <c r="N43" s="194"/>
      <c r="O43" s="194"/>
      <c r="P43" s="194"/>
      <c r="Q43" s="194"/>
      <c r="R43" s="194"/>
      <c r="S43" s="194"/>
      <c r="T43" s="194"/>
    </row>
    <row r="44" spans="1:20" s="299" customFormat="1">
      <c r="A44" s="296"/>
      <c r="B44" s="296"/>
      <c r="C44" s="303"/>
      <c r="D44" s="319" t="s">
        <v>639</v>
      </c>
      <c r="E44" s="308">
        <f>[26]保安服务费!H39</f>
        <v>65160</v>
      </c>
      <c r="F44" s="479"/>
      <c r="G44" s="479"/>
      <c r="H44" s="479"/>
      <c r="I44" s="479"/>
      <c r="J44" s="479">
        <f t="shared" si="6"/>
        <v>0</v>
      </c>
      <c r="K44" s="479"/>
      <c r="L44" s="500" t="e">
        <f t="shared" si="7"/>
        <v>#DIV/0!</v>
      </c>
      <c r="M44" s="464"/>
      <c r="N44" s="194"/>
      <c r="O44" s="194"/>
      <c r="P44" s="194"/>
      <c r="Q44" s="194"/>
      <c r="R44" s="194"/>
      <c r="S44" s="194"/>
      <c r="T44" s="194"/>
    </row>
    <row r="45" spans="1:20" s="299" customFormat="1">
      <c r="A45" s="296"/>
      <c r="B45" s="296"/>
      <c r="C45" s="303"/>
      <c r="D45" s="319" t="s">
        <v>640</v>
      </c>
      <c r="E45" s="308">
        <f>[26]保安服务费!H52</f>
        <v>32580</v>
      </c>
      <c r="F45" s="479"/>
      <c r="G45" s="479"/>
      <c r="H45" s="479"/>
      <c r="I45" s="479"/>
      <c r="J45" s="479">
        <f t="shared" si="6"/>
        <v>0</v>
      </c>
      <c r="K45" s="479"/>
      <c r="L45" s="500" t="e">
        <f t="shared" si="7"/>
        <v>#DIV/0!</v>
      </c>
      <c r="M45" s="464"/>
      <c r="N45" s="194"/>
      <c r="O45" s="194"/>
      <c r="P45" s="194"/>
      <c r="Q45" s="194"/>
      <c r="R45" s="194"/>
      <c r="S45" s="194"/>
      <c r="T45" s="194"/>
    </row>
    <row r="46" spans="1:20" s="299" customFormat="1">
      <c r="A46" s="296"/>
      <c r="B46" s="296"/>
      <c r="C46" s="303"/>
      <c r="D46" s="319" t="s">
        <v>641</v>
      </c>
      <c r="E46" s="308">
        <f>[26]保安服务费!H65</f>
        <v>32580</v>
      </c>
      <c r="F46" s="479"/>
      <c r="G46" s="479"/>
      <c r="H46" s="479"/>
      <c r="I46" s="479"/>
      <c r="J46" s="479">
        <f t="shared" si="6"/>
        <v>0</v>
      </c>
      <c r="K46" s="479"/>
      <c r="L46" s="500" t="e">
        <f t="shared" si="7"/>
        <v>#DIV/0!</v>
      </c>
      <c r="M46" s="464"/>
      <c r="N46" s="194"/>
      <c r="O46" s="194"/>
      <c r="P46" s="194"/>
      <c r="Q46" s="194"/>
      <c r="R46" s="194"/>
      <c r="S46" s="194"/>
      <c r="T46" s="194"/>
    </row>
    <row r="47" spans="1:20" s="299" customFormat="1" ht="15">
      <c r="A47" s="296"/>
      <c r="B47" s="296"/>
      <c r="C47" s="303"/>
      <c r="D47" s="304"/>
      <c r="E47" s="308"/>
      <c r="F47" s="480">
        <f>SUM(F42:F46)</f>
        <v>0</v>
      </c>
      <c r="G47" s="480">
        <f>SUM(G42:G46)</f>
        <v>0</v>
      </c>
      <c r="H47" s="480">
        <f>SUM(H42:H46)</f>
        <v>0</v>
      </c>
      <c r="I47" s="480">
        <f>SUM(I42:I46)</f>
        <v>0</v>
      </c>
      <c r="J47" s="637">
        <f>SUM(J42:J46)</f>
        <v>0</v>
      </c>
      <c r="K47" s="481"/>
      <c r="L47" s="481"/>
      <c r="M47" s="466"/>
      <c r="N47" s="194"/>
      <c r="O47" s="194"/>
      <c r="P47" s="194"/>
      <c r="Q47" s="194"/>
      <c r="R47" s="194"/>
      <c r="S47" s="194"/>
      <c r="T47" s="194"/>
    </row>
    <row r="48" spans="1:20" s="299" customFormat="1">
      <c r="A48" s="296" t="s">
        <v>278</v>
      </c>
      <c r="B48" s="296"/>
      <c r="C48" s="303" t="s">
        <v>116</v>
      </c>
      <c r="D48" s="304" t="s">
        <v>642</v>
      </c>
      <c r="E48" s="308">
        <f>ROUND('[26]部分费用明细（水电植物耗材茶歇）'!C55,0)</f>
        <v>24430</v>
      </c>
      <c r="F48" s="479"/>
      <c r="G48" s="479"/>
      <c r="H48" s="479"/>
      <c r="I48" s="479"/>
      <c r="J48" s="479">
        <f>SUM(F48:I48)</f>
        <v>0</v>
      </c>
      <c r="K48" s="479"/>
      <c r="L48" s="500" t="e">
        <f>(J48-K48)/K48</f>
        <v>#DIV/0!</v>
      </c>
      <c r="M48" s="464"/>
      <c r="N48" s="194"/>
      <c r="O48" s="194"/>
      <c r="P48" s="194"/>
      <c r="Q48" s="194"/>
      <c r="R48" s="194"/>
      <c r="S48" s="194"/>
      <c r="T48" s="194"/>
    </row>
    <row r="49" spans="1:20" s="299" customFormat="1">
      <c r="A49" s="296"/>
      <c r="B49" s="296"/>
      <c r="C49" s="303"/>
      <c r="D49" s="304" t="s">
        <v>643</v>
      </c>
      <c r="E49" s="308">
        <f>ROUND('[26]部分费用明细（水电植物耗材茶歇）'!D55+'[26]部分费用明细（水电植物耗材茶歇）'!E55,0)</f>
        <v>3529</v>
      </c>
      <c r="F49" s="479"/>
      <c r="G49" s="479"/>
      <c r="H49" s="479"/>
      <c r="I49" s="479"/>
      <c r="J49" s="479">
        <f t="shared" ref="J49:J53" si="8">SUM(F49:I49)</f>
        <v>0</v>
      </c>
      <c r="K49" s="479"/>
      <c r="L49" s="500" t="e">
        <f t="shared" ref="L49:L53" si="9">(J49-K49)/K49</f>
        <v>#DIV/0!</v>
      </c>
      <c r="M49" s="464"/>
      <c r="N49" s="194"/>
      <c r="O49" s="194"/>
      <c r="P49" s="194"/>
      <c r="Q49" s="194"/>
      <c r="R49" s="194"/>
      <c r="S49" s="194"/>
      <c r="T49" s="194"/>
    </row>
    <row r="50" spans="1:20" s="299" customFormat="1">
      <c r="A50" s="296"/>
      <c r="B50" s="296"/>
      <c r="C50" s="303"/>
      <c r="D50" s="319" t="s">
        <v>644</v>
      </c>
      <c r="E50" s="308">
        <f>'[26]部分费用明细（水电植物耗材茶歇）'!F55</f>
        <v>2724.4777777777776</v>
      </c>
      <c r="F50" s="479"/>
      <c r="G50" s="479"/>
      <c r="H50" s="479"/>
      <c r="I50" s="479"/>
      <c r="J50" s="479">
        <f t="shared" si="8"/>
        <v>0</v>
      </c>
      <c r="K50" s="479"/>
      <c r="L50" s="500" t="e">
        <f t="shared" si="9"/>
        <v>#DIV/0!</v>
      </c>
      <c r="M50" s="464"/>
      <c r="N50" s="194"/>
      <c r="O50" s="194"/>
      <c r="P50" s="194"/>
      <c r="Q50" s="194"/>
      <c r="R50" s="194"/>
      <c r="S50" s="194"/>
      <c r="T50" s="194"/>
    </row>
    <row r="51" spans="1:20" s="299" customFormat="1">
      <c r="A51" s="296"/>
      <c r="B51" s="296"/>
      <c r="C51" s="303"/>
      <c r="D51" s="319" t="s">
        <v>645</v>
      </c>
      <c r="E51" s="308">
        <f>ROUND('[26]部分费用明细（水电植物耗材茶歇）'!G55,0)</f>
        <v>4612</v>
      </c>
      <c r="F51" s="479"/>
      <c r="G51" s="479"/>
      <c r="H51" s="479"/>
      <c r="I51" s="479"/>
      <c r="J51" s="479">
        <f t="shared" si="8"/>
        <v>0</v>
      </c>
      <c r="K51" s="479"/>
      <c r="L51" s="500" t="e">
        <f t="shared" si="9"/>
        <v>#DIV/0!</v>
      </c>
      <c r="M51" s="464"/>
      <c r="N51" s="194"/>
      <c r="O51" s="194"/>
      <c r="P51" s="194"/>
      <c r="Q51" s="194"/>
      <c r="R51" s="194"/>
      <c r="S51" s="194"/>
      <c r="T51" s="194"/>
    </row>
    <row r="52" spans="1:20" s="299" customFormat="1">
      <c r="A52" s="296"/>
      <c r="B52" s="296"/>
      <c r="C52" s="303"/>
      <c r="D52" s="319" t="s">
        <v>646</v>
      </c>
      <c r="E52" s="308">
        <f>'[26]部分费用明细（水电植物耗材茶歇）'!H55</f>
        <v>5508.6916666666666</v>
      </c>
      <c r="F52" s="479"/>
      <c r="G52" s="479"/>
      <c r="H52" s="479"/>
      <c r="I52" s="479"/>
      <c r="J52" s="479">
        <f t="shared" si="8"/>
        <v>0</v>
      </c>
      <c r="K52" s="479"/>
      <c r="L52" s="500" t="e">
        <f t="shared" si="9"/>
        <v>#DIV/0!</v>
      </c>
      <c r="M52" s="464"/>
      <c r="N52" s="194"/>
      <c r="O52" s="194"/>
      <c r="P52" s="194"/>
      <c r="Q52" s="194"/>
      <c r="R52" s="194"/>
      <c r="S52" s="194"/>
      <c r="T52" s="194"/>
    </row>
    <row r="53" spans="1:20" s="299" customFormat="1">
      <c r="A53" s="296"/>
      <c r="B53" s="296"/>
      <c r="C53" s="303"/>
      <c r="D53" s="319" t="s">
        <v>647</v>
      </c>
      <c r="E53" s="308">
        <f>ROUND('[26]部分费用明细（水电植物耗材茶歇）'!I55,0)</f>
        <v>4851</v>
      </c>
      <c r="F53" s="479"/>
      <c r="G53" s="479"/>
      <c r="H53" s="479"/>
      <c r="I53" s="479"/>
      <c r="J53" s="479">
        <f t="shared" si="8"/>
        <v>0</v>
      </c>
      <c r="K53" s="479"/>
      <c r="L53" s="500" t="e">
        <f t="shared" si="9"/>
        <v>#DIV/0!</v>
      </c>
      <c r="M53" s="464"/>
      <c r="N53" s="194"/>
      <c r="O53" s="194"/>
      <c r="P53" s="194"/>
      <c r="Q53" s="194"/>
      <c r="R53" s="194"/>
      <c r="S53" s="194"/>
      <c r="T53" s="194"/>
    </row>
    <row r="54" spans="1:20" s="299" customFormat="1" ht="15">
      <c r="A54" s="296"/>
      <c r="B54" s="296"/>
      <c r="C54" s="303"/>
      <c r="D54" s="304"/>
      <c r="E54" s="308"/>
      <c r="F54" s="480">
        <f>SUM(F48:F53)</f>
        <v>0</v>
      </c>
      <c r="G54" s="480">
        <f>SUM(G48:G53)</f>
        <v>0</v>
      </c>
      <c r="H54" s="480">
        <f>SUM(H48:H53)</f>
        <v>0</v>
      </c>
      <c r="I54" s="480">
        <f>SUM(I48:I53)</f>
        <v>0</v>
      </c>
      <c r="J54" s="637">
        <f>SUM(J48:J53)</f>
        <v>0</v>
      </c>
      <c r="K54" s="481"/>
      <c r="L54" s="481"/>
      <c r="M54" s="464"/>
      <c r="N54" s="194"/>
      <c r="O54" s="194"/>
      <c r="P54" s="194"/>
      <c r="Q54" s="194"/>
      <c r="R54" s="194"/>
      <c r="S54" s="194"/>
      <c r="T54" s="194"/>
    </row>
    <row r="55" spans="1:20" s="299" customFormat="1">
      <c r="A55" s="296" t="s">
        <v>278</v>
      </c>
      <c r="B55" s="296"/>
      <c r="C55" s="303" t="s">
        <v>118</v>
      </c>
      <c r="D55" s="482" t="s">
        <v>648</v>
      </c>
      <c r="E55" s="308">
        <f t="shared" ref="E55:H55" si="10">SUM(E56:E61)</f>
        <v>127888.14</v>
      </c>
      <c r="F55" s="483">
        <f>SUM(F56:F61)</f>
        <v>0</v>
      </c>
      <c r="G55" s="483">
        <f>SUM(G56:G61)</f>
        <v>0</v>
      </c>
      <c r="H55" s="483">
        <f t="shared" si="10"/>
        <v>0</v>
      </c>
      <c r="I55" s="483">
        <f>SUM(I56:I61)</f>
        <v>0</v>
      </c>
      <c r="J55" s="483">
        <f>SUM(J56:J61)</f>
        <v>0</v>
      </c>
      <c r="K55" s="483"/>
      <c r="L55" s="483"/>
      <c r="M55" s="467"/>
      <c r="N55" s="194"/>
      <c r="O55" s="194"/>
      <c r="P55" s="194"/>
      <c r="Q55" s="194"/>
      <c r="R55" s="194"/>
      <c r="S55" s="194"/>
      <c r="T55" s="194"/>
    </row>
    <row r="56" spans="1:20" s="299" customFormat="1">
      <c r="A56" s="296"/>
      <c r="B56" s="296"/>
      <c r="C56" s="303"/>
      <c r="D56" s="310" t="s">
        <v>649</v>
      </c>
      <c r="E56" s="308">
        <f>[26]保洁服务费!D11</f>
        <v>75838.14</v>
      </c>
      <c r="F56" s="479"/>
      <c r="G56" s="479"/>
      <c r="H56" s="479"/>
      <c r="I56" s="479"/>
      <c r="J56" s="479">
        <f t="shared" ref="J56:J59" si="11">SUM(F56:I56)</f>
        <v>0</v>
      </c>
      <c r="K56" s="479"/>
      <c r="L56" s="500" t="e">
        <f t="shared" ref="L56:L75" si="12">(J56-K56)/K56</f>
        <v>#DIV/0!</v>
      </c>
      <c r="M56" s="465"/>
      <c r="N56" s="194"/>
      <c r="O56" s="194"/>
      <c r="P56" s="194"/>
      <c r="Q56" s="194"/>
      <c r="R56" s="194"/>
      <c r="S56" s="194"/>
      <c r="T56" s="194"/>
    </row>
    <row r="57" spans="1:20" s="299" customFormat="1">
      <c r="A57" s="296"/>
      <c r="B57" s="296"/>
      <c r="C57" s="303"/>
      <c r="D57" s="310" t="s">
        <v>650</v>
      </c>
      <c r="E57" s="308">
        <f>[26]保洁服务费!D18+[26]保洁服务费!D24</f>
        <v>3900</v>
      </c>
      <c r="F57" s="479"/>
      <c r="G57" s="479"/>
      <c r="H57" s="479"/>
      <c r="I57" s="479"/>
      <c r="J57" s="479">
        <f>SUM(F57:I57)</f>
        <v>0</v>
      </c>
      <c r="K57" s="479"/>
      <c r="L57" s="500" t="e">
        <f t="shared" si="12"/>
        <v>#DIV/0!</v>
      </c>
      <c r="M57" s="465"/>
      <c r="N57" s="194"/>
      <c r="O57" s="194"/>
      <c r="P57" s="194"/>
      <c r="Q57" s="194"/>
      <c r="R57" s="194"/>
      <c r="S57" s="194"/>
      <c r="T57" s="194"/>
    </row>
    <row r="58" spans="1:20" s="299" customFormat="1">
      <c r="A58" s="296"/>
      <c r="B58" s="296"/>
      <c r="C58" s="303"/>
      <c r="D58" s="484" t="s">
        <v>651</v>
      </c>
      <c r="E58" s="308">
        <f>[26]保洁服务费!D30</f>
        <v>8000</v>
      </c>
      <c r="F58" s="479"/>
      <c r="G58" s="479"/>
      <c r="H58" s="479"/>
      <c r="I58" s="479"/>
      <c r="J58" s="479">
        <f t="shared" si="11"/>
        <v>0</v>
      </c>
      <c r="K58" s="479"/>
      <c r="L58" s="500" t="e">
        <f t="shared" si="12"/>
        <v>#DIV/0!</v>
      </c>
      <c r="M58" s="465"/>
      <c r="N58" s="194"/>
      <c r="O58" s="194"/>
      <c r="P58" s="194"/>
      <c r="Q58" s="194"/>
      <c r="R58" s="194"/>
      <c r="S58" s="194"/>
      <c r="T58" s="194"/>
    </row>
    <row r="59" spans="1:20" s="299" customFormat="1">
      <c r="A59" s="296"/>
      <c r="B59" s="296"/>
      <c r="C59" s="303"/>
      <c r="D59" s="484" t="s">
        <v>652</v>
      </c>
      <c r="E59" s="308">
        <f>[26]保洁服务费!D40</f>
        <v>18100</v>
      </c>
      <c r="F59" s="479"/>
      <c r="G59" s="479"/>
      <c r="H59" s="479"/>
      <c r="I59" s="479"/>
      <c r="J59" s="479">
        <f t="shared" si="11"/>
        <v>0</v>
      </c>
      <c r="K59" s="479"/>
      <c r="L59" s="500" t="e">
        <f t="shared" si="12"/>
        <v>#DIV/0!</v>
      </c>
      <c r="M59" s="465"/>
      <c r="N59" s="194"/>
      <c r="O59" s="194"/>
      <c r="P59" s="194"/>
      <c r="Q59" s="194"/>
      <c r="R59" s="194"/>
      <c r="S59" s="194"/>
      <c r="T59" s="194"/>
    </row>
    <row r="60" spans="1:20" s="299" customFormat="1">
      <c r="A60" s="296"/>
      <c r="B60" s="296"/>
      <c r="C60" s="303"/>
      <c r="D60" s="484" t="s">
        <v>653</v>
      </c>
      <c r="E60" s="308">
        <f>[26]保洁服务费!D51</f>
        <v>12100</v>
      </c>
      <c r="F60" s="479"/>
      <c r="G60" s="479"/>
      <c r="H60" s="479"/>
      <c r="I60" s="479"/>
      <c r="J60" s="479">
        <f>SUM(F60:I60)</f>
        <v>0</v>
      </c>
      <c r="K60" s="479"/>
      <c r="L60" s="500" t="e">
        <f t="shared" si="12"/>
        <v>#DIV/0!</v>
      </c>
      <c r="M60" s="465"/>
      <c r="N60" s="194"/>
      <c r="O60" s="194"/>
      <c r="P60" s="194"/>
      <c r="Q60" s="194"/>
      <c r="R60" s="194"/>
      <c r="S60" s="194"/>
      <c r="T60" s="194"/>
    </row>
    <row r="61" spans="1:20" s="299" customFormat="1">
      <c r="A61" s="296"/>
      <c r="B61" s="296"/>
      <c r="C61" s="303"/>
      <c r="D61" s="484" t="s">
        <v>654</v>
      </c>
      <c r="E61" s="308">
        <f>[26]保洁服务费!D60</f>
        <v>9950</v>
      </c>
      <c r="F61" s="479"/>
      <c r="G61" s="479"/>
      <c r="H61" s="479"/>
      <c r="I61" s="479"/>
      <c r="J61" s="479">
        <f>SUM(F61:I61)</f>
        <v>0</v>
      </c>
      <c r="K61" s="479"/>
      <c r="L61" s="500" t="e">
        <f t="shared" si="12"/>
        <v>#DIV/0!</v>
      </c>
      <c r="M61" s="465"/>
      <c r="N61" s="194"/>
      <c r="O61" s="194"/>
      <c r="P61" s="194"/>
      <c r="Q61" s="194"/>
      <c r="R61" s="194"/>
      <c r="S61" s="194"/>
      <c r="T61" s="194"/>
    </row>
    <row r="62" spans="1:20" s="300" customFormat="1">
      <c r="A62" s="314"/>
      <c r="B62" s="314"/>
      <c r="C62" s="303"/>
      <c r="D62" s="303" t="s">
        <v>655</v>
      </c>
      <c r="E62" s="308">
        <f t="shared" ref="E62" si="13">SUM(E63:E67)</f>
        <v>90754.506666666653</v>
      </c>
      <c r="F62" s="483"/>
      <c r="G62" s="483"/>
      <c r="H62" s="483"/>
      <c r="I62" s="483"/>
      <c r="J62" s="483">
        <f>SUM(J63:J67)</f>
        <v>0</v>
      </c>
      <c r="K62" s="483"/>
      <c r="L62" s="500"/>
      <c r="M62" s="466"/>
      <c r="N62" s="315"/>
      <c r="O62" s="315"/>
      <c r="P62" s="315"/>
      <c r="Q62" s="315"/>
      <c r="R62" s="315"/>
      <c r="S62" s="315"/>
      <c r="T62" s="315"/>
    </row>
    <row r="63" spans="1:20" s="299" customFormat="1">
      <c r="A63" s="296"/>
      <c r="B63" s="296"/>
      <c r="C63" s="303"/>
      <c r="D63" s="310" t="s">
        <v>656</v>
      </c>
      <c r="E63" s="308">
        <f>ROUND([26]保洁服务费!D12,-1)/3</f>
        <v>34166.666666666664</v>
      </c>
      <c r="F63" s="308"/>
      <c r="G63" s="308"/>
      <c r="H63" s="308"/>
      <c r="I63" s="308"/>
      <c r="J63" s="479">
        <f t="shared" ref="J63:J68" si="14">SUM(F63:I63)</f>
        <v>0</v>
      </c>
      <c r="K63" s="479"/>
      <c r="L63" s="500" t="e">
        <f t="shared" si="12"/>
        <v>#DIV/0!</v>
      </c>
      <c r="M63" s="465"/>
      <c r="N63" s="194"/>
      <c r="O63" s="194"/>
      <c r="P63" s="194"/>
      <c r="Q63" s="194"/>
      <c r="R63" s="194"/>
      <c r="S63" s="194"/>
      <c r="T63" s="194"/>
    </row>
    <row r="64" spans="1:20" s="299" customFormat="1">
      <c r="A64" s="296"/>
      <c r="B64" s="296"/>
      <c r="C64" s="303"/>
      <c r="D64" s="484" t="s">
        <v>657</v>
      </c>
      <c r="E64" s="308">
        <v>6600</v>
      </c>
      <c r="F64" s="479"/>
      <c r="G64" s="479"/>
      <c r="H64" s="479"/>
      <c r="I64" s="479"/>
      <c r="J64" s="479">
        <f t="shared" si="14"/>
        <v>0</v>
      </c>
      <c r="K64" s="479"/>
      <c r="L64" s="500" t="e">
        <f t="shared" si="12"/>
        <v>#DIV/0!</v>
      </c>
      <c r="M64" s="26"/>
      <c r="N64" s="194"/>
      <c r="O64" s="194"/>
      <c r="P64" s="194"/>
      <c r="Q64" s="194"/>
      <c r="R64" s="194"/>
      <c r="S64" s="194"/>
      <c r="T64" s="194"/>
    </row>
    <row r="65" spans="1:20" s="299" customFormat="1">
      <c r="A65" s="296"/>
      <c r="B65" s="296"/>
      <c r="C65" s="303"/>
      <c r="D65" s="484" t="s">
        <v>658</v>
      </c>
      <c r="E65" s="308">
        <f>ROUND([26]保洁服务费!D43,-1)</f>
        <v>29740</v>
      </c>
      <c r="F65" s="479"/>
      <c r="G65" s="479"/>
      <c r="H65" s="479"/>
      <c r="I65" s="479"/>
      <c r="J65" s="479">
        <f t="shared" si="14"/>
        <v>0</v>
      </c>
      <c r="K65" s="479"/>
      <c r="L65" s="500" t="e">
        <f t="shared" si="12"/>
        <v>#DIV/0!</v>
      </c>
      <c r="M65" s="465"/>
      <c r="N65" s="194"/>
      <c r="O65" s="194"/>
      <c r="P65" s="194"/>
      <c r="Q65" s="194"/>
      <c r="R65" s="194"/>
      <c r="S65" s="194"/>
      <c r="T65" s="194"/>
    </row>
    <row r="66" spans="1:20" s="299" customFormat="1" ht="14.25">
      <c r="A66" s="296"/>
      <c r="B66" s="296"/>
      <c r="C66" s="303"/>
      <c r="D66" s="484" t="s">
        <v>659</v>
      </c>
      <c r="E66" s="308">
        <f>[26]保洁服务费!D52/3</f>
        <v>10123.84</v>
      </c>
      <c r="F66" s="479"/>
      <c r="G66" s="479"/>
      <c r="H66" s="479"/>
      <c r="I66" s="479"/>
      <c r="J66" s="479">
        <f>SUM(F66:I66)</f>
        <v>0</v>
      </c>
      <c r="K66" s="479"/>
      <c r="L66" s="500" t="e">
        <f t="shared" si="12"/>
        <v>#DIV/0!</v>
      </c>
      <c r="M66" s="468"/>
      <c r="N66" s="194"/>
      <c r="O66" s="194"/>
      <c r="P66" s="194"/>
      <c r="Q66" s="194"/>
      <c r="R66" s="194"/>
      <c r="S66" s="194"/>
      <c r="T66" s="194"/>
    </row>
    <row r="67" spans="1:20" s="299" customFormat="1">
      <c r="A67" s="296"/>
      <c r="B67" s="296"/>
      <c r="C67" s="303"/>
      <c r="D67" s="484" t="s">
        <v>660</v>
      </c>
      <c r="E67" s="308">
        <v>10124</v>
      </c>
      <c r="F67" s="479"/>
      <c r="G67" s="479"/>
      <c r="H67" s="479"/>
      <c r="I67" s="479"/>
      <c r="J67" s="479">
        <f t="shared" si="14"/>
        <v>0</v>
      </c>
      <c r="K67" s="479"/>
      <c r="L67" s="500" t="e">
        <f t="shared" si="12"/>
        <v>#DIV/0!</v>
      </c>
      <c r="M67" s="465"/>
      <c r="N67" s="194"/>
      <c r="O67" s="194"/>
      <c r="P67" s="194"/>
      <c r="Q67" s="194"/>
      <c r="R67" s="194"/>
      <c r="S67" s="194"/>
      <c r="T67" s="194"/>
    </row>
    <row r="68" spans="1:20" s="299" customFormat="1">
      <c r="A68" s="296"/>
      <c r="B68" s="296"/>
      <c r="C68" s="303"/>
      <c r="D68" s="486" t="s">
        <v>259</v>
      </c>
      <c r="E68" s="477">
        <f>J68/12</f>
        <v>0</v>
      </c>
      <c r="F68" s="308"/>
      <c r="G68" s="308"/>
      <c r="H68" s="308"/>
      <c r="I68" s="308"/>
      <c r="J68" s="479">
        <f t="shared" si="14"/>
        <v>0</v>
      </c>
      <c r="K68" s="479"/>
      <c r="L68" s="500" t="e">
        <f t="shared" si="12"/>
        <v>#DIV/0!</v>
      </c>
      <c r="M68" s="465"/>
      <c r="N68" s="194"/>
      <c r="O68" s="194"/>
      <c r="P68" s="194"/>
      <c r="Q68" s="194"/>
      <c r="R68" s="194"/>
      <c r="S68" s="194"/>
      <c r="T68" s="194"/>
    </row>
    <row r="69" spans="1:20" s="299" customFormat="1" ht="15">
      <c r="A69" s="296"/>
      <c r="B69" s="296"/>
      <c r="C69" s="303"/>
      <c r="D69" s="304"/>
      <c r="E69" s="308"/>
      <c r="F69" s="485">
        <f>F55+F62+F68</f>
        <v>0</v>
      </c>
      <c r="G69" s="485">
        <f>G55+G62+G68</f>
        <v>0</v>
      </c>
      <c r="H69" s="485">
        <f t="shared" ref="H69:I69" si="15">H55+H62+H68</f>
        <v>0</v>
      </c>
      <c r="I69" s="485">
        <f t="shared" si="15"/>
        <v>0</v>
      </c>
      <c r="J69" s="639">
        <f>SUM(J55,J62,J68)</f>
        <v>0</v>
      </c>
      <c r="K69" s="487"/>
      <c r="L69" s="487"/>
      <c r="M69" s="84"/>
      <c r="N69" s="194"/>
      <c r="O69" s="194"/>
      <c r="P69" s="194"/>
      <c r="Q69" s="194"/>
      <c r="R69" s="194"/>
      <c r="S69" s="194"/>
      <c r="T69" s="194"/>
    </row>
    <row r="70" spans="1:20" s="299" customFormat="1">
      <c r="A70" s="296" t="s">
        <v>278</v>
      </c>
      <c r="B70" s="296"/>
      <c r="C70" s="303" t="s">
        <v>119</v>
      </c>
      <c r="D70" s="512" t="s">
        <v>609</v>
      </c>
      <c r="E70" s="506">
        <f>[26]阿姨工资奖金!K22</f>
        <v>31601.449999999997</v>
      </c>
      <c r="F70" s="507"/>
      <c r="G70" s="507"/>
      <c r="H70" s="507"/>
      <c r="I70" s="507"/>
      <c r="J70" s="507">
        <f t="shared" ref="J70:J73" si="16">SUM(F70:I70)</f>
        <v>0</v>
      </c>
      <c r="K70" s="479"/>
      <c r="L70" s="500" t="e">
        <f t="shared" si="12"/>
        <v>#DIV/0!</v>
      </c>
      <c r="M70" s="465"/>
      <c r="N70" s="194"/>
      <c r="O70" s="194"/>
      <c r="P70" s="194"/>
      <c r="Q70" s="194"/>
      <c r="R70" s="194"/>
      <c r="S70" s="194"/>
      <c r="T70" s="194"/>
    </row>
    <row r="71" spans="1:20" s="299" customFormat="1">
      <c r="A71" s="296"/>
      <c r="B71" s="296"/>
      <c r="C71" s="303"/>
      <c r="D71" s="319" t="s">
        <v>661</v>
      </c>
      <c r="E71" s="308">
        <f>[26]阿姨工资奖金!K31</f>
        <v>3520</v>
      </c>
      <c r="F71" s="479"/>
      <c r="G71" s="479"/>
      <c r="H71" s="479"/>
      <c r="I71" s="479"/>
      <c r="J71" s="479">
        <f t="shared" si="16"/>
        <v>0</v>
      </c>
      <c r="K71" s="479"/>
      <c r="L71" s="500" t="e">
        <f t="shared" si="12"/>
        <v>#DIV/0!</v>
      </c>
      <c r="M71" s="465"/>
      <c r="N71" s="194"/>
      <c r="O71" s="194"/>
      <c r="P71" s="194"/>
      <c r="Q71" s="194"/>
      <c r="R71" s="194"/>
      <c r="S71" s="194"/>
      <c r="T71" s="194"/>
    </row>
    <row r="72" spans="1:20" s="299" customFormat="1">
      <c r="A72" s="296"/>
      <c r="B72" s="296"/>
      <c r="C72" s="303"/>
      <c r="D72" s="319" t="s">
        <v>662</v>
      </c>
      <c r="E72" s="308">
        <f>[26]阿姨工资奖金!K40</f>
        <v>3520</v>
      </c>
      <c r="F72" s="479"/>
      <c r="G72" s="479"/>
      <c r="H72" s="479"/>
      <c r="I72" s="479"/>
      <c r="J72" s="479">
        <f t="shared" si="16"/>
        <v>0</v>
      </c>
      <c r="K72" s="479"/>
      <c r="L72" s="500" t="e">
        <f t="shared" si="12"/>
        <v>#DIV/0!</v>
      </c>
      <c r="M72" s="465"/>
      <c r="N72" s="194"/>
      <c r="O72" s="194"/>
      <c r="P72" s="194"/>
      <c r="Q72" s="194"/>
      <c r="R72" s="194"/>
      <c r="S72" s="194"/>
      <c r="T72" s="194"/>
    </row>
    <row r="73" spans="1:20" s="299" customFormat="1">
      <c r="A73" s="296"/>
      <c r="B73" s="296"/>
      <c r="C73" s="303"/>
      <c r="D73" s="319" t="s">
        <v>663</v>
      </c>
      <c r="E73" s="308">
        <f>[26]阿姨工资奖金!K49</f>
        <v>3520</v>
      </c>
      <c r="F73" s="479"/>
      <c r="G73" s="479"/>
      <c r="H73" s="479"/>
      <c r="I73" s="479"/>
      <c r="J73" s="479">
        <f t="shared" si="16"/>
        <v>0</v>
      </c>
      <c r="K73" s="479"/>
      <c r="L73" s="500" t="e">
        <f t="shared" si="12"/>
        <v>#DIV/0!</v>
      </c>
      <c r="M73" s="465"/>
      <c r="N73" s="194"/>
      <c r="O73" s="194"/>
      <c r="P73" s="194"/>
      <c r="Q73" s="194"/>
      <c r="R73" s="194"/>
      <c r="S73" s="194"/>
      <c r="T73" s="194"/>
    </row>
    <row r="74" spans="1:20" s="299" customFormat="1" ht="15">
      <c r="A74" s="296"/>
      <c r="B74" s="296"/>
      <c r="C74" s="303"/>
      <c r="D74" s="304"/>
      <c r="E74" s="308"/>
      <c r="F74" s="485">
        <f>SUM(F70:F73)</f>
        <v>0</v>
      </c>
      <c r="G74" s="485">
        <f>SUM(G70:G73)</f>
        <v>0</v>
      </c>
      <c r="H74" s="485">
        <f>SUM(H70:H73)</f>
        <v>0</v>
      </c>
      <c r="I74" s="485">
        <f>SUM(I70:I73)</f>
        <v>0</v>
      </c>
      <c r="J74" s="639">
        <f>SUM(J70:J73)</f>
        <v>0</v>
      </c>
      <c r="K74" s="487"/>
      <c r="L74" s="487"/>
      <c r="M74" s="84"/>
      <c r="N74" s="194"/>
      <c r="O74" s="194"/>
      <c r="P74" s="194"/>
      <c r="Q74" s="194"/>
      <c r="R74" s="194"/>
      <c r="S74" s="194"/>
      <c r="T74" s="194"/>
    </row>
    <row r="75" spans="1:20" s="299" customFormat="1">
      <c r="A75" s="488" t="s">
        <v>278</v>
      </c>
      <c r="B75" s="488"/>
      <c r="C75" s="303" t="s">
        <v>121</v>
      </c>
      <c r="D75" s="513" t="s">
        <v>664</v>
      </c>
      <c r="E75" s="308">
        <f>J75/12</f>
        <v>0</v>
      </c>
      <c r="F75" s="479"/>
      <c r="G75" s="479"/>
      <c r="H75" s="479"/>
      <c r="I75" s="479"/>
      <c r="J75" s="479">
        <f>SUM(F75:I75)</f>
        <v>0</v>
      </c>
      <c r="K75" s="479"/>
      <c r="L75" s="500" t="e">
        <f t="shared" si="12"/>
        <v>#DIV/0!</v>
      </c>
      <c r="M75" s="465"/>
      <c r="N75" s="194"/>
      <c r="O75" s="194"/>
      <c r="P75" s="194"/>
      <c r="Q75" s="194"/>
      <c r="R75" s="194"/>
      <c r="S75" s="194"/>
      <c r="T75" s="194"/>
    </row>
    <row r="76" spans="1:20" s="299" customFormat="1" ht="15">
      <c r="A76" s="296"/>
      <c r="B76" s="296"/>
      <c r="C76" s="303"/>
      <c r="D76" s="310"/>
      <c r="E76" s="308"/>
      <c r="F76" s="480">
        <f>SUM(F75:F75)</f>
        <v>0</v>
      </c>
      <c r="G76" s="480">
        <f>SUM(G75:G75)</f>
        <v>0</v>
      </c>
      <c r="H76" s="480">
        <f>SUM(H75:H75)</f>
        <v>0</v>
      </c>
      <c r="I76" s="480">
        <f>SUM(I75:I75)</f>
        <v>0</v>
      </c>
      <c r="J76" s="637">
        <f>SUM(J75:J75)</f>
        <v>0</v>
      </c>
      <c r="K76" s="481"/>
      <c r="L76" s="481"/>
      <c r="M76" s="306"/>
      <c r="N76" s="194"/>
      <c r="O76" s="194"/>
      <c r="P76" s="194"/>
      <c r="Q76" s="194"/>
      <c r="R76" s="194"/>
      <c r="S76" s="194"/>
      <c r="T76" s="194"/>
    </row>
    <row r="77" spans="1:20" s="299" customFormat="1">
      <c r="A77" s="488" t="s">
        <v>278</v>
      </c>
      <c r="B77" s="296"/>
      <c r="C77" s="303" t="s">
        <v>122</v>
      </c>
      <c r="D77" s="489" t="s">
        <v>665</v>
      </c>
      <c r="E77" s="308">
        <f>SUM(E78:E82)</f>
        <v>26401.82</v>
      </c>
      <c r="F77" s="483"/>
      <c r="G77" s="483"/>
      <c r="H77" s="483"/>
      <c r="I77" s="483"/>
      <c r="J77" s="483">
        <f t="shared" ref="J77" si="17">SUM(J78:J82)</f>
        <v>0</v>
      </c>
      <c r="K77" s="483"/>
      <c r="L77" s="483"/>
      <c r="M77" s="466"/>
      <c r="N77" s="194"/>
      <c r="O77" s="194"/>
      <c r="P77" s="194"/>
      <c r="Q77" s="194"/>
      <c r="R77" s="194"/>
      <c r="S77" s="194"/>
      <c r="T77" s="194"/>
    </row>
    <row r="78" spans="1:20" s="299" customFormat="1">
      <c r="A78" s="296"/>
      <c r="B78" s="296"/>
      <c r="C78" s="303"/>
      <c r="D78" s="310" t="s">
        <v>666</v>
      </c>
      <c r="E78" s="308">
        <f>'[26]部分费用明细（水电植物耗材茶歇）'!C75*74%</f>
        <v>13610.82</v>
      </c>
      <c r="F78" s="479"/>
      <c r="G78" s="479"/>
      <c r="H78" s="479"/>
      <c r="I78" s="479"/>
      <c r="J78" s="479">
        <f t="shared" ref="J78:J82" si="18">SUM(F78:I78)</f>
        <v>0</v>
      </c>
      <c r="K78" s="479"/>
      <c r="L78" s="500" t="e">
        <f t="shared" ref="L78:L96" si="19">(J78-K78)/K78</f>
        <v>#DIV/0!</v>
      </c>
      <c r="M78" s="465"/>
      <c r="N78" s="194"/>
      <c r="O78" s="194"/>
      <c r="P78" s="194"/>
      <c r="Q78" s="194"/>
      <c r="R78" s="194"/>
      <c r="S78" s="194"/>
      <c r="T78" s="194"/>
    </row>
    <row r="79" spans="1:20" s="299" customFormat="1">
      <c r="A79" s="296"/>
      <c r="B79" s="296"/>
      <c r="C79" s="303"/>
      <c r="D79" s="484" t="s">
        <v>667</v>
      </c>
      <c r="E79" s="308">
        <f>ROUND('[26]部分费用明细（水电植物耗材茶歇）'!D75,0)</f>
        <v>1604</v>
      </c>
      <c r="F79" s="479"/>
      <c r="G79" s="479"/>
      <c r="H79" s="479"/>
      <c r="I79" s="479"/>
      <c r="J79" s="479">
        <f t="shared" si="18"/>
        <v>0</v>
      </c>
      <c r="K79" s="479"/>
      <c r="L79" s="500" t="e">
        <f t="shared" si="19"/>
        <v>#DIV/0!</v>
      </c>
      <c r="M79" s="465"/>
      <c r="N79" s="194"/>
      <c r="O79" s="194"/>
      <c r="P79" s="194"/>
      <c r="Q79" s="194"/>
      <c r="R79" s="194"/>
      <c r="S79" s="194"/>
      <c r="T79" s="194"/>
    </row>
    <row r="80" spans="1:20" s="299" customFormat="1">
      <c r="A80" s="296"/>
      <c r="B80" s="296"/>
      <c r="C80" s="303"/>
      <c r="D80" s="484" t="s">
        <v>668</v>
      </c>
      <c r="E80" s="308">
        <f>ROUND('[26]部分费用明细（水电植物耗材茶歇）'!E75,0)</f>
        <v>5516</v>
      </c>
      <c r="F80" s="479"/>
      <c r="G80" s="479"/>
      <c r="H80" s="479"/>
      <c r="I80" s="479"/>
      <c r="J80" s="479">
        <f t="shared" si="18"/>
        <v>0</v>
      </c>
      <c r="K80" s="479"/>
      <c r="L80" s="500" t="e">
        <f t="shared" si="19"/>
        <v>#DIV/0!</v>
      </c>
      <c r="M80" s="465"/>
      <c r="N80" s="194"/>
      <c r="O80" s="194"/>
      <c r="P80" s="194"/>
      <c r="Q80" s="194"/>
      <c r="R80" s="194"/>
      <c r="S80" s="194"/>
      <c r="T80" s="194"/>
    </row>
    <row r="81" spans="1:20" s="299" customFormat="1">
      <c r="A81" s="296"/>
      <c r="B81" s="296"/>
      <c r="C81" s="303"/>
      <c r="D81" s="484" t="s">
        <v>669</v>
      </c>
      <c r="E81" s="308">
        <f>'[26]部分费用明细（水电植物耗材茶歇）'!F75</f>
        <v>2955</v>
      </c>
      <c r="F81" s="479"/>
      <c r="G81" s="479"/>
      <c r="H81" s="479"/>
      <c r="I81" s="479"/>
      <c r="J81" s="479">
        <f t="shared" si="18"/>
        <v>0</v>
      </c>
      <c r="K81" s="479"/>
      <c r="L81" s="500" t="e">
        <f t="shared" si="19"/>
        <v>#DIV/0!</v>
      </c>
      <c r="M81" s="465"/>
      <c r="N81" s="194"/>
      <c r="O81" s="194"/>
      <c r="P81" s="194"/>
      <c r="Q81" s="194"/>
      <c r="R81" s="194"/>
      <c r="S81" s="194"/>
      <c r="T81" s="194"/>
    </row>
    <row r="82" spans="1:20" s="299" customFormat="1">
      <c r="A82" s="296"/>
      <c r="B82" s="296"/>
      <c r="C82" s="303"/>
      <c r="D82" s="484" t="s">
        <v>670</v>
      </c>
      <c r="E82" s="308">
        <f>'[26]部分费用明细（水电植物耗材茶歇）'!G75</f>
        <v>2716</v>
      </c>
      <c r="F82" s="479"/>
      <c r="G82" s="479"/>
      <c r="H82" s="479"/>
      <c r="I82" s="479"/>
      <c r="J82" s="479">
        <f t="shared" si="18"/>
        <v>0</v>
      </c>
      <c r="K82" s="479"/>
      <c r="L82" s="500" t="e">
        <f t="shared" si="19"/>
        <v>#DIV/0!</v>
      </c>
      <c r="M82" s="465"/>
      <c r="N82" s="194"/>
      <c r="O82" s="194"/>
      <c r="P82" s="194"/>
      <c r="Q82" s="194"/>
      <c r="R82" s="194"/>
      <c r="S82" s="194"/>
      <c r="T82" s="194"/>
    </row>
    <row r="83" spans="1:20" s="301" customFormat="1">
      <c r="A83" s="490"/>
      <c r="B83" s="490"/>
      <c r="C83" s="303"/>
      <c r="D83" s="482" t="s">
        <v>671</v>
      </c>
      <c r="E83" s="308"/>
      <c r="F83" s="483"/>
      <c r="G83" s="483"/>
      <c r="H83" s="483"/>
      <c r="I83" s="483"/>
      <c r="J83" s="483">
        <f>SUM(J84:J85)</f>
        <v>0</v>
      </c>
      <c r="K83" s="483"/>
      <c r="L83" s="483"/>
      <c r="M83" s="469"/>
      <c r="N83" s="470"/>
      <c r="O83" s="470"/>
      <c r="P83" s="470"/>
      <c r="Q83" s="470"/>
      <c r="R83" s="470"/>
      <c r="S83" s="470"/>
      <c r="T83" s="470"/>
    </row>
    <row r="84" spans="1:20" s="301" customFormat="1">
      <c r="A84" s="490"/>
      <c r="B84" s="490"/>
      <c r="C84" s="303"/>
      <c r="D84" s="484" t="s">
        <v>672</v>
      </c>
      <c r="E84" s="308"/>
      <c r="F84" s="308"/>
      <c r="G84" s="308"/>
      <c r="H84" s="308"/>
      <c r="I84" s="308"/>
      <c r="J84" s="479">
        <f>SUM(F84:I84)</f>
        <v>0</v>
      </c>
      <c r="K84" s="479"/>
      <c r="L84" s="500" t="e">
        <f t="shared" si="19"/>
        <v>#DIV/0!</v>
      </c>
      <c r="M84" s="469"/>
      <c r="N84" s="470"/>
      <c r="O84" s="470"/>
      <c r="P84" s="470"/>
      <c r="Q84" s="470"/>
      <c r="R84" s="470"/>
      <c r="S84" s="470"/>
      <c r="T84" s="470"/>
    </row>
    <row r="85" spans="1:20" s="301" customFormat="1">
      <c r="A85" s="490"/>
      <c r="B85" s="490"/>
      <c r="C85" s="303"/>
      <c r="D85" s="484" t="s">
        <v>673</v>
      </c>
      <c r="E85" s="308">
        <v>3520</v>
      </c>
      <c r="F85" s="308"/>
      <c r="G85" s="308"/>
      <c r="H85" s="308"/>
      <c r="I85" s="308"/>
      <c r="J85" s="479">
        <f>SUM(F85:I85)</f>
        <v>0</v>
      </c>
      <c r="K85" s="479"/>
      <c r="L85" s="500" t="e">
        <f t="shared" si="19"/>
        <v>#DIV/0!</v>
      </c>
      <c r="M85" s="469"/>
      <c r="N85" s="470"/>
      <c r="O85" s="470"/>
      <c r="P85" s="470"/>
      <c r="Q85" s="470"/>
      <c r="R85" s="470"/>
      <c r="S85" s="470"/>
      <c r="T85" s="470"/>
    </row>
    <row r="86" spans="1:20" s="299" customFormat="1" ht="15">
      <c r="A86" s="296"/>
      <c r="B86" s="296"/>
      <c r="C86" s="303"/>
      <c r="D86" s="310"/>
      <c r="E86" s="308"/>
      <c r="F86" s="480">
        <f>F77+F83</f>
        <v>0</v>
      </c>
      <c r="G86" s="480">
        <f>G77+G83</f>
        <v>0</v>
      </c>
      <c r="H86" s="480">
        <f>H77+H83</f>
        <v>0</v>
      </c>
      <c r="I86" s="480">
        <f>I77+I83</f>
        <v>0</v>
      </c>
      <c r="J86" s="637">
        <f>J77+J83</f>
        <v>0</v>
      </c>
      <c r="K86" s="481"/>
      <c r="L86" s="481"/>
      <c r="M86" s="466"/>
      <c r="N86" s="194"/>
      <c r="O86" s="194"/>
      <c r="P86" s="194"/>
      <c r="Q86" s="194"/>
      <c r="R86" s="194"/>
      <c r="S86" s="194"/>
      <c r="T86" s="194"/>
    </row>
    <row r="87" spans="1:20" s="299" customFormat="1" ht="14.25">
      <c r="A87" s="296" t="s">
        <v>24</v>
      </c>
      <c r="B87" s="296"/>
      <c r="C87" s="303" t="s">
        <v>124</v>
      </c>
      <c r="D87" s="304" t="s">
        <v>674</v>
      </c>
      <c r="E87" s="308">
        <f>'[26]部分费用明细（水电植物耗材茶歇）'!D136</f>
        <v>3797.5733333333328</v>
      </c>
      <c r="F87" s="479"/>
      <c r="G87" s="479"/>
      <c r="H87" s="479"/>
      <c r="I87" s="479"/>
      <c r="J87" s="479">
        <f>SUM(F87:I87)</f>
        <v>0</v>
      </c>
      <c r="K87" s="479"/>
      <c r="L87" s="500" t="e">
        <f t="shared" si="19"/>
        <v>#DIV/0!</v>
      </c>
      <c r="M87" s="471"/>
      <c r="N87" s="194"/>
      <c r="O87" s="194"/>
      <c r="P87" s="194"/>
      <c r="Q87" s="194"/>
      <c r="R87" s="194"/>
      <c r="S87" s="194"/>
      <c r="T87" s="194"/>
    </row>
    <row r="88" spans="1:20" s="301" customFormat="1">
      <c r="A88" s="491"/>
      <c r="B88" s="492"/>
      <c r="C88" s="303"/>
      <c r="D88" s="489" t="s">
        <v>675</v>
      </c>
      <c r="E88" s="483">
        <f>SUM(E89:E95)</f>
        <v>6658</v>
      </c>
      <c r="F88" s="483"/>
      <c r="G88" s="483"/>
      <c r="H88" s="483"/>
      <c r="I88" s="483"/>
      <c r="J88" s="483">
        <f>SUM(J89:J95)</f>
        <v>0</v>
      </c>
      <c r="K88" s="483"/>
      <c r="L88" s="500"/>
      <c r="M88" s="472"/>
      <c r="N88" s="470"/>
      <c r="O88" s="470"/>
      <c r="P88" s="470"/>
      <c r="Q88" s="470"/>
      <c r="R88" s="470"/>
      <c r="S88" s="470"/>
      <c r="T88" s="470"/>
    </row>
    <row r="89" spans="1:20" s="301" customFormat="1">
      <c r="A89" s="491"/>
      <c r="B89" s="492"/>
      <c r="C89" s="303"/>
      <c r="D89" s="505" t="s">
        <v>676</v>
      </c>
      <c r="E89" s="506"/>
      <c r="F89" s="506"/>
      <c r="G89" s="506"/>
      <c r="H89" s="506"/>
      <c r="I89" s="506"/>
      <c r="J89" s="506">
        <f t="shared" ref="J89" si="20">SUM(F89:I89)</f>
        <v>0</v>
      </c>
      <c r="K89" s="483"/>
      <c r="L89" s="500"/>
      <c r="M89" s="472"/>
      <c r="N89" s="470"/>
      <c r="O89" s="470"/>
      <c r="P89" s="470"/>
      <c r="Q89" s="470"/>
      <c r="R89" s="470"/>
      <c r="S89" s="470"/>
      <c r="T89" s="470"/>
    </row>
    <row r="90" spans="1:20" s="511" customFormat="1">
      <c r="A90" s="503"/>
      <c r="B90" s="503"/>
      <c r="C90" s="504"/>
      <c r="D90" s="515" t="s">
        <v>677</v>
      </c>
      <c r="E90" s="506"/>
      <c r="F90" s="506"/>
      <c r="G90" s="506"/>
      <c r="H90" s="506"/>
      <c r="I90" s="506"/>
      <c r="J90" s="506">
        <f>SUM(F90:I90)</f>
        <v>0</v>
      </c>
      <c r="K90" s="506"/>
      <c r="L90" s="508" t="e">
        <f t="shared" si="19"/>
        <v>#DIV/0!</v>
      </c>
      <c r="M90" s="514"/>
      <c r="N90" s="510"/>
      <c r="O90" s="510"/>
      <c r="P90" s="510"/>
      <c r="Q90" s="510"/>
      <c r="R90" s="510"/>
      <c r="S90" s="510"/>
      <c r="T90" s="510"/>
    </row>
    <row r="91" spans="1:20" s="511" customFormat="1">
      <c r="A91" s="503"/>
      <c r="B91" s="503"/>
      <c r="C91" s="504"/>
      <c r="D91" s="515" t="s">
        <v>424</v>
      </c>
      <c r="E91" s="506">
        <v>3417</v>
      </c>
      <c r="F91" s="506"/>
      <c r="G91" s="506"/>
      <c r="H91" s="506"/>
      <c r="I91" s="506"/>
      <c r="J91" s="506">
        <f t="shared" ref="J91:J95" si="21">SUM(F91:I91)</f>
        <v>0</v>
      </c>
      <c r="K91" s="506"/>
      <c r="L91" s="508"/>
      <c r="M91" s="509"/>
      <c r="N91" s="510"/>
      <c r="O91" s="510"/>
      <c r="P91" s="510"/>
      <c r="Q91" s="510"/>
      <c r="R91" s="510"/>
      <c r="S91" s="510"/>
      <c r="T91" s="510"/>
    </row>
    <row r="92" spans="1:20" s="511" customFormat="1">
      <c r="A92" s="503"/>
      <c r="B92" s="503"/>
      <c r="C92" s="504"/>
      <c r="D92" s="515" t="s">
        <v>678</v>
      </c>
      <c r="E92" s="506">
        <v>220</v>
      </c>
      <c r="F92" s="506"/>
      <c r="G92" s="506"/>
      <c r="H92" s="506"/>
      <c r="I92" s="506"/>
      <c r="J92" s="506">
        <f t="shared" si="21"/>
        <v>0</v>
      </c>
      <c r="K92" s="507"/>
      <c r="L92" s="508" t="e">
        <f t="shared" si="19"/>
        <v>#DIV/0!</v>
      </c>
      <c r="M92" s="509"/>
      <c r="N92" s="510"/>
      <c r="O92" s="510"/>
      <c r="P92" s="510"/>
      <c r="Q92" s="510"/>
      <c r="R92" s="510"/>
      <c r="S92" s="510"/>
      <c r="T92" s="510"/>
    </row>
    <row r="93" spans="1:20" s="511" customFormat="1">
      <c r="A93" s="503"/>
      <c r="B93" s="503"/>
      <c r="C93" s="504"/>
      <c r="D93" s="515" t="s">
        <v>679</v>
      </c>
      <c r="E93" s="506">
        <v>811</v>
      </c>
      <c r="F93" s="506"/>
      <c r="G93" s="506"/>
      <c r="H93" s="506"/>
      <c r="I93" s="506"/>
      <c r="J93" s="506">
        <f t="shared" si="21"/>
        <v>0</v>
      </c>
      <c r="K93" s="507"/>
      <c r="L93" s="508" t="e">
        <f t="shared" si="19"/>
        <v>#DIV/0!</v>
      </c>
      <c r="M93" s="509"/>
      <c r="N93" s="510"/>
      <c r="O93" s="510"/>
      <c r="P93" s="510"/>
      <c r="Q93" s="510"/>
      <c r="R93" s="510"/>
      <c r="S93" s="510"/>
      <c r="T93" s="510"/>
    </row>
    <row r="94" spans="1:20" s="511" customFormat="1">
      <c r="A94" s="503"/>
      <c r="B94" s="503"/>
      <c r="C94" s="504"/>
      <c r="D94" s="515" t="s">
        <v>680</v>
      </c>
      <c r="E94" s="506">
        <v>1105</v>
      </c>
      <c r="F94" s="506"/>
      <c r="G94" s="506"/>
      <c r="H94" s="506"/>
      <c r="I94" s="506"/>
      <c r="J94" s="506">
        <f t="shared" si="21"/>
        <v>0</v>
      </c>
      <c r="K94" s="507"/>
      <c r="L94" s="508" t="e">
        <f t="shared" si="19"/>
        <v>#DIV/0!</v>
      </c>
      <c r="M94" s="509"/>
      <c r="N94" s="510"/>
      <c r="O94" s="510"/>
      <c r="P94" s="510"/>
      <c r="Q94" s="510"/>
      <c r="R94" s="510"/>
      <c r="S94" s="510"/>
      <c r="T94" s="510"/>
    </row>
    <row r="95" spans="1:20" s="511" customFormat="1">
      <c r="A95" s="503"/>
      <c r="B95" s="503"/>
      <c r="C95" s="504"/>
      <c r="D95" s="515" t="s">
        <v>681</v>
      </c>
      <c r="E95" s="506">
        <v>1105</v>
      </c>
      <c r="F95" s="506"/>
      <c r="G95" s="506"/>
      <c r="H95" s="506"/>
      <c r="I95" s="506"/>
      <c r="J95" s="506">
        <f t="shared" si="21"/>
        <v>0</v>
      </c>
      <c r="K95" s="507"/>
      <c r="L95" s="508" t="e">
        <f t="shared" si="19"/>
        <v>#DIV/0!</v>
      </c>
      <c r="M95" s="509"/>
      <c r="N95" s="510"/>
      <c r="O95" s="510"/>
      <c r="P95" s="510"/>
      <c r="Q95" s="510"/>
      <c r="R95" s="510"/>
      <c r="S95" s="510"/>
      <c r="T95" s="510"/>
    </row>
    <row r="96" spans="1:20" s="299" customFormat="1">
      <c r="A96" s="296"/>
      <c r="B96" s="296"/>
      <c r="C96" s="303"/>
      <c r="D96" s="304" t="s">
        <v>125</v>
      </c>
      <c r="E96" s="477">
        <f>667*11.3</f>
        <v>7537.1</v>
      </c>
      <c r="F96" s="477"/>
      <c r="G96" s="478"/>
      <c r="H96" s="477"/>
      <c r="I96" s="477"/>
      <c r="J96" s="478">
        <f>SUM(F96:I96)</f>
        <v>0</v>
      </c>
      <c r="K96" s="51"/>
      <c r="L96" s="500" t="e">
        <f t="shared" si="19"/>
        <v>#DIV/0!</v>
      </c>
      <c r="M96" s="306"/>
      <c r="N96" s="194"/>
      <c r="O96" s="194"/>
      <c r="P96" s="194"/>
      <c r="Q96" s="194"/>
      <c r="R96" s="194"/>
      <c r="S96" s="194"/>
      <c r="T96" s="194"/>
    </row>
    <row r="97" spans="1:20" s="299" customFormat="1" ht="15">
      <c r="A97" s="302"/>
      <c r="B97" s="302"/>
      <c r="C97" s="303"/>
      <c r="D97" s="194"/>
      <c r="E97" s="493"/>
      <c r="F97" s="616"/>
      <c r="G97" s="616"/>
      <c r="H97" s="616"/>
      <c r="I97" s="616"/>
      <c r="J97" s="640">
        <f t="shared" ref="J97" si="22">J87+J88+J96</f>
        <v>0</v>
      </c>
      <c r="K97" s="494"/>
      <c r="L97" s="494"/>
      <c r="M97" s="84"/>
      <c r="N97" s="194"/>
      <c r="O97" s="194"/>
      <c r="P97" s="194"/>
      <c r="Q97" s="194"/>
      <c r="R97" s="194"/>
      <c r="S97" s="194"/>
      <c r="T97" s="194"/>
    </row>
    <row r="98" spans="1:20" s="299" customFormat="1">
      <c r="A98" s="488" t="s">
        <v>278</v>
      </c>
      <c r="B98" s="296"/>
      <c r="C98" s="303" t="s">
        <v>126</v>
      </c>
      <c r="D98" s="319" t="s">
        <v>682</v>
      </c>
      <c r="E98" s="194"/>
      <c r="F98" s="308"/>
      <c r="G98" s="308"/>
      <c r="H98" s="308"/>
      <c r="I98" s="308"/>
      <c r="J98" s="194"/>
      <c r="K98" s="194"/>
      <c r="L98" s="194"/>
      <c r="M98" s="306"/>
      <c r="N98" s="194"/>
      <c r="O98" s="194"/>
      <c r="P98" s="194"/>
      <c r="Q98" s="194"/>
      <c r="R98" s="194"/>
      <c r="S98" s="194"/>
      <c r="T98" s="194"/>
    </row>
    <row r="99" spans="1:20" s="299" customFormat="1">
      <c r="A99" s="488"/>
      <c r="B99" s="296"/>
      <c r="C99" s="303"/>
      <c r="D99" s="521" t="s">
        <v>683</v>
      </c>
      <c r="E99" s="194"/>
      <c r="F99" s="308"/>
      <c r="G99" s="308"/>
      <c r="H99" s="308"/>
      <c r="I99" s="308"/>
      <c r="J99" s="308">
        <f>SUM(F99:I99)</f>
        <v>0</v>
      </c>
      <c r="K99" s="194"/>
      <c r="L99" s="194"/>
      <c r="M99" s="306"/>
      <c r="N99" s="194"/>
      <c r="O99" s="194"/>
      <c r="P99" s="194"/>
      <c r="Q99" s="194"/>
      <c r="R99" s="194"/>
      <c r="S99" s="194"/>
      <c r="T99" s="194"/>
    </row>
    <row r="100" spans="1:20" s="299" customFormat="1">
      <c r="A100" s="488"/>
      <c r="B100" s="296"/>
      <c r="C100" s="303"/>
      <c r="D100" s="303" t="s">
        <v>684</v>
      </c>
      <c r="E100" s="308">
        <f t="shared" ref="E100:J100" si="23">SUM(E101:E101)</f>
        <v>4017.12</v>
      </c>
      <c r="F100" s="308"/>
      <c r="G100" s="308"/>
      <c r="H100" s="308"/>
      <c r="I100" s="308"/>
      <c r="J100" s="308">
        <f t="shared" si="23"/>
        <v>0</v>
      </c>
      <c r="K100" s="194"/>
      <c r="L100" s="194"/>
      <c r="M100" s="306"/>
      <c r="N100" s="194"/>
      <c r="O100" s="194"/>
      <c r="P100" s="194"/>
      <c r="Q100" s="194"/>
      <c r="R100" s="194"/>
      <c r="S100" s="194"/>
      <c r="T100" s="194"/>
    </row>
    <row r="101" spans="1:20" s="299" customFormat="1">
      <c r="A101" s="296"/>
      <c r="B101" s="296"/>
      <c r="C101" s="303"/>
      <c r="D101" s="505" t="s">
        <v>685</v>
      </c>
      <c r="E101" s="308">
        <f>'[26]部分费用明细（水电植物耗材茶歇）'!C114</f>
        <v>4017.12</v>
      </c>
      <c r="F101" s="479"/>
      <c r="G101" s="479"/>
      <c r="H101" s="479"/>
      <c r="I101" s="479"/>
      <c r="J101" s="479">
        <f t="shared" ref="J101" si="24">SUM(F101:I101)</f>
        <v>0</v>
      </c>
      <c r="K101" s="479"/>
      <c r="L101" s="500" t="e">
        <f t="shared" ref="L101:L116" si="25">(J101-K101)/K101</f>
        <v>#DIV/0!</v>
      </c>
      <c r="M101" s="520"/>
      <c r="N101" s="194"/>
      <c r="O101" s="194"/>
      <c r="P101" s="194"/>
      <c r="Q101" s="194"/>
      <c r="R101" s="194"/>
      <c r="S101" s="194"/>
      <c r="T101" s="194"/>
    </row>
    <row r="102" spans="1:20" ht="15">
      <c r="A102" s="484"/>
      <c r="B102" s="484"/>
      <c r="C102" s="484"/>
      <c r="D102" s="484"/>
      <c r="E102" s="308">
        <f>E100</f>
        <v>4017.12</v>
      </c>
      <c r="F102" s="495"/>
      <c r="G102" s="495"/>
      <c r="H102" s="495"/>
      <c r="I102" s="495"/>
      <c r="J102" s="641">
        <f>J100+J99</f>
        <v>0</v>
      </c>
      <c r="K102" s="496"/>
      <c r="L102" s="496"/>
      <c r="M102" s="460"/>
    </row>
    <row r="103" spans="1:20" s="307" customFormat="1">
      <c r="A103" s="296" t="s">
        <v>23</v>
      </c>
      <c r="B103" s="296"/>
      <c r="C103" s="303" t="s">
        <v>130</v>
      </c>
      <c r="D103" s="304" t="s">
        <v>481</v>
      </c>
      <c r="E103" s="308"/>
      <c r="F103" s="308">
        <f>'[26]2012年装饰门禁电视空调维护'!G53+'[26]2012年装饰门禁电视空调维护'!G54</f>
        <v>0</v>
      </c>
      <c r="G103" s="308"/>
      <c r="H103" s="308"/>
      <c r="I103" s="308">
        <f>'[26]2012年装饰门禁电视空调维护'!J53+'[26]2012年装饰门禁电视空调维护'!J54</f>
        <v>0</v>
      </c>
      <c r="J103" s="497">
        <f>SUM(F103:I103)</f>
        <v>0</v>
      </c>
      <c r="K103" s="497"/>
      <c r="L103" s="500" t="e">
        <f t="shared" si="25"/>
        <v>#DIV/0!</v>
      </c>
      <c r="M103" s="473"/>
      <c r="N103" s="194"/>
      <c r="O103" s="194"/>
      <c r="P103" s="194"/>
      <c r="Q103" s="194"/>
      <c r="R103" s="194"/>
      <c r="S103" s="194"/>
      <c r="T103" s="194"/>
    </row>
    <row r="104" spans="1:20" s="307" customFormat="1">
      <c r="A104" s="194"/>
      <c r="B104" s="194"/>
      <c r="C104" s="303"/>
      <c r="D104" s="304" t="s">
        <v>686</v>
      </c>
      <c r="E104" s="498"/>
      <c r="F104" s="498"/>
      <c r="G104" s="498"/>
      <c r="H104" s="498"/>
      <c r="I104" s="498"/>
      <c r="J104" s="497">
        <f>SUM(F104:I104)</f>
        <v>0</v>
      </c>
      <c r="K104" s="497"/>
      <c r="L104" s="500" t="e">
        <f t="shared" si="25"/>
        <v>#DIV/0!</v>
      </c>
      <c r="M104" s="27"/>
      <c r="N104" s="194"/>
      <c r="O104" s="194"/>
      <c r="P104" s="194"/>
      <c r="Q104" s="194"/>
      <c r="R104" s="194"/>
      <c r="S104" s="194"/>
      <c r="T104" s="194"/>
    </row>
    <row r="105" spans="1:20" s="307" customFormat="1">
      <c r="A105" s="194"/>
      <c r="B105" s="194"/>
      <c r="C105" s="303"/>
      <c r="D105" s="304" t="s">
        <v>593</v>
      </c>
      <c r="E105" s="498"/>
      <c r="F105" s="498"/>
      <c r="G105" s="498"/>
      <c r="H105" s="498"/>
      <c r="I105" s="498"/>
      <c r="J105" s="497">
        <f>SUM(F105:I105)</f>
        <v>0</v>
      </c>
      <c r="K105" s="497"/>
      <c r="L105" s="500" t="e">
        <f t="shared" si="25"/>
        <v>#DIV/0!</v>
      </c>
      <c r="M105" s="473"/>
      <c r="N105" s="194"/>
      <c r="O105" s="194"/>
      <c r="P105" s="194"/>
      <c r="Q105" s="194"/>
      <c r="R105" s="194"/>
      <c r="S105" s="194"/>
      <c r="T105" s="194"/>
    </row>
    <row r="106" spans="1:20" ht="15">
      <c r="A106" s="302"/>
      <c r="B106" s="302"/>
      <c r="C106" s="303"/>
      <c r="D106" s="304"/>
      <c r="E106" s="308"/>
      <c r="F106" s="493"/>
      <c r="G106" s="493"/>
      <c r="H106" s="493"/>
      <c r="I106" s="493"/>
      <c r="J106" s="642">
        <f>SUBTOTAL(9,J103:J105)</f>
        <v>0</v>
      </c>
      <c r="K106" s="433"/>
      <c r="L106" s="433"/>
    </row>
    <row r="107" spans="1:20" s="309" customFormat="1">
      <c r="A107" s="296" t="s">
        <v>24</v>
      </c>
      <c r="B107" s="296"/>
      <c r="C107" s="303" t="s">
        <v>132</v>
      </c>
      <c r="D107" s="304" t="s">
        <v>576</v>
      </c>
      <c r="E107" s="308"/>
      <c r="F107" s="498"/>
      <c r="G107" s="498"/>
      <c r="H107" s="498"/>
      <c r="I107" s="498"/>
      <c r="J107" s="288">
        <f>SUM(F107:I107)</f>
        <v>0</v>
      </c>
      <c r="K107" s="288"/>
      <c r="L107" s="500" t="e">
        <f t="shared" si="25"/>
        <v>#DIV/0!</v>
      </c>
      <c r="M107" s="474"/>
      <c r="N107" s="194"/>
      <c r="O107" s="194"/>
      <c r="P107" s="194"/>
      <c r="Q107" s="194"/>
      <c r="R107" s="194"/>
      <c r="S107" s="194"/>
      <c r="T107" s="194"/>
    </row>
    <row r="108" spans="1:20" s="309" customFormat="1" ht="15">
      <c r="A108" s="296"/>
      <c r="B108" s="296"/>
      <c r="C108" s="303"/>
      <c r="D108" s="304"/>
      <c r="E108" s="308"/>
      <c r="F108" s="493"/>
      <c r="G108" s="493"/>
      <c r="H108" s="493"/>
      <c r="I108" s="493"/>
      <c r="J108" s="642">
        <f>SUM(J107)</f>
        <v>0</v>
      </c>
      <c r="K108" s="305"/>
      <c r="L108" s="305"/>
      <c r="M108" s="474"/>
      <c r="N108" s="194"/>
      <c r="O108" s="194"/>
      <c r="P108" s="194"/>
      <c r="Q108" s="194"/>
      <c r="R108" s="194"/>
      <c r="S108" s="194"/>
      <c r="T108" s="194"/>
    </row>
    <row r="109" spans="1:20" s="309" customFormat="1">
      <c r="A109" s="296" t="s">
        <v>24</v>
      </c>
      <c r="B109" s="296"/>
      <c r="C109" s="303" t="s">
        <v>8</v>
      </c>
      <c r="D109" s="319" t="s">
        <v>687</v>
      </c>
      <c r="E109" s="308"/>
      <c r="F109" s="308"/>
      <c r="G109" s="308"/>
      <c r="H109" s="308"/>
      <c r="I109" s="308"/>
      <c r="J109" s="288">
        <f>SUM(F109:I109)</f>
        <v>0</v>
      </c>
      <c r="K109" s="288"/>
      <c r="L109" s="500" t="e">
        <f t="shared" si="25"/>
        <v>#DIV/0!</v>
      </c>
      <c r="M109" s="474"/>
      <c r="N109" s="194"/>
      <c r="O109" s="194"/>
      <c r="P109" s="194"/>
      <c r="Q109" s="194"/>
      <c r="R109" s="194"/>
      <c r="S109" s="194"/>
      <c r="T109" s="194"/>
    </row>
    <row r="110" spans="1:20" s="528" customFormat="1" ht="14.25">
      <c r="A110" s="523" t="s">
        <v>23</v>
      </c>
      <c r="B110" s="529"/>
      <c r="C110" s="524"/>
      <c r="D110" s="525" t="s">
        <v>688</v>
      </c>
      <c r="E110" s="526"/>
      <c r="F110" s="308"/>
      <c r="G110" s="308"/>
      <c r="H110" s="308"/>
      <c r="I110" s="308"/>
      <c r="J110" s="288">
        <f>SUM(F110:I110)</f>
        <v>0</v>
      </c>
      <c r="K110" s="288"/>
      <c r="L110" s="500" t="e">
        <f t="shared" si="25"/>
        <v>#DIV/0!</v>
      </c>
      <c r="M110" s="527"/>
    </row>
    <row r="111" spans="1:20" ht="15">
      <c r="A111" s="302"/>
      <c r="B111" s="302"/>
      <c r="C111" s="303"/>
      <c r="D111" s="310"/>
      <c r="E111" s="308"/>
      <c r="F111" s="485"/>
      <c r="G111" s="485"/>
      <c r="H111" s="485"/>
      <c r="I111" s="485"/>
      <c r="J111" s="643">
        <f>SUM(J109:J110)</f>
        <v>0</v>
      </c>
      <c r="K111" s="311"/>
      <c r="L111" s="311"/>
      <c r="M111" s="312"/>
    </row>
    <row r="112" spans="1:20" s="313" customFormat="1" ht="14.25">
      <c r="A112" s="296" t="s">
        <v>492</v>
      </c>
      <c r="B112" s="296"/>
      <c r="C112" s="303" t="s">
        <v>136</v>
      </c>
      <c r="D112" s="304" t="s">
        <v>689</v>
      </c>
      <c r="E112" s="308"/>
      <c r="F112" s="477"/>
      <c r="G112" s="477"/>
      <c r="H112" s="477"/>
      <c r="I112" s="477"/>
      <c r="J112" s="461">
        <f>SUM(F112:I112)</f>
        <v>0</v>
      </c>
      <c r="K112" s="461"/>
      <c r="L112" s="500" t="e">
        <f t="shared" si="25"/>
        <v>#DIV/0!</v>
      </c>
      <c r="M112" s="462"/>
      <c r="N112" s="475"/>
      <c r="O112" s="194"/>
      <c r="P112" s="194"/>
      <c r="Q112" s="194"/>
      <c r="R112" s="194"/>
      <c r="S112" s="194"/>
      <c r="T112" s="194"/>
    </row>
    <row r="113" spans="1:20" s="313" customFormat="1" ht="14.25">
      <c r="A113" s="296"/>
      <c r="B113" s="296"/>
      <c r="C113" s="303"/>
      <c r="D113" s="304" t="s">
        <v>690</v>
      </c>
      <c r="E113" s="308">
        <v>5367</v>
      </c>
      <c r="F113" s="477"/>
      <c r="G113" s="477"/>
      <c r="H113" s="477"/>
      <c r="I113" s="477"/>
      <c r="J113" s="461">
        <f>SUM(F113:I113)</f>
        <v>0</v>
      </c>
      <c r="K113" s="461"/>
      <c r="L113" s="500" t="e">
        <f t="shared" si="25"/>
        <v>#DIV/0!</v>
      </c>
      <c r="M113" s="462"/>
      <c r="N113" s="475"/>
      <c r="O113" s="194"/>
      <c r="P113" s="194"/>
      <c r="Q113" s="194"/>
      <c r="R113" s="194"/>
      <c r="S113" s="194"/>
      <c r="T113" s="194"/>
    </row>
    <row r="114" spans="1:20" ht="15">
      <c r="A114" s="296"/>
      <c r="B114" s="296"/>
      <c r="C114" s="303"/>
      <c r="D114" s="304"/>
      <c r="E114" s="308"/>
      <c r="F114" s="501"/>
      <c r="G114" s="501"/>
      <c r="H114" s="501"/>
      <c r="I114" s="501"/>
      <c r="J114" s="644">
        <f>SUM(J112:J113)</f>
        <v>0</v>
      </c>
      <c r="K114" s="434"/>
      <c r="L114" s="500"/>
      <c r="N114" s="84"/>
    </row>
    <row r="115" spans="1:20" s="315" customFormat="1">
      <c r="A115" s="314"/>
      <c r="E115" s="316"/>
      <c r="F115" s="316"/>
      <c r="G115" s="316"/>
      <c r="H115" s="316"/>
      <c r="I115" s="316"/>
      <c r="J115" s="317"/>
      <c r="K115" s="317"/>
      <c r="L115" s="500"/>
      <c r="M115" s="318"/>
    </row>
    <row r="116" spans="1:20" ht="15.75" outlineLevel="1">
      <c r="A116" s="296"/>
      <c r="B116" s="296"/>
      <c r="C116" s="319"/>
      <c r="D116" s="538" t="s">
        <v>691</v>
      </c>
      <c r="F116" s="502"/>
      <c r="G116" s="502"/>
      <c r="H116" s="502"/>
      <c r="I116" s="502"/>
      <c r="J116" s="435">
        <f>SUM(F116:I116)</f>
        <v>0</v>
      </c>
      <c r="K116" s="435">
        <f>SUM(K6:K115)</f>
        <v>0</v>
      </c>
      <c r="L116" s="500" t="e">
        <f t="shared" si="25"/>
        <v>#DIV/0!</v>
      </c>
      <c r="M116" s="320"/>
    </row>
    <row r="117" spans="1:20">
      <c r="A117" s="296" t="s">
        <v>497</v>
      </c>
      <c r="B117" s="296"/>
      <c r="C117" s="319" t="s">
        <v>498</v>
      </c>
      <c r="D117" s="304"/>
      <c r="E117" s="308"/>
      <c r="M117" s="321"/>
    </row>
    <row r="118" spans="1:20">
      <c r="A118" s="296"/>
      <c r="B118" s="296"/>
      <c r="C118" s="319" t="s">
        <v>499</v>
      </c>
      <c r="D118" s="304"/>
      <c r="E118" s="308"/>
    </row>
    <row r="119" spans="1:20">
      <c r="A119" s="296"/>
      <c r="B119" s="296"/>
      <c r="C119" s="319" t="s">
        <v>500</v>
      </c>
      <c r="D119" s="304"/>
      <c r="E119" s="308"/>
    </row>
    <row r="120" spans="1:20">
      <c r="A120" s="296"/>
      <c r="B120" s="296"/>
      <c r="C120" s="319" t="s">
        <v>501</v>
      </c>
      <c r="D120" s="304"/>
      <c r="E120" s="308"/>
    </row>
    <row r="121" spans="1:20">
      <c r="E121" s="308"/>
    </row>
    <row r="124" spans="1:20">
      <c r="D124" s="319"/>
    </row>
    <row r="125" spans="1:20">
      <c r="A125" s="319" t="s">
        <v>105</v>
      </c>
      <c r="C125" s="303" t="s">
        <v>692</v>
      </c>
      <c r="D125" s="536" t="s">
        <v>584</v>
      </c>
      <c r="E125" s="203"/>
      <c r="J125" s="638">
        <f>SUM(F125:I125)</f>
        <v>0</v>
      </c>
    </row>
    <row r="126" spans="1:20">
      <c r="D126" s="536" t="s">
        <v>693</v>
      </c>
      <c r="J126" s="638">
        <f t="shared" ref="J126:J135" si="26">SUM(F126:I126)</f>
        <v>0</v>
      </c>
    </row>
    <row r="127" spans="1:20">
      <c r="D127" s="536" t="s">
        <v>138</v>
      </c>
      <c r="J127" s="638">
        <f t="shared" si="26"/>
        <v>0</v>
      </c>
    </row>
    <row r="128" spans="1:20">
      <c r="D128" s="536" t="s">
        <v>694</v>
      </c>
      <c r="J128" s="638">
        <f t="shared" si="26"/>
        <v>0</v>
      </c>
    </row>
    <row r="129" spans="1:20">
      <c r="D129" s="536" t="s">
        <v>695</v>
      </c>
      <c r="J129" s="638">
        <f t="shared" si="26"/>
        <v>0</v>
      </c>
    </row>
    <row r="130" spans="1:20">
      <c r="D130" s="536" t="s">
        <v>123</v>
      </c>
      <c r="F130" s="483"/>
      <c r="G130" s="483"/>
      <c r="H130" s="483"/>
      <c r="I130" s="483"/>
      <c r="J130" s="645">
        <f>SUM(F130:I130)</f>
        <v>0</v>
      </c>
    </row>
    <row r="131" spans="1:20">
      <c r="D131" s="534" t="s">
        <v>696</v>
      </c>
      <c r="J131" s="638">
        <f>SUM(F131:I131)</f>
        <v>0</v>
      </c>
    </row>
    <row r="132" spans="1:20">
      <c r="D132" s="535" t="s">
        <v>697</v>
      </c>
      <c r="E132" s="203"/>
      <c r="J132" s="638">
        <f>SUM(F132:I132)</f>
        <v>0</v>
      </c>
    </row>
    <row r="133" spans="1:20">
      <c r="D133" s="536" t="s">
        <v>698</v>
      </c>
      <c r="E133" s="203"/>
      <c r="J133" s="638">
        <f t="shared" si="26"/>
        <v>0</v>
      </c>
    </row>
    <row r="134" spans="1:20">
      <c r="D134" s="536" t="s">
        <v>139</v>
      </c>
      <c r="E134" s="203"/>
      <c r="J134" s="638">
        <f t="shared" si="26"/>
        <v>0</v>
      </c>
    </row>
    <row r="135" spans="1:20">
      <c r="D135" s="536" t="s">
        <v>552</v>
      </c>
      <c r="E135" s="203"/>
      <c r="J135" s="461">
        <f t="shared" si="26"/>
        <v>0</v>
      </c>
    </row>
    <row r="136" spans="1:20" ht="15">
      <c r="A136" s="296"/>
      <c r="B136" s="296"/>
      <c r="C136" s="303"/>
      <c r="D136" s="194"/>
      <c r="E136" s="308"/>
      <c r="F136" s="501"/>
      <c r="G136" s="501"/>
      <c r="H136" s="501"/>
      <c r="I136" s="501"/>
      <c r="J136" s="434">
        <f>SUM(J125:J135)-J130</f>
        <v>0</v>
      </c>
      <c r="K136" s="194"/>
      <c r="L136" s="500"/>
      <c r="N136" s="84"/>
    </row>
    <row r="137" spans="1:20" ht="15.75">
      <c r="D137" s="538" t="s">
        <v>699</v>
      </c>
      <c r="F137" s="502">
        <f>SUM(F136,F116)</f>
        <v>0</v>
      </c>
      <c r="G137" s="502">
        <f t="shared" ref="G137:I137" si="27">SUM(G136,G116)</f>
        <v>0</v>
      </c>
      <c r="H137" s="502">
        <f t="shared" si="27"/>
        <v>0</v>
      </c>
      <c r="I137" s="502">
        <f t="shared" si="27"/>
        <v>0</v>
      </c>
      <c r="J137" s="502">
        <f>SUM(J136,J116)</f>
        <v>0</v>
      </c>
      <c r="K137" s="502">
        <f>SUM(K116:K135)</f>
        <v>0</v>
      </c>
      <c r="L137" s="500" t="e">
        <f t="shared" ref="L137" si="28">(J137-K137)/K137</f>
        <v>#DIV/0!</v>
      </c>
    </row>
    <row r="138" spans="1:20">
      <c r="D138" s="538"/>
    </row>
    <row r="139" spans="1:20" ht="14.25">
      <c r="A139" s="194" t="s">
        <v>129</v>
      </c>
      <c r="C139" s="430" t="s">
        <v>700</v>
      </c>
      <c r="D139" s="538"/>
      <c r="J139" s="288">
        <f>SUM(F139:I139)</f>
        <v>0</v>
      </c>
      <c r="L139" s="500"/>
      <c r="M139" s="537"/>
    </row>
    <row r="140" spans="1:20" ht="15">
      <c r="A140" s="296"/>
      <c r="B140" s="296"/>
      <c r="C140" s="303"/>
      <c r="D140" s="194"/>
      <c r="E140" s="308"/>
      <c r="F140" s="501"/>
      <c r="G140" s="501"/>
      <c r="H140" s="501"/>
      <c r="I140" s="501"/>
      <c r="J140" s="434">
        <f>SUM(F140:I140)</f>
        <v>0</v>
      </c>
      <c r="K140" s="434"/>
      <c r="L140" s="500"/>
      <c r="N140" s="84"/>
    </row>
    <row r="141" spans="1:20" s="84" customFormat="1">
      <c r="A141" s="194"/>
      <c r="B141" s="194"/>
      <c r="C141" s="287"/>
      <c r="D141" s="538"/>
      <c r="E141" s="308"/>
      <c r="F141" s="308"/>
      <c r="G141" s="308"/>
      <c r="H141" s="308"/>
      <c r="I141" s="308"/>
      <c r="J141" s="288"/>
      <c r="K141" s="288"/>
      <c r="L141" s="288"/>
      <c r="N141" s="194"/>
      <c r="O141" s="194"/>
      <c r="P141" s="194"/>
      <c r="Q141" s="194"/>
      <c r="R141" s="194"/>
      <c r="S141" s="194"/>
      <c r="T141" s="194"/>
    </row>
    <row r="142" spans="1:20" s="84" customFormat="1" ht="15.75">
      <c r="A142" s="194"/>
      <c r="B142" s="194"/>
      <c r="C142" s="287"/>
      <c r="D142" s="538" t="s">
        <v>701</v>
      </c>
      <c r="E142" s="194"/>
      <c r="F142" s="502">
        <f>F137+F140</f>
        <v>0</v>
      </c>
      <c r="G142" s="502">
        <f t="shared" ref="G142:J142" si="29">G137+G140</f>
        <v>0</v>
      </c>
      <c r="H142" s="502">
        <f t="shared" si="29"/>
        <v>0</v>
      </c>
      <c r="I142" s="502">
        <f t="shared" si="29"/>
        <v>0</v>
      </c>
      <c r="J142" s="502">
        <f t="shared" si="29"/>
        <v>0</v>
      </c>
      <c r="K142" s="502">
        <f>K137</f>
        <v>0</v>
      </c>
      <c r="L142" s="500" t="e">
        <f t="shared" ref="L142" si="30">(J142-K142)/K142</f>
        <v>#DIV/0!</v>
      </c>
      <c r="N142" s="194"/>
      <c r="O142" s="194"/>
      <c r="P142" s="194"/>
      <c r="Q142" s="194"/>
      <c r="R142" s="194"/>
      <c r="S142" s="194"/>
      <c r="T142" s="194"/>
    </row>
  </sheetData>
  <mergeCells count="3">
    <mergeCell ref="K3:L3"/>
    <mergeCell ref="K4:K5"/>
    <mergeCell ref="L4:L5"/>
  </mergeCells>
  <phoneticPr fontId="1" type="noConversion"/>
  <printOptions horizontalCentered="1"/>
  <pageMargins left="0.23622047244094491" right="0.23622047244094491" top="0.39370078740157483" bottom="0.27559055118110237" header="0.31496062992125984" footer="0.31496062992125984"/>
  <pageSetup paperSize="8" scale="6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66"/>
  </sheetPr>
  <dimension ref="A1:Q149"/>
  <sheetViews>
    <sheetView showGridLines="0" tabSelected="1" zoomScale="90" zoomScaleNormal="90" workbookViewId="0">
      <pane xSplit="4" ySplit="5" topLeftCell="E102" activePane="bottomRight" state="frozen"/>
      <selection pane="topRight" activeCell="E1" sqref="E1"/>
      <selection pane="bottomLeft" activeCell="A6" sqref="A6"/>
      <selection pane="bottomRight" activeCell="M110" sqref="M110"/>
    </sheetView>
  </sheetViews>
  <sheetFormatPr defaultRowHeight="12.75"/>
  <cols>
    <col min="1" max="2" width="3.125" style="194" hidden="1" customWidth="1"/>
    <col min="3" max="3" width="16.25" style="287" hidden="1" customWidth="1"/>
    <col min="4" max="4" width="24.25" style="287" customWidth="1"/>
    <col min="5" max="5" width="13.875" style="535" customWidth="1"/>
    <col min="6" max="6" width="16.25" style="287" customWidth="1"/>
    <col min="7" max="7" width="15.375" style="194" bestFit="1" customWidth="1"/>
    <col min="8" max="11" width="10" style="308" bestFit="1" customWidth="1"/>
    <col min="12" max="12" width="13.375" style="288" bestFit="1" customWidth="1"/>
    <col min="13" max="13" width="15.125" style="288" customWidth="1"/>
    <col min="14" max="14" width="14.625" style="288" bestFit="1" customWidth="1"/>
    <col min="15" max="15" width="8.375" style="288" bestFit="1" customWidth="1"/>
    <col min="16" max="16" width="86.875" style="84" customWidth="1"/>
    <col min="17" max="17" width="3.375" style="194" customWidth="1"/>
    <col min="18" max="16384" width="9" style="194"/>
  </cols>
  <sheetData>
    <row r="1" spans="1:16">
      <c r="A1" s="286" t="s">
        <v>795</v>
      </c>
      <c r="B1" s="286"/>
      <c r="O1" s="476"/>
    </row>
    <row r="3" spans="1:16" ht="15.75" thickBot="1">
      <c r="C3" s="289" t="s">
        <v>99</v>
      </c>
      <c r="D3" s="290" t="s">
        <v>100</v>
      </c>
      <c r="E3" s="1265" t="s">
        <v>2025</v>
      </c>
      <c r="F3" s="1262" t="s">
        <v>2026</v>
      </c>
      <c r="G3" s="291" t="s">
        <v>554</v>
      </c>
      <c r="H3" s="291" t="s">
        <v>34</v>
      </c>
      <c r="I3" s="291" t="s">
        <v>35</v>
      </c>
      <c r="J3" s="291" t="s">
        <v>36</v>
      </c>
      <c r="K3" s="291" t="s">
        <v>37</v>
      </c>
      <c r="L3" s="1234" t="s">
        <v>101</v>
      </c>
      <c r="M3" s="1310"/>
      <c r="N3" s="1310"/>
      <c r="O3" s="1310"/>
      <c r="P3" s="292" t="s">
        <v>7</v>
      </c>
    </row>
    <row r="4" spans="1:16">
      <c r="G4" s="293" t="s">
        <v>102</v>
      </c>
      <c r="H4" s="293"/>
      <c r="I4" s="293"/>
      <c r="J4" s="293"/>
      <c r="K4" s="293"/>
      <c r="L4" s="294" t="s">
        <v>103</v>
      </c>
      <c r="M4" s="1311" t="s">
        <v>1954</v>
      </c>
      <c r="N4" s="1313" t="s">
        <v>1955</v>
      </c>
      <c r="O4" s="1313" t="s">
        <v>556</v>
      </c>
      <c r="P4" s="295" t="s">
        <v>104</v>
      </c>
    </row>
    <row r="5" spans="1:16" ht="15">
      <c r="A5" s="296"/>
      <c r="B5" s="296"/>
      <c r="C5" s="297"/>
      <c r="D5" s="298"/>
      <c r="E5" s="1266"/>
      <c r="F5" s="298"/>
      <c r="G5" s="293" t="s">
        <v>557</v>
      </c>
      <c r="H5" s="293"/>
      <c r="I5" s="293"/>
      <c r="J5" s="293"/>
      <c r="K5" s="293"/>
      <c r="L5" s="294" t="s">
        <v>558</v>
      </c>
      <c r="M5" s="1312"/>
      <c r="N5" s="1315"/>
      <c r="O5" s="1314"/>
    </row>
    <row r="6" spans="1:16">
      <c r="A6" s="296" t="s">
        <v>105</v>
      </c>
      <c r="B6" s="296"/>
      <c r="C6" s="303" t="s">
        <v>106</v>
      </c>
      <c r="D6" s="319" t="s">
        <v>744</v>
      </c>
      <c r="E6" s="484" t="s">
        <v>2019</v>
      </c>
      <c r="F6" s="499" t="s">
        <v>2011</v>
      </c>
      <c r="G6" s="203"/>
      <c r="H6" s="479"/>
      <c r="I6" s="479"/>
      <c r="J6" s="479"/>
      <c r="K6" s="479"/>
      <c r="L6" s="479">
        <f>SUM(H6:K6)</f>
        <v>0</v>
      </c>
      <c r="M6" s="479">
        <f>'2014预算稿 '!J6</f>
        <v>0</v>
      </c>
      <c r="N6" s="479">
        <f>L6-M6</f>
        <v>0</v>
      </c>
      <c r="O6" s="500" t="e">
        <f>(L6-M6)/M6</f>
        <v>#DIV/0!</v>
      </c>
      <c r="P6" s="760"/>
    </row>
    <row r="7" spans="1:16">
      <c r="A7" s="296"/>
      <c r="B7" s="296"/>
      <c r="C7" s="303"/>
      <c r="D7" s="499" t="s">
        <v>745</v>
      </c>
      <c r="E7" s="484" t="s">
        <v>2019</v>
      </c>
      <c r="F7" s="499" t="s">
        <v>2015</v>
      </c>
      <c r="G7" s="479"/>
      <c r="H7" s="479"/>
      <c r="I7" s="479"/>
      <c r="J7" s="479"/>
      <c r="K7" s="479"/>
      <c r="L7" s="479">
        <f>SUM(H7:K7)</f>
        <v>0</v>
      </c>
      <c r="M7" s="479">
        <f>'2014预算稿 '!J7</f>
        <v>0</v>
      </c>
      <c r="N7" s="479">
        <f t="shared" ref="N7:N69" si="0">L7-M7</f>
        <v>0</v>
      </c>
      <c r="O7" s="500" t="e">
        <f t="shared" ref="O7:O28" si="1">(L7-M7)/M7</f>
        <v>#DIV/0!</v>
      </c>
      <c r="P7" s="760"/>
    </row>
    <row r="8" spans="1:16">
      <c r="A8" s="302"/>
      <c r="B8" s="302"/>
      <c r="C8" s="303"/>
      <c r="D8" s="73" t="s">
        <v>1876</v>
      </c>
      <c r="E8" s="74" t="s">
        <v>2018</v>
      </c>
      <c r="F8" s="73" t="s">
        <v>2015</v>
      </c>
      <c r="G8" s="479"/>
      <c r="H8" s="479"/>
      <c r="I8" s="479"/>
      <c r="J8" s="479"/>
      <c r="K8" s="479"/>
      <c r="L8" s="479">
        <f>SUM(H8:K8)</f>
        <v>0</v>
      </c>
      <c r="M8" s="479">
        <f>'2014预算稿 '!J11</f>
        <v>0</v>
      </c>
      <c r="N8" s="479">
        <f>L8-M8</f>
        <v>0</v>
      </c>
      <c r="O8" s="500" t="e">
        <f t="shared" si="1"/>
        <v>#DIV/0!</v>
      </c>
      <c r="P8" s="321"/>
    </row>
    <row r="9" spans="1:16" s="1280" customFormat="1">
      <c r="A9" s="1276"/>
      <c r="B9" s="1276"/>
      <c r="C9" s="1277"/>
      <c r="D9" s="1278" t="s">
        <v>1874</v>
      </c>
      <c r="E9" s="1279"/>
      <c r="F9" s="1278"/>
      <c r="G9" s="707"/>
      <c r="H9" s="707"/>
      <c r="I9" s="707"/>
      <c r="J9" s="707"/>
      <c r="K9" s="707"/>
      <c r="L9" s="707">
        <f>SUM(H9:K9)</f>
        <v>0</v>
      </c>
      <c r="M9" s="707">
        <v>0</v>
      </c>
      <c r="N9" s="707">
        <f t="shared" si="0"/>
        <v>0</v>
      </c>
      <c r="O9" s="709"/>
      <c r="P9" s="761"/>
    </row>
    <row r="10" spans="1:16">
      <c r="A10" s="302"/>
      <c r="B10" s="302"/>
      <c r="C10" s="303"/>
      <c r="D10" s="319" t="s">
        <v>612</v>
      </c>
      <c r="E10" s="484" t="s">
        <v>2022</v>
      </c>
      <c r="F10" s="319" t="s">
        <v>2011</v>
      </c>
      <c r="G10" s="479"/>
      <c r="H10" s="479"/>
      <c r="I10" s="479"/>
      <c r="J10" s="479"/>
      <c r="K10" s="479"/>
      <c r="L10" s="479">
        <f t="shared" ref="L10" si="2">SUM(H10:K10)</f>
        <v>0</v>
      </c>
      <c r="M10" s="479">
        <f>'2014预算稿 '!J12</f>
        <v>0</v>
      </c>
      <c r="N10" s="479">
        <f t="shared" si="0"/>
        <v>0</v>
      </c>
      <c r="O10" s="500" t="e">
        <f t="shared" si="1"/>
        <v>#DIV/0!</v>
      </c>
      <c r="P10" s="762"/>
    </row>
    <row r="11" spans="1:16">
      <c r="A11" s="302"/>
      <c r="B11" s="302"/>
      <c r="C11" s="303"/>
      <c r="D11" s="319" t="s">
        <v>561</v>
      </c>
      <c r="E11" s="484" t="s">
        <v>2022</v>
      </c>
      <c r="F11" s="73" t="s">
        <v>2015</v>
      </c>
      <c r="G11" s="479"/>
      <c r="H11" s="479"/>
      <c r="I11" s="479"/>
      <c r="J11" s="479"/>
      <c r="K11" s="479"/>
      <c r="L11" s="479">
        <f t="shared" ref="L11:L18" si="3">SUM(H11:K11)</f>
        <v>0</v>
      </c>
      <c r="M11" s="479">
        <f>'2014预算稿 '!J13</f>
        <v>0</v>
      </c>
      <c r="N11" s="479">
        <f t="shared" si="0"/>
        <v>0</v>
      </c>
      <c r="O11" s="500" t="e">
        <f t="shared" si="1"/>
        <v>#DIV/0!</v>
      </c>
      <c r="P11" s="763"/>
    </row>
    <row r="12" spans="1:16">
      <c r="A12" s="302"/>
      <c r="B12" s="302"/>
      <c r="C12" s="303"/>
      <c r="D12" s="319" t="s">
        <v>562</v>
      </c>
      <c r="E12" s="1267" t="s">
        <v>2023</v>
      </c>
      <c r="F12" s="1261" t="s">
        <v>2011</v>
      </c>
      <c r="G12" s="479"/>
      <c r="H12" s="479"/>
      <c r="I12" s="479"/>
      <c r="J12" s="479"/>
      <c r="K12" s="479"/>
      <c r="L12" s="479">
        <f t="shared" ref="L12:L17" si="4">SUM(H12:K12)</f>
        <v>0</v>
      </c>
      <c r="M12" s="479">
        <f>'2014预算稿 '!J14</f>
        <v>0</v>
      </c>
      <c r="N12" s="479">
        <f t="shared" si="0"/>
        <v>0</v>
      </c>
      <c r="O12" s="500" t="e">
        <f>(L12-M12)/M12</f>
        <v>#DIV/0!</v>
      </c>
      <c r="P12" s="762"/>
    </row>
    <row r="13" spans="1:16">
      <c r="A13" s="302"/>
      <c r="B13" s="302"/>
      <c r="C13" s="303"/>
      <c r="D13" s="319" t="s">
        <v>563</v>
      </c>
      <c r="E13" s="1267" t="s">
        <v>2023</v>
      </c>
      <c r="F13" s="73" t="s">
        <v>2015</v>
      </c>
      <c r="G13" s="479"/>
      <c r="H13" s="479"/>
      <c r="I13" s="479"/>
      <c r="J13" s="479"/>
      <c r="K13" s="479"/>
      <c r="L13" s="479">
        <f t="shared" si="4"/>
        <v>0</v>
      </c>
      <c r="M13" s="479">
        <f>'2014预算稿 '!J15</f>
        <v>0</v>
      </c>
      <c r="N13" s="479">
        <f t="shared" si="0"/>
        <v>0</v>
      </c>
      <c r="O13" s="500" t="e">
        <f t="shared" si="1"/>
        <v>#DIV/0!</v>
      </c>
      <c r="P13" s="763"/>
    </row>
    <row r="14" spans="1:16" ht="15" customHeight="1">
      <c r="A14" s="302"/>
      <c r="B14" s="302"/>
      <c r="C14" s="303"/>
      <c r="D14" s="319" t="s">
        <v>738</v>
      </c>
      <c r="E14" s="1267" t="s">
        <v>2024</v>
      </c>
      <c r="F14" s="319" t="s">
        <v>2011</v>
      </c>
      <c r="G14" s="479"/>
      <c r="H14" s="479"/>
      <c r="I14" s="479"/>
      <c r="J14" s="479"/>
      <c r="K14" s="479"/>
      <c r="L14" s="479">
        <f t="shared" si="4"/>
        <v>0</v>
      </c>
      <c r="M14" s="478">
        <f>'2014预算稿 '!J16</f>
        <v>0</v>
      </c>
      <c r="N14" s="479">
        <f t="shared" si="0"/>
        <v>0</v>
      </c>
      <c r="O14" s="500" t="e">
        <f t="shared" si="1"/>
        <v>#DIV/0!</v>
      </c>
      <c r="P14" s="764"/>
    </row>
    <row r="15" spans="1:16">
      <c r="A15" s="302"/>
      <c r="B15" s="302"/>
      <c r="C15" s="303"/>
      <c r="D15" s="319" t="s">
        <v>739</v>
      </c>
      <c r="E15" s="1267" t="s">
        <v>2024</v>
      </c>
      <c r="F15" s="73" t="s">
        <v>2015</v>
      </c>
      <c r="G15" s="479"/>
      <c r="H15" s="479"/>
      <c r="I15" s="479"/>
      <c r="J15" s="479"/>
      <c r="K15" s="479"/>
      <c r="L15" s="479">
        <f t="shared" si="4"/>
        <v>0</v>
      </c>
      <c r="M15" s="478">
        <f>'2014预算稿 '!J17</f>
        <v>0</v>
      </c>
      <c r="N15" s="479">
        <f t="shared" si="0"/>
        <v>0</v>
      </c>
      <c r="O15" s="500" t="e">
        <f t="shared" si="1"/>
        <v>#DIV/0!</v>
      </c>
      <c r="P15" s="764"/>
    </row>
    <row r="16" spans="1:16">
      <c r="A16" s="302"/>
      <c r="B16" s="302"/>
      <c r="C16" s="303"/>
      <c r="D16" s="319" t="s">
        <v>616</v>
      </c>
      <c r="E16" s="1267" t="s">
        <v>2012</v>
      </c>
      <c r="F16" s="319" t="s">
        <v>2011</v>
      </c>
      <c r="G16" s="479"/>
      <c r="H16" s="479"/>
      <c r="I16" s="479"/>
      <c r="J16" s="479"/>
      <c r="K16" s="479"/>
      <c r="L16" s="479">
        <f t="shared" si="4"/>
        <v>0</v>
      </c>
      <c r="M16" s="479">
        <f>'2014预算稿 '!J18</f>
        <v>0</v>
      </c>
      <c r="N16" s="479">
        <f t="shared" si="0"/>
        <v>0</v>
      </c>
      <c r="O16" s="500" t="e">
        <f t="shared" si="1"/>
        <v>#DIV/0!</v>
      </c>
      <c r="P16" s="765"/>
    </row>
    <row r="17" spans="1:16">
      <c r="A17" s="302"/>
      <c r="B17" s="302"/>
      <c r="C17" s="303"/>
      <c r="D17" s="319" t="s">
        <v>617</v>
      </c>
      <c r="E17" s="1267" t="s">
        <v>2012</v>
      </c>
      <c r="F17" s="73" t="s">
        <v>2015</v>
      </c>
      <c r="G17" s="479"/>
      <c r="H17" s="479"/>
      <c r="I17" s="479"/>
      <c r="J17" s="479"/>
      <c r="K17" s="479"/>
      <c r="L17" s="479">
        <f t="shared" si="4"/>
        <v>0</v>
      </c>
      <c r="M17" s="479">
        <f>'2014预算稿 '!J19</f>
        <v>0</v>
      </c>
      <c r="N17" s="479">
        <f t="shared" si="0"/>
        <v>0</v>
      </c>
      <c r="O17" s="500" t="e">
        <f>(L17-M17)/M17</f>
        <v>#DIV/0!</v>
      </c>
      <c r="P17" s="765"/>
    </row>
    <row r="18" spans="1:16">
      <c r="A18" s="302"/>
      <c r="B18" s="302"/>
      <c r="C18" s="303"/>
      <c r="D18" s="319" t="s">
        <v>618</v>
      </c>
      <c r="E18" s="1267" t="s">
        <v>2017</v>
      </c>
      <c r="F18" s="319" t="s">
        <v>2011</v>
      </c>
      <c r="G18" s="479"/>
      <c r="H18" s="479"/>
      <c r="I18" s="479"/>
      <c r="J18" s="479"/>
      <c r="K18" s="479"/>
      <c r="L18" s="479">
        <f t="shared" si="3"/>
        <v>0</v>
      </c>
      <c r="M18" s="479">
        <f>'2014预算稿 '!J20</f>
        <v>0</v>
      </c>
      <c r="N18" s="479">
        <f t="shared" si="0"/>
        <v>0</v>
      </c>
      <c r="O18" s="500" t="e">
        <f t="shared" si="1"/>
        <v>#DIV/0!</v>
      </c>
      <c r="P18" s="765"/>
    </row>
    <row r="19" spans="1:16">
      <c r="A19" s="302"/>
      <c r="B19" s="302"/>
      <c r="C19" s="303"/>
      <c r="D19" s="319" t="s">
        <v>619</v>
      </c>
      <c r="E19" s="1267" t="s">
        <v>2017</v>
      </c>
      <c r="F19" s="73" t="s">
        <v>2015</v>
      </c>
      <c r="G19" s="479"/>
      <c r="H19" s="479"/>
      <c r="I19" s="479"/>
      <c r="J19" s="479"/>
      <c r="K19" s="479"/>
      <c r="L19" s="479">
        <f>SUM(H19:K19)</f>
        <v>0</v>
      </c>
      <c r="M19" s="479">
        <f>'2014预算稿 '!J21</f>
        <v>0</v>
      </c>
      <c r="N19" s="479">
        <f t="shared" si="0"/>
        <v>0</v>
      </c>
      <c r="O19" s="500" t="e">
        <f t="shared" si="1"/>
        <v>#DIV/0!</v>
      </c>
      <c r="P19" s="765"/>
    </row>
    <row r="20" spans="1:16" ht="15">
      <c r="A20" s="302"/>
      <c r="B20" s="302"/>
      <c r="C20" s="303"/>
      <c r="D20" s="319"/>
      <c r="E20" s="484"/>
      <c r="F20" s="319"/>
      <c r="G20" s="479"/>
      <c r="H20" s="480">
        <f t="shared" ref="H20:M20" si="5">SUM(H6:H19)</f>
        <v>0</v>
      </c>
      <c r="I20" s="480">
        <f t="shared" si="5"/>
        <v>0</v>
      </c>
      <c r="J20" s="480">
        <f t="shared" si="5"/>
        <v>0</v>
      </c>
      <c r="K20" s="480">
        <f t="shared" si="5"/>
        <v>0</v>
      </c>
      <c r="L20" s="481">
        <f>SUM(L6:L19)</f>
        <v>0</v>
      </c>
      <c r="M20" s="481">
        <f t="shared" si="5"/>
        <v>0</v>
      </c>
      <c r="N20" s="479">
        <f>L20-M20</f>
        <v>0</v>
      </c>
      <c r="O20" s="1243" t="e">
        <f t="shared" si="1"/>
        <v>#DIV/0!</v>
      </c>
      <c r="P20" s="765"/>
    </row>
    <row r="21" spans="1:16">
      <c r="A21" s="296" t="s">
        <v>105</v>
      </c>
      <c r="B21" s="296"/>
      <c r="C21" s="303" t="s">
        <v>109</v>
      </c>
      <c r="D21" s="319" t="s">
        <v>728</v>
      </c>
      <c r="E21" s="484" t="s">
        <v>2019</v>
      </c>
      <c r="F21" s="499" t="s">
        <v>2016</v>
      </c>
      <c r="G21" s="308"/>
      <c r="H21" s="479"/>
      <c r="I21" s="479"/>
      <c r="J21" s="479"/>
      <c r="K21" s="479"/>
      <c r="L21" s="479">
        <f t="shared" ref="L21:L28" si="6">SUM(H21:K21)</f>
        <v>0</v>
      </c>
      <c r="M21" s="479">
        <f>'2014预算稿 '!J23</f>
        <v>0</v>
      </c>
      <c r="N21" s="479">
        <f t="shared" si="0"/>
        <v>0</v>
      </c>
      <c r="O21" s="500" t="e">
        <f t="shared" si="1"/>
        <v>#DIV/0!</v>
      </c>
      <c r="P21" s="765"/>
    </row>
    <row r="22" spans="1:16">
      <c r="A22" s="296"/>
      <c r="B22" s="296"/>
      <c r="C22" s="303"/>
      <c r="D22" s="319" t="s">
        <v>621</v>
      </c>
      <c r="E22" s="484" t="s">
        <v>2019</v>
      </c>
      <c r="F22" s="499" t="s">
        <v>2016</v>
      </c>
      <c r="G22" s="308"/>
      <c r="H22" s="479"/>
      <c r="I22" s="479"/>
      <c r="J22" s="479"/>
      <c r="K22" s="479"/>
      <c r="L22" s="479">
        <f>SUM(H22:K22)</f>
        <v>0</v>
      </c>
      <c r="M22" s="479">
        <f>'2014预算稿 '!J24</f>
        <v>0</v>
      </c>
      <c r="N22" s="479">
        <f t="shared" si="0"/>
        <v>0</v>
      </c>
      <c r="O22" s="500" t="e">
        <f t="shared" si="1"/>
        <v>#DIV/0!</v>
      </c>
      <c r="P22" s="765"/>
    </row>
    <row r="23" spans="1:16">
      <c r="A23" s="296"/>
      <c r="B23" s="296"/>
      <c r="C23" s="303"/>
      <c r="D23" s="319" t="s">
        <v>564</v>
      </c>
      <c r="E23" s="484" t="s">
        <v>2022</v>
      </c>
      <c r="F23" s="319" t="s">
        <v>2016</v>
      </c>
      <c r="G23" s="308"/>
      <c r="H23" s="479"/>
      <c r="I23" s="479"/>
      <c r="J23" s="479"/>
      <c r="K23" s="479"/>
      <c r="L23" s="479">
        <f t="shared" si="6"/>
        <v>0</v>
      </c>
      <c r="M23" s="479">
        <f>'2014预算稿 '!J25</f>
        <v>0</v>
      </c>
      <c r="N23" s="479">
        <f t="shared" si="0"/>
        <v>0</v>
      </c>
      <c r="O23" s="500" t="e">
        <f t="shared" si="1"/>
        <v>#DIV/0!</v>
      </c>
      <c r="P23" s="765"/>
    </row>
    <row r="24" spans="1:16">
      <c r="A24" s="296"/>
      <c r="B24" s="296"/>
      <c r="C24" s="303"/>
      <c r="D24" s="319" t="s">
        <v>737</v>
      </c>
      <c r="E24" s="484" t="s">
        <v>2023</v>
      </c>
      <c r="F24" s="319" t="s">
        <v>2016</v>
      </c>
      <c r="G24" s="308"/>
      <c r="H24" s="479"/>
      <c r="I24" s="479"/>
      <c r="J24" s="479"/>
      <c r="K24" s="479"/>
      <c r="L24" s="479">
        <f>SUM(H24:K24)</f>
        <v>0</v>
      </c>
      <c r="M24" s="479">
        <f>'2014预算稿 '!J26</f>
        <v>0</v>
      </c>
      <c r="N24" s="479">
        <f t="shared" si="0"/>
        <v>0</v>
      </c>
      <c r="O24" s="500" t="e">
        <f t="shared" si="1"/>
        <v>#DIV/0!</v>
      </c>
      <c r="P24" s="765"/>
    </row>
    <row r="25" spans="1:16">
      <c r="A25" s="296"/>
      <c r="B25" s="296"/>
      <c r="C25" s="303"/>
      <c r="D25" s="319" t="s">
        <v>740</v>
      </c>
      <c r="E25" s="1267" t="s">
        <v>2024</v>
      </c>
      <c r="F25" s="319" t="s">
        <v>2016</v>
      </c>
      <c r="G25" s="308"/>
      <c r="H25" s="479"/>
      <c r="I25" s="479"/>
      <c r="J25" s="479"/>
      <c r="K25" s="479"/>
      <c r="L25" s="479">
        <f>SUM(H25:K25)</f>
        <v>0</v>
      </c>
      <c r="M25" s="479">
        <f>'2014预算稿 '!J27</f>
        <v>0</v>
      </c>
      <c r="N25" s="479">
        <f t="shared" si="0"/>
        <v>0</v>
      </c>
      <c r="O25" s="500" t="e">
        <f t="shared" si="1"/>
        <v>#DIV/0!</v>
      </c>
      <c r="P25" s="764"/>
    </row>
    <row r="26" spans="1:16">
      <c r="A26" s="296"/>
      <c r="B26" s="296"/>
      <c r="C26" s="303"/>
      <c r="D26" s="73" t="s">
        <v>1812</v>
      </c>
      <c r="E26" s="74" t="s">
        <v>2022</v>
      </c>
      <c r="F26" s="73" t="s">
        <v>2016</v>
      </c>
      <c r="G26" s="308"/>
      <c r="H26" s="479"/>
      <c r="I26" s="479"/>
      <c r="J26" s="479"/>
      <c r="K26" s="479"/>
      <c r="L26" s="479">
        <f>SUM(H26:K26)</f>
        <v>0</v>
      </c>
      <c r="M26" s="479">
        <f>'2014预算稿 '!J28</f>
        <v>0</v>
      </c>
      <c r="N26" s="479">
        <f t="shared" si="0"/>
        <v>0</v>
      </c>
      <c r="O26" s="500" t="e">
        <f t="shared" si="1"/>
        <v>#DIV/0!</v>
      </c>
      <c r="P26" s="1306"/>
    </row>
    <row r="27" spans="1:16">
      <c r="A27" s="296"/>
      <c r="B27" s="296"/>
      <c r="C27" s="303"/>
      <c r="D27" s="319" t="s">
        <v>625</v>
      </c>
      <c r="E27" s="1267" t="s">
        <v>2012</v>
      </c>
      <c r="F27" s="319" t="s">
        <v>2016</v>
      </c>
      <c r="G27" s="308"/>
      <c r="H27" s="479"/>
      <c r="I27" s="479"/>
      <c r="J27" s="479"/>
      <c r="K27" s="479"/>
      <c r="L27" s="479">
        <f>SUM(H27:K27)</f>
        <v>0</v>
      </c>
      <c r="M27" s="479">
        <f>'2014预算稿 '!J29</f>
        <v>0</v>
      </c>
      <c r="N27" s="479">
        <f t="shared" si="0"/>
        <v>0</v>
      </c>
      <c r="O27" s="500" t="e">
        <f t="shared" si="1"/>
        <v>#DIV/0!</v>
      </c>
      <c r="P27" s="765"/>
    </row>
    <row r="28" spans="1:16">
      <c r="A28" s="296"/>
      <c r="B28" s="296"/>
      <c r="C28" s="303"/>
      <c r="D28" s="319" t="s">
        <v>626</v>
      </c>
      <c r="E28" s="1267" t="s">
        <v>2027</v>
      </c>
      <c r="F28" s="319" t="s">
        <v>2016</v>
      </c>
      <c r="G28" s="308"/>
      <c r="H28" s="479"/>
      <c r="I28" s="479"/>
      <c r="J28" s="479"/>
      <c r="K28" s="479"/>
      <c r="L28" s="479">
        <f t="shared" si="6"/>
        <v>0</v>
      </c>
      <c r="M28" s="479">
        <f>'2014预算稿 '!J30</f>
        <v>0</v>
      </c>
      <c r="N28" s="479">
        <f t="shared" si="0"/>
        <v>0</v>
      </c>
      <c r="O28" s="500" t="e">
        <f t="shared" si="1"/>
        <v>#DIV/0!</v>
      </c>
      <c r="P28" s="760"/>
    </row>
    <row r="29" spans="1:16" ht="15">
      <c r="A29" s="296"/>
      <c r="B29" s="296"/>
      <c r="C29" s="303"/>
      <c r="D29" s="319"/>
      <c r="E29" s="484"/>
      <c r="F29" s="319"/>
      <c r="G29" s="308"/>
      <c r="H29" s="480">
        <f t="shared" ref="H29:M29" si="7">SUM(H21:H28)</f>
        <v>0</v>
      </c>
      <c r="I29" s="480">
        <f t="shared" si="7"/>
        <v>0</v>
      </c>
      <c r="J29" s="480">
        <f t="shared" si="7"/>
        <v>0</v>
      </c>
      <c r="K29" s="480">
        <f t="shared" si="7"/>
        <v>0</v>
      </c>
      <c r="L29" s="481">
        <f t="shared" si="7"/>
        <v>0</v>
      </c>
      <c r="M29" s="481">
        <f t="shared" si="7"/>
        <v>0</v>
      </c>
      <c r="N29" s="479">
        <f>L29-M29</f>
        <v>0</v>
      </c>
      <c r="O29" s="1243" t="e">
        <f>(L29-M29)/M29</f>
        <v>#DIV/0!</v>
      </c>
      <c r="P29" s="764"/>
    </row>
    <row r="30" spans="1:16">
      <c r="A30" s="296" t="s">
        <v>105</v>
      </c>
      <c r="B30" s="296"/>
      <c r="C30" s="303" t="s">
        <v>110</v>
      </c>
      <c r="D30" s="319" t="s">
        <v>753</v>
      </c>
      <c r="E30" s="484" t="s">
        <v>2019</v>
      </c>
      <c r="F30" s="1296" t="s">
        <v>2010</v>
      </c>
      <c r="G30" s="308"/>
      <c r="H30" s="479"/>
      <c r="I30" s="479"/>
      <c r="J30" s="479"/>
      <c r="K30" s="479"/>
      <c r="L30" s="479">
        <f>SUM(H30:K30)</f>
        <v>0</v>
      </c>
      <c r="M30" s="479">
        <f>'2014预算稿 '!J32</f>
        <v>0</v>
      </c>
      <c r="N30" s="479">
        <f t="shared" si="0"/>
        <v>0</v>
      </c>
      <c r="O30" s="500" t="e">
        <f>(L30-M30)/M30</f>
        <v>#DIV/0!</v>
      </c>
      <c r="P30" s="765"/>
    </row>
    <row r="31" spans="1:16">
      <c r="A31" s="302"/>
      <c r="B31" s="302"/>
      <c r="C31" s="303"/>
      <c r="D31" s="319" t="s">
        <v>587</v>
      </c>
      <c r="E31" s="74" t="s">
        <v>2018</v>
      </c>
      <c r="F31" s="1261" t="s">
        <v>2010</v>
      </c>
      <c r="G31" s="308"/>
      <c r="H31" s="479"/>
      <c r="I31" s="479"/>
      <c r="J31" s="479"/>
      <c r="K31" s="479"/>
      <c r="L31" s="479">
        <f>SUM(H31:K31)</f>
        <v>0</v>
      </c>
      <c r="M31" s="479">
        <f>'2014预算稿 '!J34</f>
        <v>0</v>
      </c>
      <c r="N31" s="479">
        <f t="shared" si="0"/>
        <v>0</v>
      </c>
      <c r="O31" s="500" t="e">
        <f t="shared" ref="O31:O47" si="8">(L31-M31)/M31</f>
        <v>#DIV/0!</v>
      </c>
      <c r="P31" s="765"/>
    </row>
    <row r="32" spans="1:16">
      <c r="A32" s="302"/>
      <c r="B32" s="302"/>
      <c r="C32" s="303"/>
      <c r="D32" s="319" t="s">
        <v>588</v>
      </c>
      <c r="E32" s="74" t="s">
        <v>2018</v>
      </c>
      <c r="F32" s="1261" t="s">
        <v>2010</v>
      </c>
      <c r="G32" s="308"/>
      <c r="H32" s="479"/>
      <c r="I32" s="479"/>
      <c r="J32" s="479"/>
      <c r="K32" s="479"/>
      <c r="L32" s="479">
        <f>SUBTOTAL(9,H32:K32)</f>
        <v>0</v>
      </c>
      <c r="M32" s="478">
        <f>'2014预算稿 '!J35</f>
        <v>0</v>
      </c>
      <c r="N32" s="479">
        <f t="shared" si="0"/>
        <v>0</v>
      </c>
      <c r="O32" s="500" t="e">
        <f t="shared" si="8"/>
        <v>#DIV/0!</v>
      </c>
      <c r="P32" s="765"/>
    </row>
    <row r="33" spans="1:16">
      <c r="A33" s="302"/>
      <c r="B33" s="302"/>
      <c r="C33" s="303"/>
      <c r="D33" s="319" t="s">
        <v>591</v>
      </c>
      <c r="E33" s="74" t="s">
        <v>2018</v>
      </c>
      <c r="F33" s="319" t="s">
        <v>2032</v>
      </c>
      <c r="G33" s="308"/>
      <c r="H33" s="479"/>
      <c r="I33" s="479"/>
      <c r="J33" s="479"/>
      <c r="K33" s="479"/>
      <c r="L33" s="479">
        <f t="shared" ref="L33:L38" si="9">SUM(H33:K33)</f>
        <v>0</v>
      </c>
      <c r="M33" s="478">
        <f>'2014预算稿 '!J36</f>
        <v>0</v>
      </c>
      <c r="N33" s="479">
        <f t="shared" si="0"/>
        <v>0</v>
      </c>
      <c r="O33" s="500" t="e">
        <f t="shared" si="8"/>
        <v>#DIV/0!</v>
      </c>
      <c r="P33" s="765"/>
    </row>
    <row r="34" spans="1:16">
      <c r="A34" s="302"/>
      <c r="B34" s="302"/>
      <c r="C34" s="303"/>
      <c r="D34" s="319" t="s">
        <v>592</v>
      </c>
      <c r="E34" s="484" t="s">
        <v>2018</v>
      </c>
      <c r="F34" s="319" t="s">
        <v>2010</v>
      </c>
      <c r="G34" s="308"/>
      <c r="H34" s="479"/>
      <c r="I34" s="479"/>
      <c r="J34" s="479"/>
      <c r="K34" s="479"/>
      <c r="L34" s="479">
        <f t="shared" si="9"/>
        <v>0</v>
      </c>
      <c r="M34" s="478">
        <f>'2014预算稿 '!J37</f>
        <v>0</v>
      </c>
      <c r="N34" s="479">
        <f t="shared" si="0"/>
        <v>0</v>
      </c>
      <c r="O34" s="500" t="e">
        <f>(L34-M34)/M34</f>
        <v>#DIV/0!</v>
      </c>
      <c r="P34" s="765"/>
    </row>
    <row r="35" spans="1:16">
      <c r="A35" s="296"/>
      <c r="B35" s="296"/>
      <c r="C35" s="303"/>
      <c r="D35" s="319" t="s">
        <v>565</v>
      </c>
      <c r="E35" s="484" t="s">
        <v>2022</v>
      </c>
      <c r="F35" s="319" t="s">
        <v>2010</v>
      </c>
      <c r="G35" s="308"/>
      <c r="H35" s="479"/>
      <c r="I35" s="479"/>
      <c r="J35" s="479"/>
      <c r="K35" s="479"/>
      <c r="L35" s="479">
        <f t="shared" si="9"/>
        <v>0</v>
      </c>
      <c r="M35" s="479">
        <f>'2014预算稿 '!J38</f>
        <v>0</v>
      </c>
      <c r="N35" s="479">
        <f t="shared" si="0"/>
        <v>0</v>
      </c>
      <c r="O35" s="500" t="e">
        <f t="shared" si="8"/>
        <v>#DIV/0!</v>
      </c>
      <c r="P35" s="765"/>
    </row>
    <row r="36" spans="1:16">
      <c r="A36" s="296"/>
      <c r="B36" s="296"/>
      <c r="C36" s="303"/>
      <c r="D36" s="319" t="s">
        <v>1806</v>
      </c>
      <c r="E36" s="484" t="s">
        <v>2023</v>
      </c>
      <c r="F36" s="319" t="s">
        <v>2010</v>
      </c>
      <c r="G36" s="308"/>
      <c r="H36" s="479"/>
      <c r="I36" s="479"/>
      <c r="J36" s="479"/>
      <c r="K36" s="479"/>
      <c r="L36" s="479">
        <f t="shared" si="9"/>
        <v>0</v>
      </c>
      <c r="M36" s="479">
        <f>'2014预算稿 '!J39+'2014预算稿 '!J40</f>
        <v>0</v>
      </c>
      <c r="N36" s="479">
        <f t="shared" si="0"/>
        <v>0</v>
      </c>
      <c r="O36" s="500" t="e">
        <f t="shared" si="8"/>
        <v>#DIV/0!</v>
      </c>
      <c r="P36" s="765"/>
    </row>
    <row r="37" spans="1:16">
      <c r="A37" s="296"/>
      <c r="B37" s="296"/>
      <c r="C37" s="303"/>
      <c r="D37" s="319" t="s">
        <v>589</v>
      </c>
      <c r="E37" s="484" t="s">
        <v>2012</v>
      </c>
      <c r="F37" s="319" t="s">
        <v>2010</v>
      </c>
      <c r="G37" s="308"/>
      <c r="H37" s="479"/>
      <c r="I37" s="479"/>
      <c r="J37" s="479"/>
      <c r="K37" s="479"/>
      <c r="L37" s="479">
        <f t="shared" si="9"/>
        <v>0</v>
      </c>
      <c r="M37" s="479">
        <f>'2014预算稿 '!J41</f>
        <v>0</v>
      </c>
      <c r="N37" s="479">
        <f t="shared" si="0"/>
        <v>0</v>
      </c>
      <c r="O37" s="500" t="e">
        <f t="shared" si="8"/>
        <v>#DIV/0!</v>
      </c>
      <c r="P37" s="765"/>
    </row>
    <row r="38" spans="1:16">
      <c r="A38" s="296"/>
      <c r="B38" s="296"/>
      <c r="C38" s="303"/>
      <c r="D38" s="319" t="s">
        <v>590</v>
      </c>
      <c r="E38" s="484" t="s">
        <v>2017</v>
      </c>
      <c r="F38" s="319" t="s">
        <v>2010</v>
      </c>
      <c r="G38" s="308"/>
      <c r="H38" s="479"/>
      <c r="I38" s="479"/>
      <c r="J38" s="479"/>
      <c r="K38" s="479"/>
      <c r="L38" s="479">
        <f t="shared" si="9"/>
        <v>0</v>
      </c>
      <c r="M38" s="479">
        <f>'2014预算稿 '!J42</f>
        <v>0</v>
      </c>
      <c r="N38" s="479">
        <f t="shared" si="0"/>
        <v>0</v>
      </c>
      <c r="O38" s="500" t="e">
        <f t="shared" si="8"/>
        <v>#DIV/0!</v>
      </c>
      <c r="P38" s="765"/>
    </row>
    <row r="39" spans="1:16" ht="15">
      <c r="A39" s="302"/>
      <c r="B39" s="302"/>
      <c r="C39" s="303"/>
      <c r="D39" s="319"/>
      <c r="E39" s="484"/>
      <c r="F39" s="319"/>
      <c r="G39" s="308"/>
      <c r="H39" s="480">
        <f t="shared" ref="H39:M39" si="10">SUM(H30:H38)</f>
        <v>0</v>
      </c>
      <c r="I39" s="480">
        <f t="shared" si="10"/>
        <v>0</v>
      </c>
      <c r="J39" s="480">
        <f t="shared" si="10"/>
        <v>0</v>
      </c>
      <c r="K39" s="480">
        <f t="shared" si="10"/>
        <v>0</v>
      </c>
      <c r="L39" s="481">
        <f t="shared" si="10"/>
        <v>0</v>
      </c>
      <c r="M39" s="481">
        <f t="shared" si="10"/>
        <v>0</v>
      </c>
      <c r="N39" s="479">
        <f>L39-M39</f>
        <v>0</v>
      </c>
      <c r="O39" s="1243" t="e">
        <f t="shared" si="8"/>
        <v>#DIV/0!</v>
      </c>
      <c r="P39" s="764"/>
    </row>
    <row r="40" spans="1:16">
      <c r="A40" s="296" t="s">
        <v>105</v>
      </c>
      <c r="B40" s="296"/>
      <c r="C40" s="303" t="s">
        <v>112</v>
      </c>
      <c r="D40" s="304" t="s">
        <v>754</v>
      </c>
      <c r="E40" s="310" t="s">
        <v>2019</v>
      </c>
      <c r="F40" s="449" t="s">
        <v>2033</v>
      </c>
      <c r="G40" s="308"/>
      <c r="H40" s="479"/>
      <c r="I40" s="479"/>
      <c r="J40" s="479"/>
      <c r="K40" s="479"/>
      <c r="L40" s="479">
        <f>SUM(H40:K40)</f>
        <v>0</v>
      </c>
      <c r="M40" s="479">
        <f>'2014预算稿 '!J44</f>
        <v>0</v>
      </c>
      <c r="N40" s="479">
        <f t="shared" si="0"/>
        <v>0</v>
      </c>
      <c r="O40" s="500" t="e">
        <f t="shared" si="8"/>
        <v>#DIV/0!</v>
      </c>
      <c r="P40" s="765"/>
    </row>
    <row r="41" spans="1:16">
      <c r="A41" s="296"/>
      <c r="B41" s="296"/>
      <c r="C41" s="303"/>
      <c r="D41" s="304" t="s">
        <v>729</v>
      </c>
      <c r="E41" s="310" t="s">
        <v>2018</v>
      </c>
      <c r="F41" s="304" t="s">
        <v>2008</v>
      </c>
      <c r="G41" s="308"/>
      <c r="H41" s="479"/>
      <c r="I41" s="479"/>
      <c r="J41" s="479"/>
      <c r="K41" s="479"/>
      <c r="L41" s="479">
        <f>SUM(H41:K41)</f>
        <v>0</v>
      </c>
      <c r="M41" s="479">
        <f>'2014预算稿 '!J45</f>
        <v>0</v>
      </c>
      <c r="N41" s="479">
        <f t="shared" si="0"/>
        <v>0</v>
      </c>
      <c r="O41" s="500" t="e">
        <f t="shared" si="8"/>
        <v>#DIV/0!</v>
      </c>
      <c r="P41" s="765"/>
    </row>
    <row r="42" spans="1:16">
      <c r="A42" s="296"/>
      <c r="B42" s="296"/>
      <c r="C42" s="303"/>
      <c r="D42" s="449" t="s">
        <v>1807</v>
      </c>
      <c r="E42" s="1263" t="s">
        <v>2031</v>
      </c>
      <c r="F42" s="304" t="s">
        <v>2008</v>
      </c>
      <c r="G42" s="308"/>
      <c r="H42" s="479"/>
      <c r="I42" s="479"/>
      <c r="J42" s="479"/>
      <c r="K42" s="479"/>
      <c r="L42" s="479">
        <f t="shared" ref="L42:L46" si="11">SUM(H42:K42)</f>
        <v>0</v>
      </c>
      <c r="M42" s="479">
        <f>'2014预算稿 '!J46</f>
        <v>0</v>
      </c>
      <c r="N42" s="479">
        <f t="shared" si="0"/>
        <v>0</v>
      </c>
      <c r="O42" s="500" t="e">
        <f t="shared" si="8"/>
        <v>#DIV/0!</v>
      </c>
      <c r="P42" s="765"/>
    </row>
    <row r="43" spans="1:16">
      <c r="A43" s="296"/>
      <c r="B43" s="296"/>
      <c r="C43" s="303"/>
      <c r="D43" s="319" t="s">
        <v>566</v>
      </c>
      <c r="E43" s="484" t="s">
        <v>2022</v>
      </c>
      <c r="F43" s="319" t="s">
        <v>2008</v>
      </c>
      <c r="G43" s="308"/>
      <c r="H43" s="479"/>
      <c r="I43" s="479"/>
      <c r="J43" s="479"/>
      <c r="K43" s="479"/>
      <c r="L43" s="479">
        <f>SUM(H43:K43)</f>
        <v>0</v>
      </c>
      <c r="M43" s="479">
        <f>'2014预算稿 '!J47</f>
        <v>0</v>
      </c>
      <c r="N43" s="479">
        <f t="shared" si="0"/>
        <v>0</v>
      </c>
      <c r="O43" s="500" t="e">
        <f t="shared" si="8"/>
        <v>#DIV/0!</v>
      </c>
      <c r="P43" s="765"/>
    </row>
    <row r="44" spans="1:16">
      <c r="A44" s="296"/>
      <c r="B44" s="296"/>
      <c r="C44" s="303"/>
      <c r="D44" s="319" t="s">
        <v>1808</v>
      </c>
      <c r="E44" s="484" t="s">
        <v>2023</v>
      </c>
      <c r="F44" s="319" t="s">
        <v>2008</v>
      </c>
      <c r="G44" s="308"/>
      <c r="H44" s="479"/>
      <c r="I44" s="479"/>
      <c r="J44" s="479"/>
      <c r="K44" s="479"/>
      <c r="L44" s="479">
        <f>SUM(H44:K44)</f>
        <v>0</v>
      </c>
      <c r="M44" s="479">
        <f>'2014预算稿 '!J49+'2014预算稿 '!J48</f>
        <v>0</v>
      </c>
      <c r="N44" s="479">
        <f t="shared" si="0"/>
        <v>0</v>
      </c>
      <c r="O44" s="500" t="e">
        <f t="shared" si="8"/>
        <v>#DIV/0!</v>
      </c>
      <c r="P44" s="765"/>
    </row>
    <row r="45" spans="1:16">
      <c r="A45" s="296"/>
      <c r="B45" s="296"/>
      <c r="C45" s="303"/>
      <c r="D45" s="319" t="s">
        <v>635</v>
      </c>
      <c r="E45" s="484" t="s">
        <v>2012</v>
      </c>
      <c r="F45" s="319" t="s">
        <v>2008</v>
      </c>
      <c r="G45" s="308"/>
      <c r="H45" s="479"/>
      <c r="I45" s="479"/>
      <c r="J45" s="479"/>
      <c r="K45" s="479"/>
      <c r="L45" s="479">
        <f t="shared" si="11"/>
        <v>0</v>
      </c>
      <c r="M45" s="497">
        <f>'2014预算稿 '!J50</f>
        <v>0</v>
      </c>
      <c r="N45" s="479">
        <f t="shared" si="0"/>
        <v>0</v>
      </c>
      <c r="O45" s="500" t="e">
        <f t="shared" si="8"/>
        <v>#DIV/0!</v>
      </c>
      <c r="P45" s="765"/>
    </row>
    <row r="46" spans="1:16">
      <c r="A46" s="296"/>
      <c r="B46" s="296"/>
      <c r="C46" s="303"/>
      <c r="D46" s="319" t="s">
        <v>567</v>
      </c>
      <c r="E46" s="484" t="s">
        <v>2017</v>
      </c>
      <c r="F46" s="319" t="s">
        <v>2008</v>
      </c>
      <c r="G46" s="308"/>
      <c r="H46" s="479"/>
      <c r="I46" s="479"/>
      <c r="J46" s="479"/>
      <c r="K46" s="479"/>
      <c r="L46" s="479">
        <f t="shared" si="11"/>
        <v>0</v>
      </c>
      <c r="M46" s="497">
        <f>'2014预算稿 '!J51</f>
        <v>0</v>
      </c>
      <c r="N46" s="479">
        <f t="shared" si="0"/>
        <v>0</v>
      </c>
      <c r="O46" s="500" t="e">
        <f t="shared" si="8"/>
        <v>#DIV/0!</v>
      </c>
      <c r="P46" s="765"/>
    </row>
    <row r="47" spans="1:16" ht="15">
      <c r="A47" s="296"/>
      <c r="B47" s="296"/>
      <c r="C47" s="303"/>
      <c r="D47" s="304"/>
      <c r="E47" s="310"/>
      <c r="F47" s="304"/>
      <c r="G47" s="308"/>
      <c r="H47" s="480">
        <f t="shared" ref="H47:M47" si="12">SUM(H40:H46)</f>
        <v>0</v>
      </c>
      <c r="I47" s="480">
        <f t="shared" si="12"/>
        <v>0</v>
      </c>
      <c r="J47" s="480">
        <f t="shared" si="12"/>
        <v>0</v>
      </c>
      <c r="K47" s="480">
        <f t="shared" si="12"/>
        <v>0</v>
      </c>
      <c r="L47" s="481">
        <f t="shared" si="12"/>
        <v>0</v>
      </c>
      <c r="M47" s="481">
        <f t="shared" si="12"/>
        <v>0</v>
      </c>
      <c r="N47" s="479">
        <f>L47-M47</f>
        <v>0</v>
      </c>
      <c r="O47" s="1243" t="e">
        <f t="shared" si="8"/>
        <v>#DIV/0!</v>
      </c>
      <c r="P47" s="321"/>
    </row>
    <row r="48" spans="1:16">
      <c r="A48" s="296" t="s">
        <v>105</v>
      </c>
      <c r="B48" s="296"/>
      <c r="C48" s="303" t="s">
        <v>114</v>
      </c>
      <c r="D48" s="304" t="s">
        <v>755</v>
      </c>
      <c r="E48" s="310" t="s">
        <v>2019</v>
      </c>
      <c r="F48" s="304" t="s">
        <v>2013</v>
      </c>
      <c r="G48" s="308"/>
      <c r="H48" s="479"/>
      <c r="I48" s="479"/>
      <c r="J48" s="479"/>
      <c r="K48" s="479"/>
      <c r="L48" s="479">
        <f>SUM(H48:K48)</f>
        <v>0</v>
      </c>
      <c r="M48" s="479">
        <f>'2014预算稿 '!J53</f>
        <v>0</v>
      </c>
      <c r="N48" s="479">
        <f t="shared" si="0"/>
        <v>0</v>
      </c>
      <c r="O48" s="500" t="e">
        <f>(L48-M48)/M48</f>
        <v>#DIV/0!</v>
      </c>
      <c r="P48" s="765"/>
    </row>
    <row r="49" spans="1:16">
      <c r="A49" s="296"/>
      <c r="B49" s="296"/>
      <c r="C49" s="303"/>
      <c r="D49" s="319" t="s">
        <v>638</v>
      </c>
      <c r="E49" s="484" t="s">
        <v>2022</v>
      </c>
      <c r="F49" s="319" t="s">
        <v>2013</v>
      </c>
      <c r="G49" s="308"/>
      <c r="H49" s="479"/>
      <c r="I49" s="479"/>
      <c r="J49" s="479"/>
      <c r="K49" s="479"/>
      <c r="L49" s="479">
        <f>SUM(H49:K49)</f>
        <v>0</v>
      </c>
      <c r="M49" s="479">
        <f>'2014预算稿 '!J54</f>
        <v>0</v>
      </c>
      <c r="N49" s="479">
        <f t="shared" si="0"/>
        <v>0</v>
      </c>
      <c r="O49" s="500" t="e">
        <f t="shared" ref="O49:O53" si="13">(L49-M49)/M49</f>
        <v>#DIV/0!</v>
      </c>
      <c r="P49" s="765"/>
    </row>
    <row r="50" spans="1:16">
      <c r="A50" s="296"/>
      <c r="B50" s="296"/>
      <c r="C50" s="303"/>
      <c r="D50" s="319" t="s">
        <v>639</v>
      </c>
      <c r="E50" s="484" t="s">
        <v>2023</v>
      </c>
      <c r="F50" s="319" t="s">
        <v>2013</v>
      </c>
      <c r="G50" s="308"/>
      <c r="H50" s="479"/>
      <c r="I50" s="479"/>
      <c r="J50" s="479"/>
      <c r="K50" s="479"/>
      <c r="L50" s="479">
        <f>SUM(H50:K50)</f>
        <v>0</v>
      </c>
      <c r="M50" s="479">
        <f>'2014预算稿 '!J55</f>
        <v>0</v>
      </c>
      <c r="N50" s="479">
        <f t="shared" si="0"/>
        <v>0</v>
      </c>
      <c r="O50" s="500" t="e">
        <f t="shared" si="13"/>
        <v>#DIV/0!</v>
      </c>
      <c r="P50" s="765"/>
    </row>
    <row r="51" spans="1:16">
      <c r="A51" s="296"/>
      <c r="B51" s="296"/>
      <c r="C51" s="303"/>
      <c r="D51" s="319" t="s">
        <v>741</v>
      </c>
      <c r="E51" s="484" t="s">
        <v>2024</v>
      </c>
      <c r="F51" s="319" t="s">
        <v>2013</v>
      </c>
      <c r="G51" s="308"/>
      <c r="H51" s="479"/>
      <c r="I51" s="479"/>
      <c r="J51" s="479"/>
      <c r="K51" s="479"/>
      <c r="L51" s="479">
        <f>SUM(H51:K51)</f>
        <v>0</v>
      </c>
      <c r="M51" s="478">
        <f>'2014预算稿 '!J56</f>
        <v>0</v>
      </c>
      <c r="N51" s="479">
        <f t="shared" si="0"/>
        <v>0</v>
      </c>
      <c r="O51" s="500" t="e">
        <f t="shared" si="13"/>
        <v>#DIV/0!</v>
      </c>
      <c r="P51" s="765"/>
    </row>
    <row r="52" spans="1:16">
      <c r="A52" s="296"/>
      <c r="B52" s="296"/>
      <c r="C52" s="303"/>
      <c r="D52" s="319" t="s">
        <v>640</v>
      </c>
      <c r="E52" s="484" t="s">
        <v>2012</v>
      </c>
      <c r="F52" s="319" t="s">
        <v>2013</v>
      </c>
      <c r="G52" s="308"/>
      <c r="H52" s="479"/>
      <c r="I52" s="479"/>
      <c r="J52" s="479"/>
      <c r="K52" s="479"/>
      <c r="L52" s="479">
        <f t="shared" ref="L52:L53" si="14">SUM(H52:K52)</f>
        <v>0</v>
      </c>
      <c r="M52" s="478">
        <f>'2014预算稿 '!J57</f>
        <v>0</v>
      </c>
      <c r="N52" s="479">
        <f t="shared" si="0"/>
        <v>0</v>
      </c>
      <c r="O52" s="500" t="e">
        <f t="shared" si="13"/>
        <v>#DIV/0!</v>
      </c>
      <c r="P52" s="765"/>
    </row>
    <row r="53" spans="1:16">
      <c r="A53" s="296"/>
      <c r="B53" s="296"/>
      <c r="C53" s="303"/>
      <c r="D53" s="319" t="s">
        <v>568</v>
      </c>
      <c r="E53" s="484" t="s">
        <v>2017</v>
      </c>
      <c r="F53" s="319" t="s">
        <v>2013</v>
      </c>
      <c r="G53" s="308"/>
      <c r="H53" s="479"/>
      <c r="I53" s="479"/>
      <c r="J53" s="479"/>
      <c r="K53" s="479"/>
      <c r="L53" s="479">
        <f t="shared" si="14"/>
        <v>0</v>
      </c>
      <c r="M53" s="478">
        <f>'2014预算稿 '!J58</f>
        <v>0</v>
      </c>
      <c r="N53" s="479">
        <f t="shared" si="0"/>
        <v>0</v>
      </c>
      <c r="O53" s="500" t="e">
        <f t="shared" si="13"/>
        <v>#DIV/0!</v>
      </c>
      <c r="P53" s="765"/>
    </row>
    <row r="54" spans="1:16" ht="15">
      <c r="A54" s="296"/>
      <c r="B54" s="296"/>
      <c r="C54" s="303"/>
      <c r="D54" s="304"/>
      <c r="E54" s="310"/>
      <c r="F54" s="304"/>
      <c r="G54" s="308"/>
      <c r="H54" s="480">
        <f>SUM(H48:H53)</f>
        <v>0</v>
      </c>
      <c r="I54" s="480">
        <f t="shared" ref="I54:K54" si="15">SUM(I48:I53)</f>
        <v>0</v>
      </c>
      <c r="J54" s="480">
        <f t="shared" si="15"/>
        <v>0</v>
      </c>
      <c r="K54" s="480">
        <f t="shared" si="15"/>
        <v>0</v>
      </c>
      <c r="L54" s="481">
        <f>SUM(L48:L53)</f>
        <v>0</v>
      </c>
      <c r="M54" s="481">
        <f>SUM(M48:M53)</f>
        <v>0</v>
      </c>
      <c r="N54" s="479">
        <f>L54-M54</f>
        <v>0</v>
      </c>
      <c r="O54" s="1243" t="e">
        <f>(L54-M54)/M54</f>
        <v>#DIV/0!</v>
      </c>
      <c r="P54" s="764"/>
    </row>
    <row r="55" spans="1:16">
      <c r="A55" s="296" t="s">
        <v>105</v>
      </c>
      <c r="B55" s="296"/>
      <c r="C55" s="303" t="s">
        <v>116</v>
      </c>
      <c r="D55" s="304" t="s">
        <v>756</v>
      </c>
      <c r="E55" s="310" t="s">
        <v>2019</v>
      </c>
      <c r="F55" s="1296" t="s">
        <v>2007</v>
      </c>
      <c r="G55" s="308"/>
      <c r="H55" s="479"/>
      <c r="I55" s="479"/>
      <c r="J55" s="479"/>
      <c r="K55" s="479"/>
      <c r="L55" s="479">
        <f>SUM(H55:K55)</f>
        <v>0</v>
      </c>
      <c r="M55" s="479">
        <f>'2014预算稿 '!J60</f>
        <v>0</v>
      </c>
      <c r="N55" s="479">
        <f t="shared" si="0"/>
        <v>0</v>
      </c>
      <c r="O55" s="500" t="e">
        <f>(L55-M55)/M55</f>
        <v>#DIV/0!</v>
      </c>
      <c r="P55" s="765"/>
    </row>
    <row r="56" spans="1:16">
      <c r="A56" s="296"/>
      <c r="B56" s="296"/>
      <c r="C56" s="303"/>
      <c r="D56" s="304" t="s">
        <v>607</v>
      </c>
      <c r="E56" s="1263" t="s">
        <v>2035</v>
      </c>
      <c r="F56" s="1305" t="s">
        <v>2007</v>
      </c>
      <c r="G56" s="308"/>
      <c r="H56" s="479"/>
      <c r="I56" s="479"/>
      <c r="J56" s="479"/>
      <c r="K56" s="479"/>
      <c r="L56" s="479">
        <f t="shared" ref="L56:L60" si="16">SUM(H56:K56)</f>
        <v>0</v>
      </c>
      <c r="M56" s="479">
        <f>'2014预算稿 '!J61</f>
        <v>0</v>
      </c>
      <c r="N56" s="479">
        <f t="shared" si="0"/>
        <v>0</v>
      </c>
      <c r="O56" s="500" t="e">
        <f t="shared" ref="O56:O59" si="17">(L56-M56)/M56</f>
        <v>#DIV/0!</v>
      </c>
      <c r="P56" s="765"/>
    </row>
    <row r="57" spans="1:16">
      <c r="A57" s="296"/>
      <c r="B57" s="296"/>
      <c r="C57" s="303"/>
      <c r="D57" s="319" t="s">
        <v>569</v>
      </c>
      <c r="E57" s="484" t="s">
        <v>2022</v>
      </c>
      <c r="F57" s="1261" t="s">
        <v>2007</v>
      </c>
      <c r="G57" s="308"/>
      <c r="H57" s="479"/>
      <c r="I57" s="479"/>
      <c r="J57" s="479"/>
      <c r="K57" s="479"/>
      <c r="L57" s="479">
        <f>SUM(H57:K57)</f>
        <v>0</v>
      </c>
      <c r="M57" s="479">
        <f>'2014预算稿 '!J62</f>
        <v>0</v>
      </c>
      <c r="N57" s="479">
        <f t="shared" si="0"/>
        <v>0</v>
      </c>
      <c r="O57" s="500" t="e">
        <f t="shared" si="17"/>
        <v>#DIV/0!</v>
      </c>
      <c r="P57" s="765"/>
    </row>
    <row r="58" spans="1:16">
      <c r="A58" s="296"/>
      <c r="B58" s="296"/>
      <c r="C58" s="303"/>
      <c r="D58" s="319" t="s">
        <v>1809</v>
      </c>
      <c r="E58" s="484" t="s">
        <v>2023</v>
      </c>
      <c r="F58" s="1261" t="s">
        <v>2007</v>
      </c>
      <c r="G58" s="308"/>
      <c r="H58" s="479"/>
      <c r="I58" s="479"/>
      <c r="J58" s="479"/>
      <c r="K58" s="479"/>
      <c r="L58" s="479">
        <f>SUM(H58:K58)</f>
        <v>0</v>
      </c>
      <c r="M58" s="479">
        <f>'2014预算稿 '!J63+'2014预算稿 '!J64</f>
        <v>0</v>
      </c>
      <c r="N58" s="479">
        <f t="shared" si="0"/>
        <v>0</v>
      </c>
      <c r="O58" s="500" t="e">
        <f t="shared" si="17"/>
        <v>#DIV/0!</v>
      </c>
      <c r="P58" s="765"/>
    </row>
    <row r="59" spans="1:16">
      <c r="A59" s="296"/>
      <c r="B59" s="296"/>
      <c r="C59" s="303"/>
      <c r="D59" s="319" t="s">
        <v>646</v>
      </c>
      <c r="E59" s="484" t="s">
        <v>2012</v>
      </c>
      <c r="F59" s="1261" t="s">
        <v>2007</v>
      </c>
      <c r="G59" s="308"/>
      <c r="H59" s="479"/>
      <c r="I59" s="479"/>
      <c r="J59" s="479"/>
      <c r="K59" s="479"/>
      <c r="L59" s="479">
        <f>SUM(H59:K59)</f>
        <v>0</v>
      </c>
      <c r="M59" s="479">
        <f>'2014预算稿 '!J65</f>
        <v>0</v>
      </c>
      <c r="N59" s="479">
        <f t="shared" si="0"/>
        <v>0</v>
      </c>
      <c r="O59" s="500" t="e">
        <f t="shared" si="17"/>
        <v>#DIV/0!</v>
      </c>
      <c r="P59" s="765"/>
    </row>
    <row r="60" spans="1:16">
      <c r="A60" s="296"/>
      <c r="B60" s="296"/>
      <c r="C60" s="303"/>
      <c r="D60" s="319" t="s">
        <v>647</v>
      </c>
      <c r="E60" s="484" t="s">
        <v>2017</v>
      </c>
      <c r="F60" s="1261" t="s">
        <v>2007</v>
      </c>
      <c r="G60" s="308"/>
      <c r="H60" s="479"/>
      <c r="I60" s="479"/>
      <c r="J60" s="479"/>
      <c r="K60" s="479"/>
      <c r="L60" s="479">
        <f t="shared" si="16"/>
        <v>0</v>
      </c>
      <c r="M60" s="479">
        <f>'2014预算稿 '!J66</f>
        <v>0</v>
      </c>
      <c r="N60" s="479">
        <f t="shared" si="0"/>
        <v>0</v>
      </c>
      <c r="O60" s="500" t="e">
        <f>(L60-M60)/M60</f>
        <v>#DIV/0!</v>
      </c>
      <c r="P60" s="765"/>
    </row>
    <row r="61" spans="1:16" ht="15">
      <c r="A61" s="296"/>
      <c r="B61" s="296"/>
      <c r="C61" s="303"/>
      <c r="D61" s="304"/>
      <c r="E61" s="310"/>
      <c r="F61" s="304"/>
      <c r="G61" s="308"/>
      <c r="H61" s="480">
        <f t="shared" ref="H61:M61" si="18">SUM(H55:H60)</f>
        <v>0</v>
      </c>
      <c r="I61" s="480">
        <f t="shared" si="18"/>
        <v>0</v>
      </c>
      <c r="J61" s="480">
        <f t="shared" si="18"/>
        <v>0</v>
      </c>
      <c r="K61" s="480">
        <f t="shared" si="18"/>
        <v>0</v>
      </c>
      <c r="L61" s="481">
        <f t="shared" si="18"/>
        <v>0</v>
      </c>
      <c r="M61" s="481">
        <f t="shared" si="18"/>
        <v>0</v>
      </c>
      <c r="N61" s="479">
        <f>L61-M61</f>
        <v>0</v>
      </c>
      <c r="O61" s="1243" t="e">
        <f>(L61-M61)/M61</f>
        <v>#DIV/0!</v>
      </c>
      <c r="P61" s="765"/>
    </row>
    <row r="62" spans="1:16">
      <c r="A62" s="296" t="s">
        <v>105</v>
      </c>
      <c r="B62" s="296"/>
      <c r="C62" s="303" t="s">
        <v>118</v>
      </c>
      <c r="D62" s="482" t="s">
        <v>370</v>
      </c>
      <c r="E62" s="1268"/>
      <c r="F62" s="482"/>
      <c r="G62" s="308">
        <f t="shared" ref="G62:L62" si="19">SUM(G63:G69)</f>
        <v>0</v>
      </c>
      <c r="H62" s="483">
        <f>SUM(H63:H69)</f>
        <v>0</v>
      </c>
      <c r="I62" s="483">
        <f t="shared" si="19"/>
        <v>0</v>
      </c>
      <c r="J62" s="483">
        <f t="shared" si="19"/>
        <v>0</v>
      </c>
      <c r="K62" s="483">
        <f t="shared" si="19"/>
        <v>0</v>
      </c>
      <c r="L62" s="483">
        <f t="shared" si="19"/>
        <v>0</v>
      </c>
      <c r="M62" s="483">
        <f>SUM(M63:M69)</f>
        <v>0</v>
      </c>
      <c r="N62" s="617">
        <f>L62-M62</f>
        <v>0</v>
      </c>
      <c r="O62" s="500" t="e">
        <f>(L62-M62)/M62</f>
        <v>#DIV/0!</v>
      </c>
      <c r="P62" s="765"/>
    </row>
    <row r="63" spans="1:16">
      <c r="A63" s="296"/>
      <c r="B63" s="296"/>
      <c r="C63" s="303"/>
      <c r="D63" s="310" t="s">
        <v>757</v>
      </c>
      <c r="E63" s="310" t="s">
        <v>2019</v>
      </c>
      <c r="F63" s="304" t="s">
        <v>2014</v>
      </c>
      <c r="G63" s="308"/>
      <c r="H63" s="479"/>
      <c r="I63" s="479"/>
      <c r="J63" s="479"/>
      <c r="K63" s="479"/>
      <c r="L63" s="479">
        <f t="shared" ref="L63:L65" si="20">SUM(H63:K63)</f>
        <v>0</v>
      </c>
      <c r="M63" s="479">
        <f>'2014预算稿 '!J69</f>
        <v>0</v>
      </c>
      <c r="N63" s="479">
        <f t="shared" si="0"/>
        <v>0</v>
      </c>
      <c r="O63" s="500" t="e">
        <f t="shared" ref="O63:O85" si="21">(L63-M63)/M63</f>
        <v>#DIV/0!</v>
      </c>
      <c r="P63" s="765"/>
    </row>
    <row r="64" spans="1:16">
      <c r="A64" s="296"/>
      <c r="B64" s="296"/>
      <c r="C64" s="303"/>
      <c r="D64" s="310" t="s">
        <v>608</v>
      </c>
      <c r="E64" s="1263" t="s">
        <v>2031</v>
      </c>
      <c r="F64" s="304" t="s">
        <v>2014</v>
      </c>
      <c r="G64" s="308"/>
      <c r="H64" s="479"/>
      <c r="I64" s="479"/>
      <c r="J64" s="479"/>
      <c r="K64" s="479"/>
      <c r="L64" s="479">
        <f>SUM(H64:K64)</f>
        <v>0</v>
      </c>
      <c r="M64" s="479">
        <f>'2014预算稿 '!J70</f>
        <v>0</v>
      </c>
      <c r="N64" s="479">
        <f t="shared" si="0"/>
        <v>0</v>
      </c>
      <c r="O64" s="500" t="e">
        <f t="shared" si="21"/>
        <v>#DIV/0!</v>
      </c>
      <c r="P64" s="764"/>
    </row>
    <row r="65" spans="1:16">
      <c r="A65" s="296"/>
      <c r="B65" s="296"/>
      <c r="C65" s="303"/>
      <c r="D65" s="484" t="s">
        <v>570</v>
      </c>
      <c r="E65" s="484" t="s">
        <v>2022</v>
      </c>
      <c r="F65" s="499" t="s">
        <v>2014</v>
      </c>
      <c r="G65" s="308"/>
      <c r="H65" s="479"/>
      <c r="I65" s="479"/>
      <c r="J65" s="479"/>
      <c r="K65" s="479"/>
      <c r="L65" s="479">
        <f t="shared" si="20"/>
        <v>0</v>
      </c>
      <c r="M65" s="479">
        <f>'2014预算稿 '!J71</f>
        <v>0</v>
      </c>
      <c r="N65" s="479">
        <f t="shared" si="0"/>
        <v>0</v>
      </c>
      <c r="O65" s="500" t="e">
        <f t="shared" si="21"/>
        <v>#DIV/0!</v>
      </c>
      <c r="P65" s="764"/>
    </row>
    <row r="66" spans="1:16">
      <c r="A66" s="296"/>
      <c r="B66" s="296"/>
      <c r="C66" s="303"/>
      <c r="D66" s="484" t="s">
        <v>652</v>
      </c>
      <c r="E66" s="484" t="s">
        <v>2023</v>
      </c>
      <c r="F66" s="499" t="s">
        <v>2014</v>
      </c>
      <c r="G66" s="308"/>
      <c r="H66" s="479"/>
      <c r="I66" s="479"/>
      <c r="J66" s="479"/>
      <c r="K66" s="479"/>
      <c r="L66" s="479">
        <f>SUM(H66:K66)</f>
        <v>0</v>
      </c>
      <c r="M66" s="479">
        <f>'2014预算稿 '!J72</f>
        <v>0</v>
      </c>
      <c r="N66" s="479">
        <f t="shared" si="0"/>
        <v>0</v>
      </c>
      <c r="O66" s="500" t="e">
        <f t="shared" si="21"/>
        <v>#DIV/0!</v>
      </c>
      <c r="P66" s="764"/>
    </row>
    <row r="67" spans="1:16">
      <c r="A67" s="296"/>
      <c r="B67" s="296"/>
      <c r="C67" s="303"/>
      <c r="D67" s="484" t="s">
        <v>742</v>
      </c>
      <c r="E67" s="484" t="s">
        <v>2024</v>
      </c>
      <c r="F67" s="499" t="s">
        <v>2014</v>
      </c>
      <c r="G67" s="308"/>
      <c r="H67" s="479"/>
      <c r="I67" s="479"/>
      <c r="J67" s="479"/>
      <c r="K67" s="479"/>
      <c r="L67" s="479">
        <f>SUM(H67:K67)</f>
        <v>0</v>
      </c>
      <c r="M67" s="479">
        <f>'2014预算稿 '!J73</f>
        <v>0</v>
      </c>
      <c r="N67" s="479">
        <f t="shared" si="0"/>
        <v>0</v>
      </c>
      <c r="O67" s="500" t="e">
        <f t="shared" si="21"/>
        <v>#DIV/0!</v>
      </c>
      <c r="P67" s="764"/>
    </row>
    <row r="68" spans="1:16">
      <c r="A68" s="296"/>
      <c r="B68" s="296"/>
      <c r="C68" s="303"/>
      <c r="D68" s="484" t="s">
        <v>653</v>
      </c>
      <c r="E68" s="484" t="s">
        <v>2012</v>
      </c>
      <c r="F68" s="499" t="s">
        <v>2014</v>
      </c>
      <c r="G68" s="308"/>
      <c r="H68" s="479"/>
      <c r="I68" s="479"/>
      <c r="J68" s="479"/>
      <c r="K68" s="479"/>
      <c r="L68" s="479">
        <f>SUM(H68:K68)</f>
        <v>0</v>
      </c>
      <c r="M68" s="479">
        <f>'2014预算稿 '!J74</f>
        <v>0</v>
      </c>
      <c r="N68" s="479">
        <f t="shared" si="0"/>
        <v>0</v>
      </c>
      <c r="O68" s="500" t="e">
        <f t="shared" si="21"/>
        <v>#DIV/0!</v>
      </c>
      <c r="P68" s="765"/>
    </row>
    <row r="69" spans="1:16">
      <c r="A69" s="296"/>
      <c r="B69" s="296"/>
      <c r="C69" s="303"/>
      <c r="D69" s="484" t="s">
        <v>654</v>
      </c>
      <c r="E69" s="484" t="s">
        <v>2017</v>
      </c>
      <c r="F69" s="499" t="s">
        <v>2014</v>
      </c>
      <c r="G69" s="308"/>
      <c r="H69" s="479"/>
      <c r="I69" s="479"/>
      <c r="J69" s="479"/>
      <c r="K69" s="479"/>
      <c r="L69" s="479">
        <f>SUM(H69:K69)</f>
        <v>0</v>
      </c>
      <c r="M69" s="479">
        <f>'2014预算稿 '!J75</f>
        <v>0</v>
      </c>
      <c r="N69" s="479">
        <f t="shared" si="0"/>
        <v>0</v>
      </c>
      <c r="O69" s="500" t="e">
        <f t="shared" si="21"/>
        <v>#DIV/0!</v>
      </c>
      <c r="P69" s="764"/>
    </row>
    <row r="70" spans="1:16" s="315" customFormat="1">
      <c r="A70" s="314"/>
      <c r="B70" s="314"/>
      <c r="C70" s="303"/>
      <c r="D70" s="303" t="s">
        <v>383</v>
      </c>
      <c r="E70" s="521"/>
      <c r="F70" s="303"/>
      <c r="G70" s="308"/>
      <c r="H70" s="483"/>
      <c r="I70" s="483"/>
      <c r="J70" s="483"/>
      <c r="K70" s="483"/>
      <c r="L70" s="483">
        <f>SUM(L71:L76)</f>
        <v>0</v>
      </c>
      <c r="M70" s="617">
        <f>'2014预算稿 '!J76</f>
        <v>0</v>
      </c>
      <c r="N70" s="617">
        <f>L70-M70</f>
        <v>0</v>
      </c>
      <c r="O70" s="500" t="e">
        <f t="shared" si="21"/>
        <v>#DIV/0!</v>
      </c>
      <c r="P70" s="764"/>
    </row>
    <row r="71" spans="1:16">
      <c r="A71" s="296"/>
      <c r="B71" s="296"/>
      <c r="C71" s="303"/>
      <c r="D71" s="310" t="s">
        <v>752</v>
      </c>
      <c r="E71" s="310" t="s">
        <v>2019</v>
      </c>
      <c r="F71" s="1297" t="s">
        <v>2021</v>
      </c>
      <c r="G71" s="308"/>
      <c r="L71" s="479">
        <f>SUM(H71:K71)</f>
        <v>0</v>
      </c>
      <c r="M71" s="479">
        <f>'2014预算稿 '!J77</f>
        <v>0</v>
      </c>
      <c r="N71" s="479">
        <f t="shared" ref="N71:N115" si="22">L71-M71</f>
        <v>0</v>
      </c>
      <c r="O71" s="500" t="e">
        <f t="shared" si="21"/>
        <v>#DIV/0!</v>
      </c>
      <c r="P71" s="765"/>
    </row>
    <row r="72" spans="1:16">
      <c r="A72" s="296"/>
      <c r="B72" s="296"/>
      <c r="C72" s="303"/>
      <c r="D72" s="484" t="s">
        <v>657</v>
      </c>
      <c r="E72" s="484" t="s">
        <v>2022</v>
      </c>
      <c r="F72" s="1264" t="s">
        <v>2021</v>
      </c>
      <c r="G72" s="308"/>
      <c r="H72" s="479"/>
      <c r="I72" s="479"/>
      <c r="J72" s="479"/>
      <c r="K72" s="479"/>
      <c r="L72" s="479">
        <f>SUM(H72:K72)</f>
        <v>0</v>
      </c>
      <c r="M72" s="479">
        <f>'2014预算稿 '!J78</f>
        <v>0</v>
      </c>
      <c r="N72" s="479">
        <f t="shared" si="22"/>
        <v>0</v>
      </c>
      <c r="O72" s="500" t="e">
        <f t="shared" si="21"/>
        <v>#DIV/0!</v>
      </c>
      <c r="P72" s="764"/>
    </row>
    <row r="73" spans="1:16">
      <c r="A73" s="296"/>
      <c r="B73" s="296"/>
      <c r="C73" s="303"/>
      <c r="D73" s="484" t="s">
        <v>658</v>
      </c>
      <c r="E73" s="484" t="s">
        <v>2023</v>
      </c>
      <c r="F73" s="1264" t="s">
        <v>2021</v>
      </c>
      <c r="G73" s="308"/>
      <c r="H73" s="479"/>
      <c r="I73" s="479"/>
      <c r="J73" s="479"/>
      <c r="K73" s="479"/>
      <c r="L73" s="479">
        <f t="shared" ref="L73:L75" si="23">SUM(H73:K73)</f>
        <v>0</v>
      </c>
      <c r="M73" s="479">
        <f>'2014预算稿 '!J79</f>
        <v>0</v>
      </c>
      <c r="N73" s="479">
        <f t="shared" si="22"/>
        <v>0</v>
      </c>
      <c r="O73" s="500" t="e">
        <f t="shared" si="21"/>
        <v>#DIV/0!</v>
      </c>
      <c r="P73" s="764"/>
    </row>
    <row r="74" spans="1:16">
      <c r="A74" s="296"/>
      <c r="B74" s="296"/>
      <c r="C74" s="303"/>
      <c r="D74" s="484" t="s">
        <v>743</v>
      </c>
      <c r="E74" s="484" t="s">
        <v>2024</v>
      </c>
      <c r="F74" s="1264" t="s">
        <v>2021</v>
      </c>
      <c r="G74" s="308"/>
      <c r="H74" s="479"/>
      <c r="I74" s="479"/>
      <c r="J74" s="479"/>
      <c r="K74" s="479"/>
      <c r="L74" s="479">
        <f t="shared" si="23"/>
        <v>0</v>
      </c>
      <c r="M74" s="478">
        <f>'2014预算稿 '!J80</f>
        <v>0</v>
      </c>
      <c r="N74" s="479">
        <f t="shared" si="22"/>
        <v>0</v>
      </c>
      <c r="O74" s="500" t="e">
        <f t="shared" si="21"/>
        <v>#DIV/0!</v>
      </c>
      <c r="P74" s="764"/>
    </row>
    <row r="75" spans="1:16">
      <c r="A75" s="296"/>
      <c r="B75" s="296"/>
      <c r="C75" s="303"/>
      <c r="D75" s="484" t="s">
        <v>659</v>
      </c>
      <c r="E75" s="484" t="s">
        <v>2012</v>
      </c>
      <c r="F75" s="1264" t="s">
        <v>2021</v>
      </c>
      <c r="G75" s="308"/>
      <c r="H75" s="479"/>
      <c r="I75" s="479"/>
      <c r="J75" s="479"/>
      <c r="K75" s="479"/>
      <c r="L75" s="479">
        <f t="shared" si="23"/>
        <v>0</v>
      </c>
      <c r="M75" s="478">
        <f>'2014预算稿 '!J81</f>
        <v>0</v>
      </c>
      <c r="N75" s="479">
        <f t="shared" si="22"/>
        <v>0</v>
      </c>
      <c r="O75" s="500" t="e">
        <f t="shared" si="21"/>
        <v>#DIV/0!</v>
      </c>
      <c r="P75" s="765"/>
    </row>
    <row r="76" spans="1:16">
      <c r="A76" s="296"/>
      <c r="B76" s="296"/>
      <c r="C76" s="303"/>
      <c r="D76" s="484" t="s">
        <v>660</v>
      </c>
      <c r="E76" s="484" t="s">
        <v>2017</v>
      </c>
      <c r="F76" s="1264" t="s">
        <v>2021</v>
      </c>
      <c r="G76" s="308"/>
      <c r="H76" s="479"/>
      <c r="I76" s="479"/>
      <c r="J76" s="479"/>
      <c r="K76" s="479"/>
      <c r="L76" s="479">
        <f>SUM(H76:K76)</f>
        <v>0</v>
      </c>
      <c r="M76" s="478">
        <f>'2014预算稿 '!J82</f>
        <v>0</v>
      </c>
      <c r="N76" s="479">
        <f t="shared" si="22"/>
        <v>0</v>
      </c>
      <c r="O76" s="500" t="e">
        <f t="shared" si="21"/>
        <v>#DIV/0!</v>
      </c>
      <c r="P76" s="764"/>
    </row>
    <row r="77" spans="1:16">
      <c r="A77" s="296"/>
      <c r="B77" s="296"/>
      <c r="C77" s="303"/>
      <c r="D77" s="1250" t="s">
        <v>157</v>
      </c>
      <c r="E77" s="1269" t="s">
        <v>2028</v>
      </c>
      <c r="F77" s="897" t="s">
        <v>2002</v>
      </c>
      <c r="G77" s="1194"/>
      <c r="L77" s="617">
        <f>SUM(H77:K77)</f>
        <v>0</v>
      </c>
      <c r="M77" s="478">
        <f>'2014预算稿 '!J83</f>
        <v>0</v>
      </c>
      <c r="N77" s="617">
        <f>L77-M77</f>
        <v>0</v>
      </c>
      <c r="O77" s="500" t="e">
        <f t="shared" si="21"/>
        <v>#DIV/0!</v>
      </c>
      <c r="P77" s="764"/>
    </row>
    <row r="78" spans="1:16" ht="15">
      <c r="A78" s="296"/>
      <c r="B78" s="296"/>
      <c r="C78" s="303"/>
      <c r="D78" s="304"/>
      <c r="E78" s="310"/>
      <c r="F78" s="304"/>
      <c r="G78" s="308"/>
      <c r="H78" s="485">
        <f>H62+H70+H77</f>
        <v>0</v>
      </c>
      <c r="I78" s="485">
        <f>I62+I70+I77</f>
        <v>0</v>
      </c>
      <c r="J78" s="485">
        <f>J62+J70+J77</f>
        <v>0</v>
      </c>
      <c r="K78" s="485">
        <f>K62+K70+K77</f>
        <v>0</v>
      </c>
      <c r="L78" s="487">
        <f>SUM(L62,L70,L77)</f>
        <v>0</v>
      </c>
      <c r="M78" s="487">
        <f>SUM(M62,M70,M77)</f>
        <v>0</v>
      </c>
      <c r="N78" s="479">
        <f>L78-M78</f>
        <v>0</v>
      </c>
      <c r="O78" s="1243" t="e">
        <f t="shared" si="21"/>
        <v>#DIV/0!</v>
      </c>
      <c r="P78" s="321"/>
    </row>
    <row r="79" spans="1:16">
      <c r="A79" s="296" t="s">
        <v>105</v>
      </c>
      <c r="B79" s="296"/>
      <c r="C79" s="303" t="s">
        <v>119</v>
      </c>
      <c r="D79" s="304" t="s">
        <v>777</v>
      </c>
      <c r="E79" s="310" t="s">
        <v>2019</v>
      </c>
      <c r="F79" s="304" t="s">
        <v>2008</v>
      </c>
      <c r="G79" s="308"/>
      <c r="H79" s="479"/>
      <c r="I79" s="479"/>
      <c r="J79" s="479"/>
      <c r="K79" s="479"/>
      <c r="L79" s="479">
        <f>SUM(H79:K79)</f>
        <v>0</v>
      </c>
      <c r="M79" s="479">
        <f>'2014预算稿 '!J85</f>
        <v>0</v>
      </c>
      <c r="N79" s="479">
        <f t="shared" si="22"/>
        <v>0</v>
      </c>
      <c r="O79" s="500" t="e">
        <f t="shared" si="21"/>
        <v>#DIV/0!</v>
      </c>
      <c r="P79" s="1195"/>
    </row>
    <row r="80" spans="1:16">
      <c r="A80" s="296"/>
      <c r="B80" s="296"/>
      <c r="C80" s="303"/>
      <c r="D80" s="319" t="s">
        <v>778</v>
      </c>
      <c r="E80" s="484" t="s">
        <v>2022</v>
      </c>
      <c r="F80" s="310" t="s">
        <v>2008</v>
      </c>
      <c r="G80" s="308"/>
      <c r="H80" s="479"/>
      <c r="I80" s="479"/>
      <c r="J80" s="479"/>
      <c r="K80" s="479"/>
      <c r="L80" s="479">
        <f t="shared" ref="L80" si="24">SUM(H80:K80)</f>
        <v>0</v>
      </c>
      <c r="M80" s="479">
        <f>'2014预算稿 '!J86</f>
        <v>0</v>
      </c>
      <c r="N80" s="479">
        <f t="shared" si="22"/>
        <v>0</v>
      </c>
      <c r="O80" s="500" t="e">
        <f t="shared" si="21"/>
        <v>#DIV/0!</v>
      </c>
      <c r="P80" s="764"/>
    </row>
    <row r="81" spans="1:16">
      <c r="A81" s="296"/>
      <c r="B81" s="296"/>
      <c r="C81" s="303"/>
      <c r="D81" s="319" t="s">
        <v>925</v>
      </c>
      <c r="E81" s="484" t="s">
        <v>2023</v>
      </c>
      <c r="F81" s="310" t="s">
        <v>2008</v>
      </c>
      <c r="G81" s="308"/>
      <c r="H81" s="479"/>
      <c r="I81" s="479"/>
      <c r="J81" s="479"/>
      <c r="K81" s="479"/>
      <c r="L81" s="479"/>
      <c r="M81" s="479">
        <f>'2014预算稿 '!J87</f>
        <v>0</v>
      </c>
      <c r="N81" s="479">
        <f>L81-M81</f>
        <v>0</v>
      </c>
      <c r="O81" s="500"/>
      <c r="P81" s="764"/>
    </row>
    <row r="82" spans="1:16">
      <c r="A82" s="296"/>
      <c r="B82" s="296"/>
      <c r="C82" s="303"/>
      <c r="D82" s="319" t="s">
        <v>779</v>
      </c>
      <c r="E82" s="484" t="s">
        <v>2017</v>
      </c>
      <c r="F82" s="310" t="s">
        <v>2008</v>
      </c>
      <c r="G82" s="308"/>
      <c r="H82" s="479"/>
      <c r="I82" s="479"/>
      <c r="J82" s="479"/>
      <c r="K82" s="479"/>
      <c r="L82" s="479">
        <f>SUM(H82:K82)</f>
        <v>0</v>
      </c>
      <c r="M82" s="479">
        <f>'2014预算稿 '!J89+'2014预算稿 '!J88</f>
        <v>0</v>
      </c>
      <c r="N82" s="479">
        <f t="shared" si="22"/>
        <v>0</v>
      </c>
      <c r="O82" s="500" t="e">
        <f t="shared" si="21"/>
        <v>#DIV/0!</v>
      </c>
      <c r="P82" s="764"/>
    </row>
    <row r="83" spans="1:16" ht="15">
      <c r="A83" s="296"/>
      <c r="B83" s="296"/>
      <c r="C83" s="303"/>
      <c r="D83" s="304"/>
      <c r="E83" s="310"/>
      <c r="F83" s="304"/>
      <c r="G83" s="308"/>
      <c r="H83" s="485">
        <f t="shared" ref="H83:M83" si="25">SUM(H79:H82)</f>
        <v>0</v>
      </c>
      <c r="I83" s="485">
        <f t="shared" si="25"/>
        <v>0</v>
      </c>
      <c r="J83" s="485">
        <f t="shared" si="25"/>
        <v>0</v>
      </c>
      <c r="K83" s="485">
        <f t="shared" si="25"/>
        <v>0</v>
      </c>
      <c r="L83" s="481">
        <f t="shared" si="25"/>
        <v>0</v>
      </c>
      <c r="M83" s="487">
        <f t="shared" si="25"/>
        <v>0</v>
      </c>
      <c r="N83" s="479">
        <f>L83-M83</f>
        <v>0</v>
      </c>
      <c r="O83" s="1243" t="e">
        <f t="shared" si="21"/>
        <v>#DIV/0!</v>
      </c>
      <c r="P83" s="1206"/>
    </row>
    <row r="84" spans="1:16">
      <c r="A84" s="488" t="s">
        <v>105</v>
      </c>
      <c r="B84" s="488"/>
      <c r="C84" s="303" t="s">
        <v>121</v>
      </c>
      <c r="D84" s="646" t="s">
        <v>401</v>
      </c>
      <c r="E84" s="1275" t="s">
        <v>2028</v>
      </c>
      <c r="F84" s="1298" t="s">
        <v>2006</v>
      </c>
      <c r="G84" s="308"/>
      <c r="H84" s="479"/>
      <c r="I84" s="479"/>
      <c r="J84" s="479"/>
      <c r="K84" s="479"/>
      <c r="L84" s="479">
        <f>SUM(H84:K84)</f>
        <v>0</v>
      </c>
      <c r="M84" s="479">
        <f>'2014预算稿 '!J91</f>
        <v>0</v>
      </c>
      <c r="N84" s="479">
        <f t="shared" si="22"/>
        <v>0</v>
      </c>
      <c r="O84" s="500" t="e">
        <f t="shared" si="21"/>
        <v>#DIV/0!</v>
      </c>
      <c r="P84" s="764"/>
    </row>
    <row r="85" spans="1:16" ht="15">
      <c r="A85" s="296"/>
      <c r="B85" s="296"/>
      <c r="C85" s="303"/>
      <c r="D85" s="310"/>
      <c r="E85" s="310"/>
      <c r="F85" s="310"/>
      <c r="H85" s="480">
        <f t="shared" ref="H85:M85" si="26">SUM(H84:H84)</f>
        <v>0</v>
      </c>
      <c r="I85" s="480">
        <f t="shared" si="26"/>
        <v>0</v>
      </c>
      <c r="J85" s="480">
        <f t="shared" si="26"/>
        <v>0</v>
      </c>
      <c r="K85" s="480">
        <f t="shared" si="26"/>
        <v>0</v>
      </c>
      <c r="L85" s="481">
        <f t="shared" si="26"/>
        <v>0</v>
      </c>
      <c r="M85" s="481">
        <f t="shared" si="26"/>
        <v>0</v>
      </c>
      <c r="N85" s="479">
        <f>L85-M85</f>
        <v>0</v>
      </c>
      <c r="O85" s="1243" t="e">
        <f t="shared" si="21"/>
        <v>#DIV/0!</v>
      </c>
      <c r="P85" s="752"/>
    </row>
    <row r="86" spans="1:16">
      <c r="A86" s="488" t="s">
        <v>105</v>
      </c>
      <c r="B86" s="296"/>
      <c r="C86" s="303" t="s">
        <v>122</v>
      </c>
      <c r="D86" s="489" t="s">
        <v>404</v>
      </c>
      <c r="E86" s="1268"/>
      <c r="F86" s="489"/>
      <c r="G86" s="308"/>
      <c r="H86" s="483">
        <f>SUM(H87:H92)</f>
        <v>0</v>
      </c>
      <c r="I86" s="483">
        <f>SUM(I87:I92)</f>
        <v>0</v>
      </c>
      <c r="J86" s="483">
        <f>SUM(J87:J92)</f>
        <v>0</v>
      </c>
      <c r="K86" s="483">
        <f>SUM(K87:K92)</f>
        <v>0</v>
      </c>
      <c r="L86" s="483">
        <f>SUM(H86:K86)</f>
        <v>0</v>
      </c>
      <c r="M86" s="617">
        <f>'2014预算稿 '!J94</f>
        <v>0</v>
      </c>
      <c r="N86" s="479">
        <f>L86-M86</f>
        <v>0</v>
      </c>
      <c r="O86" s="500"/>
      <c r="P86" s="764"/>
    </row>
    <row r="87" spans="1:16">
      <c r="A87" s="296"/>
      <c r="B87" s="296"/>
      <c r="C87" s="303"/>
      <c r="D87" s="310" t="s">
        <v>758</v>
      </c>
      <c r="E87" s="310" t="s">
        <v>2019</v>
      </c>
      <c r="F87" s="304" t="s">
        <v>2008</v>
      </c>
      <c r="G87" s="308"/>
      <c r="H87" s="479"/>
      <c r="I87" s="479"/>
      <c r="J87" s="479"/>
      <c r="K87" s="479"/>
      <c r="L87" s="479">
        <f t="shared" ref="L87:L92" si="27">SUM(H87:K87)</f>
        <v>0</v>
      </c>
      <c r="M87" s="479">
        <f>'2014预算稿 '!J95</f>
        <v>0</v>
      </c>
      <c r="N87" s="479">
        <f t="shared" si="22"/>
        <v>0</v>
      </c>
      <c r="O87" s="500" t="e">
        <f t="shared" ref="O87:O98" si="28">(L87-M87)/M87</f>
        <v>#DIV/0!</v>
      </c>
      <c r="P87" s="765"/>
    </row>
    <row r="88" spans="1:16">
      <c r="A88" s="296"/>
      <c r="B88" s="296"/>
      <c r="C88" s="303"/>
      <c r="D88" s="310" t="s">
        <v>730</v>
      </c>
      <c r="E88" s="1263" t="s">
        <v>2029</v>
      </c>
      <c r="F88" s="310" t="s">
        <v>2008</v>
      </c>
      <c r="G88" s="308"/>
      <c r="H88" s="479"/>
      <c r="I88" s="479"/>
      <c r="J88" s="479"/>
      <c r="K88" s="479"/>
      <c r="L88" s="479">
        <f t="shared" si="27"/>
        <v>0</v>
      </c>
      <c r="M88" s="479">
        <f>'2014预算稿 '!J96</f>
        <v>0</v>
      </c>
      <c r="N88" s="479">
        <f t="shared" si="22"/>
        <v>0</v>
      </c>
      <c r="O88" s="500" t="e">
        <f t="shared" si="28"/>
        <v>#DIV/0!</v>
      </c>
      <c r="P88" s="764"/>
    </row>
    <row r="89" spans="1:16">
      <c r="A89" s="296"/>
      <c r="B89" s="296"/>
      <c r="C89" s="303"/>
      <c r="D89" s="484" t="s">
        <v>667</v>
      </c>
      <c r="E89" s="484" t="s">
        <v>2030</v>
      </c>
      <c r="F89" s="484" t="s">
        <v>2008</v>
      </c>
      <c r="G89" s="308"/>
      <c r="H89" s="479"/>
      <c r="I89" s="479"/>
      <c r="J89" s="479"/>
      <c r="K89" s="479"/>
      <c r="L89" s="479">
        <f t="shared" si="27"/>
        <v>0</v>
      </c>
      <c r="M89" s="479">
        <f>'2014预算稿 '!J97</f>
        <v>0</v>
      </c>
      <c r="N89" s="479">
        <f t="shared" si="22"/>
        <v>0</v>
      </c>
      <c r="O89" s="500" t="e">
        <f t="shared" si="28"/>
        <v>#DIV/0!</v>
      </c>
      <c r="P89" s="764"/>
    </row>
    <row r="90" spans="1:16">
      <c r="A90" s="296"/>
      <c r="B90" s="296"/>
      <c r="C90" s="303"/>
      <c r="D90" s="484" t="s">
        <v>1810</v>
      </c>
      <c r="E90" s="484" t="s">
        <v>2023</v>
      </c>
      <c r="F90" s="484" t="s">
        <v>2008</v>
      </c>
      <c r="G90" s="308"/>
      <c r="H90" s="479"/>
      <c r="I90" s="479"/>
      <c r="J90" s="479"/>
      <c r="K90" s="479"/>
      <c r="L90" s="479">
        <f t="shared" si="27"/>
        <v>0</v>
      </c>
      <c r="M90" s="479">
        <f>'2014预算稿 '!J98+'2014预算稿 '!J99</f>
        <v>0</v>
      </c>
      <c r="N90" s="479">
        <f t="shared" si="22"/>
        <v>0</v>
      </c>
      <c r="O90" s="500" t="e">
        <f t="shared" si="28"/>
        <v>#DIV/0!</v>
      </c>
      <c r="P90" s="764"/>
    </row>
    <row r="91" spans="1:16">
      <c r="A91" s="296"/>
      <c r="B91" s="296"/>
      <c r="C91" s="303"/>
      <c r="D91" s="484" t="s">
        <v>669</v>
      </c>
      <c r="E91" s="484" t="s">
        <v>2012</v>
      </c>
      <c r="F91" s="484" t="s">
        <v>2008</v>
      </c>
      <c r="G91" s="308"/>
      <c r="H91" s="479"/>
      <c r="I91" s="479"/>
      <c r="J91" s="479"/>
      <c r="K91" s="479"/>
      <c r="L91" s="479">
        <f>SUM(H91:K91)</f>
        <v>0</v>
      </c>
      <c r="M91" s="479">
        <f>'2014预算稿 '!J100</f>
        <v>0</v>
      </c>
      <c r="N91" s="479">
        <f t="shared" si="22"/>
        <v>0</v>
      </c>
      <c r="O91" s="500" t="e">
        <f>(L91-M91)/M91</f>
        <v>#DIV/0!</v>
      </c>
      <c r="P91" s="765"/>
    </row>
    <row r="92" spans="1:16">
      <c r="A92" s="296"/>
      <c r="B92" s="296"/>
      <c r="C92" s="303"/>
      <c r="D92" s="484" t="s">
        <v>670</v>
      </c>
      <c r="E92" s="484" t="s">
        <v>2017</v>
      </c>
      <c r="F92" s="484" t="s">
        <v>2008</v>
      </c>
      <c r="G92" s="308"/>
      <c r="H92" s="479"/>
      <c r="I92" s="479"/>
      <c r="J92" s="479"/>
      <c r="K92" s="479"/>
      <c r="L92" s="479">
        <f t="shared" si="27"/>
        <v>0</v>
      </c>
      <c r="M92" s="479">
        <f>'2014预算稿 '!J101</f>
        <v>0</v>
      </c>
      <c r="N92" s="479">
        <f t="shared" si="22"/>
        <v>0</v>
      </c>
      <c r="O92" s="500" t="e">
        <f>(L92-M92)/M92</f>
        <v>#DIV/0!</v>
      </c>
      <c r="P92" s="764"/>
    </row>
    <row r="93" spans="1:16" s="470" customFormat="1">
      <c r="A93" s="490"/>
      <c r="B93" s="490"/>
      <c r="C93" s="303"/>
      <c r="D93" s="482" t="s">
        <v>420</v>
      </c>
      <c r="E93" s="1268"/>
      <c r="F93" s="482"/>
      <c r="G93" s="308"/>
      <c r="H93" s="483"/>
      <c r="I93" s="483"/>
      <c r="J93" s="483"/>
      <c r="K93" s="483"/>
      <c r="L93" s="483">
        <f>SUM(H93:K93)</f>
        <v>0</v>
      </c>
      <c r="M93" s="483">
        <f>'2014预算稿 '!J102</f>
        <v>0</v>
      </c>
      <c r="N93" s="479">
        <f>L93-M93</f>
        <v>0</v>
      </c>
      <c r="O93" s="500"/>
      <c r="P93" s="320"/>
    </row>
    <row r="94" spans="1:16" s="470" customFormat="1">
      <c r="A94" s="490"/>
      <c r="B94" s="490"/>
      <c r="C94" s="303"/>
      <c r="D94" s="484" t="s">
        <v>418</v>
      </c>
      <c r="E94" s="484" t="s">
        <v>2001</v>
      </c>
      <c r="F94" s="319" t="s">
        <v>2002</v>
      </c>
      <c r="G94" s="308"/>
      <c r="H94" s="479"/>
      <c r="I94" s="479"/>
      <c r="J94" s="479"/>
      <c r="K94" s="479"/>
      <c r="L94" s="483">
        <f>SUM(H94:K94)</f>
        <v>0</v>
      </c>
      <c r="M94" s="483">
        <f>'2014预算稿 '!J103</f>
        <v>0</v>
      </c>
      <c r="N94" s="479">
        <f t="shared" si="22"/>
        <v>0</v>
      </c>
      <c r="O94" s="500"/>
      <c r="P94" s="320"/>
    </row>
    <row r="95" spans="1:16" s="470" customFormat="1">
      <c r="A95" s="490"/>
      <c r="B95" s="490"/>
      <c r="C95" s="303"/>
      <c r="D95" s="484" t="s">
        <v>420</v>
      </c>
      <c r="E95" s="484" t="s">
        <v>2001</v>
      </c>
      <c r="F95" s="319" t="s">
        <v>2002</v>
      </c>
      <c r="G95" s="308"/>
      <c r="H95" s="479"/>
      <c r="I95" s="479"/>
      <c r="J95" s="479"/>
      <c r="K95" s="479"/>
      <c r="L95" s="479">
        <f>SUM(H95:K95)</f>
        <v>0</v>
      </c>
      <c r="M95" s="483">
        <f>'2014预算稿 '!J104</f>
        <v>0</v>
      </c>
      <c r="N95" s="479">
        <f t="shared" si="22"/>
        <v>0</v>
      </c>
      <c r="O95" s="500" t="e">
        <f t="shared" si="28"/>
        <v>#DIV/0!</v>
      </c>
      <c r="P95" s="1238"/>
    </row>
    <row r="96" spans="1:16" ht="15">
      <c r="A96" s="296"/>
      <c r="B96" s="296"/>
      <c r="C96" s="303"/>
      <c r="D96" s="310"/>
      <c r="E96" s="310"/>
      <c r="F96" s="310"/>
      <c r="G96" s="308"/>
      <c r="H96" s="480">
        <f t="shared" ref="H96:K96" si="29">H86+H93</f>
        <v>0</v>
      </c>
      <c r="I96" s="480">
        <f t="shared" si="29"/>
        <v>0</v>
      </c>
      <c r="J96" s="480">
        <f t="shared" si="29"/>
        <v>0</v>
      </c>
      <c r="K96" s="480">
        <f t="shared" si="29"/>
        <v>0</v>
      </c>
      <c r="L96" s="481">
        <f>L86+L93</f>
        <v>0</v>
      </c>
      <c r="M96" s="481">
        <f>M86+M93</f>
        <v>0</v>
      </c>
      <c r="N96" s="617">
        <f>L96-M96</f>
        <v>0</v>
      </c>
      <c r="O96" s="1243" t="e">
        <f t="shared" si="28"/>
        <v>#DIV/0!</v>
      </c>
      <c r="P96" s="764"/>
    </row>
    <row r="97" spans="1:16">
      <c r="A97" s="296" t="s">
        <v>131</v>
      </c>
      <c r="B97" s="296"/>
      <c r="C97" s="303" t="s">
        <v>124</v>
      </c>
      <c r="D97" s="304" t="s">
        <v>422</v>
      </c>
      <c r="E97" s="310" t="s">
        <v>2001</v>
      </c>
      <c r="F97" s="1299" t="s">
        <v>2002</v>
      </c>
      <c r="G97" s="308"/>
      <c r="H97" s="479"/>
      <c r="I97" s="479"/>
      <c r="J97" s="479"/>
      <c r="K97" s="479"/>
      <c r="L97" s="479">
        <f>SUM(H97:K97)</f>
        <v>0</v>
      </c>
      <c r="M97" s="479">
        <f>'2014预算稿 '!J106</f>
        <v>0</v>
      </c>
      <c r="N97" s="479">
        <f t="shared" si="22"/>
        <v>0</v>
      </c>
      <c r="O97" s="500" t="e">
        <f t="shared" si="28"/>
        <v>#DIV/0!</v>
      </c>
      <c r="P97" s="768"/>
    </row>
    <row r="98" spans="1:16" s="510" customFormat="1">
      <c r="A98" s="503"/>
      <c r="B98" s="503"/>
      <c r="C98" s="504"/>
      <c r="D98" s="484" t="s">
        <v>723</v>
      </c>
      <c r="E98" s="484" t="s">
        <v>2001</v>
      </c>
      <c r="F98" s="319" t="s">
        <v>2002</v>
      </c>
      <c r="G98" s="308"/>
      <c r="H98" s="479"/>
      <c r="I98" s="479"/>
      <c r="J98" s="479"/>
      <c r="K98" s="479"/>
      <c r="L98" s="308">
        <f>SUM(H98:K98)</f>
        <v>0</v>
      </c>
      <c r="M98" s="479">
        <f>'2014预算稿 '!J108+'2014预算稿 '!J107</f>
        <v>0</v>
      </c>
      <c r="N98" s="479">
        <f t="shared" si="22"/>
        <v>0</v>
      </c>
      <c r="O98" s="500" t="e">
        <f t="shared" si="28"/>
        <v>#DIV/0!</v>
      </c>
      <c r="P98" s="770"/>
    </row>
    <row r="99" spans="1:16">
      <c r="A99" s="296"/>
      <c r="B99" s="296"/>
      <c r="C99" s="303"/>
      <c r="D99" s="304" t="s">
        <v>125</v>
      </c>
      <c r="E99" s="310" t="s">
        <v>2001</v>
      </c>
      <c r="F99" s="1299" t="s">
        <v>2002</v>
      </c>
      <c r="G99" s="477"/>
      <c r="H99" s="477"/>
      <c r="I99" s="478"/>
      <c r="J99" s="477"/>
      <c r="K99" s="477"/>
      <c r="L99" s="478">
        <f>SUM(H99:K99)</f>
        <v>0</v>
      </c>
      <c r="M99" s="479">
        <f>'2014预算稿 '!J109</f>
        <v>0</v>
      </c>
      <c r="N99" s="479">
        <f t="shared" si="22"/>
        <v>0</v>
      </c>
      <c r="O99" s="500" t="e">
        <f>(L99-M99)/M99</f>
        <v>#DIV/0!</v>
      </c>
      <c r="P99" s="752"/>
    </row>
    <row r="100" spans="1:16" ht="15">
      <c r="A100" s="302"/>
      <c r="B100" s="302"/>
      <c r="C100" s="303"/>
      <c r="D100" s="194"/>
      <c r="E100" s="253"/>
      <c r="F100" s="194"/>
      <c r="G100" s="493"/>
      <c r="H100" s="493">
        <f t="shared" ref="H100:M100" si="30">SUM(H97:H99)</f>
        <v>0</v>
      </c>
      <c r="I100" s="493">
        <f t="shared" si="30"/>
        <v>0</v>
      </c>
      <c r="J100" s="493">
        <f t="shared" si="30"/>
        <v>0</v>
      </c>
      <c r="K100" s="493">
        <f t="shared" si="30"/>
        <v>0</v>
      </c>
      <c r="L100" s="494">
        <f>SUM(L97:L99)</f>
        <v>0</v>
      </c>
      <c r="M100" s="494">
        <f t="shared" si="30"/>
        <v>0</v>
      </c>
      <c r="N100" s="479">
        <f>L100-M100</f>
        <v>0</v>
      </c>
      <c r="O100" s="1243" t="e">
        <f t="shared" ref="O100:O102" si="31">(L100-M100)/M100</f>
        <v>#DIV/0!</v>
      </c>
      <c r="P100" s="321"/>
    </row>
    <row r="101" spans="1:16">
      <c r="A101" s="488" t="s">
        <v>105</v>
      </c>
      <c r="B101" s="296"/>
      <c r="C101" s="303" t="s">
        <v>126</v>
      </c>
      <c r="D101" s="319" t="s">
        <v>128</v>
      </c>
      <c r="E101" s="484"/>
      <c r="F101" s="319"/>
      <c r="L101" s="194"/>
      <c r="M101" s="194"/>
      <c r="N101" s="479">
        <f t="shared" si="22"/>
        <v>0</v>
      </c>
      <c r="O101" s="500"/>
      <c r="P101" s="752"/>
    </row>
    <row r="102" spans="1:16">
      <c r="A102" s="488"/>
      <c r="B102" s="296"/>
      <c r="C102" s="303"/>
      <c r="D102" s="1247" t="s">
        <v>1977</v>
      </c>
      <c r="E102" s="74" t="s">
        <v>2001</v>
      </c>
      <c r="F102" s="73" t="s">
        <v>2005</v>
      </c>
      <c r="G102" s="308"/>
      <c r="H102" s="477"/>
      <c r="I102" s="477"/>
      <c r="J102" s="477"/>
      <c r="K102" s="477"/>
      <c r="L102" s="308">
        <f>SUM(H102:K102)</f>
        <v>0</v>
      </c>
      <c r="M102" s="288">
        <f>'2014预算稿 '!J113</f>
        <v>0</v>
      </c>
      <c r="N102" s="479">
        <f t="shared" si="22"/>
        <v>0</v>
      </c>
      <c r="O102" s="500" t="e">
        <f t="shared" si="31"/>
        <v>#DIV/0!</v>
      </c>
      <c r="P102" s="1242"/>
    </row>
    <row r="103" spans="1:16" ht="15">
      <c r="A103" s="484"/>
      <c r="B103" s="484"/>
      <c r="C103" s="484"/>
      <c r="D103" s="484"/>
      <c r="E103" s="484"/>
      <c r="F103" s="484"/>
      <c r="G103" s="495"/>
      <c r="H103" s="495">
        <f t="shared" ref="H103:M103" si="32">SUM(H102:H102)</f>
        <v>0</v>
      </c>
      <c r="I103" s="495">
        <f t="shared" si="32"/>
        <v>0</v>
      </c>
      <c r="J103" s="495">
        <f t="shared" si="32"/>
        <v>0</v>
      </c>
      <c r="K103" s="495">
        <f t="shared" si="32"/>
        <v>0</v>
      </c>
      <c r="L103" s="496">
        <f t="shared" si="32"/>
        <v>0</v>
      </c>
      <c r="M103" s="496">
        <f t="shared" si="32"/>
        <v>0</v>
      </c>
      <c r="N103" s="479">
        <f>L103-M103</f>
        <v>0</v>
      </c>
      <c r="O103" s="1243" t="e">
        <f>(L102-M103)/M103</f>
        <v>#DIV/0!</v>
      </c>
      <c r="P103" s="752"/>
    </row>
    <row r="104" spans="1:16">
      <c r="A104" s="296" t="s">
        <v>129</v>
      </c>
      <c r="B104" s="296"/>
      <c r="C104" s="303" t="s">
        <v>130</v>
      </c>
      <c r="D104" s="449" t="s">
        <v>1979</v>
      </c>
      <c r="E104" s="74" t="s">
        <v>2028</v>
      </c>
      <c r="F104" s="73" t="s">
        <v>2003</v>
      </c>
      <c r="G104" s="498"/>
      <c r="H104" s="498"/>
      <c r="I104" s="498"/>
      <c r="J104" s="498"/>
      <c r="K104" s="498"/>
      <c r="L104" s="497">
        <f>SUM(H104:K104)</f>
        <v>0</v>
      </c>
      <c r="M104" s="479">
        <f>'2014预算稿 '!J115</f>
        <v>0</v>
      </c>
      <c r="N104" s="479">
        <f t="shared" si="22"/>
        <v>0</v>
      </c>
      <c r="O104" s="500" t="e">
        <f t="shared" ref="O104:O115" si="33">(L104-M104)/M104</f>
        <v>#DIV/0!</v>
      </c>
      <c r="P104" s="752"/>
    </row>
    <row r="105" spans="1:16">
      <c r="C105" s="303"/>
      <c r="D105" s="449" t="s">
        <v>1981</v>
      </c>
      <c r="E105" s="1263" t="s">
        <v>2001</v>
      </c>
      <c r="F105" s="1300" t="s">
        <v>2003</v>
      </c>
      <c r="G105" s="498"/>
      <c r="H105" s="498"/>
      <c r="I105" s="498"/>
      <c r="J105" s="498"/>
      <c r="K105" s="498"/>
      <c r="L105" s="498">
        <f>SUM(H105:K105)</f>
        <v>0</v>
      </c>
      <c r="M105" s="479">
        <f>'2014预算稿 '!J116</f>
        <v>0</v>
      </c>
      <c r="N105" s="479">
        <f t="shared" si="22"/>
        <v>0</v>
      </c>
      <c r="O105" s="500" t="e">
        <f>(L105-M105)/M105</f>
        <v>#DIV/0!</v>
      </c>
      <c r="P105" s="752"/>
    </row>
    <row r="106" spans="1:16">
      <c r="C106" s="303"/>
      <c r="D106" s="449" t="s">
        <v>1952</v>
      </c>
      <c r="E106" s="1263" t="s">
        <v>2012</v>
      </c>
      <c r="F106" s="449" t="s">
        <v>2034</v>
      </c>
      <c r="G106" s="498"/>
      <c r="H106" s="498"/>
      <c r="I106" s="498"/>
      <c r="J106" s="498"/>
      <c r="K106" s="498"/>
      <c r="L106" s="498">
        <f>SUM(H106:K106)</f>
        <v>0</v>
      </c>
      <c r="M106" s="479">
        <v>0</v>
      </c>
      <c r="N106" s="479">
        <f t="shared" si="22"/>
        <v>0</v>
      </c>
      <c r="O106" s="500"/>
      <c r="P106" s="752"/>
    </row>
    <row r="107" spans="1:16">
      <c r="C107" s="303"/>
      <c r="D107" s="304" t="s">
        <v>781</v>
      </c>
      <c r="E107" s="310" t="s">
        <v>2019</v>
      </c>
      <c r="F107" s="304" t="s">
        <v>2020</v>
      </c>
      <c r="G107" s="308"/>
      <c r="H107" s="498"/>
      <c r="I107" s="498"/>
      <c r="J107" s="498"/>
      <c r="K107" s="498"/>
      <c r="L107" s="498">
        <f>SUM(H107:K107)</f>
        <v>0</v>
      </c>
      <c r="M107" s="479"/>
      <c r="N107" s="479">
        <f t="shared" si="22"/>
        <v>0</v>
      </c>
      <c r="O107" s="500" t="e">
        <f t="shared" si="33"/>
        <v>#DIV/0!</v>
      </c>
      <c r="P107" s="1241"/>
    </row>
    <row r="108" spans="1:16" ht="15">
      <c r="A108" s="302"/>
      <c r="B108" s="302"/>
      <c r="C108" s="303"/>
      <c r="D108" s="304"/>
      <c r="E108" s="310"/>
      <c r="F108" s="304"/>
      <c r="G108" s="308"/>
      <c r="H108" s="493">
        <f>SUBTOTAL(9,H104:H107)</f>
        <v>0</v>
      </c>
      <c r="I108" s="493">
        <f t="shared" ref="I108:K108" si="34">SUBTOTAL(9,I104:I107)</f>
        <v>0</v>
      </c>
      <c r="J108" s="493">
        <f t="shared" si="34"/>
        <v>0</v>
      </c>
      <c r="K108" s="493">
        <f t="shared" si="34"/>
        <v>0</v>
      </c>
      <c r="L108" s="433">
        <f>SUBTOTAL(9,L104:L107)</f>
        <v>0</v>
      </c>
      <c r="M108" s="433">
        <f>SUM(M104:M107)</f>
        <v>0</v>
      </c>
      <c r="N108" s="479">
        <f t="shared" si="22"/>
        <v>0</v>
      </c>
      <c r="O108" s="1243" t="e">
        <f t="shared" ref="O108:O113" si="35">(L108-M108)/M108</f>
        <v>#DIV/0!</v>
      </c>
      <c r="P108" s="770"/>
    </row>
    <row r="109" spans="1:16">
      <c r="A109" s="296" t="s">
        <v>131</v>
      </c>
      <c r="B109" s="296"/>
      <c r="C109" s="303" t="s">
        <v>577</v>
      </c>
      <c r="D109" s="304" t="s">
        <v>578</v>
      </c>
      <c r="E109" s="310" t="s">
        <v>2001</v>
      </c>
      <c r="F109" s="1299" t="s">
        <v>2004</v>
      </c>
      <c r="G109" s="308"/>
      <c r="H109" s="479"/>
      <c r="I109" s="479"/>
      <c r="J109" s="479"/>
      <c r="K109" s="479"/>
      <c r="L109" s="288">
        <f>SUM(H109:K109)</f>
        <v>0</v>
      </c>
      <c r="N109" s="479">
        <f t="shared" si="22"/>
        <v>0</v>
      </c>
      <c r="O109" s="500" t="e">
        <f t="shared" si="35"/>
        <v>#DIV/0!</v>
      </c>
      <c r="P109" s="764"/>
    </row>
    <row r="110" spans="1:16" ht="15">
      <c r="A110" s="296"/>
      <c r="B110" s="296"/>
      <c r="C110" s="303"/>
      <c r="D110" s="304"/>
      <c r="E110" s="310"/>
      <c r="F110" s="304"/>
      <c r="G110" s="308"/>
      <c r="H110" s="493">
        <f>SUM(H109)</f>
        <v>0</v>
      </c>
      <c r="I110" s="493">
        <f t="shared" ref="I110:K110" si="36">SUM(I109)</f>
        <v>0</v>
      </c>
      <c r="J110" s="493">
        <f t="shared" si="36"/>
        <v>0</v>
      </c>
      <c r="K110" s="493">
        <f t="shared" si="36"/>
        <v>0</v>
      </c>
      <c r="L110" s="433">
        <f>SUM(L109)</f>
        <v>0</v>
      </c>
      <c r="M110" s="433"/>
      <c r="N110" s="479">
        <f t="shared" si="22"/>
        <v>0</v>
      </c>
      <c r="O110" s="1243" t="e">
        <f t="shared" si="35"/>
        <v>#DIV/0!</v>
      </c>
      <c r="P110" s="752"/>
    </row>
    <row r="111" spans="1:16" s="1290" customFormat="1">
      <c r="A111" s="1281" t="s">
        <v>131</v>
      </c>
      <c r="B111" s="1281"/>
      <c r="C111" s="1282" t="s">
        <v>579</v>
      </c>
      <c r="D111" s="1283" t="s">
        <v>580</v>
      </c>
      <c r="E111" s="1284"/>
      <c r="F111" s="1283"/>
      <c r="G111" s="1285"/>
      <c r="H111" s="1285"/>
      <c r="I111" s="1285"/>
      <c r="J111" s="1285"/>
      <c r="K111" s="1285"/>
      <c r="L111" s="1286">
        <f>SUM(H111:K111)</f>
        <v>0</v>
      </c>
      <c r="M111" s="1287">
        <f>'2014预算稿 '!J121</f>
        <v>0</v>
      </c>
      <c r="N111" s="1287">
        <f t="shared" si="22"/>
        <v>0</v>
      </c>
      <c r="O111" s="1288" t="e">
        <f t="shared" si="35"/>
        <v>#DIV/0!</v>
      </c>
      <c r="P111" s="1289"/>
    </row>
    <row r="112" spans="1:16" s="1290" customFormat="1" ht="13.5">
      <c r="A112" s="296" t="s">
        <v>129</v>
      </c>
      <c r="B112" s="302"/>
      <c r="C112" s="303"/>
      <c r="D112" s="1301" t="s">
        <v>1994</v>
      </c>
      <c r="E112" s="1302"/>
      <c r="F112" s="1303"/>
      <c r="G112" s="1285"/>
      <c r="H112" s="1285"/>
      <c r="I112" s="1285"/>
      <c r="J112" s="1285"/>
      <c r="K112" s="1285"/>
      <c r="L112" s="1286">
        <f>SUM(H112:K112)</f>
        <v>0</v>
      </c>
      <c r="M112" s="1287">
        <f>'2014预算稿 '!J122</f>
        <v>0</v>
      </c>
      <c r="N112" s="1287">
        <f t="shared" si="22"/>
        <v>0</v>
      </c>
      <c r="O112" s="1288" t="e">
        <f t="shared" si="35"/>
        <v>#DIV/0!</v>
      </c>
      <c r="P112" s="1304"/>
    </row>
    <row r="113" spans="1:17" ht="15">
      <c r="A113" s="302"/>
      <c r="B113" s="302"/>
      <c r="C113" s="303"/>
      <c r="D113" s="310"/>
      <c r="E113" s="310"/>
      <c r="F113" s="310"/>
      <c r="G113" s="308"/>
      <c r="H113" s="485">
        <f>SUM(H111:H112)</f>
        <v>0</v>
      </c>
      <c r="I113" s="485">
        <f t="shared" ref="I113:K113" si="37">SUM(I111:I112)</f>
        <v>0</v>
      </c>
      <c r="J113" s="485">
        <f t="shared" si="37"/>
        <v>0</v>
      </c>
      <c r="K113" s="485">
        <f t="shared" si="37"/>
        <v>0</v>
      </c>
      <c r="L113" s="615">
        <f>SUM(L111:L112)</f>
        <v>0</v>
      </c>
      <c r="M113" s="615">
        <f>SUM(M111:M112)</f>
        <v>0</v>
      </c>
      <c r="N113" s="479">
        <f t="shared" si="22"/>
        <v>0</v>
      </c>
      <c r="O113" s="1243" t="e">
        <f t="shared" si="35"/>
        <v>#DIV/0!</v>
      </c>
      <c r="P113" s="769"/>
    </row>
    <row r="114" spans="1:17">
      <c r="A114" s="296" t="s">
        <v>782</v>
      </c>
      <c r="B114" s="296"/>
      <c r="C114" s="303" t="s">
        <v>136</v>
      </c>
      <c r="D114" s="304" t="s">
        <v>137</v>
      </c>
      <c r="E114" s="1263" t="s">
        <v>2028</v>
      </c>
      <c r="F114" s="1300" t="s">
        <v>2009</v>
      </c>
      <c r="G114" s="308"/>
      <c r="H114" s="477"/>
      <c r="I114" s="477"/>
      <c r="J114" s="477"/>
      <c r="K114" s="477"/>
      <c r="L114" s="461">
        <f>SUM(H114:K114)</f>
        <v>0</v>
      </c>
      <c r="M114" s="479">
        <f>'2014预算稿 '!J124</f>
        <v>0</v>
      </c>
      <c r="N114" s="479">
        <f t="shared" si="22"/>
        <v>0</v>
      </c>
      <c r="O114" s="500" t="e">
        <f t="shared" si="33"/>
        <v>#DIV/0!</v>
      </c>
      <c r="P114" s="1239"/>
      <c r="Q114" s="475"/>
    </row>
    <row r="115" spans="1:17">
      <c r="A115" s="296"/>
      <c r="B115" s="296"/>
      <c r="C115" s="303"/>
      <c r="D115" s="304" t="s">
        <v>495</v>
      </c>
      <c r="E115" s="310" t="s">
        <v>2001</v>
      </c>
      <c r="F115" s="1299" t="s">
        <v>2009</v>
      </c>
      <c r="G115" s="308">
        <f>'2015年公司车险及ES车辆养护'!G31</f>
        <v>0</v>
      </c>
      <c r="H115" s="477"/>
      <c r="I115" s="477"/>
      <c r="J115" s="477"/>
      <c r="K115" s="477"/>
      <c r="L115" s="461">
        <f>SUM(H115:K115)</f>
        <v>0</v>
      </c>
      <c r="M115" s="479">
        <f>'2014预算稿 '!J125</f>
        <v>0</v>
      </c>
      <c r="N115" s="479">
        <f t="shared" si="22"/>
        <v>0</v>
      </c>
      <c r="O115" s="500" t="e">
        <f t="shared" si="33"/>
        <v>#DIV/0!</v>
      </c>
      <c r="P115" s="1240"/>
      <c r="Q115" s="475"/>
    </row>
    <row r="116" spans="1:17" ht="15">
      <c r="A116" s="296"/>
      <c r="B116" s="296"/>
      <c r="C116" s="303"/>
      <c r="D116" s="304"/>
      <c r="E116" s="310"/>
      <c r="F116" s="304"/>
      <c r="G116" s="308"/>
      <c r="H116" s="501">
        <f t="shared" ref="H116:M116" si="38">SUM(H114:H115)</f>
        <v>0</v>
      </c>
      <c r="I116" s="501">
        <f t="shared" si="38"/>
        <v>0</v>
      </c>
      <c r="J116" s="501">
        <f t="shared" si="38"/>
        <v>0</v>
      </c>
      <c r="K116" s="501">
        <f t="shared" si="38"/>
        <v>0</v>
      </c>
      <c r="L116" s="434">
        <f>SUM(L114:L115)</f>
        <v>0</v>
      </c>
      <c r="M116" s="434">
        <f t="shared" si="38"/>
        <v>0</v>
      </c>
      <c r="N116" s="479">
        <f>L116-M116</f>
        <v>0</v>
      </c>
      <c r="O116" s="1243" t="e">
        <f>(L116-M116)/M116</f>
        <v>#DIV/0!</v>
      </c>
      <c r="P116" s="321"/>
      <c r="Q116" s="84"/>
    </row>
    <row r="117" spans="1:17">
      <c r="D117" s="319"/>
      <c r="E117" s="484"/>
      <c r="F117" s="319"/>
      <c r="N117" s="479">
        <f t="shared" ref="N117:N119" si="39">L117-M117</f>
        <v>0</v>
      </c>
      <c r="P117" s="321"/>
    </row>
    <row r="118" spans="1:17" s="1290" customFormat="1">
      <c r="A118" s="1283" t="s">
        <v>105</v>
      </c>
      <c r="C118" s="1282" t="s">
        <v>731</v>
      </c>
      <c r="D118" s="1291" t="s">
        <v>1264</v>
      </c>
      <c r="E118" s="1292"/>
      <c r="F118" s="1291"/>
      <c r="G118" s="1293"/>
      <c r="H118" s="1285"/>
      <c r="I118" s="1285"/>
      <c r="J118" s="1285"/>
      <c r="K118" s="1285"/>
      <c r="L118" s="1294">
        <f>SUM(H118:K118)</f>
        <v>0</v>
      </c>
      <c r="M118" s="1286">
        <v>0</v>
      </c>
      <c r="N118" s="1287">
        <f t="shared" si="39"/>
        <v>0</v>
      </c>
      <c r="O118" s="1286"/>
      <c r="P118" s="1295"/>
    </row>
    <row r="119" spans="1:17" ht="15">
      <c r="A119" s="296"/>
      <c r="B119" s="296"/>
      <c r="C119" s="303"/>
      <c r="D119" s="194"/>
      <c r="E119" s="253"/>
      <c r="F119" s="194"/>
      <c r="G119" s="308"/>
      <c r="H119" s="501">
        <f>SUM(H118:H118)</f>
        <v>0</v>
      </c>
      <c r="I119" s="652">
        <f>SUM(I118:I118)</f>
        <v>0</v>
      </c>
      <c r="J119" s="652">
        <f>SUM(J118:J118)</f>
        <v>0</v>
      </c>
      <c r="K119" s="652">
        <f>SUM(K118:K118)</f>
        <v>0</v>
      </c>
      <c r="L119" s="434">
        <f>SUM(L118:L118)</f>
        <v>0</v>
      </c>
      <c r="M119" s="194">
        <v>0</v>
      </c>
      <c r="N119" s="479">
        <f t="shared" si="39"/>
        <v>0</v>
      </c>
      <c r="O119" s="500"/>
      <c r="P119" s="321"/>
      <c r="Q119" s="84"/>
    </row>
    <row r="120" spans="1:17">
      <c r="D120" s="649" t="s">
        <v>575</v>
      </c>
      <c r="E120" s="1271"/>
      <c r="F120" s="649"/>
      <c r="H120" s="650">
        <f>H20+H29+H39+H47+H54+H61+H78+H83+H85+H96+H100+H103+H108+H113+H116+H110+H119</f>
        <v>0</v>
      </c>
      <c r="I120" s="650">
        <f>I20+I29+I39+I47+I54+I61+I78+I83+I85+I96+I100+I103+I108+I113+I116+I110+I119</f>
        <v>0</v>
      </c>
      <c r="J120" s="650">
        <f>J20+J29+J39+J47+J54+J61+J78+J83+J85+J96+J100+J103+J108+J113+J116+J110+J119</f>
        <v>0</v>
      </c>
      <c r="K120" s="650">
        <f>K20+K29+K39+K47+K54+K61+K78+K83+K85+K96+K100+K103+K108+K113+K116+K110+K119</f>
        <v>0</v>
      </c>
      <c r="L120" s="650">
        <f>L20+L29+L39+L47+L54+L61+L78+L83+L85+L96+L100+L103+L108+L113+L116+L110+L119</f>
        <v>0</v>
      </c>
      <c r="M120" s="650">
        <f>M20+M29+M39+M47+M54+M61+M78+M85+M96+M100+M103+M108+M113+M116+M110+M119+M83</f>
        <v>0</v>
      </c>
      <c r="N120" s="650">
        <f>N20+N29+N39+N47+N54+N61+N78+N85+N96+N100+N103+N108+N113+N116+N110+N119+Q83+N83</f>
        <v>0</v>
      </c>
      <c r="O120" s="500" t="e">
        <f>(L120-M120)/M120</f>
        <v>#DIV/0!</v>
      </c>
      <c r="P120" s="1205"/>
    </row>
    <row r="121" spans="1:17">
      <c r="C121" s="650" t="s">
        <v>732</v>
      </c>
      <c r="D121" s="194"/>
      <c r="E121" s="253"/>
      <c r="F121" s="194"/>
      <c r="M121" s="288">
        <f>'2014预算稿 '!J130</f>
        <v>0</v>
      </c>
      <c r="N121" s="288">
        <f>L120-M120</f>
        <v>0</v>
      </c>
      <c r="P121" s="321"/>
    </row>
    <row r="122" spans="1:17" s="315" customFormat="1">
      <c r="A122" s="314"/>
      <c r="E122" s="1272"/>
      <c r="G122" s="316"/>
      <c r="H122" s="316"/>
      <c r="I122" s="316"/>
      <c r="J122" s="316"/>
      <c r="K122" s="316"/>
      <c r="L122" s="317"/>
      <c r="M122" s="316"/>
      <c r="N122" s="316">
        <f>N120-N121</f>
        <v>0</v>
      </c>
      <c r="O122" s="500"/>
      <c r="P122" s="320"/>
    </row>
    <row r="123" spans="1:17">
      <c r="A123" s="296" t="s">
        <v>783</v>
      </c>
      <c r="B123" s="296"/>
      <c r="C123" s="319" t="s">
        <v>784</v>
      </c>
      <c r="D123" s="304"/>
      <c r="E123" s="310"/>
      <c r="F123" s="304"/>
      <c r="G123" s="308"/>
      <c r="M123" s="317">
        <f>SUM(M120:M122)</f>
        <v>0</v>
      </c>
      <c r="N123" s="317"/>
      <c r="P123" s="321"/>
    </row>
    <row r="124" spans="1:17">
      <c r="A124" s="296"/>
      <c r="B124" s="296"/>
      <c r="C124" s="319" t="s">
        <v>785</v>
      </c>
      <c r="D124" s="304"/>
      <c r="E124" s="310"/>
      <c r="F124" s="304"/>
      <c r="G124" s="308"/>
    </row>
    <row r="125" spans="1:17">
      <c r="A125" s="296"/>
      <c r="B125" s="296"/>
      <c r="C125" s="319" t="s">
        <v>786</v>
      </c>
      <c r="D125" s="304"/>
      <c r="E125" s="310"/>
      <c r="F125" s="304"/>
      <c r="G125" s="308"/>
    </row>
    <row r="126" spans="1:17">
      <c r="A126" s="296"/>
      <c r="B126" s="296"/>
      <c r="C126" s="319" t="s">
        <v>787</v>
      </c>
      <c r="D126" s="304"/>
      <c r="E126" s="310"/>
      <c r="F126" s="304"/>
      <c r="G126" s="308"/>
    </row>
    <row r="127" spans="1:17">
      <c r="G127" s="308"/>
    </row>
    <row r="128" spans="1:17">
      <c r="D128" s="1246" t="s">
        <v>1956</v>
      </c>
      <c r="E128" s="1273"/>
      <c r="F128" s="1246"/>
    </row>
    <row r="129" spans="1:16" ht="25.5">
      <c r="A129" s="319" t="s">
        <v>105</v>
      </c>
      <c r="C129" s="489" t="s">
        <v>733</v>
      </c>
      <c r="M129" s="635" t="s">
        <v>1802</v>
      </c>
      <c r="N129" s="635"/>
    </row>
    <row r="130" spans="1:16">
      <c r="C130" s="684"/>
      <c r="D130" s="648" t="s">
        <v>746</v>
      </c>
      <c r="E130" s="1274"/>
      <c r="F130" s="648"/>
      <c r="G130" s="308">
        <f>武汉研发中心!B135</f>
        <v>0</v>
      </c>
      <c r="H130" s="477">
        <f>武汉研发中心!B131</f>
        <v>0</v>
      </c>
      <c r="I130" s="477">
        <f t="shared" ref="I130:K130" si="40">$G130*3</f>
        <v>0</v>
      </c>
      <c r="J130" s="477">
        <f t="shared" si="40"/>
        <v>0</v>
      </c>
      <c r="K130" s="477">
        <f t="shared" si="40"/>
        <v>0</v>
      </c>
      <c r="L130" s="308">
        <f>SUM(H130:K130)</f>
        <v>0</v>
      </c>
      <c r="M130" s="288">
        <f>武汉研发中心!B126</f>
        <v>0</v>
      </c>
      <c r="N130" s="288">
        <f t="shared" ref="N130:N145" si="41">L130-M130</f>
        <v>0</v>
      </c>
      <c r="O130" s="500" t="e">
        <f t="shared" ref="O130:O144" si="42">(L130-M130)/M130</f>
        <v>#DIV/0!</v>
      </c>
    </row>
    <row r="131" spans="1:16">
      <c r="A131" s="319"/>
      <c r="C131" s="684"/>
      <c r="D131" s="648" t="s">
        <v>788</v>
      </c>
      <c r="E131" s="1274"/>
      <c r="F131" s="648"/>
      <c r="G131" s="308">
        <f>武汉研发中心!B152</f>
        <v>0</v>
      </c>
      <c r="H131" s="477">
        <f>$G131*3</f>
        <v>0</v>
      </c>
      <c r="I131" s="477">
        <f>$G131*3</f>
        <v>0</v>
      </c>
      <c r="J131" s="477">
        <f>$G131*3</f>
        <v>0</v>
      </c>
      <c r="K131" s="477">
        <f>$G131*3</f>
        <v>0</v>
      </c>
      <c r="L131" s="288">
        <f t="shared" ref="L131:L144" si="43">SUM(H131:K131)</f>
        <v>0</v>
      </c>
      <c r="M131" s="288">
        <f>武汉研发中心!B143</f>
        <v>0</v>
      </c>
      <c r="N131" s="288">
        <f t="shared" si="41"/>
        <v>0</v>
      </c>
      <c r="O131" s="500" t="e">
        <f t="shared" si="42"/>
        <v>#DIV/0!</v>
      </c>
      <c r="P131" s="1245"/>
    </row>
    <row r="132" spans="1:16">
      <c r="A132" s="319"/>
      <c r="C132" s="684"/>
      <c r="D132" s="287" t="s">
        <v>736</v>
      </c>
      <c r="G132" s="308">
        <f>武汉研发中心!B165</f>
        <v>0</v>
      </c>
      <c r="H132" s="477">
        <f t="shared" ref="H132:K136" si="44">$G132*3</f>
        <v>0</v>
      </c>
      <c r="I132" s="477">
        <f t="shared" si="44"/>
        <v>0</v>
      </c>
      <c r="J132" s="477">
        <f t="shared" si="44"/>
        <v>0</v>
      </c>
      <c r="K132" s="477">
        <f t="shared" si="44"/>
        <v>0</v>
      </c>
      <c r="L132" s="288">
        <f t="shared" si="43"/>
        <v>0</v>
      </c>
      <c r="M132" s="288">
        <f>武汉研发中心!B158</f>
        <v>0</v>
      </c>
      <c r="N132" s="288">
        <f t="shared" si="41"/>
        <v>0</v>
      </c>
      <c r="O132" s="500" t="e">
        <f t="shared" si="42"/>
        <v>#DIV/0!</v>
      </c>
    </row>
    <row r="133" spans="1:16">
      <c r="A133" s="319"/>
      <c r="C133" s="684"/>
      <c r="D133" s="648" t="s">
        <v>789</v>
      </c>
      <c r="E133" s="1274"/>
      <c r="F133" s="648"/>
      <c r="G133" s="308">
        <f>武汉研发中心!B178</f>
        <v>0</v>
      </c>
      <c r="H133" s="477">
        <f t="shared" si="44"/>
        <v>0</v>
      </c>
      <c r="I133" s="477">
        <f t="shared" si="44"/>
        <v>0</v>
      </c>
      <c r="J133" s="477">
        <f t="shared" si="44"/>
        <v>0</v>
      </c>
      <c r="K133" s="477">
        <f t="shared" si="44"/>
        <v>0</v>
      </c>
      <c r="L133" s="288">
        <f t="shared" si="43"/>
        <v>0</v>
      </c>
      <c r="M133" s="288">
        <f>武汉研发中心!B171</f>
        <v>0</v>
      </c>
      <c r="N133" s="288">
        <f t="shared" si="41"/>
        <v>0</v>
      </c>
      <c r="O133" s="500" t="e">
        <f t="shared" si="42"/>
        <v>#DIV/0!</v>
      </c>
    </row>
    <row r="134" spans="1:16">
      <c r="C134" s="684"/>
      <c r="D134" s="648" t="s">
        <v>693</v>
      </c>
      <c r="E134" s="1274"/>
      <c r="F134" s="648"/>
      <c r="G134" s="308">
        <f>武汉研发中心!B11</f>
        <v>0</v>
      </c>
      <c r="H134" s="477">
        <f t="shared" si="44"/>
        <v>0</v>
      </c>
      <c r="I134" s="477">
        <f t="shared" si="44"/>
        <v>0</v>
      </c>
      <c r="J134" s="477">
        <f t="shared" si="44"/>
        <v>0</v>
      </c>
      <c r="K134" s="477">
        <f t="shared" si="44"/>
        <v>0</v>
      </c>
      <c r="L134" s="288">
        <f t="shared" si="43"/>
        <v>0</v>
      </c>
      <c r="M134" s="288">
        <f>武汉研发中心!B4*2</f>
        <v>0</v>
      </c>
      <c r="N134" s="288">
        <f t="shared" si="41"/>
        <v>0</v>
      </c>
      <c r="O134" s="500" t="e">
        <f t="shared" si="42"/>
        <v>#DIV/0!</v>
      </c>
      <c r="P134" s="1245"/>
    </row>
    <row r="135" spans="1:16">
      <c r="C135" s="691"/>
      <c r="D135" s="648" t="s">
        <v>138</v>
      </c>
      <c r="E135" s="1274"/>
      <c r="F135" s="648"/>
      <c r="G135" s="308">
        <f>武汉研发中心!B29</f>
        <v>0</v>
      </c>
      <c r="H135" s="477">
        <f>$G135*3</f>
        <v>0</v>
      </c>
      <c r="I135" s="477">
        <f t="shared" si="44"/>
        <v>0</v>
      </c>
      <c r="J135" s="477">
        <f t="shared" si="44"/>
        <v>0</v>
      </c>
      <c r="K135" s="477">
        <f t="shared" si="44"/>
        <v>0</v>
      </c>
      <c r="L135" s="288">
        <f t="shared" si="43"/>
        <v>0</v>
      </c>
      <c r="M135" s="288">
        <f>武汉研发中心!B25*12</f>
        <v>0</v>
      </c>
      <c r="N135" s="288">
        <f t="shared" si="41"/>
        <v>0</v>
      </c>
      <c r="O135" s="500" t="e">
        <f t="shared" si="42"/>
        <v>#DIV/0!</v>
      </c>
    </row>
    <row r="136" spans="1:16">
      <c r="C136" s="691"/>
      <c r="D136" s="648" t="s">
        <v>790</v>
      </c>
      <c r="E136" s="1274"/>
      <c r="F136" s="648"/>
      <c r="G136" s="308">
        <f>武汉研发中心!B225</f>
        <v>0</v>
      </c>
      <c r="H136" s="477">
        <f>$G136*3</f>
        <v>0</v>
      </c>
      <c r="I136" s="477">
        <f t="shared" si="44"/>
        <v>0</v>
      </c>
      <c r="J136" s="477">
        <f t="shared" si="44"/>
        <v>0</v>
      </c>
      <c r="K136" s="477">
        <f t="shared" si="44"/>
        <v>0</v>
      </c>
      <c r="L136" s="288">
        <f t="shared" si="43"/>
        <v>0</v>
      </c>
      <c r="M136" s="288">
        <f>武汉研发中心!B218</f>
        <v>0</v>
      </c>
      <c r="N136" s="288">
        <f t="shared" si="41"/>
        <v>0</v>
      </c>
      <c r="O136" s="500" t="e">
        <f t="shared" si="42"/>
        <v>#DIV/0!</v>
      </c>
    </row>
    <row r="137" spans="1:16">
      <c r="C137" s="691"/>
      <c r="D137" s="648" t="s">
        <v>128</v>
      </c>
      <c r="E137" s="1274"/>
      <c r="F137" s="648"/>
      <c r="G137" s="308">
        <f>武汉研发中心!B101</f>
        <v>0</v>
      </c>
      <c r="H137" s="477">
        <f t="shared" ref="H137:K139" si="45">$G137*3</f>
        <v>0</v>
      </c>
      <c r="I137" s="477">
        <f t="shared" si="45"/>
        <v>0</v>
      </c>
      <c r="J137" s="477">
        <f t="shared" si="45"/>
        <v>0</v>
      </c>
      <c r="K137" s="477">
        <f t="shared" si="45"/>
        <v>0</v>
      </c>
      <c r="L137" s="288">
        <f t="shared" si="43"/>
        <v>0</v>
      </c>
      <c r="M137" s="288">
        <f>武汉研发中心!B97*12</f>
        <v>0</v>
      </c>
      <c r="N137" s="288">
        <f t="shared" si="41"/>
        <v>0</v>
      </c>
      <c r="O137" s="500" t="e">
        <f t="shared" si="42"/>
        <v>#DIV/0!</v>
      </c>
    </row>
    <row r="138" spans="1:16">
      <c r="C138" s="691"/>
      <c r="D138" s="536" t="s">
        <v>1803</v>
      </c>
      <c r="E138" s="1270"/>
      <c r="F138" s="536"/>
      <c r="G138" s="308">
        <f>武汉研发中心!B238</f>
        <v>0</v>
      </c>
      <c r="H138" s="477">
        <f t="shared" si="45"/>
        <v>0</v>
      </c>
      <c r="I138" s="308">
        <f t="shared" si="45"/>
        <v>0</v>
      </c>
      <c r="J138" s="308">
        <f t="shared" si="45"/>
        <v>0</v>
      </c>
      <c r="K138" s="308">
        <f t="shared" si="45"/>
        <v>0</v>
      </c>
      <c r="L138" s="288">
        <f>SUM(H138:K138)</f>
        <v>0</v>
      </c>
      <c r="M138" s="288">
        <f>武汉研发中心!B231</f>
        <v>0</v>
      </c>
      <c r="N138" s="288">
        <f t="shared" si="41"/>
        <v>0</v>
      </c>
      <c r="O138" s="500" t="e">
        <f t="shared" si="42"/>
        <v>#DIV/0!</v>
      </c>
    </row>
    <row r="139" spans="1:16">
      <c r="D139" s="648" t="s">
        <v>791</v>
      </c>
      <c r="E139" s="1274"/>
      <c r="F139" s="648"/>
      <c r="G139" s="308">
        <f>武汉研发中心!B212</f>
        <v>0</v>
      </c>
      <c r="H139" s="477">
        <f t="shared" si="45"/>
        <v>0</v>
      </c>
      <c r="I139" s="477">
        <f t="shared" si="45"/>
        <v>0</v>
      </c>
      <c r="J139" s="477">
        <f t="shared" si="45"/>
        <v>0</v>
      </c>
      <c r="K139" s="477">
        <f t="shared" si="45"/>
        <v>0</v>
      </c>
      <c r="L139" s="288">
        <f t="shared" si="43"/>
        <v>0</v>
      </c>
      <c r="M139" s="288">
        <f>武汉研发中心!B203</f>
        <v>0</v>
      </c>
      <c r="N139" s="288">
        <f t="shared" si="41"/>
        <v>0</v>
      </c>
      <c r="O139" s="500" t="e">
        <f t="shared" si="42"/>
        <v>#DIV/0!</v>
      </c>
    </row>
    <row r="140" spans="1:16">
      <c r="C140" s="691"/>
      <c r="D140" s="648" t="s">
        <v>123</v>
      </c>
      <c r="E140" s="1274"/>
      <c r="F140" s="648"/>
      <c r="G140" s="308">
        <f>武汉研发中心!B81</f>
        <v>0</v>
      </c>
      <c r="H140" s="477">
        <f t="shared" ref="H140:K144" si="46">$G140*3</f>
        <v>0</v>
      </c>
      <c r="I140" s="477">
        <f t="shared" si="46"/>
        <v>0</v>
      </c>
      <c r="J140" s="477">
        <f t="shared" si="46"/>
        <v>0</v>
      </c>
      <c r="K140" s="477">
        <f t="shared" si="46"/>
        <v>0</v>
      </c>
      <c r="L140" s="288">
        <f t="shared" si="43"/>
        <v>0</v>
      </c>
      <c r="M140" s="288">
        <f>武汉研发中心!B77*12</f>
        <v>0</v>
      </c>
      <c r="N140" s="288">
        <f t="shared" si="41"/>
        <v>0</v>
      </c>
      <c r="O140" s="500" t="e">
        <f t="shared" si="42"/>
        <v>#DIV/0!</v>
      </c>
    </row>
    <row r="141" spans="1:16">
      <c r="C141" s="691"/>
      <c r="D141" s="648" t="s">
        <v>792</v>
      </c>
      <c r="E141" s="1274"/>
      <c r="F141" s="648"/>
      <c r="G141" s="308">
        <f>武汉研发中心!B61</f>
        <v>0</v>
      </c>
      <c r="H141" s="477">
        <f t="shared" si="46"/>
        <v>0</v>
      </c>
      <c r="I141" s="477">
        <f t="shared" si="46"/>
        <v>0</v>
      </c>
      <c r="J141" s="477">
        <f t="shared" si="46"/>
        <v>0</v>
      </c>
      <c r="K141" s="477">
        <f t="shared" si="46"/>
        <v>0</v>
      </c>
      <c r="L141" s="288">
        <f t="shared" si="43"/>
        <v>0</v>
      </c>
      <c r="M141" s="288">
        <f>武汉研发中心!B57*12</f>
        <v>0</v>
      </c>
      <c r="N141" s="288">
        <f t="shared" si="41"/>
        <v>0</v>
      </c>
      <c r="O141" s="500" t="e">
        <f t="shared" si="42"/>
        <v>#DIV/0!</v>
      </c>
    </row>
    <row r="142" spans="1:16">
      <c r="C142" s="691"/>
      <c r="D142" s="648" t="s">
        <v>793</v>
      </c>
      <c r="E142" s="1274"/>
      <c r="F142" s="648"/>
      <c r="G142" s="308">
        <f>武汉研发中心!B195</f>
        <v>0</v>
      </c>
      <c r="H142" s="477">
        <f t="shared" si="46"/>
        <v>0</v>
      </c>
      <c r="I142" s="477">
        <f t="shared" si="46"/>
        <v>0</v>
      </c>
      <c r="J142" s="477">
        <f t="shared" si="46"/>
        <v>0</v>
      </c>
      <c r="K142" s="477">
        <f t="shared" si="46"/>
        <v>0</v>
      </c>
      <c r="L142" s="288">
        <f t="shared" si="43"/>
        <v>0</v>
      </c>
      <c r="M142" s="288">
        <f>武汉研发中心!B186</f>
        <v>0</v>
      </c>
      <c r="N142" s="288">
        <f t="shared" si="41"/>
        <v>0</v>
      </c>
      <c r="O142" s="500" t="e">
        <f t="shared" si="42"/>
        <v>#DIV/0!</v>
      </c>
    </row>
    <row r="143" spans="1:16">
      <c r="C143" s="691"/>
      <c r="D143" s="648" t="s">
        <v>794</v>
      </c>
      <c r="E143" s="1274"/>
      <c r="F143" s="648"/>
      <c r="G143" s="308">
        <f>武汉研发中心!B118</f>
        <v>0</v>
      </c>
      <c r="H143" s="477">
        <f t="shared" si="46"/>
        <v>0</v>
      </c>
      <c r="I143" s="477">
        <f t="shared" si="46"/>
        <v>0</v>
      </c>
      <c r="J143" s="477">
        <f t="shared" si="46"/>
        <v>0</v>
      </c>
      <c r="K143" s="477">
        <f t="shared" si="46"/>
        <v>0</v>
      </c>
      <c r="L143" s="288">
        <f t="shared" si="43"/>
        <v>0</v>
      </c>
      <c r="M143" s="288">
        <f>武汉研发中心!B109</f>
        <v>0</v>
      </c>
      <c r="N143" s="288">
        <f t="shared" si="41"/>
        <v>0</v>
      </c>
      <c r="O143" s="500" t="e">
        <f t="shared" si="42"/>
        <v>#DIV/0!</v>
      </c>
      <c r="P143" s="801"/>
    </row>
    <row r="144" spans="1:16" ht="20.25" customHeight="1">
      <c r="C144" s="691"/>
      <c r="D144" s="648" t="s">
        <v>139</v>
      </c>
      <c r="E144" s="1274"/>
      <c r="F144" s="648"/>
      <c r="G144" s="308">
        <f>武汉研发中心!B42</f>
        <v>0</v>
      </c>
      <c r="H144" s="477">
        <f t="shared" si="46"/>
        <v>0</v>
      </c>
      <c r="I144" s="477">
        <f t="shared" si="46"/>
        <v>0</v>
      </c>
      <c r="J144" s="477">
        <f t="shared" si="46"/>
        <v>0</v>
      </c>
      <c r="K144" s="477">
        <f t="shared" si="46"/>
        <v>0</v>
      </c>
      <c r="L144" s="288">
        <f t="shared" si="43"/>
        <v>0</v>
      </c>
      <c r="M144" s="288">
        <f>武汉研发中心!B35</f>
        <v>0</v>
      </c>
      <c r="N144" s="288">
        <f t="shared" si="41"/>
        <v>0</v>
      </c>
      <c r="O144" s="500" t="e">
        <f t="shared" si="42"/>
        <v>#DIV/0!</v>
      </c>
    </row>
    <row r="145" spans="1:16" ht="15">
      <c r="H145" s="652">
        <f t="shared" ref="H145:M145" si="47">SUM(H130:H144)</f>
        <v>0</v>
      </c>
      <c r="I145" s="652">
        <f t="shared" si="47"/>
        <v>0</v>
      </c>
      <c r="J145" s="652">
        <f t="shared" si="47"/>
        <v>0</v>
      </c>
      <c r="K145" s="652">
        <f t="shared" si="47"/>
        <v>0</v>
      </c>
      <c r="L145" s="652">
        <f t="shared" si="47"/>
        <v>0</v>
      </c>
      <c r="M145" s="654">
        <f t="shared" si="47"/>
        <v>0</v>
      </c>
      <c r="N145" s="1244">
        <f t="shared" si="41"/>
        <v>0</v>
      </c>
      <c r="O145" s="500" t="e">
        <f>(L145-M145)/M145</f>
        <v>#DIV/0!</v>
      </c>
    </row>
    <row r="146" spans="1:16">
      <c r="N146" s="288">
        <f>L145-M145</f>
        <v>0</v>
      </c>
    </row>
    <row r="148" spans="1:16">
      <c r="D148" s="649" t="s">
        <v>734</v>
      </c>
      <c r="E148" s="1271"/>
      <c r="F148" s="649"/>
      <c r="H148" s="650">
        <f>+H120+H145</f>
        <v>0</v>
      </c>
      <c r="I148" s="650">
        <f t="shared" ref="I148:K148" si="48">+I120+I145</f>
        <v>0</v>
      </c>
      <c r="J148" s="650">
        <f t="shared" si="48"/>
        <v>0</v>
      </c>
      <c r="K148" s="650">
        <f t="shared" si="48"/>
        <v>0</v>
      </c>
      <c r="L148" s="650">
        <f>+L120+L145</f>
        <v>0</v>
      </c>
      <c r="M148" s="650">
        <f>M120+M145</f>
        <v>0</v>
      </c>
      <c r="N148" s="650"/>
      <c r="O148" s="500" t="e">
        <f>(L148-M148)/M148</f>
        <v>#DIV/0!</v>
      </c>
      <c r="P148" s="86"/>
    </row>
    <row r="149" spans="1:16">
      <c r="A149" s="651" t="s">
        <v>735</v>
      </c>
    </row>
  </sheetData>
  <autoFilter ref="D3:F126"/>
  <mergeCells count="4">
    <mergeCell ref="M3:O3"/>
    <mergeCell ref="M4:M5"/>
    <mergeCell ref="O4:O5"/>
    <mergeCell ref="N4:N5"/>
  </mergeCells>
  <phoneticPr fontId="1" type="noConversion"/>
  <printOptions horizontalCentered="1"/>
  <pageMargins left="0.23622047244094491" right="0.23622047244094491" top="0.43307086614173229" bottom="0.35433070866141736" header="0.31496062992125984" footer="0.15748031496062992"/>
  <pageSetup paperSize="8" scale="75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FF0066"/>
  </sheetPr>
  <dimension ref="A1:Q164"/>
  <sheetViews>
    <sheetView showGridLines="0" zoomScale="110" zoomScaleNormal="110" workbookViewId="0">
      <pane xSplit="5" ySplit="5" topLeftCell="K6" activePane="bottomRight" state="frozen"/>
      <selection pane="topRight" activeCell="F1" sqref="F1"/>
      <selection pane="bottomLeft" activeCell="A6" sqref="A6"/>
      <selection pane="bottomRight" activeCell="D153" sqref="D153"/>
    </sheetView>
  </sheetViews>
  <sheetFormatPr defaultRowHeight="12.75" outlineLevelRow="1"/>
  <cols>
    <col min="1" max="1" width="3.125" style="4" bestFit="1" customWidth="1"/>
    <col min="2" max="2" width="3.125" style="4" customWidth="1"/>
    <col min="3" max="3" width="20.125" style="16" customWidth="1"/>
    <col min="4" max="4" width="32.75" style="16" bestFit="1" customWidth="1"/>
    <col min="5" max="5" width="16.75" style="4" bestFit="1" customWidth="1"/>
    <col min="6" max="6" width="14.125" style="45" bestFit="1" customWidth="1"/>
    <col min="7" max="7" width="13.875" style="45" bestFit="1" customWidth="1"/>
    <col min="8" max="8" width="13.25" style="45" customWidth="1"/>
    <col min="9" max="9" width="13.875" style="45" bestFit="1" customWidth="1"/>
    <col min="10" max="11" width="14.625" style="45" bestFit="1" customWidth="1"/>
    <col min="12" max="12" width="13.25" style="4" customWidth="1"/>
    <col min="13" max="13" width="10.75" style="61" bestFit="1" customWidth="1"/>
    <col min="14" max="16384" width="9" style="4"/>
  </cols>
  <sheetData>
    <row r="1" spans="1:14">
      <c r="A1" s="14" t="s">
        <v>48</v>
      </c>
      <c r="B1" s="14"/>
    </row>
    <row r="2" spans="1:14">
      <c r="K2" s="4"/>
    </row>
    <row r="3" spans="1:14" ht="15.75" thickBot="1">
      <c r="C3" s="7" t="s">
        <v>0</v>
      </c>
      <c r="D3" s="8" t="s">
        <v>1</v>
      </c>
      <c r="E3" s="5" t="s">
        <v>18</v>
      </c>
      <c r="F3" s="46" t="s">
        <v>3</v>
      </c>
      <c r="G3" s="46" t="s">
        <v>4</v>
      </c>
      <c r="H3" s="46" t="s">
        <v>5</v>
      </c>
      <c r="I3" s="46" t="s">
        <v>6</v>
      </c>
      <c r="J3" s="46" t="s">
        <v>9</v>
      </c>
      <c r="K3" s="46">
        <v>2011</v>
      </c>
      <c r="L3" s="4" t="s">
        <v>143</v>
      </c>
    </row>
    <row r="4" spans="1:14">
      <c r="E4" s="6" t="s">
        <v>2</v>
      </c>
      <c r="F4" s="47"/>
      <c r="G4" s="47"/>
      <c r="H4" s="47"/>
      <c r="I4" s="47"/>
      <c r="J4" s="47" t="s">
        <v>145</v>
      </c>
      <c r="K4" s="47"/>
      <c r="L4" s="4" t="s">
        <v>144</v>
      </c>
    </row>
    <row r="5" spans="1:14" ht="15">
      <c r="A5" s="1"/>
      <c r="B5" s="1"/>
      <c r="C5" s="9"/>
      <c r="D5" s="10"/>
      <c r="E5" s="6" t="s">
        <v>19</v>
      </c>
      <c r="F5" s="47"/>
      <c r="G5" s="47"/>
      <c r="H5" s="47"/>
      <c r="I5" s="47"/>
      <c r="J5" s="47" t="s">
        <v>20</v>
      </c>
      <c r="K5" s="47"/>
    </row>
    <row r="6" spans="1:14">
      <c r="C6" s="4"/>
      <c r="D6" s="11" t="s">
        <v>61</v>
      </c>
      <c r="E6" s="40" t="e">
        <f>#REF!</f>
        <v>#REF!</v>
      </c>
      <c r="F6" s="48" t="e">
        <f>#REF!</f>
        <v>#REF!</v>
      </c>
      <c r="G6" s="48" t="e">
        <f>#REF!</f>
        <v>#REF!</v>
      </c>
      <c r="H6" s="48" t="e">
        <f>#REF!</f>
        <v>#REF!</v>
      </c>
      <c r="I6" s="48" t="e">
        <f>#REF!</f>
        <v>#REF!</v>
      </c>
      <c r="J6" s="48" t="e">
        <f>#REF!</f>
        <v>#REF!</v>
      </c>
      <c r="K6" s="48" t="e">
        <f>#REF!</f>
        <v>#REF!</v>
      </c>
      <c r="L6" s="45" t="e">
        <f t="shared" ref="L6:L12" si="0">J6-K6</f>
        <v>#REF!</v>
      </c>
      <c r="M6" s="61" t="e">
        <f>L6/K6</f>
        <v>#REF!</v>
      </c>
    </row>
    <row r="7" spans="1:14">
      <c r="A7" s="1"/>
      <c r="B7" s="1"/>
      <c r="C7" s="11"/>
      <c r="D7" s="11" t="s">
        <v>62</v>
      </c>
      <c r="E7" s="40" t="e">
        <f>#REF!</f>
        <v>#REF!</v>
      </c>
      <c r="F7" s="48" t="e">
        <f>#REF!</f>
        <v>#REF!</v>
      </c>
      <c r="G7" s="48" t="e">
        <f>#REF!</f>
        <v>#REF!</v>
      </c>
      <c r="H7" s="48" t="e">
        <f>#REF!</f>
        <v>#REF!</v>
      </c>
      <c r="I7" s="48" t="e">
        <f>#REF!</f>
        <v>#REF!</v>
      </c>
      <c r="J7" s="48" t="e">
        <f>#REF!</f>
        <v>#REF!</v>
      </c>
      <c r="K7" s="48" t="e">
        <f>#REF!</f>
        <v>#REF!</v>
      </c>
      <c r="L7" s="45" t="e">
        <f t="shared" si="0"/>
        <v>#REF!</v>
      </c>
      <c r="M7" s="45" t="e">
        <f>K7-L7</f>
        <v>#REF!</v>
      </c>
    </row>
    <row r="8" spans="1:14">
      <c r="A8" s="1"/>
      <c r="B8" s="1"/>
      <c r="C8" s="11"/>
      <c r="D8" s="11" t="s">
        <v>63</v>
      </c>
      <c r="E8" s="40" t="e">
        <f>#REF!</f>
        <v>#REF!</v>
      </c>
      <c r="F8" s="48" t="e">
        <f>#REF!</f>
        <v>#REF!</v>
      </c>
      <c r="G8" s="48" t="e">
        <f>#REF!</f>
        <v>#REF!</v>
      </c>
      <c r="H8" s="48" t="e">
        <f>#REF!</f>
        <v>#REF!</v>
      </c>
      <c r="I8" s="48" t="e">
        <f>#REF!</f>
        <v>#REF!</v>
      </c>
      <c r="J8" s="48" t="e">
        <f>#REF!</f>
        <v>#REF!</v>
      </c>
      <c r="K8" s="48" t="e">
        <f>#REF!</f>
        <v>#REF!</v>
      </c>
      <c r="L8" s="45" t="e">
        <f t="shared" si="0"/>
        <v>#REF!</v>
      </c>
      <c r="M8" s="61" t="e">
        <f>L8/K8</f>
        <v>#REF!</v>
      </c>
    </row>
    <row r="9" spans="1:14">
      <c r="A9" s="1"/>
      <c r="B9" s="1"/>
      <c r="C9" s="11"/>
      <c r="D9" s="11" t="s">
        <v>64</v>
      </c>
      <c r="E9" s="40" t="e">
        <f>#REF!</f>
        <v>#REF!</v>
      </c>
      <c r="F9" s="48" t="e">
        <f>#REF!</f>
        <v>#REF!</v>
      </c>
      <c r="G9" s="48" t="e">
        <f>#REF!</f>
        <v>#REF!</v>
      </c>
      <c r="H9" s="48" t="e">
        <f>#REF!</f>
        <v>#REF!</v>
      </c>
      <c r="I9" s="48" t="e">
        <f>#REF!</f>
        <v>#REF!</v>
      </c>
      <c r="J9" s="48" t="e">
        <f>#REF!</f>
        <v>#REF!</v>
      </c>
      <c r="K9" s="48" t="e">
        <f>#REF!</f>
        <v>#REF!</v>
      </c>
      <c r="L9" s="45" t="e">
        <f t="shared" si="0"/>
        <v>#REF!</v>
      </c>
      <c r="M9" s="61" t="e">
        <f>L9/K9</f>
        <v>#REF!</v>
      </c>
    </row>
    <row r="10" spans="1:14">
      <c r="A10" s="2"/>
      <c r="B10" s="2"/>
      <c r="C10" s="9"/>
      <c r="D10" s="11" t="s">
        <v>26</v>
      </c>
      <c r="E10" s="40" t="e">
        <f>#REF!</f>
        <v>#REF!</v>
      </c>
      <c r="F10" s="48" t="e">
        <f>#REF!</f>
        <v>#REF!</v>
      </c>
      <c r="G10" s="48" t="e">
        <f>#REF!</f>
        <v>#REF!</v>
      </c>
      <c r="H10" s="48" t="e">
        <f>#REF!</f>
        <v>#REF!</v>
      </c>
      <c r="I10" s="48" t="e">
        <f>#REF!</f>
        <v>#REF!</v>
      </c>
      <c r="J10" s="48" t="e">
        <f>#REF!</f>
        <v>#REF!</v>
      </c>
      <c r="K10" s="48" t="e">
        <f>#REF!</f>
        <v>#REF!</v>
      </c>
      <c r="L10" s="45" t="e">
        <f t="shared" si="0"/>
        <v>#REF!</v>
      </c>
      <c r="M10" s="61" t="e">
        <f>L10/K10</f>
        <v>#REF!</v>
      </c>
      <c r="N10" s="71" t="s">
        <v>212</v>
      </c>
    </row>
    <row r="11" spans="1:14">
      <c r="A11" s="2"/>
      <c r="B11" s="2"/>
      <c r="C11" s="9"/>
      <c r="D11" s="11"/>
      <c r="E11" s="40" t="e">
        <f t="shared" ref="E11:J12" si="1">E13+E15</f>
        <v>#REF!</v>
      </c>
      <c r="F11" s="40" t="e">
        <f t="shared" si="1"/>
        <v>#REF!</v>
      </c>
      <c r="G11" s="40" t="e">
        <f t="shared" si="1"/>
        <v>#REF!</v>
      </c>
      <c r="H11" s="40" t="e">
        <f t="shared" si="1"/>
        <v>#REF!</v>
      </c>
      <c r="I11" s="40" t="e">
        <f t="shared" si="1"/>
        <v>#REF!</v>
      </c>
      <c r="J11" s="40" t="e">
        <f t="shared" si="1"/>
        <v>#REF!</v>
      </c>
      <c r="K11" s="48" t="e">
        <f>#REF!</f>
        <v>#REF!</v>
      </c>
      <c r="L11" s="45" t="e">
        <f t="shared" si="0"/>
        <v>#REF!</v>
      </c>
      <c r="M11" s="61" t="e">
        <f>L11/K11</f>
        <v>#REF!</v>
      </c>
      <c r="N11" s="71" t="s">
        <v>213</v>
      </c>
    </row>
    <row r="12" spans="1:14">
      <c r="A12" s="2"/>
      <c r="B12" s="2"/>
      <c r="C12" s="9"/>
      <c r="D12" s="11"/>
      <c r="E12" s="40" t="e">
        <f t="shared" si="1"/>
        <v>#REF!</v>
      </c>
      <c r="F12" s="40" t="e">
        <f t="shared" si="1"/>
        <v>#REF!</v>
      </c>
      <c r="G12" s="40" t="e">
        <f t="shared" si="1"/>
        <v>#REF!</v>
      </c>
      <c r="H12" s="40" t="e">
        <f t="shared" si="1"/>
        <v>#REF!</v>
      </c>
      <c r="I12" s="40" t="e">
        <f t="shared" si="1"/>
        <v>#REF!</v>
      </c>
      <c r="J12" s="40" t="e">
        <f t="shared" si="1"/>
        <v>#REF!</v>
      </c>
      <c r="K12" s="48" t="e">
        <f>#REF!</f>
        <v>#REF!</v>
      </c>
      <c r="L12" s="45" t="e">
        <f t="shared" si="0"/>
        <v>#REF!</v>
      </c>
      <c r="M12" s="61" t="e">
        <f>L12/K12</f>
        <v>#REF!</v>
      </c>
      <c r="N12" s="71" t="s">
        <v>214</v>
      </c>
    </row>
    <row r="13" spans="1:14">
      <c r="A13" s="2"/>
      <c r="B13" s="2"/>
      <c r="C13" s="9"/>
      <c r="D13" s="11" t="s">
        <v>27</v>
      </c>
      <c r="E13" s="40" t="e">
        <f>#REF!</f>
        <v>#REF!</v>
      </c>
      <c r="F13" s="48" t="e">
        <f>#REF!</f>
        <v>#REF!</v>
      </c>
      <c r="G13" s="48" t="e">
        <f>#REF!</f>
        <v>#REF!</v>
      </c>
      <c r="H13" s="48" t="e">
        <f>#REF!</f>
        <v>#REF!</v>
      </c>
      <c r="I13" s="48" t="e">
        <f>#REF!</f>
        <v>#REF!</v>
      </c>
      <c r="J13" s="48" t="e">
        <f>#REF!</f>
        <v>#REF!</v>
      </c>
      <c r="K13" s="4"/>
      <c r="L13" s="45"/>
    </row>
    <row r="14" spans="1:14">
      <c r="A14" s="2"/>
      <c r="B14" s="2"/>
      <c r="C14" s="9"/>
      <c r="D14" s="11" t="s">
        <v>65</v>
      </c>
      <c r="E14" s="40" t="e">
        <f>#REF!</f>
        <v>#REF!</v>
      </c>
      <c r="F14" s="48" t="e">
        <f>#REF!</f>
        <v>#REF!</v>
      </c>
      <c r="G14" s="48" t="e">
        <f>#REF!</f>
        <v>#REF!</v>
      </c>
      <c r="H14" s="48" t="e">
        <f>#REF!</f>
        <v>#REF!</v>
      </c>
      <c r="I14" s="48" t="e">
        <f>#REF!</f>
        <v>#REF!</v>
      </c>
      <c r="J14" s="48" t="e">
        <f>#REF!</f>
        <v>#REF!</v>
      </c>
      <c r="K14" s="4"/>
      <c r="L14" s="45"/>
    </row>
    <row r="15" spans="1:14">
      <c r="A15" s="2"/>
      <c r="B15" s="2"/>
      <c r="C15" s="9"/>
      <c r="D15" s="11" t="s">
        <v>28</v>
      </c>
      <c r="E15" s="40" t="e">
        <f>#REF!</f>
        <v>#REF!</v>
      </c>
      <c r="F15" s="48" t="e">
        <f>#REF!</f>
        <v>#REF!</v>
      </c>
      <c r="G15" s="48" t="e">
        <f>#REF!</f>
        <v>#REF!</v>
      </c>
      <c r="H15" s="48" t="e">
        <f>#REF!</f>
        <v>#REF!</v>
      </c>
      <c r="I15" s="48" t="e">
        <f>#REF!</f>
        <v>#REF!</v>
      </c>
      <c r="J15" s="48" t="e">
        <f>#REF!</f>
        <v>#REF!</v>
      </c>
      <c r="K15" s="48"/>
      <c r="L15" s="45"/>
    </row>
    <row r="16" spans="1:14">
      <c r="A16" s="2"/>
      <c r="B16" s="2"/>
      <c r="C16" s="9"/>
      <c r="D16" s="11" t="s">
        <v>30</v>
      </c>
      <c r="E16" s="40" t="e">
        <f>#REF!</f>
        <v>#REF!</v>
      </c>
      <c r="F16" s="48" t="e">
        <f>#REF!</f>
        <v>#REF!</v>
      </c>
      <c r="G16" s="48" t="e">
        <f>#REF!</f>
        <v>#REF!</v>
      </c>
      <c r="H16" s="48" t="e">
        <f>#REF!</f>
        <v>#REF!</v>
      </c>
      <c r="I16" s="48" t="e">
        <f>#REF!</f>
        <v>#REF!</v>
      </c>
      <c r="J16" s="48" t="e">
        <f>#REF!</f>
        <v>#REF!</v>
      </c>
      <c r="K16" s="48"/>
      <c r="L16" s="45"/>
    </row>
    <row r="17" spans="1:14">
      <c r="A17" s="2"/>
      <c r="B17" s="2"/>
      <c r="C17" s="9"/>
      <c r="D17" s="73" t="s">
        <v>248</v>
      </c>
      <c r="E17" s="40" t="e">
        <f>#REF!</f>
        <v>#REF!</v>
      </c>
      <c r="F17" s="48" t="e">
        <f>#REF!</f>
        <v>#REF!</v>
      </c>
      <c r="G17" s="48" t="e">
        <f>#REF!</f>
        <v>#REF!</v>
      </c>
      <c r="H17" s="48" t="e">
        <f>#REF!</f>
        <v>#REF!</v>
      </c>
      <c r="I17" s="48" t="e">
        <f>#REF!</f>
        <v>#REF!</v>
      </c>
      <c r="J17" s="48" t="e">
        <f>#REF!</f>
        <v>#REF!</v>
      </c>
      <c r="K17" s="48"/>
      <c r="L17" s="45"/>
    </row>
    <row r="18" spans="1:14">
      <c r="A18" s="2"/>
      <c r="B18" s="2"/>
      <c r="C18" s="9"/>
      <c r="D18" s="73" t="s">
        <v>249</v>
      </c>
      <c r="E18" s="40" t="e">
        <f>#REF!</f>
        <v>#REF!</v>
      </c>
      <c r="F18" s="48" t="e">
        <f>#REF!</f>
        <v>#REF!</v>
      </c>
      <c r="G18" s="48" t="e">
        <f>#REF!</f>
        <v>#REF!</v>
      </c>
      <c r="H18" s="48" t="e">
        <f>#REF!</f>
        <v>#REF!</v>
      </c>
      <c r="I18" s="48" t="e">
        <f>#REF!</f>
        <v>#REF!</v>
      </c>
      <c r="J18" s="48" t="e">
        <f>#REF!</f>
        <v>#REF!</v>
      </c>
      <c r="K18" s="48"/>
      <c r="L18" s="45"/>
    </row>
    <row r="19" spans="1:14">
      <c r="A19" s="2"/>
      <c r="B19" s="2"/>
      <c r="C19" s="9"/>
      <c r="D19" s="11" t="s">
        <v>150</v>
      </c>
      <c r="E19" s="40" t="e">
        <f>#REF!</f>
        <v>#REF!</v>
      </c>
      <c r="F19" s="48" t="e">
        <f>#REF!</f>
        <v>#REF!</v>
      </c>
      <c r="G19" s="48" t="e">
        <f>#REF!</f>
        <v>#REF!</v>
      </c>
      <c r="H19" s="48" t="e">
        <f>#REF!</f>
        <v>#REF!</v>
      </c>
      <c r="I19" s="48" t="e">
        <f>#REF!</f>
        <v>#REF!</v>
      </c>
      <c r="J19" s="48" t="e">
        <f>#REF!</f>
        <v>#REF!</v>
      </c>
      <c r="K19" s="48"/>
      <c r="L19" s="45"/>
    </row>
    <row r="20" spans="1:14">
      <c r="A20" s="2"/>
      <c r="B20" s="2"/>
      <c r="C20" s="9"/>
      <c r="D20" s="11" t="s">
        <v>151</v>
      </c>
      <c r="E20" s="40" t="e">
        <f>#REF!</f>
        <v>#REF!</v>
      </c>
      <c r="F20" s="48" t="e">
        <f>#REF!</f>
        <v>#REF!</v>
      </c>
      <c r="G20" s="48" t="e">
        <f>#REF!</f>
        <v>#REF!</v>
      </c>
      <c r="H20" s="48" t="e">
        <f>#REF!</f>
        <v>#REF!</v>
      </c>
      <c r="I20" s="48" t="e">
        <f>#REF!</f>
        <v>#REF!</v>
      </c>
      <c r="J20" s="48" t="e">
        <f>#REF!</f>
        <v>#REF!</v>
      </c>
      <c r="K20" s="48"/>
      <c r="L20" s="45"/>
    </row>
    <row r="21" spans="1:14">
      <c r="A21" s="2"/>
      <c r="B21" s="2"/>
      <c r="C21" s="9"/>
      <c r="D21" s="11" t="s">
        <v>29</v>
      </c>
      <c r="E21" s="40" t="e">
        <f>#REF!</f>
        <v>#REF!</v>
      </c>
      <c r="F21" s="48" t="e">
        <f>#REF!</f>
        <v>#REF!</v>
      </c>
      <c r="G21" s="48" t="e">
        <f>#REF!</f>
        <v>#REF!</v>
      </c>
      <c r="H21" s="48" t="e">
        <f>#REF!</f>
        <v>#REF!</v>
      </c>
      <c r="I21" s="48" t="e">
        <f>#REF!</f>
        <v>#REF!</v>
      </c>
      <c r="J21" s="48" t="e">
        <f>#REF!</f>
        <v>#REF!</v>
      </c>
      <c r="K21" s="48"/>
      <c r="L21" s="45"/>
    </row>
    <row r="22" spans="1:14">
      <c r="A22" s="2"/>
      <c r="B22" s="2"/>
      <c r="C22" s="9"/>
      <c r="D22" s="11" t="s">
        <v>31</v>
      </c>
      <c r="E22" s="40" t="e">
        <f>#REF!</f>
        <v>#REF!</v>
      </c>
      <c r="F22" s="48" t="e">
        <f>#REF!</f>
        <v>#REF!</v>
      </c>
      <c r="G22" s="48" t="e">
        <f>#REF!</f>
        <v>#REF!</v>
      </c>
      <c r="H22" s="48" t="e">
        <f>#REF!</f>
        <v>#REF!</v>
      </c>
      <c r="I22" s="48" t="e">
        <f>#REF!</f>
        <v>#REF!</v>
      </c>
      <c r="J22" s="48" t="e">
        <f>#REF!</f>
        <v>#REF!</v>
      </c>
      <c r="K22" s="48"/>
      <c r="L22" s="45"/>
    </row>
    <row r="23" spans="1:14" ht="15">
      <c r="A23" s="1" t="s">
        <v>60</v>
      </c>
      <c r="B23" s="1"/>
      <c r="C23" s="39" t="s">
        <v>40</v>
      </c>
      <c r="D23" s="11"/>
      <c r="E23" s="40" t="e">
        <f>#REF!</f>
        <v>#REF!</v>
      </c>
      <c r="F23" s="49" t="e">
        <f>#REF!</f>
        <v>#REF!</v>
      </c>
      <c r="G23" s="49" t="e">
        <f>#REF!</f>
        <v>#REF!</v>
      </c>
      <c r="H23" s="49" t="e">
        <f>#REF!</f>
        <v>#REF!</v>
      </c>
      <c r="I23" s="49" t="e">
        <f>#REF!</f>
        <v>#REF!</v>
      </c>
      <c r="J23" s="49" t="e">
        <f>#REF!</f>
        <v>#REF!</v>
      </c>
      <c r="K23" s="49" t="e">
        <f>SUM(K6:K22)</f>
        <v>#REF!</v>
      </c>
      <c r="L23" s="45" t="e">
        <f>J23-K23</f>
        <v>#REF!</v>
      </c>
      <c r="M23" s="61" t="e">
        <f>L23/K23</f>
        <v>#REF!</v>
      </c>
    </row>
    <row r="24" spans="1:14">
      <c r="C24" s="4"/>
      <c r="D24" s="11" t="s">
        <v>141</v>
      </c>
      <c r="E24" s="15" t="e">
        <f>#REF!</f>
        <v>#REF!</v>
      </c>
      <c r="F24" s="48" t="e">
        <f>#REF!</f>
        <v>#REF!</v>
      </c>
      <c r="G24" s="48" t="e">
        <f>#REF!</f>
        <v>#REF!</v>
      </c>
      <c r="H24" s="48" t="e">
        <f>#REF!</f>
        <v>#REF!</v>
      </c>
      <c r="I24" s="48" t="e">
        <f>#REF!</f>
        <v>#REF!</v>
      </c>
      <c r="J24" s="48" t="e">
        <f>#REF!</f>
        <v>#REF!</v>
      </c>
      <c r="K24" s="48" t="e">
        <f>#REF!</f>
        <v>#REF!</v>
      </c>
      <c r="L24" s="45" t="e">
        <f>J24-K24</f>
        <v>#REF!</v>
      </c>
      <c r="M24" s="61" t="e">
        <f>L24/K24</f>
        <v>#REF!</v>
      </c>
      <c r="N24" s="71" t="s">
        <v>215</v>
      </c>
    </row>
    <row r="25" spans="1:14">
      <c r="A25" s="1"/>
      <c r="B25" s="1"/>
      <c r="C25" s="9"/>
      <c r="D25" s="11" t="s">
        <v>142</v>
      </c>
      <c r="E25" s="15" t="e">
        <f>#REF!</f>
        <v>#REF!</v>
      </c>
      <c r="F25" s="48" t="e">
        <f>#REF!</f>
        <v>#REF!</v>
      </c>
      <c r="G25" s="48" t="e">
        <f>#REF!</f>
        <v>#REF!</v>
      </c>
      <c r="H25" s="48" t="e">
        <f>#REF!</f>
        <v>#REF!</v>
      </c>
      <c r="I25" s="48" t="e">
        <f>#REF!</f>
        <v>#REF!</v>
      </c>
      <c r="J25" s="48" t="e">
        <f>#REF!</f>
        <v>#REF!</v>
      </c>
      <c r="K25" s="48" t="e">
        <f>#REF!</f>
        <v>#REF!</v>
      </c>
      <c r="L25" s="45" t="e">
        <f>J25-K25</f>
        <v>#REF!</v>
      </c>
      <c r="M25" s="61" t="e">
        <f>L25/K25</f>
        <v>#REF!</v>
      </c>
      <c r="N25" s="71" t="s">
        <v>216</v>
      </c>
    </row>
    <row r="26" spans="1:14">
      <c r="A26" s="1"/>
      <c r="B26" s="1"/>
      <c r="C26" s="9"/>
      <c r="D26" s="11" t="s">
        <v>32</v>
      </c>
      <c r="E26" s="15" t="e">
        <f>#REF!</f>
        <v>#REF!</v>
      </c>
      <c r="F26" s="48" t="e">
        <f>#REF!</f>
        <v>#REF!</v>
      </c>
      <c r="G26" s="48" t="e">
        <f>#REF!</f>
        <v>#REF!</v>
      </c>
      <c r="H26" s="48" t="e">
        <f>#REF!</f>
        <v>#REF!</v>
      </c>
      <c r="I26" s="48" t="e">
        <f>#REF!</f>
        <v>#REF!</v>
      </c>
      <c r="J26" s="48" t="e">
        <f>#REF!</f>
        <v>#REF!</v>
      </c>
      <c r="K26" s="48" t="e">
        <f>#REF!</f>
        <v>#REF!</v>
      </c>
      <c r="L26" s="45" t="e">
        <f>J26-K26</f>
        <v>#REF!</v>
      </c>
      <c r="M26" s="61" t="e">
        <f>L26/K26</f>
        <v>#REF!</v>
      </c>
      <c r="N26" s="71" t="s">
        <v>217</v>
      </c>
    </row>
    <row r="27" spans="1:14">
      <c r="A27" s="1"/>
      <c r="B27" s="1"/>
      <c r="C27" s="9"/>
      <c r="D27" s="11" t="s">
        <v>33</v>
      </c>
      <c r="E27" s="15" t="e">
        <f>#REF!</f>
        <v>#REF!</v>
      </c>
      <c r="F27" s="48" t="e">
        <f>#REF!</f>
        <v>#REF!</v>
      </c>
      <c r="G27" s="48" t="e">
        <f>#REF!</f>
        <v>#REF!</v>
      </c>
      <c r="H27" s="48" t="e">
        <f>#REF!</f>
        <v>#REF!</v>
      </c>
      <c r="I27" s="48" t="e">
        <f>#REF!</f>
        <v>#REF!</v>
      </c>
      <c r="J27" s="48" t="e">
        <f>#REF!</f>
        <v>#REF!</v>
      </c>
      <c r="K27" s="48" t="e">
        <f>#REF!</f>
        <v>#REF!</v>
      </c>
      <c r="L27" s="45" t="e">
        <f>J27-K27</f>
        <v>#REF!</v>
      </c>
      <c r="M27" s="61" t="e">
        <f>L27/K27</f>
        <v>#REF!</v>
      </c>
      <c r="N27" s="71" t="s">
        <v>217</v>
      </c>
    </row>
    <row r="28" spans="1:14">
      <c r="A28" s="1"/>
      <c r="B28" s="1"/>
      <c r="C28" s="9"/>
      <c r="D28" s="11" t="s">
        <v>146</v>
      </c>
      <c r="E28" s="15" t="e">
        <f>#REF!</f>
        <v>#REF!</v>
      </c>
      <c r="F28" s="48" t="e">
        <f>#REF!</f>
        <v>#REF!</v>
      </c>
      <c r="G28" s="48" t="e">
        <f>#REF!</f>
        <v>#REF!</v>
      </c>
      <c r="H28" s="48" t="e">
        <f>#REF!</f>
        <v>#REF!</v>
      </c>
      <c r="I28" s="48" t="e">
        <f>#REF!</f>
        <v>#REF!</v>
      </c>
      <c r="J28" s="48" t="e">
        <f>#REF!</f>
        <v>#REF!</v>
      </c>
      <c r="K28" s="48"/>
      <c r="L28" s="45"/>
    </row>
    <row r="29" spans="1:14">
      <c r="A29" s="1"/>
      <c r="B29" s="1"/>
      <c r="C29" s="9"/>
      <c r="D29" s="73" t="s">
        <v>241</v>
      </c>
      <c r="E29" s="15" t="e">
        <f>#REF!</f>
        <v>#REF!</v>
      </c>
      <c r="F29" s="48" t="e">
        <f>#REF!</f>
        <v>#REF!</v>
      </c>
      <c r="G29" s="48" t="e">
        <f>#REF!</f>
        <v>#REF!</v>
      </c>
      <c r="H29" s="48" t="e">
        <f>#REF!</f>
        <v>#REF!</v>
      </c>
      <c r="I29" s="48" t="e">
        <f>#REF!</f>
        <v>#REF!</v>
      </c>
      <c r="J29" s="48" t="e">
        <f>#REF!</f>
        <v>#REF!</v>
      </c>
      <c r="K29" s="48"/>
      <c r="L29" s="45"/>
    </row>
    <row r="30" spans="1:14">
      <c r="A30" s="1"/>
      <c r="B30" s="1"/>
      <c r="C30" s="9"/>
      <c r="D30" s="11" t="s">
        <v>163</v>
      </c>
      <c r="E30" s="15" t="e">
        <f>#REF!</f>
        <v>#REF!</v>
      </c>
      <c r="F30" s="48" t="e">
        <f>#REF!</f>
        <v>#REF!</v>
      </c>
      <c r="G30" s="48" t="e">
        <f>#REF!</f>
        <v>#REF!</v>
      </c>
      <c r="H30" s="48" t="e">
        <f>#REF!</f>
        <v>#REF!</v>
      </c>
      <c r="I30" s="48" t="e">
        <f>#REF!</f>
        <v>#REF!</v>
      </c>
      <c r="J30" s="48" t="e">
        <f>#REF!</f>
        <v>#REF!</v>
      </c>
      <c r="K30" s="48"/>
      <c r="L30" s="45"/>
    </row>
    <row r="31" spans="1:14">
      <c r="A31" s="1"/>
      <c r="B31" s="1"/>
      <c r="C31" s="9"/>
      <c r="D31" s="11" t="s">
        <v>164</v>
      </c>
      <c r="E31" s="15" t="e">
        <f>#REF!</f>
        <v>#REF!</v>
      </c>
      <c r="F31" s="48" t="e">
        <f>#REF!</f>
        <v>#REF!</v>
      </c>
      <c r="G31" s="48" t="e">
        <f>#REF!</f>
        <v>#REF!</v>
      </c>
      <c r="H31" s="48" t="e">
        <f>#REF!</f>
        <v>#REF!</v>
      </c>
      <c r="I31" s="48" t="e">
        <f>#REF!</f>
        <v>#REF!</v>
      </c>
      <c r="J31" s="48" t="e">
        <f>#REF!</f>
        <v>#REF!</v>
      </c>
      <c r="K31" s="48"/>
      <c r="L31" s="45"/>
    </row>
    <row r="32" spans="1:14" ht="15">
      <c r="A32" s="1" t="s">
        <v>60</v>
      </c>
      <c r="B32" s="1"/>
      <c r="C32" s="39" t="s">
        <v>147</v>
      </c>
      <c r="D32" s="11"/>
      <c r="E32" s="15" t="e">
        <f>#REF!</f>
        <v>#REF!</v>
      </c>
      <c r="F32" s="49" t="e">
        <f>#REF!</f>
        <v>#REF!</v>
      </c>
      <c r="G32" s="49" t="e">
        <f>#REF!</f>
        <v>#REF!</v>
      </c>
      <c r="H32" s="49" t="e">
        <f>#REF!</f>
        <v>#REF!</v>
      </c>
      <c r="I32" s="49" t="e">
        <f>#REF!</f>
        <v>#REF!</v>
      </c>
      <c r="J32" s="49" t="e">
        <f>#REF!</f>
        <v>#REF!</v>
      </c>
      <c r="K32" s="49" t="e">
        <f>SUM(K24:K31)</f>
        <v>#REF!</v>
      </c>
      <c r="L32" s="45" t="e">
        <f>J32-K32</f>
        <v>#REF!</v>
      </c>
      <c r="M32" s="61" t="e">
        <f>L32/K32</f>
        <v>#REF!</v>
      </c>
    </row>
    <row r="33" spans="1:17">
      <c r="C33" s="4"/>
      <c r="D33" s="11" t="s">
        <v>67</v>
      </c>
      <c r="E33" s="15" t="e">
        <f>#REF!</f>
        <v>#REF!</v>
      </c>
      <c r="F33" s="48" t="e">
        <f>#REF!</f>
        <v>#REF!</v>
      </c>
      <c r="G33" s="48" t="e">
        <f>#REF!</f>
        <v>#REF!</v>
      </c>
      <c r="H33" s="48" t="e">
        <f>#REF!</f>
        <v>#REF!</v>
      </c>
      <c r="I33" s="48" t="e">
        <f>#REF!</f>
        <v>#REF!</v>
      </c>
      <c r="J33" s="48" t="e">
        <f>#REF!</f>
        <v>#REF!</v>
      </c>
      <c r="K33" s="48" t="e">
        <f>#REF!</f>
        <v>#REF!</v>
      </c>
      <c r="L33" s="45" t="e">
        <f>J33-K33</f>
        <v>#REF!</v>
      </c>
      <c r="M33" s="61" t="e">
        <f>L33/K33</f>
        <v>#REF!</v>
      </c>
      <c r="N33" s="71" t="s">
        <v>218</v>
      </c>
    </row>
    <row r="34" spans="1:17">
      <c r="A34" s="2"/>
      <c r="B34" s="2"/>
      <c r="C34" s="11"/>
      <c r="D34" s="11" t="s">
        <v>68</v>
      </c>
      <c r="E34" s="15" t="e">
        <f>#REF!</f>
        <v>#REF!</v>
      </c>
      <c r="F34" s="48" t="e">
        <f>#REF!</f>
        <v>#REF!</v>
      </c>
      <c r="G34" s="48" t="e">
        <f>#REF!</f>
        <v>#REF!</v>
      </c>
      <c r="H34" s="48" t="e">
        <f>#REF!</f>
        <v>#REF!</v>
      </c>
      <c r="I34" s="48" t="e">
        <f>#REF!</f>
        <v>#REF!</v>
      </c>
      <c r="J34" s="48" t="e">
        <f>#REF!</f>
        <v>#REF!</v>
      </c>
      <c r="K34" s="48" t="e">
        <f>#REF!</f>
        <v>#REF!</v>
      </c>
      <c r="L34" s="45" t="e">
        <f>J34-K34</f>
        <v>#REF!</v>
      </c>
      <c r="M34" s="61" t="e">
        <f>L34/K34</f>
        <v>#REF!</v>
      </c>
      <c r="N34" s="4" t="s">
        <v>219</v>
      </c>
    </row>
    <row r="35" spans="1:17">
      <c r="A35" s="1"/>
      <c r="B35" s="1"/>
      <c r="C35" s="11"/>
      <c r="D35" s="11" t="s">
        <v>25</v>
      </c>
      <c r="E35" s="15" t="e">
        <f>#REF!</f>
        <v>#REF!</v>
      </c>
      <c r="F35" s="48" t="e">
        <f>#REF!</f>
        <v>#REF!</v>
      </c>
      <c r="G35" s="48" t="e">
        <f>#REF!</f>
        <v>#REF!</v>
      </c>
      <c r="H35" s="48" t="e">
        <f>#REF!</f>
        <v>#REF!</v>
      </c>
      <c r="I35" s="48" t="e">
        <f>#REF!</f>
        <v>#REF!</v>
      </c>
      <c r="J35" s="48" t="e">
        <f>#REF!</f>
        <v>#REF!</v>
      </c>
      <c r="K35" s="48" t="e">
        <f>#REF!</f>
        <v>#REF!</v>
      </c>
      <c r="L35" s="45" t="e">
        <f>J35-K35</f>
        <v>#REF!</v>
      </c>
      <c r="M35" s="61" t="e">
        <f>L35/K35</f>
        <v>#REF!</v>
      </c>
      <c r="N35" s="4" t="s">
        <v>221</v>
      </c>
      <c r="Q35" s="18"/>
    </row>
    <row r="36" spans="1:17">
      <c r="A36" s="1"/>
      <c r="B36" s="1"/>
      <c r="C36" s="11"/>
      <c r="D36" s="11" t="s">
        <v>69</v>
      </c>
      <c r="E36" s="15" t="e">
        <f>#REF!</f>
        <v>#REF!</v>
      </c>
      <c r="F36" s="48" t="e">
        <f>#REF!</f>
        <v>#REF!</v>
      </c>
      <c r="G36" s="48" t="e">
        <f>#REF!</f>
        <v>#REF!</v>
      </c>
      <c r="H36" s="48" t="e">
        <f>#REF!</f>
        <v>#REF!</v>
      </c>
      <c r="I36" s="48" t="e">
        <f>#REF!</f>
        <v>#REF!</v>
      </c>
      <c r="J36" s="48" t="e">
        <f>#REF!</f>
        <v>#REF!</v>
      </c>
      <c r="K36" s="48" t="e">
        <f>#REF!</f>
        <v>#REF!</v>
      </c>
      <c r="L36" s="45" t="e">
        <f>J36-K36</f>
        <v>#REF!</v>
      </c>
      <c r="M36" s="61" t="e">
        <f>L36/K36</f>
        <v>#REF!</v>
      </c>
      <c r="N36" s="4" t="s">
        <v>220</v>
      </c>
    </row>
    <row r="37" spans="1:17">
      <c r="A37" s="1"/>
      <c r="B37" s="1"/>
      <c r="C37" s="11"/>
      <c r="D37" s="73" t="s">
        <v>243</v>
      </c>
      <c r="E37" s="15" t="e">
        <f>#REF!</f>
        <v>#REF!</v>
      </c>
      <c r="F37" s="48" t="e">
        <f>#REF!</f>
        <v>#REF!</v>
      </c>
      <c r="G37" s="48" t="e">
        <f>#REF!</f>
        <v>#REF!</v>
      </c>
      <c r="H37" s="48" t="e">
        <f>#REF!</f>
        <v>#REF!</v>
      </c>
      <c r="I37" s="48" t="e">
        <f>#REF!</f>
        <v>#REF!</v>
      </c>
      <c r="J37" s="48" t="e">
        <f>#REF!</f>
        <v>#REF!</v>
      </c>
      <c r="K37" s="48"/>
      <c r="L37" s="45"/>
    </row>
    <row r="38" spans="1:17">
      <c r="A38" s="1"/>
      <c r="B38" s="1"/>
      <c r="C38" s="11"/>
      <c r="D38" s="11" t="s">
        <v>152</v>
      </c>
      <c r="E38" s="15" t="e">
        <f>#REF!</f>
        <v>#REF!</v>
      </c>
      <c r="F38" s="48" t="e">
        <f>#REF!</f>
        <v>#REF!</v>
      </c>
      <c r="G38" s="48" t="e">
        <f>#REF!</f>
        <v>#REF!</v>
      </c>
      <c r="H38" s="48" t="e">
        <f>#REF!</f>
        <v>#REF!</v>
      </c>
      <c r="I38" s="48" t="e">
        <f>#REF!</f>
        <v>#REF!</v>
      </c>
      <c r="J38" s="48" t="e">
        <f>#REF!</f>
        <v>#REF!</v>
      </c>
      <c r="K38" s="48"/>
      <c r="L38" s="45"/>
    </row>
    <row r="39" spans="1:17">
      <c r="A39" s="1"/>
      <c r="B39" s="1"/>
      <c r="C39" s="11"/>
      <c r="D39" s="11" t="s">
        <v>70</v>
      </c>
      <c r="E39" s="15" t="e">
        <f>#REF!</f>
        <v>#REF!</v>
      </c>
      <c r="F39" s="48" t="e">
        <f>#REF!</f>
        <v>#REF!</v>
      </c>
      <c r="G39" s="48" t="e">
        <f>#REF!</f>
        <v>#REF!</v>
      </c>
      <c r="H39" s="48" t="e">
        <f>#REF!</f>
        <v>#REF!</v>
      </c>
      <c r="I39" s="48" t="e">
        <f>#REF!</f>
        <v>#REF!</v>
      </c>
      <c r="J39" s="48" t="e">
        <f>#REF!</f>
        <v>#REF!</v>
      </c>
      <c r="K39" s="48"/>
      <c r="L39" s="45"/>
    </row>
    <row r="40" spans="1:17" ht="15">
      <c r="A40" s="1" t="s">
        <v>60</v>
      </c>
      <c r="B40" s="1"/>
      <c r="C40" s="39" t="s">
        <v>66</v>
      </c>
      <c r="D40" s="11"/>
      <c r="E40" s="15" t="e">
        <f>#REF!</f>
        <v>#REF!</v>
      </c>
      <c r="F40" s="49" t="e">
        <f>#REF!</f>
        <v>#REF!</v>
      </c>
      <c r="G40" s="49" t="e">
        <f>#REF!</f>
        <v>#REF!</v>
      </c>
      <c r="H40" s="49" t="e">
        <f>#REF!</f>
        <v>#REF!</v>
      </c>
      <c r="I40" s="49" t="e">
        <f>#REF!</f>
        <v>#REF!</v>
      </c>
      <c r="J40" s="49" t="e">
        <f>#REF!</f>
        <v>#REF!</v>
      </c>
      <c r="K40" s="49" t="e">
        <f>SUM(K33:K39)</f>
        <v>#REF!</v>
      </c>
      <c r="L40" s="45" t="e">
        <f>J40-K40</f>
        <v>#REF!</v>
      </c>
      <c r="M40" s="61" t="e">
        <f>L40/K40</f>
        <v>#REF!</v>
      </c>
    </row>
    <row r="41" spans="1:17">
      <c r="C41" s="4"/>
      <c r="D41" s="12" t="s">
        <v>71</v>
      </c>
      <c r="E41" s="15" t="e">
        <f>#REF!</f>
        <v>#REF!</v>
      </c>
      <c r="F41" s="48" t="e">
        <f>#REF!</f>
        <v>#REF!</v>
      </c>
      <c r="G41" s="48" t="e">
        <f>#REF!</f>
        <v>#REF!</v>
      </c>
      <c r="H41" s="48" t="e">
        <f>#REF!</f>
        <v>#REF!</v>
      </c>
      <c r="I41" s="48" t="e">
        <f>#REF!</f>
        <v>#REF!</v>
      </c>
      <c r="J41" s="48" t="e">
        <f>#REF!</f>
        <v>#REF!</v>
      </c>
      <c r="K41" s="48" t="e">
        <f>#REF!</f>
        <v>#REF!</v>
      </c>
      <c r="L41" s="45" t="e">
        <f>J41-K41</f>
        <v>#REF!</v>
      </c>
      <c r="M41" s="61" t="e">
        <f>L41/K41</f>
        <v>#REF!</v>
      </c>
      <c r="N41" s="4" t="s">
        <v>222</v>
      </c>
    </row>
    <row r="42" spans="1:17">
      <c r="A42" s="1"/>
      <c r="B42" s="1"/>
      <c r="C42" s="11"/>
      <c r="D42" s="12" t="s">
        <v>72</v>
      </c>
      <c r="E42" s="15" t="e">
        <f>#REF!</f>
        <v>#REF!</v>
      </c>
      <c r="F42" s="48" t="e">
        <f>#REF!</f>
        <v>#REF!</v>
      </c>
      <c r="G42" s="48" t="e">
        <f>#REF!</f>
        <v>#REF!</v>
      </c>
      <c r="H42" s="48" t="e">
        <f>#REF!</f>
        <v>#REF!</v>
      </c>
      <c r="I42" s="48" t="e">
        <f>#REF!</f>
        <v>#REF!</v>
      </c>
      <c r="J42" s="48" t="e">
        <f>#REF!</f>
        <v>#REF!</v>
      </c>
      <c r="K42" s="48" t="e">
        <f>#REF!</f>
        <v>#REF!</v>
      </c>
      <c r="L42" s="45" t="e">
        <f>J42-K42</f>
        <v>#REF!</v>
      </c>
      <c r="M42" s="61" t="e">
        <f>L42/K42</f>
        <v>#REF!</v>
      </c>
    </row>
    <row r="43" spans="1:17">
      <c r="A43" s="1"/>
      <c r="B43" s="1"/>
      <c r="C43" s="11"/>
      <c r="D43" s="11" t="s">
        <v>73</v>
      </c>
      <c r="E43" s="15" t="e">
        <f>#REF!</f>
        <v>#REF!</v>
      </c>
      <c r="F43" s="48" t="e">
        <f>#REF!</f>
        <v>#REF!</v>
      </c>
      <c r="G43" s="48" t="e">
        <f>#REF!</f>
        <v>#REF!</v>
      </c>
      <c r="H43" s="48" t="e">
        <f>#REF!</f>
        <v>#REF!</v>
      </c>
      <c r="I43" s="48" t="e">
        <f>#REF!</f>
        <v>#REF!</v>
      </c>
      <c r="J43" s="48" t="e">
        <f>#REF!</f>
        <v>#REF!</v>
      </c>
      <c r="K43" s="48" t="e">
        <f>#REF!</f>
        <v>#REF!</v>
      </c>
      <c r="L43" s="45" t="e">
        <f>J43-K43</f>
        <v>#REF!</v>
      </c>
      <c r="M43" s="61" t="e">
        <f>L43/K43</f>
        <v>#REF!</v>
      </c>
      <c r="N43" s="4" t="s">
        <v>223</v>
      </c>
    </row>
    <row r="44" spans="1:17">
      <c r="A44" s="1"/>
      <c r="B44" s="1"/>
      <c r="C44" s="11"/>
      <c r="D44" s="11" t="s">
        <v>74</v>
      </c>
      <c r="E44" s="15" t="e">
        <f>#REF!</f>
        <v>#REF!</v>
      </c>
      <c r="F44" s="48" t="e">
        <f>#REF!</f>
        <v>#REF!</v>
      </c>
      <c r="G44" s="48" t="e">
        <f>#REF!</f>
        <v>#REF!</v>
      </c>
      <c r="H44" s="48" t="e">
        <f>#REF!</f>
        <v>#REF!</v>
      </c>
      <c r="I44" s="48" t="e">
        <f>#REF!</f>
        <v>#REF!</v>
      </c>
      <c r="J44" s="48" t="e">
        <f>#REF!</f>
        <v>#REF!</v>
      </c>
      <c r="K44" s="48" t="e">
        <f>#REF!</f>
        <v>#REF!</v>
      </c>
      <c r="L44" s="45" t="e">
        <f>J44-K44</f>
        <v>#REF!</v>
      </c>
      <c r="M44" s="61" t="e">
        <f>L44/K44</f>
        <v>#REF!</v>
      </c>
      <c r="N44" s="4" t="s">
        <v>224</v>
      </c>
    </row>
    <row r="45" spans="1:17">
      <c r="A45" s="1"/>
      <c r="B45" s="1"/>
      <c r="C45" s="11"/>
      <c r="D45" s="73" t="s">
        <v>245</v>
      </c>
      <c r="E45" s="15" t="e">
        <f>#REF!</f>
        <v>#REF!</v>
      </c>
      <c r="F45" s="48" t="e">
        <f>#REF!</f>
        <v>#REF!</v>
      </c>
      <c r="G45" s="48" t="e">
        <f>#REF!</f>
        <v>#REF!</v>
      </c>
      <c r="H45" s="48" t="e">
        <f>#REF!</f>
        <v>#REF!</v>
      </c>
      <c r="I45" s="48" t="e">
        <f>#REF!</f>
        <v>#REF!</v>
      </c>
      <c r="J45" s="48" t="e">
        <f>#REF!</f>
        <v>#REF!</v>
      </c>
      <c r="K45" s="48"/>
      <c r="L45" s="45"/>
    </row>
    <row r="46" spans="1:17">
      <c r="A46" s="1"/>
      <c r="B46" s="1"/>
      <c r="C46" s="11"/>
      <c r="D46" s="11" t="s">
        <v>153</v>
      </c>
      <c r="E46" s="15" t="e">
        <f>#REF!</f>
        <v>#REF!</v>
      </c>
      <c r="F46" s="48" t="e">
        <f>#REF!</f>
        <v>#REF!</v>
      </c>
      <c r="G46" s="48" t="e">
        <f>#REF!</f>
        <v>#REF!</v>
      </c>
      <c r="H46" s="48" t="e">
        <f>#REF!</f>
        <v>#REF!</v>
      </c>
      <c r="I46" s="48" t="e">
        <f>#REF!</f>
        <v>#REF!</v>
      </c>
      <c r="J46" s="48" t="e">
        <f>#REF!</f>
        <v>#REF!</v>
      </c>
      <c r="K46" s="48"/>
      <c r="L46" s="45"/>
    </row>
    <row r="47" spans="1:17">
      <c r="A47" s="1"/>
      <c r="B47" s="1"/>
      <c r="C47" s="11"/>
      <c r="D47" s="11" t="s">
        <v>75</v>
      </c>
      <c r="E47" s="15" t="e">
        <f>#REF!</f>
        <v>#REF!</v>
      </c>
      <c r="F47" s="48" t="e">
        <f>#REF!</f>
        <v>#REF!</v>
      </c>
      <c r="G47" s="48" t="e">
        <f>#REF!</f>
        <v>#REF!</v>
      </c>
      <c r="H47" s="48" t="e">
        <f>#REF!</f>
        <v>#REF!</v>
      </c>
      <c r="I47" s="48" t="e">
        <f>#REF!</f>
        <v>#REF!</v>
      </c>
      <c r="J47" s="48" t="e">
        <f>#REF!</f>
        <v>#REF!</v>
      </c>
      <c r="K47" s="48"/>
      <c r="L47" s="45"/>
    </row>
    <row r="48" spans="1:17" ht="15">
      <c r="A48" s="1" t="s">
        <v>60</v>
      </c>
      <c r="B48" s="1"/>
      <c r="C48" s="39" t="s">
        <v>148</v>
      </c>
      <c r="D48" s="12"/>
      <c r="E48" s="15" t="e">
        <f>#REF!</f>
        <v>#REF!</v>
      </c>
      <c r="F48" s="49" t="e">
        <f>#REF!</f>
        <v>#REF!</v>
      </c>
      <c r="G48" s="49" t="e">
        <f>#REF!</f>
        <v>#REF!</v>
      </c>
      <c r="H48" s="49" t="e">
        <f>#REF!</f>
        <v>#REF!</v>
      </c>
      <c r="I48" s="49" t="e">
        <f>#REF!</f>
        <v>#REF!</v>
      </c>
      <c r="J48" s="49" t="e">
        <f>#REF!</f>
        <v>#REF!</v>
      </c>
      <c r="K48" s="49" t="e">
        <f>SUM(K41:K47)</f>
        <v>#REF!</v>
      </c>
      <c r="L48" s="45" t="e">
        <f>J48-K48</f>
        <v>#REF!</v>
      </c>
      <c r="M48" s="61" t="e">
        <f>L48/K48</f>
        <v>#REF!</v>
      </c>
    </row>
    <row r="49" spans="1:14">
      <c r="C49" s="4"/>
      <c r="D49" s="12" t="s">
        <v>76</v>
      </c>
      <c r="E49" s="15" t="e">
        <f>#REF!</f>
        <v>#REF!</v>
      </c>
      <c r="F49" s="48" t="e">
        <f>#REF!</f>
        <v>#REF!</v>
      </c>
      <c r="G49" s="48" t="e">
        <f>#REF!</f>
        <v>#REF!</v>
      </c>
      <c r="H49" s="48" t="e">
        <f>#REF!</f>
        <v>#REF!</v>
      </c>
      <c r="I49" s="48" t="e">
        <f>#REF!</f>
        <v>#REF!</v>
      </c>
      <c r="J49" s="48" t="e">
        <f>#REF!</f>
        <v>#REF!</v>
      </c>
      <c r="K49" s="15" t="e">
        <f>#REF!</f>
        <v>#REF!</v>
      </c>
      <c r="L49" s="45" t="e">
        <f>J49-K49</f>
        <v>#REF!</v>
      </c>
      <c r="M49" s="61" t="e">
        <f>L49/K49</f>
        <v>#REF!</v>
      </c>
      <c r="N49" s="71" t="s">
        <v>225</v>
      </c>
    </row>
    <row r="50" spans="1:14">
      <c r="A50" s="1"/>
      <c r="B50" s="1"/>
      <c r="C50" s="11"/>
      <c r="D50" s="11" t="s">
        <v>45</v>
      </c>
      <c r="E50" s="15" t="e">
        <f>#REF!</f>
        <v>#REF!</v>
      </c>
      <c r="F50" s="48" t="e">
        <f>#REF!</f>
        <v>#REF!</v>
      </c>
      <c r="G50" s="48" t="e">
        <f>#REF!</f>
        <v>#REF!</v>
      </c>
      <c r="H50" s="48" t="e">
        <f>#REF!</f>
        <v>#REF!</v>
      </c>
      <c r="I50" s="48" t="e">
        <f>#REF!</f>
        <v>#REF!</v>
      </c>
      <c r="J50" s="48" t="e">
        <f>#REF!</f>
        <v>#REF!</v>
      </c>
      <c r="K50" s="48" t="e">
        <f>#REF!</f>
        <v>#REF!</v>
      </c>
      <c r="L50" s="45" t="e">
        <f>J50-K50</f>
        <v>#REF!</v>
      </c>
      <c r="M50" s="61" t="e">
        <f>L50/K50</f>
        <v>#REF!</v>
      </c>
    </row>
    <row r="51" spans="1:14">
      <c r="A51" s="1"/>
      <c r="B51" s="1"/>
      <c r="C51" s="11"/>
      <c r="D51" s="11" t="s">
        <v>46</v>
      </c>
      <c r="E51" s="15" t="e">
        <f>#REF!</f>
        <v>#REF!</v>
      </c>
      <c r="F51" s="48" t="e">
        <f>#REF!</f>
        <v>#REF!</v>
      </c>
      <c r="G51" s="48" t="e">
        <f>#REF!</f>
        <v>#REF!</v>
      </c>
      <c r="H51" s="48" t="e">
        <f>#REF!</f>
        <v>#REF!</v>
      </c>
      <c r="I51" s="48" t="e">
        <f>#REF!</f>
        <v>#REF!</v>
      </c>
      <c r="J51" s="48" t="e">
        <f>#REF!</f>
        <v>#REF!</v>
      </c>
      <c r="K51" s="48" t="e">
        <f>#REF!</f>
        <v>#REF!</v>
      </c>
      <c r="L51" s="45" t="e">
        <f>J51-K51</f>
        <v>#REF!</v>
      </c>
      <c r="M51" s="61" t="e">
        <f>L51/K51</f>
        <v>#REF!</v>
      </c>
    </row>
    <row r="52" spans="1:14">
      <c r="A52" s="1"/>
      <c r="B52" s="1"/>
      <c r="C52" s="11"/>
      <c r="D52" s="73" t="s">
        <v>242</v>
      </c>
      <c r="E52" s="15" t="e">
        <f>#REF!</f>
        <v>#REF!</v>
      </c>
      <c r="F52" s="48" t="e">
        <f>#REF!</f>
        <v>#REF!</v>
      </c>
      <c r="G52" s="48" t="e">
        <f>#REF!</f>
        <v>#REF!</v>
      </c>
      <c r="H52" s="48" t="e">
        <f>#REF!</f>
        <v>#REF!</v>
      </c>
      <c r="I52" s="48" t="e">
        <f>#REF!</f>
        <v>#REF!</v>
      </c>
      <c r="J52" s="48" t="e">
        <f>#REF!</f>
        <v>#REF!</v>
      </c>
      <c r="K52" s="48"/>
      <c r="L52" s="45"/>
    </row>
    <row r="53" spans="1:14">
      <c r="A53" s="1"/>
      <c r="B53" s="1"/>
      <c r="C53" s="11"/>
      <c r="D53" s="11" t="s">
        <v>154</v>
      </c>
      <c r="E53" s="15" t="e">
        <f>#REF!</f>
        <v>#REF!</v>
      </c>
      <c r="F53" s="48" t="e">
        <f>#REF!</f>
        <v>#REF!</v>
      </c>
      <c r="G53" s="48" t="e">
        <f>#REF!</f>
        <v>#REF!</v>
      </c>
      <c r="H53" s="48" t="e">
        <f>#REF!</f>
        <v>#REF!</v>
      </c>
      <c r="I53" s="48" t="e">
        <f>#REF!</f>
        <v>#REF!</v>
      </c>
      <c r="J53" s="48" t="e">
        <f>#REF!</f>
        <v>#REF!</v>
      </c>
      <c r="K53" s="48"/>
      <c r="L53" s="45"/>
    </row>
    <row r="54" spans="1:14">
      <c r="A54" s="1"/>
      <c r="B54" s="1"/>
      <c r="C54" s="11"/>
      <c r="D54" s="11" t="s">
        <v>47</v>
      </c>
      <c r="E54" s="15" t="e">
        <f>#REF!</f>
        <v>#REF!</v>
      </c>
      <c r="F54" s="48" t="e">
        <f>#REF!</f>
        <v>#REF!</v>
      </c>
      <c r="G54" s="48" t="e">
        <f>#REF!</f>
        <v>#REF!</v>
      </c>
      <c r="H54" s="48" t="e">
        <f>#REF!</f>
        <v>#REF!</v>
      </c>
      <c r="I54" s="48" t="e">
        <f>#REF!</f>
        <v>#REF!</v>
      </c>
      <c r="J54" s="48" t="e">
        <f>#REF!</f>
        <v>#REF!</v>
      </c>
      <c r="K54" s="48"/>
      <c r="L54" s="45"/>
    </row>
    <row r="55" spans="1:14" ht="15">
      <c r="A55" s="1" t="s">
        <v>60</v>
      </c>
      <c r="B55" s="1"/>
      <c r="C55" s="39" t="s">
        <v>44</v>
      </c>
      <c r="D55" s="12"/>
      <c r="E55" s="15" t="e">
        <f>#REF!</f>
        <v>#REF!</v>
      </c>
      <c r="F55" s="49" t="e">
        <f>#REF!</f>
        <v>#REF!</v>
      </c>
      <c r="G55" s="49" t="e">
        <f>#REF!</f>
        <v>#REF!</v>
      </c>
      <c r="H55" s="49" t="e">
        <f>#REF!</f>
        <v>#REF!</v>
      </c>
      <c r="I55" s="49" t="e">
        <f>#REF!</f>
        <v>#REF!</v>
      </c>
      <c r="J55" s="49" t="e">
        <f>#REF!</f>
        <v>#REF!</v>
      </c>
      <c r="K55" s="49" t="e">
        <f>SUM(K49:K54)</f>
        <v>#REF!</v>
      </c>
      <c r="L55" s="45" t="e">
        <f>J55-K55</f>
        <v>#REF!</v>
      </c>
      <c r="M55" s="61" t="e">
        <f>L55/K55</f>
        <v>#REF!</v>
      </c>
    </row>
    <row r="56" spans="1:14">
      <c r="C56" s="4"/>
      <c r="D56" s="12" t="s">
        <v>78</v>
      </c>
      <c r="E56" s="15" t="e">
        <f>#REF!</f>
        <v>#REF!</v>
      </c>
      <c r="F56" s="48" t="e">
        <f>#REF!</f>
        <v>#REF!</v>
      </c>
      <c r="G56" s="48" t="e">
        <f>#REF!</f>
        <v>#REF!</v>
      </c>
      <c r="H56" s="48" t="e">
        <f>#REF!</f>
        <v>#REF!</v>
      </c>
      <c r="I56" s="48" t="e">
        <f>#REF!</f>
        <v>#REF!</v>
      </c>
      <c r="J56" s="48" t="e">
        <f>#REF!</f>
        <v>#REF!</v>
      </c>
      <c r="K56" s="48" t="e">
        <f>#REF!</f>
        <v>#REF!</v>
      </c>
      <c r="L56" s="45" t="e">
        <f>J56-K56</f>
        <v>#REF!</v>
      </c>
      <c r="M56" s="61" t="e">
        <f>L56/K56</f>
        <v>#REF!</v>
      </c>
      <c r="N56" s="71" t="s">
        <v>226</v>
      </c>
    </row>
    <row r="57" spans="1:14">
      <c r="A57" s="1"/>
      <c r="B57" s="1"/>
      <c r="C57" s="11"/>
      <c r="D57" s="12" t="s">
        <v>38</v>
      </c>
      <c r="E57" s="15" t="e">
        <f>#REF!</f>
        <v>#REF!</v>
      </c>
      <c r="F57" s="48" t="e">
        <f>#REF!</f>
        <v>#REF!</v>
      </c>
      <c r="G57" s="48" t="e">
        <f>#REF!</f>
        <v>#REF!</v>
      </c>
      <c r="H57" s="48" t="e">
        <f>#REF!</f>
        <v>#REF!</v>
      </c>
      <c r="I57" s="48" t="e">
        <f>#REF!</f>
        <v>#REF!</v>
      </c>
      <c r="J57" s="48" t="e">
        <f>#REF!</f>
        <v>#REF!</v>
      </c>
      <c r="K57" s="48" t="e">
        <f>#REF!</f>
        <v>#REF!</v>
      </c>
      <c r="L57" s="45" t="e">
        <f>J57-K57</f>
        <v>#REF!</v>
      </c>
      <c r="M57" s="61" t="e">
        <f>L57/K57</f>
        <v>#REF!</v>
      </c>
      <c r="N57" s="71" t="s">
        <v>227</v>
      </c>
    </row>
    <row r="58" spans="1:14">
      <c r="A58" s="1"/>
      <c r="B58" s="1"/>
      <c r="C58" s="11"/>
      <c r="D58" s="11" t="s">
        <v>79</v>
      </c>
      <c r="E58" s="15" t="e">
        <f>#REF!</f>
        <v>#REF!</v>
      </c>
      <c r="F58" s="48" t="e">
        <f>#REF!</f>
        <v>#REF!</v>
      </c>
      <c r="G58" s="48" t="e">
        <f>#REF!</f>
        <v>#REF!</v>
      </c>
      <c r="H58" s="48" t="e">
        <f>#REF!</f>
        <v>#REF!</v>
      </c>
      <c r="I58" s="48" t="e">
        <f>#REF!</f>
        <v>#REF!</v>
      </c>
      <c r="J58" s="48" t="e">
        <f>#REF!</f>
        <v>#REF!</v>
      </c>
      <c r="K58" s="48" t="e">
        <f>#REF!</f>
        <v>#REF!</v>
      </c>
      <c r="L58" s="45" t="e">
        <f>J58-K58</f>
        <v>#REF!</v>
      </c>
      <c r="M58" s="61" t="e">
        <f>L58/K58</f>
        <v>#REF!</v>
      </c>
      <c r="N58" s="4" t="s">
        <v>223</v>
      </c>
    </row>
    <row r="59" spans="1:14">
      <c r="A59" s="1"/>
      <c r="B59" s="1"/>
      <c r="C59" s="11"/>
      <c r="D59" s="11" t="s">
        <v>80</v>
      </c>
      <c r="E59" s="15" t="e">
        <f>#REF!</f>
        <v>#REF!</v>
      </c>
      <c r="F59" s="48" t="e">
        <f>#REF!</f>
        <v>#REF!</v>
      </c>
      <c r="G59" s="48" t="e">
        <f>#REF!</f>
        <v>#REF!</v>
      </c>
      <c r="H59" s="48" t="e">
        <f>#REF!</f>
        <v>#REF!</v>
      </c>
      <c r="I59" s="48" t="e">
        <f>#REF!</f>
        <v>#REF!</v>
      </c>
      <c r="J59" s="48" t="e">
        <f>#REF!</f>
        <v>#REF!</v>
      </c>
      <c r="K59" s="48" t="e">
        <f>#REF!</f>
        <v>#REF!</v>
      </c>
      <c r="L59" s="45" t="e">
        <f>J59-K59</f>
        <v>#REF!</v>
      </c>
      <c r="M59" s="61" t="e">
        <f>L59/K59</f>
        <v>#REF!</v>
      </c>
      <c r="N59" s="4" t="s">
        <v>224</v>
      </c>
    </row>
    <row r="60" spans="1:14">
      <c r="A60" s="1"/>
      <c r="B60" s="1"/>
      <c r="C60" s="11"/>
      <c r="D60" s="73" t="s">
        <v>244</v>
      </c>
      <c r="E60" s="15" t="e">
        <f>#REF!</f>
        <v>#REF!</v>
      </c>
      <c r="F60" s="48" t="e">
        <f>#REF!</f>
        <v>#REF!</v>
      </c>
      <c r="G60" s="48" t="e">
        <f>#REF!</f>
        <v>#REF!</v>
      </c>
      <c r="H60" s="48" t="e">
        <f>#REF!</f>
        <v>#REF!</v>
      </c>
      <c r="I60" s="48" t="e">
        <f>#REF!</f>
        <v>#REF!</v>
      </c>
      <c r="J60" s="48" t="e">
        <f>#REF!</f>
        <v>#REF!</v>
      </c>
      <c r="K60" s="48"/>
      <c r="L60" s="45"/>
    </row>
    <row r="61" spans="1:14">
      <c r="A61" s="1"/>
      <c r="B61" s="1"/>
      <c r="C61" s="11"/>
      <c r="D61" s="11" t="s">
        <v>155</v>
      </c>
      <c r="E61" s="15" t="e">
        <f>#REF!</f>
        <v>#REF!</v>
      </c>
      <c r="F61" s="48" t="e">
        <f>#REF!</f>
        <v>#REF!</v>
      </c>
      <c r="G61" s="48" t="e">
        <f>#REF!</f>
        <v>#REF!</v>
      </c>
      <c r="H61" s="48" t="e">
        <f>#REF!</f>
        <v>#REF!</v>
      </c>
      <c r="I61" s="48" t="e">
        <f>#REF!</f>
        <v>#REF!</v>
      </c>
      <c r="J61" s="48" t="e">
        <f>#REF!</f>
        <v>#REF!</v>
      </c>
      <c r="K61" s="48"/>
      <c r="L61" s="45"/>
    </row>
    <row r="62" spans="1:14">
      <c r="A62" s="1"/>
      <c r="B62" s="1"/>
      <c r="C62" s="11"/>
      <c r="D62" s="11" t="s">
        <v>39</v>
      </c>
      <c r="E62" s="15" t="e">
        <f>#REF!</f>
        <v>#REF!</v>
      </c>
      <c r="F62" s="48" t="e">
        <f>#REF!</f>
        <v>#REF!</v>
      </c>
      <c r="G62" s="48" t="e">
        <f>#REF!</f>
        <v>#REF!</v>
      </c>
      <c r="H62" s="48" t="e">
        <f>#REF!</f>
        <v>#REF!</v>
      </c>
      <c r="I62" s="48" t="e">
        <f>#REF!</f>
        <v>#REF!</v>
      </c>
      <c r="J62" s="48" t="e">
        <f>#REF!</f>
        <v>#REF!</v>
      </c>
      <c r="K62" s="48"/>
      <c r="L62" s="45"/>
    </row>
    <row r="63" spans="1:14" ht="15">
      <c r="A63" s="1" t="s">
        <v>60</v>
      </c>
      <c r="B63" s="1"/>
      <c r="C63" s="39" t="s">
        <v>77</v>
      </c>
      <c r="D63" s="12"/>
      <c r="E63" s="15" t="e">
        <f>#REF!</f>
        <v>#REF!</v>
      </c>
      <c r="F63" s="49" t="e">
        <f>#REF!</f>
        <v>#REF!</v>
      </c>
      <c r="G63" s="49" t="e">
        <f>#REF!</f>
        <v>#REF!</v>
      </c>
      <c r="H63" s="49" t="e">
        <f>#REF!</f>
        <v>#REF!</v>
      </c>
      <c r="I63" s="49" t="e">
        <f>#REF!</f>
        <v>#REF!</v>
      </c>
      <c r="J63" s="49" t="e">
        <f>#REF!</f>
        <v>#REF!</v>
      </c>
      <c r="K63" s="49" t="e">
        <f>SUM(K56:K62)</f>
        <v>#REF!</v>
      </c>
      <c r="L63" s="45" t="e">
        <f>J63-K63</f>
        <v>#REF!</v>
      </c>
      <c r="M63" s="61" t="e">
        <f>L63/K63</f>
        <v>#REF!</v>
      </c>
    </row>
    <row r="64" spans="1:14">
      <c r="C64" s="4"/>
      <c r="D64" s="60" t="s">
        <v>93</v>
      </c>
      <c r="E64" s="15" t="e">
        <f>#REF!</f>
        <v>#REF!</v>
      </c>
      <c r="F64" s="15" t="e">
        <f>#REF!</f>
        <v>#REF!</v>
      </c>
      <c r="G64" s="15" t="e">
        <f>#REF!</f>
        <v>#REF!</v>
      </c>
      <c r="H64" s="15" t="e">
        <f>#REF!</f>
        <v>#REF!</v>
      </c>
      <c r="I64" s="15" t="e">
        <f>#REF!</f>
        <v>#REF!</v>
      </c>
      <c r="J64" s="15" t="e">
        <f>#REF!</f>
        <v>#REF!</v>
      </c>
      <c r="K64" s="4"/>
      <c r="L64" s="45"/>
    </row>
    <row r="65" spans="1:14">
      <c r="A65" s="1"/>
      <c r="B65" s="1"/>
      <c r="C65" s="11"/>
      <c r="D65" s="37" t="s">
        <v>82</v>
      </c>
      <c r="E65" s="15" t="e">
        <f>#REF!</f>
        <v>#REF!</v>
      </c>
      <c r="F65" s="48" t="e">
        <f>#REF!</f>
        <v>#REF!</v>
      </c>
      <c r="G65" s="48" t="e">
        <f>#REF!</f>
        <v>#REF!</v>
      </c>
      <c r="H65" s="48" t="e">
        <f>#REF!</f>
        <v>#REF!</v>
      </c>
      <c r="I65" s="48" t="e">
        <f>#REF!</f>
        <v>#REF!</v>
      </c>
      <c r="J65" s="48" t="e">
        <f>#REF!</f>
        <v>#REF!</v>
      </c>
      <c r="K65" s="15" t="e">
        <f>#REF!</f>
        <v>#REF!</v>
      </c>
      <c r="L65" s="45" t="e">
        <f>J65-K65</f>
        <v>#REF!</v>
      </c>
      <c r="M65" s="61" t="e">
        <f>L65/K65</f>
        <v>#REF!</v>
      </c>
      <c r="N65" s="71" t="s">
        <v>228</v>
      </c>
    </row>
    <row r="66" spans="1:14">
      <c r="A66" s="1"/>
      <c r="B66" s="1"/>
      <c r="D66" s="37" t="s">
        <v>53</v>
      </c>
      <c r="E66" s="15" t="e">
        <f>#REF!</f>
        <v>#REF!</v>
      </c>
      <c r="F66" s="48" t="e">
        <f>#REF!</f>
        <v>#REF!</v>
      </c>
      <c r="G66" s="48" t="e">
        <f>#REF!</f>
        <v>#REF!</v>
      </c>
      <c r="H66" s="48" t="e">
        <f>#REF!</f>
        <v>#REF!</v>
      </c>
      <c r="I66" s="48" t="e">
        <f>#REF!</f>
        <v>#REF!</v>
      </c>
      <c r="J66" s="48" t="e">
        <f>#REF!</f>
        <v>#REF!</v>
      </c>
      <c r="K66" s="48" t="e">
        <f>#REF!</f>
        <v>#REF!</v>
      </c>
      <c r="L66" s="45" t="e">
        <f>J66-K66</f>
        <v>#REF!</v>
      </c>
      <c r="M66" s="61" t="e">
        <f>L66/K66</f>
        <v>#REF!</v>
      </c>
      <c r="N66" s="4" t="s">
        <v>229</v>
      </c>
    </row>
    <row r="67" spans="1:14">
      <c r="A67" s="1"/>
      <c r="B67" s="1"/>
      <c r="C67" s="11"/>
      <c r="D67" s="41" t="s">
        <v>54</v>
      </c>
      <c r="E67" s="15" t="e">
        <f>#REF!</f>
        <v>#REF!</v>
      </c>
      <c r="F67" s="48" t="e">
        <f>#REF!</f>
        <v>#REF!</v>
      </c>
      <c r="G67" s="48" t="e">
        <f>#REF!</f>
        <v>#REF!</v>
      </c>
      <c r="H67" s="48" t="e">
        <f>#REF!</f>
        <v>#REF!</v>
      </c>
      <c r="I67" s="48" t="e">
        <f>#REF!</f>
        <v>#REF!</v>
      </c>
      <c r="J67" s="48" t="e">
        <f>#REF!</f>
        <v>#REF!</v>
      </c>
      <c r="K67" s="48" t="e">
        <f>#REF!</f>
        <v>#REF!</v>
      </c>
      <c r="L67" s="45" t="e">
        <f>J67-K67</f>
        <v>#REF!</v>
      </c>
      <c r="M67" s="61" t="e">
        <f>L67/K67</f>
        <v>#REF!</v>
      </c>
      <c r="N67" s="71" t="s">
        <v>230</v>
      </c>
    </row>
    <row r="68" spans="1:14">
      <c r="A68" s="1"/>
      <c r="B68" s="1"/>
      <c r="C68" s="11"/>
      <c r="D68" s="41" t="s">
        <v>55</v>
      </c>
      <c r="E68" s="15" t="e">
        <f>#REF!</f>
        <v>#REF!</v>
      </c>
      <c r="F68" s="48" t="e">
        <f>#REF!</f>
        <v>#REF!</v>
      </c>
      <c r="G68" s="48" t="e">
        <f>#REF!</f>
        <v>#REF!</v>
      </c>
      <c r="H68" s="48" t="e">
        <f>#REF!</f>
        <v>#REF!</v>
      </c>
      <c r="I68" s="48" t="e">
        <f>#REF!</f>
        <v>#REF!</v>
      </c>
      <c r="J68" s="48" t="e">
        <f>#REF!</f>
        <v>#REF!</v>
      </c>
      <c r="K68" s="48" t="e">
        <f>#REF!</f>
        <v>#REF!</v>
      </c>
      <c r="L68" s="45" t="e">
        <f>J68-K68</f>
        <v>#REF!</v>
      </c>
      <c r="M68" s="61" t="e">
        <f>L68/K68</f>
        <v>#REF!</v>
      </c>
      <c r="N68" s="71" t="s">
        <v>230</v>
      </c>
    </row>
    <row r="69" spans="1:14">
      <c r="A69" s="1"/>
      <c r="B69" s="1"/>
      <c r="C69" s="11"/>
      <c r="D69" s="74" t="s">
        <v>246</v>
      </c>
      <c r="E69" s="15" t="e">
        <f>#REF!</f>
        <v>#REF!</v>
      </c>
      <c r="F69" s="48" t="e">
        <f>#REF!</f>
        <v>#REF!</v>
      </c>
      <c r="G69" s="48" t="e">
        <f>#REF!</f>
        <v>#REF!</v>
      </c>
      <c r="H69" s="48" t="e">
        <f>#REF!</f>
        <v>#REF!</v>
      </c>
      <c r="I69" s="48" t="e">
        <f>#REF!</f>
        <v>#REF!</v>
      </c>
      <c r="J69" s="48" t="e">
        <f>#REF!</f>
        <v>#REF!</v>
      </c>
      <c r="K69" s="48"/>
      <c r="L69" s="45"/>
      <c r="N69" s="71"/>
    </row>
    <row r="70" spans="1:14">
      <c r="A70" s="1"/>
      <c r="B70" s="1"/>
      <c r="C70" s="11"/>
      <c r="D70" s="41" t="s">
        <v>156</v>
      </c>
      <c r="E70" s="15" t="e">
        <f>#REF!</f>
        <v>#REF!</v>
      </c>
      <c r="F70" s="48" t="e">
        <f>#REF!</f>
        <v>#REF!</v>
      </c>
      <c r="G70" s="48" t="e">
        <f>#REF!</f>
        <v>#REF!</v>
      </c>
      <c r="H70" s="48" t="e">
        <f>#REF!</f>
        <v>#REF!</v>
      </c>
      <c r="I70" s="48" t="e">
        <f>#REF!</f>
        <v>#REF!</v>
      </c>
      <c r="J70" s="48" t="e">
        <f>#REF!</f>
        <v>#REF!</v>
      </c>
      <c r="K70" s="48"/>
      <c r="L70" s="45"/>
    </row>
    <row r="71" spans="1:14">
      <c r="A71" s="1"/>
      <c r="B71" s="1"/>
      <c r="C71" s="11"/>
      <c r="D71" s="41" t="s">
        <v>56</v>
      </c>
      <c r="E71" s="15" t="e">
        <f>#REF!</f>
        <v>#REF!</v>
      </c>
      <c r="F71" s="48" t="e">
        <f>#REF!</f>
        <v>#REF!</v>
      </c>
      <c r="G71" s="48" t="e">
        <f>#REF!</f>
        <v>#REF!</v>
      </c>
      <c r="H71" s="48" t="e">
        <f>#REF!</f>
        <v>#REF!</v>
      </c>
      <c r="I71" s="48" t="e">
        <f>#REF!</f>
        <v>#REF!</v>
      </c>
      <c r="J71" s="48" t="e">
        <f>#REF!</f>
        <v>#REF!</v>
      </c>
      <c r="K71" s="48"/>
      <c r="L71" s="45"/>
    </row>
    <row r="72" spans="1:14">
      <c r="A72" s="1"/>
      <c r="B72" s="1"/>
      <c r="C72" s="11"/>
      <c r="D72" s="39" t="s">
        <v>94</v>
      </c>
      <c r="E72" s="15" t="e">
        <f>#REF!</f>
        <v>#REF!</v>
      </c>
      <c r="F72" s="15" t="e">
        <f>#REF!</f>
        <v>#REF!</v>
      </c>
      <c r="G72" s="15" t="e">
        <f>#REF!</f>
        <v>#REF!</v>
      </c>
      <c r="H72" s="15" t="e">
        <f>#REF!</f>
        <v>#REF!</v>
      </c>
      <c r="I72" s="15" t="e">
        <f>#REF!</f>
        <v>#REF!</v>
      </c>
      <c r="J72" s="15" t="e">
        <f>#REF!</f>
        <v>#REF!</v>
      </c>
      <c r="K72" s="15"/>
      <c r="L72" s="45"/>
    </row>
    <row r="73" spans="1:14">
      <c r="A73" s="1"/>
      <c r="B73" s="1"/>
      <c r="C73" s="11"/>
      <c r="D73" s="37" t="s">
        <v>21</v>
      </c>
      <c r="E73" s="15" t="e">
        <f>#REF!</f>
        <v>#REF!</v>
      </c>
      <c r="F73" s="45" t="e">
        <f>#REF!</f>
        <v>#REF!</v>
      </c>
      <c r="G73" s="45" t="e">
        <f>#REF!</f>
        <v>#REF!</v>
      </c>
      <c r="H73" s="45" t="e">
        <f>#REF!</f>
        <v>#REF!</v>
      </c>
      <c r="I73" s="45" t="e">
        <f>#REF!</f>
        <v>#REF!</v>
      </c>
      <c r="J73" s="48" t="e">
        <f>#REF!</f>
        <v>#REF!</v>
      </c>
      <c r="K73" s="45" t="e">
        <f>#REF!</f>
        <v>#REF!</v>
      </c>
      <c r="L73" s="45" t="e">
        <f>J73-K73</f>
        <v>#REF!</v>
      </c>
      <c r="M73" s="61" t="e">
        <f>L73/K73</f>
        <v>#REF!</v>
      </c>
      <c r="N73" s="71" t="s">
        <v>231</v>
      </c>
    </row>
    <row r="74" spans="1:14">
      <c r="A74" s="1"/>
      <c r="B74" s="1"/>
      <c r="C74" s="11"/>
      <c r="D74" s="41" t="s">
        <v>57</v>
      </c>
      <c r="E74" s="15" t="e">
        <f>#REF!</f>
        <v>#REF!</v>
      </c>
      <c r="F74" s="48" t="e">
        <f>#REF!</f>
        <v>#REF!</v>
      </c>
      <c r="G74" s="48" t="e">
        <f>#REF!</f>
        <v>#REF!</v>
      </c>
      <c r="H74" s="48" t="e">
        <f>#REF!</f>
        <v>#REF!</v>
      </c>
      <c r="I74" s="48" t="e">
        <f>#REF!</f>
        <v>#REF!</v>
      </c>
      <c r="J74" s="48" t="e">
        <f>#REF!</f>
        <v>#REF!</v>
      </c>
      <c r="K74" s="48" t="e">
        <f>#REF!</f>
        <v>#REF!</v>
      </c>
      <c r="L74" s="45" t="e">
        <f>J74-K74</f>
        <v>#REF!</v>
      </c>
      <c r="M74" s="61" t="e">
        <f>L74/K74</f>
        <v>#REF!</v>
      </c>
      <c r="N74" s="71" t="s">
        <v>230</v>
      </c>
    </row>
    <row r="75" spans="1:14">
      <c r="A75" s="1"/>
      <c r="B75" s="1"/>
      <c r="C75" s="11"/>
      <c r="D75" s="41" t="s">
        <v>58</v>
      </c>
      <c r="E75" s="15" t="e">
        <f>#REF!</f>
        <v>#REF!</v>
      </c>
      <c r="F75" s="48" t="e">
        <f>#REF!</f>
        <v>#REF!</v>
      </c>
      <c r="G75" s="48" t="e">
        <f>#REF!</f>
        <v>#REF!</v>
      </c>
      <c r="H75" s="48" t="e">
        <f>#REF!</f>
        <v>#REF!</v>
      </c>
      <c r="I75" s="48" t="e">
        <f>#REF!</f>
        <v>#REF!</v>
      </c>
      <c r="J75" s="48" t="e">
        <f>#REF!</f>
        <v>#REF!</v>
      </c>
      <c r="K75" s="48" t="e">
        <f>#REF!</f>
        <v>#REF!</v>
      </c>
      <c r="L75" s="45" t="e">
        <f>J75-K75</f>
        <v>#REF!</v>
      </c>
      <c r="M75" s="61" t="e">
        <f>L75/K75</f>
        <v>#REF!</v>
      </c>
      <c r="N75" s="71" t="s">
        <v>230</v>
      </c>
    </row>
    <row r="76" spans="1:14">
      <c r="A76" s="1"/>
      <c r="B76" s="1"/>
      <c r="C76" s="11"/>
      <c r="D76" s="41" t="s">
        <v>59</v>
      </c>
      <c r="E76" s="15" t="e">
        <f>#REF!</f>
        <v>#REF!</v>
      </c>
      <c r="F76" s="48" t="e">
        <f>#REF!</f>
        <v>#REF!</v>
      </c>
      <c r="G76" s="48" t="e">
        <f>#REF!</f>
        <v>#REF!</v>
      </c>
      <c r="H76" s="48" t="e">
        <f>#REF!</f>
        <v>#REF!</v>
      </c>
      <c r="I76" s="48" t="e">
        <f>#REF!</f>
        <v>#REF!</v>
      </c>
      <c r="J76" s="48" t="e">
        <f>#REF!</f>
        <v>#REF!</v>
      </c>
      <c r="K76" s="48"/>
      <c r="L76" s="45"/>
    </row>
    <row r="77" spans="1:14">
      <c r="A77" s="1"/>
      <c r="B77" s="1"/>
      <c r="C77" s="11"/>
      <c r="D77" s="41"/>
      <c r="E77" s="15"/>
      <c r="F77" s="48"/>
      <c r="G77" s="48"/>
      <c r="H77" s="48"/>
      <c r="I77" s="48"/>
      <c r="J77" s="48"/>
      <c r="K77" s="48"/>
      <c r="L77" s="45"/>
    </row>
    <row r="78" spans="1:14">
      <c r="A78" s="1"/>
      <c r="B78" s="1"/>
      <c r="C78" s="11"/>
      <c r="D78" s="25" t="s">
        <v>157</v>
      </c>
      <c r="E78" s="63" t="e">
        <f>#REF!</f>
        <v>#REF!</v>
      </c>
      <c r="F78" s="45" t="e">
        <f>#REF!</f>
        <v>#REF!</v>
      </c>
      <c r="G78" s="45" t="e">
        <f>#REF!</f>
        <v>#REF!</v>
      </c>
      <c r="H78" s="45" t="e">
        <f>#REF!</f>
        <v>#REF!</v>
      </c>
      <c r="I78" s="45" t="e">
        <f>#REF!</f>
        <v>#REF!</v>
      </c>
      <c r="J78" s="48" t="e">
        <f>#REF!</f>
        <v>#REF!</v>
      </c>
      <c r="K78" s="48" t="e">
        <f>#REF!</f>
        <v>#REF!</v>
      </c>
      <c r="L78" s="45" t="e">
        <f>J78-K78</f>
        <v>#REF!</v>
      </c>
      <c r="M78" s="61" t="e">
        <f>L78/K78</f>
        <v>#REF!</v>
      </c>
      <c r="N78" s="71" t="s">
        <v>233</v>
      </c>
    </row>
    <row r="79" spans="1:14" ht="15">
      <c r="A79" s="1" t="s">
        <v>60</v>
      </c>
      <c r="B79" s="1"/>
      <c r="C79" s="39" t="s">
        <v>81</v>
      </c>
      <c r="D79" s="12"/>
      <c r="E79" s="15" t="e">
        <f>#REF!</f>
        <v>#REF!</v>
      </c>
      <c r="F79" s="50" t="e">
        <f>#REF!</f>
        <v>#REF!</v>
      </c>
      <c r="G79" s="50" t="e">
        <f>#REF!</f>
        <v>#REF!</v>
      </c>
      <c r="H79" s="50" t="e">
        <f>#REF!</f>
        <v>#REF!</v>
      </c>
      <c r="I79" s="50" t="e">
        <f>#REF!</f>
        <v>#REF!</v>
      </c>
      <c r="J79" s="50" t="e">
        <f>#REF!</f>
        <v>#REF!</v>
      </c>
      <c r="K79" s="50" t="e">
        <f>SUM(K64:K78)</f>
        <v>#REF!</v>
      </c>
      <c r="L79" s="45" t="e">
        <f>J79-K79</f>
        <v>#REF!</v>
      </c>
      <c r="M79" s="61" t="e">
        <f>L79/K79</f>
        <v>#REF!</v>
      </c>
    </row>
    <row r="80" spans="1:14">
      <c r="D80" s="12" t="s">
        <v>22</v>
      </c>
      <c r="E80" s="15" t="e">
        <f>#REF!</f>
        <v>#REF!</v>
      </c>
      <c r="F80" s="48" t="e">
        <f>#REF!</f>
        <v>#REF!</v>
      </c>
      <c r="G80" s="48" t="e">
        <f>#REF!</f>
        <v>#REF!</v>
      </c>
      <c r="H80" s="48" t="e">
        <f>#REF!</f>
        <v>#REF!</v>
      </c>
      <c r="I80" s="48" t="e">
        <f>#REF!</f>
        <v>#REF!</v>
      </c>
      <c r="J80" s="48" t="e">
        <f>#REF!</f>
        <v>#REF!</v>
      </c>
      <c r="K80" s="45" t="e">
        <f>#REF!</f>
        <v>#REF!</v>
      </c>
      <c r="L80" s="45" t="e">
        <f>J80-K80</f>
        <v>#REF!</v>
      </c>
      <c r="M80" s="61" t="e">
        <f>L80/K80</f>
        <v>#REF!</v>
      </c>
      <c r="N80" s="71" t="s">
        <v>232</v>
      </c>
    </row>
    <row r="81" spans="1:14">
      <c r="A81" s="1"/>
      <c r="B81" s="1"/>
      <c r="C81" s="11"/>
      <c r="D81" s="11" t="s">
        <v>49</v>
      </c>
      <c r="E81" s="15" t="e">
        <f>#REF!</f>
        <v>#REF!</v>
      </c>
      <c r="F81" s="48" t="e">
        <f>#REF!</f>
        <v>#REF!</v>
      </c>
      <c r="G81" s="48" t="e">
        <f>#REF!</f>
        <v>#REF!</v>
      </c>
      <c r="H81" s="48" t="e">
        <f>#REF!</f>
        <v>#REF!</v>
      </c>
      <c r="I81" s="48" t="e">
        <f>#REF!</f>
        <v>#REF!</v>
      </c>
      <c r="J81" s="48" t="e">
        <f>#REF!</f>
        <v>#REF!</v>
      </c>
      <c r="K81" s="48" t="e">
        <f>#REF!</f>
        <v>#REF!</v>
      </c>
      <c r="L81" s="45" t="e">
        <f>J81-K81</f>
        <v>#REF!</v>
      </c>
      <c r="M81" s="61" t="e">
        <f>L81/K81</f>
        <v>#REF!</v>
      </c>
      <c r="N81" s="71" t="s">
        <v>230</v>
      </c>
    </row>
    <row r="82" spans="1:14">
      <c r="A82" s="1"/>
      <c r="B82" s="1"/>
      <c r="C82" s="11"/>
      <c r="D82" s="11" t="s">
        <v>51</v>
      </c>
      <c r="E82" s="15" t="e">
        <f>#REF!</f>
        <v>#REF!</v>
      </c>
      <c r="F82" s="48" t="e">
        <f>#REF!</f>
        <v>#REF!</v>
      </c>
      <c r="G82" s="48" t="e">
        <f>#REF!</f>
        <v>#REF!</v>
      </c>
      <c r="H82" s="48" t="e">
        <f>#REF!</f>
        <v>#REF!</v>
      </c>
      <c r="I82" s="48" t="e">
        <f>#REF!</f>
        <v>#REF!</v>
      </c>
      <c r="J82" s="48" t="e">
        <f>#REF!</f>
        <v>#REF!</v>
      </c>
      <c r="K82" s="48" t="e">
        <f>#REF!</f>
        <v>#REF!</v>
      </c>
      <c r="L82" s="45" t="e">
        <f>J82-K82</f>
        <v>#REF!</v>
      </c>
      <c r="M82" s="61" t="e">
        <f>L82/K82</f>
        <v>#REF!</v>
      </c>
      <c r="N82" s="71" t="s">
        <v>232</v>
      </c>
    </row>
    <row r="83" spans="1:14">
      <c r="A83" s="1"/>
      <c r="B83" s="1"/>
      <c r="C83" s="11"/>
      <c r="D83" s="73" t="s">
        <v>253</v>
      </c>
      <c r="E83" s="15" t="e">
        <f>#REF!</f>
        <v>#REF!</v>
      </c>
      <c r="F83" s="48" t="e">
        <f>#REF!</f>
        <v>#REF!</v>
      </c>
      <c r="G83" s="48" t="e">
        <f>#REF!</f>
        <v>#REF!</v>
      </c>
      <c r="H83" s="48" t="e">
        <f>#REF!</f>
        <v>#REF!</v>
      </c>
      <c r="I83" s="48" t="e">
        <f>#REF!</f>
        <v>#REF!</v>
      </c>
      <c r="J83" s="48" t="e">
        <f>#REF!</f>
        <v>#REF!</v>
      </c>
      <c r="K83" s="48"/>
      <c r="L83" s="45"/>
      <c r="N83" s="71"/>
    </row>
    <row r="84" spans="1:14">
      <c r="A84" s="1"/>
      <c r="B84" s="1"/>
      <c r="C84" s="11"/>
      <c r="D84" s="11" t="s">
        <v>158</v>
      </c>
      <c r="E84" s="15" t="e">
        <f>#REF!</f>
        <v>#REF!</v>
      </c>
      <c r="F84" s="48" t="e">
        <f>#REF!</f>
        <v>#REF!</v>
      </c>
      <c r="G84" s="48" t="e">
        <f>#REF!</f>
        <v>#REF!</v>
      </c>
      <c r="H84" s="48" t="e">
        <f>#REF!</f>
        <v>#REF!</v>
      </c>
      <c r="I84" s="48" t="e">
        <f>#REF!</f>
        <v>#REF!</v>
      </c>
      <c r="J84" s="48" t="e">
        <f>#REF!</f>
        <v>#REF!</v>
      </c>
      <c r="K84" s="48"/>
      <c r="L84" s="45"/>
    </row>
    <row r="85" spans="1:14">
      <c r="A85" s="1"/>
      <c r="B85" s="1"/>
      <c r="C85" s="11"/>
      <c r="D85" s="11" t="s">
        <v>50</v>
      </c>
      <c r="E85" s="15" t="e">
        <f>#REF!</f>
        <v>#REF!</v>
      </c>
      <c r="F85" s="48" t="e">
        <f>#REF!</f>
        <v>#REF!</v>
      </c>
      <c r="G85" s="48" t="e">
        <f>#REF!</f>
        <v>#REF!</v>
      </c>
      <c r="H85" s="48" t="e">
        <f>#REF!</f>
        <v>#REF!</v>
      </c>
      <c r="I85" s="48" t="e">
        <f>#REF!</f>
        <v>#REF!</v>
      </c>
      <c r="J85" s="48" t="e">
        <f>#REF!</f>
        <v>#REF!</v>
      </c>
      <c r="K85" s="48"/>
      <c r="L85" s="45"/>
    </row>
    <row r="86" spans="1:14" ht="15">
      <c r="A86" s="1" t="s">
        <v>60</v>
      </c>
      <c r="B86" s="1"/>
      <c r="C86" s="39" t="s">
        <v>52</v>
      </c>
      <c r="D86" s="12"/>
      <c r="E86" s="15" t="e">
        <f>#REF!</f>
        <v>#REF!</v>
      </c>
      <c r="F86" s="50" t="e">
        <f>#REF!</f>
        <v>#REF!</v>
      </c>
      <c r="G86" s="50" t="e">
        <f>#REF!</f>
        <v>#REF!</v>
      </c>
      <c r="H86" s="50" t="e">
        <f>#REF!</f>
        <v>#REF!</v>
      </c>
      <c r="I86" s="50" t="e">
        <f>#REF!</f>
        <v>#REF!</v>
      </c>
      <c r="J86" s="50" t="e">
        <f>#REF!</f>
        <v>#REF!</v>
      </c>
      <c r="K86" s="50" t="e">
        <f>SUM(K80:K85)</f>
        <v>#REF!</v>
      </c>
      <c r="L86" s="45" t="e">
        <f>J86-K86</f>
        <v>#REF!</v>
      </c>
      <c r="M86" s="61" t="e">
        <f>L86/K86</f>
        <v>#REF!</v>
      </c>
      <c r="N86" s="71" t="s">
        <v>234</v>
      </c>
    </row>
    <row r="87" spans="1:14">
      <c r="A87" s="28"/>
      <c r="B87" s="28"/>
      <c r="C87" s="43"/>
      <c r="D87" s="12" t="s">
        <v>84</v>
      </c>
      <c r="E87" s="15" t="e">
        <f>#REF!</f>
        <v>#REF!</v>
      </c>
      <c r="F87" s="48" t="e">
        <f>#REF!</f>
        <v>#REF!</v>
      </c>
      <c r="G87" s="48" t="e">
        <f>#REF!</f>
        <v>#REF!</v>
      </c>
      <c r="H87" s="48" t="e">
        <f>#REF!</f>
        <v>#REF!</v>
      </c>
      <c r="I87" s="48" t="e">
        <f>#REF!</f>
        <v>#REF!</v>
      </c>
      <c r="J87" s="48" t="e">
        <f>#REF!</f>
        <v>#REF!</v>
      </c>
      <c r="K87" s="48" t="e">
        <f>#REF!</f>
        <v>#REF!</v>
      </c>
      <c r="L87" s="45" t="e">
        <f>J87-K87</f>
        <v>#REF!</v>
      </c>
      <c r="M87" s="61" t="e">
        <f>L87/K87</f>
        <v>#REF!</v>
      </c>
    </row>
    <row r="88" spans="1:14">
      <c r="A88" s="28"/>
      <c r="B88" s="28"/>
      <c r="C88" s="43"/>
      <c r="D88" s="12"/>
      <c r="E88" s="15" t="e">
        <f>#REF!</f>
        <v>#REF!</v>
      </c>
      <c r="F88" s="48" t="e">
        <f>#REF!</f>
        <v>#REF!</v>
      </c>
      <c r="G88" s="48" t="e">
        <f>#REF!</f>
        <v>#REF!</v>
      </c>
      <c r="H88" s="48" t="e">
        <f>#REF!</f>
        <v>#REF!</v>
      </c>
      <c r="I88" s="48" t="e">
        <f>#REF!</f>
        <v>#REF!</v>
      </c>
      <c r="J88" s="48" t="e">
        <f>#REF!</f>
        <v>#REF!</v>
      </c>
      <c r="K88" s="48"/>
      <c r="L88" s="45"/>
    </row>
    <row r="89" spans="1:14" ht="15">
      <c r="A89" s="28" t="s">
        <v>60</v>
      </c>
      <c r="B89" s="28"/>
      <c r="C89" s="42" t="s">
        <v>83</v>
      </c>
      <c r="D89" s="37"/>
      <c r="E89" s="15" t="e">
        <f>#REF!</f>
        <v>#REF!</v>
      </c>
      <c r="F89" s="49" t="e">
        <f>#REF!</f>
        <v>#REF!</v>
      </c>
      <c r="G89" s="49" t="e">
        <f>#REF!</f>
        <v>#REF!</v>
      </c>
      <c r="H89" s="49" t="e">
        <f>#REF!</f>
        <v>#REF!</v>
      </c>
      <c r="I89" s="49" t="e">
        <f>#REF!</f>
        <v>#REF!</v>
      </c>
      <c r="J89" s="49" t="e">
        <f>#REF!</f>
        <v>#REF!</v>
      </c>
      <c r="K89" s="49" t="e">
        <f>#REF!-#REF!</f>
        <v>#REF!</v>
      </c>
      <c r="L89" s="45" t="e">
        <f>J89-K89</f>
        <v>#REF!</v>
      </c>
      <c r="M89" s="61" t="e">
        <f>L89/K89</f>
        <v>#REF!</v>
      </c>
    </row>
    <row r="90" spans="1:14">
      <c r="C90" s="4"/>
      <c r="D90" s="62" t="s">
        <v>95</v>
      </c>
      <c r="E90" s="15" t="e">
        <f>#REF!</f>
        <v>#REF!</v>
      </c>
      <c r="F90" s="45" t="e">
        <f>#REF!</f>
        <v>#REF!</v>
      </c>
      <c r="G90" s="45" t="e">
        <f>#REF!</f>
        <v>#REF!</v>
      </c>
      <c r="H90" s="45" t="e">
        <f>#REF!</f>
        <v>#REF!</v>
      </c>
      <c r="I90" s="45" t="e">
        <f>#REF!</f>
        <v>#REF!</v>
      </c>
      <c r="J90" s="45" t="e">
        <f>#REF!</f>
        <v>#REF!</v>
      </c>
      <c r="L90" s="45"/>
    </row>
    <row r="91" spans="1:14">
      <c r="A91" s="1"/>
      <c r="B91" s="1"/>
      <c r="C91" s="42"/>
      <c r="D91" s="37" t="s">
        <v>96</v>
      </c>
      <c r="E91" s="15" t="e">
        <f>#REF!</f>
        <v>#REF!</v>
      </c>
      <c r="F91" s="48" t="e">
        <f>#REF!</f>
        <v>#REF!</v>
      </c>
      <c r="G91" s="48" t="e">
        <f>#REF!</f>
        <v>#REF!</v>
      </c>
      <c r="H91" s="48" t="e">
        <f>#REF!</f>
        <v>#REF!</v>
      </c>
      <c r="I91" s="48" t="e">
        <f>#REF!</f>
        <v>#REF!</v>
      </c>
      <c r="J91" s="48" t="e">
        <f>#REF!</f>
        <v>#REF!</v>
      </c>
      <c r="K91" s="48" t="e">
        <f>#REF!</f>
        <v>#REF!</v>
      </c>
      <c r="L91" s="45" t="e">
        <f>J91-K91</f>
        <v>#REF!</v>
      </c>
      <c r="M91" s="61" t="e">
        <f>L91/K91</f>
        <v>#REF!</v>
      </c>
    </row>
    <row r="92" spans="1:14">
      <c r="A92" s="1"/>
      <c r="B92" s="1"/>
      <c r="C92" s="11"/>
      <c r="D92" s="41" t="s">
        <v>86</v>
      </c>
      <c r="E92" s="15" t="e">
        <f>#REF!</f>
        <v>#REF!</v>
      </c>
      <c r="F92" s="48" t="e">
        <f>#REF!</f>
        <v>#REF!</v>
      </c>
      <c r="G92" s="48" t="e">
        <f>#REF!</f>
        <v>#REF!</v>
      </c>
      <c r="H92" s="48" t="e">
        <f>#REF!</f>
        <v>#REF!</v>
      </c>
      <c r="I92" s="48" t="e">
        <f>#REF!</f>
        <v>#REF!</v>
      </c>
      <c r="J92" s="48" t="e">
        <f>#REF!</f>
        <v>#REF!</v>
      </c>
      <c r="K92" s="48"/>
      <c r="L92" s="45"/>
    </row>
    <row r="93" spans="1:14">
      <c r="A93" s="1"/>
      <c r="B93" s="1"/>
      <c r="C93" s="11"/>
      <c r="D93" s="41" t="s">
        <v>87</v>
      </c>
      <c r="E93" s="15" t="e">
        <f>#REF!</f>
        <v>#REF!</v>
      </c>
      <c r="F93" s="48" t="e">
        <f>#REF!</f>
        <v>#REF!</v>
      </c>
      <c r="G93" s="48" t="e">
        <f>#REF!</f>
        <v>#REF!</v>
      </c>
      <c r="H93" s="48" t="e">
        <f>#REF!</f>
        <v>#REF!</v>
      </c>
      <c r="I93" s="48" t="e">
        <f>#REF!</f>
        <v>#REF!</v>
      </c>
      <c r="J93" s="48" t="e">
        <f>#REF!</f>
        <v>#REF!</v>
      </c>
      <c r="K93" s="48"/>
      <c r="L93" s="45"/>
    </row>
    <row r="94" spans="1:14">
      <c r="A94" s="1"/>
      <c r="B94" s="1"/>
      <c r="C94" s="11"/>
      <c r="D94" s="74" t="s">
        <v>247</v>
      </c>
      <c r="E94" s="15" t="e">
        <f>#REF!</f>
        <v>#REF!</v>
      </c>
      <c r="F94" s="48" t="e">
        <f>#REF!</f>
        <v>#REF!</v>
      </c>
      <c r="G94" s="48" t="e">
        <f>#REF!</f>
        <v>#REF!</v>
      </c>
      <c r="H94" s="48" t="e">
        <f>#REF!</f>
        <v>#REF!</v>
      </c>
      <c r="I94" s="48" t="e">
        <f>#REF!</f>
        <v>#REF!</v>
      </c>
      <c r="J94" s="48" t="e">
        <f>#REF!</f>
        <v>#REF!</v>
      </c>
      <c r="K94" s="48"/>
      <c r="L94" s="45"/>
    </row>
    <row r="95" spans="1:14">
      <c r="A95" s="1"/>
      <c r="B95" s="1"/>
      <c r="C95" s="11"/>
      <c r="D95" s="41" t="s">
        <v>159</v>
      </c>
      <c r="E95" s="15" t="e">
        <f>#REF!</f>
        <v>#REF!</v>
      </c>
      <c r="F95" s="48" t="e">
        <f>#REF!</f>
        <v>#REF!</v>
      </c>
      <c r="G95" s="48" t="e">
        <f>#REF!</f>
        <v>#REF!</v>
      </c>
      <c r="H95" s="48" t="e">
        <f>#REF!</f>
        <v>#REF!</v>
      </c>
      <c r="I95" s="48" t="e">
        <f>#REF!</f>
        <v>#REF!</v>
      </c>
      <c r="J95" s="48" t="e">
        <f>#REF!</f>
        <v>#REF!</v>
      </c>
      <c r="K95" s="48"/>
      <c r="L95" s="45"/>
    </row>
    <row r="96" spans="1:14">
      <c r="A96" s="1"/>
      <c r="B96" s="1"/>
      <c r="C96" s="11"/>
      <c r="D96" s="41" t="s">
        <v>88</v>
      </c>
      <c r="E96" s="15" t="e">
        <f>#REF!</f>
        <v>#REF!</v>
      </c>
      <c r="F96" s="48" t="e">
        <f>#REF!</f>
        <v>#REF!</v>
      </c>
      <c r="G96" s="48" t="e">
        <f>#REF!</f>
        <v>#REF!</v>
      </c>
      <c r="H96" s="48" t="e">
        <f>#REF!</f>
        <v>#REF!</v>
      </c>
      <c r="I96" s="48" t="e">
        <f>#REF!</f>
        <v>#REF!</v>
      </c>
      <c r="J96" s="48" t="e">
        <f>#REF!</f>
        <v>#REF!</v>
      </c>
      <c r="K96" s="48"/>
      <c r="L96" s="45"/>
    </row>
    <row r="97" spans="1:14">
      <c r="A97" s="2"/>
      <c r="B97" s="2"/>
      <c r="C97" s="11"/>
      <c r="D97" s="60" t="s">
        <v>162</v>
      </c>
      <c r="E97" s="15" t="e">
        <f>#REF!</f>
        <v>#REF!</v>
      </c>
      <c r="F97" s="45" t="e">
        <f>#REF!</f>
        <v>#REF!</v>
      </c>
      <c r="G97" s="45" t="e">
        <f>#REF!</f>
        <v>#REF!</v>
      </c>
      <c r="H97" s="45" t="e">
        <f>#REF!</f>
        <v>#REF!</v>
      </c>
      <c r="I97" s="45" t="e">
        <f>#REF!</f>
        <v>#REF!</v>
      </c>
      <c r="J97" s="48" t="e">
        <f>#REF!</f>
        <v>#REF!</v>
      </c>
      <c r="K97" s="48" t="e">
        <f>#REF!</f>
        <v>#REF!</v>
      </c>
      <c r="L97" s="45" t="e">
        <f>J97-K97</f>
        <v>#REF!</v>
      </c>
      <c r="M97" s="61" t="e">
        <f>L97/K97</f>
        <v>#REF!</v>
      </c>
    </row>
    <row r="98" spans="1:14">
      <c r="A98" s="2"/>
      <c r="B98" s="2"/>
      <c r="C98" s="11"/>
      <c r="D98" s="41" t="s">
        <v>162</v>
      </c>
      <c r="E98" s="15" t="e">
        <f>#REF!</f>
        <v>#REF!</v>
      </c>
      <c r="F98" s="45" t="e">
        <f>#REF!</f>
        <v>#REF!</v>
      </c>
      <c r="G98" s="45" t="e">
        <f>#REF!</f>
        <v>#REF!</v>
      </c>
      <c r="H98" s="45" t="e">
        <f>#REF!</f>
        <v>#REF!</v>
      </c>
      <c r="I98" s="45" t="e">
        <f>#REF!</f>
        <v>#REF!</v>
      </c>
      <c r="J98" s="48" t="e">
        <f>#REF!</f>
        <v>#REF!</v>
      </c>
      <c r="K98" s="48"/>
      <c r="L98" s="45"/>
    </row>
    <row r="99" spans="1:14">
      <c r="A99" s="2"/>
      <c r="B99" s="2"/>
      <c r="C99" s="11"/>
      <c r="D99" s="41" t="s">
        <v>257</v>
      </c>
      <c r="E99" s="15" t="e">
        <f>#REF!</f>
        <v>#REF!</v>
      </c>
      <c r="F99" s="45" t="e">
        <f>#REF!</f>
        <v>#REF!</v>
      </c>
      <c r="G99" s="45" t="e">
        <f>#REF!</f>
        <v>#REF!</v>
      </c>
      <c r="H99" s="45" t="e">
        <f>#REF!</f>
        <v>#REF!</v>
      </c>
      <c r="I99" s="45" t="e">
        <f>#REF!</f>
        <v>#REF!</v>
      </c>
      <c r="J99" s="48" t="e">
        <f>#REF!</f>
        <v>#REF!</v>
      </c>
      <c r="K99" s="48"/>
      <c r="L99" s="45"/>
    </row>
    <row r="100" spans="1:14" ht="15">
      <c r="A100" s="28" t="s">
        <v>60</v>
      </c>
      <c r="B100" s="1"/>
      <c r="C100" s="42" t="s">
        <v>85</v>
      </c>
      <c r="D100" s="37"/>
      <c r="E100" s="15" t="e">
        <f>#REF!</f>
        <v>#REF!</v>
      </c>
      <c r="F100" s="49" t="e">
        <f>#REF!</f>
        <v>#REF!</v>
      </c>
      <c r="G100" s="49" t="e">
        <f>#REF!</f>
        <v>#REF!</v>
      </c>
      <c r="H100" s="49" t="e">
        <f>#REF!</f>
        <v>#REF!</v>
      </c>
      <c r="I100" s="49" t="e">
        <f>#REF!</f>
        <v>#REF!</v>
      </c>
      <c r="J100" s="49" t="e">
        <f>#REF!</f>
        <v>#REF!</v>
      </c>
      <c r="K100" s="49" t="e">
        <f>SUM(K90:K97)</f>
        <v>#REF!</v>
      </c>
      <c r="L100" s="45" t="e">
        <f>J100-K100</f>
        <v>#REF!</v>
      </c>
      <c r="M100" s="61" t="e">
        <f>L100/K100</f>
        <v>#REF!</v>
      </c>
    </row>
    <row r="101" spans="1:14">
      <c r="C101" s="4"/>
      <c r="D101" s="72" t="s">
        <v>238</v>
      </c>
      <c r="E101" s="56" t="e">
        <f>#REF!</f>
        <v>#REF!</v>
      </c>
      <c r="F101" s="51" t="e">
        <f>#REF!</f>
        <v>#REF!</v>
      </c>
      <c r="G101" s="51" t="e">
        <f>#REF!</f>
        <v>#REF!</v>
      </c>
      <c r="H101" s="51" t="e">
        <f>#REF!</f>
        <v>#REF!</v>
      </c>
      <c r="I101" s="51" t="e">
        <f>#REF!</f>
        <v>#REF!</v>
      </c>
      <c r="J101" s="51" t="e">
        <f>#REF!</f>
        <v>#REF!</v>
      </c>
      <c r="K101" s="51" t="e">
        <f>#REF!</f>
        <v>#REF!</v>
      </c>
      <c r="L101" s="45" t="e">
        <f>J101-K101</f>
        <v>#REF!</v>
      </c>
      <c r="M101" s="61" t="e">
        <f>L101/K101</f>
        <v>#REF!</v>
      </c>
    </row>
    <row r="102" spans="1:14">
      <c r="A102" s="28"/>
      <c r="B102" s="1"/>
      <c r="C102" s="9"/>
      <c r="D102" s="62" t="s">
        <v>89</v>
      </c>
      <c r="E102" s="15" t="e">
        <f>#REF!</f>
        <v>#REF!</v>
      </c>
      <c r="F102" s="15" t="e">
        <f>#REF!</f>
        <v>#REF!</v>
      </c>
      <c r="G102" s="15" t="e">
        <f>#REF!</f>
        <v>#REF!</v>
      </c>
      <c r="H102" s="15" t="e">
        <f>#REF!</f>
        <v>#REF!</v>
      </c>
      <c r="I102" s="15" t="e">
        <f>#REF!</f>
        <v>#REF!</v>
      </c>
      <c r="J102" s="15" t="e">
        <f>#REF!</f>
        <v>#REF!</v>
      </c>
      <c r="K102" s="15"/>
      <c r="L102" s="45"/>
    </row>
    <row r="103" spans="1:14">
      <c r="A103" s="1"/>
      <c r="B103" s="1"/>
      <c r="C103" s="9"/>
      <c r="D103" s="37" t="s">
        <v>161</v>
      </c>
      <c r="E103" s="15" t="e">
        <f>#REF!</f>
        <v>#REF!</v>
      </c>
      <c r="F103" s="48" t="e">
        <f>#REF!</f>
        <v>#REF!</v>
      </c>
      <c r="G103" s="48" t="e">
        <f>#REF!</f>
        <v>#REF!</v>
      </c>
      <c r="H103" s="48" t="e">
        <f>#REF!</f>
        <v>#REF!</v>
      </c>
      <c r="I103" s="48" t="e">
        <f>#REF!</f>
        <v>#REF!</v>
      </c>
      <c r="J103" s="48" t="e">
        <f>#REF!</f>
        <v>#REF!</v>
      </c>
      <c r="K103" s="48" t="e">
        <f>#REF!</f>
        <v>#REF!</v>
      </c>
      <c r="L103" s="45" t="e">
        <f>J103-K103</f>
        <v>#REF!</v>
      </c>
      <c r="M103" s="61" t="e">
        <f>L103/K103</f>
        <v>#REF!</v>
      </c>
      <c r="N103" s="4" t="s">
        <v>235</v>
      </c>
    </row>
    <row r="104" spans="1:14">
      <c r="A104" s="1"/>
      <c r="B104" s="1"/>
      <c r="C104" s="11"/>
      <c r="D104" s="41" t="s">
        <v>90</v>
      </c>
      <c r="E104" s="15" t="e">
        <f>#REF!</f>
        <v>#REF!</v>
      </c>
      <c r="F104" s="48" t="e">
        <f>#REF!</f>
        <v>#REF!</v>
      </c>
      <c r="G104" s="48" t="e">
        <f>#REF!</f>
        <v>#REF!</v>
      </c>
      <c r="H104" s="48" t="e">
        <f>#REF!</f>
        <v>#REF!</v>
      </c>
      <c r="I104" s="48" t="e">
        <f>#REF!</f>
        <v>#REF!</v>
      </c>
      <c r="J104" s="48" t="e">
        <f>#REF!</f>
        <v>#REF!</v>
      </c>
      <c r="K104" s="48"/>
      <c r="L104" s="45"/>
    </row>
    <row r="105" spans="1:14">
      <c r="A105" s="1"/>
      <c r="B105" s="1"/>
      <c r="C105" s="11"/>
      <c r="D105" s="41" t="s">
        <v>91</v>
      </c>
      <c r="E105" s="15" t="e">
        <f>#REF!</f>
        <v>#REF!</v>
      </c>
      <c r="F105" s="48" t="e">
        <f>#REF!</f>
        <v>#REF!</v>
      </c>
      <c r="G105" s="48" t="e">
        <f>#REF!</f>
        <v>#REF!</v>
      </c>
      <c r="H105" s="48" t="e">
        <f>#REF!</f>
        <v>#REF!</v>
      </c>
      <c r="I105" s="48" t="e">
        <f>#REF!</f>
        <v>#REF!</v>
      </c>
      <c r="J105" s="48" t="e">
        <f>#REF!</f>
        <v>#REF!</v>
      </c>
      <c r="K105" s="48"/>
      <c r="L105" s="45"/>
    </row>
    <row r="106" spans="1:14">
      <c r="A106" s="1"/>
      <c r="B106" s="1"/>
      <c r="C106" s="11"/>
      <c r="D106" s="74" t="s">
        <v>250</v>
      </c>
      <c r="E106" s="15" t="e">
        <f>#REF!</f>
        <v>#REF!</v>
      </c>
      <c r="F106" s="48" t="e">
        <f>#REF!</f>
        <v>#REF!</v>
      </c>
      <c r="G106" s="48" t="e">
        <f>#REF!</f>
        <v>#REF!</v>
      </c>
      <c r="H106" s="48" t="e">
        <f>#REF!</f>
        <v>#REF!</v>
      </c>
      <c r="I106" s="48" t="e">
        <f>#REF!</f>
        <v>#REF!</v>
      </c>
      <c r="J106" s="48" t="e">
        <f>#REF!</f>
        <v>#REF!</v>
      </c>
      <c r="K106" s="48"/>
      <c r="L106" s="45"/>
    </row>
    <row r="107" spans="1:14">
      <c r="A107" s="1"/>
      <c r="B107" s="1"/>
      <c r="C107" s="11"/>
      <c r="D107" s="41" t="s">
        <v>160</v>
      </c>
      <c r="E107" s="15" t="e">
        <f>#REF!</f>
        <v>#REF!</v>
      </c>
      <c r="F107" s="48" t="e">
        <f>#REF!</f>
        <v>#REF!</v>
      </c>
      <c r="G107" s="48" t="e">
        <f>#REF!</f>
        <v>#REF!</v>
      </c>
      <c r="H107" s="48" t="e">
        <f>#REF!</f>
        <v>#REF!</v>
      </c>
      <c r="I107" s="48" t="e">
        <f>#REF!</f>
        <v>#REF!</v>
      </c>
      <c r="J107" s="48" t="e">
        <f>#REF!</f>
        <v>#REF!</v>
      </c>
      <c r="K107" s="48"/>
      <c r="L107" s="45"/>
    </row>
    <row r="108" spans="1:14">
      <c r="A108" s="1"/>
      <c r="B108" s="1"/>
      <c r="C108" s="11"/>
      <c r="D108" s="41" t="s">
        <v>92</v>
      </c>
      <c r="E108" s="15" t="e">
        <f>#REF!</f>
        <v>#REF!</v>
      </c>
      <c r="F108" s="48" t="e">
        <f>#REF!</f>
        <v>#REF!</v>
      </c>
      <c r="G108" s="48" t="e">
        <f>#REF!</f>
        <v>#REF!</v>
      </c>
      <c r="H108" s="48" t="e">
        <f>#REF!</f>
        <v>#REF!</v>
      </c>
      <c r="I108" s="48" t="e">
        <f>#REF!</f>
        <v>#REF!</v>
      </c>
      <c r="J108" s="48" t="e">
        <f>#REF!</f>
        <v>#REF!</v>
      </c>
      <c r="K108" s="48"/>
      <c r="L108" s="45"/>
    </row>
    <row r="109" spans="1:14">
      <c r="A109" s="1"/>
      <c r="B109" s="1"/>
      <c r="C109" s="11"/>
      <c r="D109" s="12" t="s">
        <v>149</v>
      </c>
      <c r="E109" s="15" t="e">
        <f>#REF!</f>
        <v>#REF!</v>
      </c>
      <c r="F109" s="15" t="e">
        <f>#REF!</f>
        <v>#REF!</v>
      </c>
      <c r="G109" s="51" t="e">
        <f>#REF!</f>
        <v>#REF!</v>
      </c>
      <c r="H109" s="15" t="e">
        <f>#REF!</f>
        <v>#REF!</v>
      </c>
      <c r="I109" s="15" t="e">
        <f>#REF!</f>
        <v>#REF!</v>
      </c>
      <c r="J109" s="51" t="e">
        <f>#REF!</f>
        <v>#REF!</v>
      </c>
      <c r="K109" s="51" t="e">
        <f>#REF!</f>
        <v>#REF!</v>
      </c>
      <c r="L109" s="45" t="e">
        <f>J109-K109</f>
        <v>#REF!</v>
      </c>
      <c r="M109" s="61" t="e">
        <f>L109/K109</f>
        <v>#REF!</v>
      </c>
      <c r="N109" s="71" t="s">
        <v>239</v>
      </c>
    </row>
    <row r="110" spans="1:14" ht="15">
      <c r="A110" s="1" t="s">
        <v>24</v>
      </c>
      <c r="B110" s="1"/>
      <c r="C110" s="11" t="s">
        <v>165</v>
      </c>
      <c r="D110" s="12"/>
      <c r="E110" s="15" t="e">
        <f>#REF!</f>
        <v>#REF!</v>
      </c>
      <c r="F110" s="52" t="e">
        <f>#REF!</f>
        <v>#REF!</v>
      </c>
      <c r="G110" s="52" t="e">
        <f>#REF!</f>
        <v>#REF!</v>
      </c>
      <c r="H110" s="52" t="e">
        <f>#REF!</f>
        <v>#REF!</v>
      </c>
      <c r="I110" s="52" t="e">
        <f>#REF!</f>
        <v>#REF!</v>
      </c>
      <c r="J110" s="52" t="e">
        <f>#REF!</f>
        <v>#REF!</v>
      </c>
      <c r="K110" s="52" t="e">
        <f>SUM(K101:K109)</f>
        <v>#REF!</v>
      </c>
      <c r="L110" s="45" t="e">
        <f>J110-K110</f>
        <v>#REF!</v>
      </c>
      <c r="M110" s="61" t="e">
        <f>L110/K110</f>
        <v>#REF!</v>
      </c>
    </row>
    <row r="111" spans="1:14">
      <c r="C111" s="4"/>
      <c r="D111" s="60" t="s">
        <v>166</v>
      </c>
      <c r="E111" s="44" t="e">
        <f>#REF!</f>
        <v>#REF!</v>
      </c>
      <c r="F111" s="48" t="e">
        <f>#REF!</f>
        <v>#REF!</v>
      </c>
      <c r="G111" s="48" t="e">
        <f>#REF!</f>
        <v>#REF!</v>
      </c>
      <c r="H111" s="48" t="e">
        <f>#REF!</f>
        <v>#REF!</v>
      </c>
      <c r="I111" s="48" t="e">
        <f>#REF!</f>
        <v>#REF!</v>
      </c>
      <c r="J111" s="53" t="e">
        <f>#REF!</f>
        <v>#REF!</v>
      </c>
      <c r="K111" s="53"/>
      <c r="L111" s="45"/>
    </row>
    <row r="112" spans="1:14">
      <c r="A112" s="1"/>
      <c r="B112" s="1"/>
      <c r="C112" s="39"/>
      <c r="D112" s="37" t="s">
        <v>167</v>
      </c>
      <c r="E112" s="44" t="e">
        <f>#REF!</f>
        <v>#REF!</v>
      </c>
      <c r="F112" s="48" t="e">
        <f>#REF!</f>
        <v>#REF!</v>
      </c>
      <c r="G112" s="48" t="e">
        <f>#REF!</f>
        <v>#REF!</v>
      </c>
      <c r="H112" s="48" t="e">
        <f>#REF!</f>
        <v>#REF!</v>
      </c>
      <c r="I112" s="48" t="e">
        <f>#REF!</f>
        <v>#REF!</v>
      </c>
      <c r="J112" s="48" t="e">
        <f>#REF!</f>
        <v>#REF!</v>
      </c>
      <c r="K112" s="48" t="e">
        <f>#REF!</f>
        <v>#REF!</v>
      </c>
      <c r="L112" s="45" t="e">
        <f>J112-K112</f>
        <v>#REF!</v>
      </c>
      <c r="M112" s="61" t="e">
        <f>L112/K112</f>
        <v>#REF!</v>
      </c>
      <c r="N112" s="71" t="s">
        <v>236</v>
      </c>
    </row>
    <row r="113" spans="1:14">
      <c r="A113" s="1"/>
      <c r="B113" s="1"/>
      <c r="C113" s="11"/>
      <c r="D113" s="41" t="s">
        <v>168</v>
      </c>
      <c r="E113" s="15" t="e">
        <f>#REF!</f>
        <v>#REF!</v>
      </c>
      <c r="F113" s="48" t="e">
        <f>#REF!</f>
        <v>#REF!</v>
      </c>
      <c r="G113" s="48" t="e">
        <f>#REF!</f>
        <v>#REF!</v>
      </c>
      <c r="H113" s="48" t="e">
        <f>#REF!</f>
        <v>#REF!</v>
      </c>
      <c r="I113" s="48" t="e">
        <f>#REF!</f>
        <v>#REF!</v>
      </c>
      <c r="J113" s="48" t="e">
        <f>#REF!</f>
        <v>#REF!</v>
      </c>
      <c r="K113" s="48"/>
      <c r="L113" s="45"/>
    </row>
    <row r="114" spans="1:14">
      <c r="A114" s="1"/>
      <c r="B114" s="1"/>
      <c r="C114" s="11"/>
      <c r="D114" s="41" t="s">
        <v>169</v>
      </c>
      <c r="E114" s="15" t="e">
        <f>#REF!</f>
        <v>#REF!</v>
      </c>
      <c r="F114" s="48" t="e">
        <f>#REF!</f>
        <v>#REF!</v>
      </c>
      <c r="G114" s="48" t="e">
        <f>#REF!</f>
        <v>#REF!</v>
      </c>
      <c r="H114" s="48" t="e">
        <f>#REF!</f>
        <v>#REF!</v>
      </c>
      <c r="I114" s="48" t="e">
        <f>#REF!</f>
        <v>#REF!</v>
      </c>
      <c r="J114" s="48" t="e">
        <f>#REF!</f>
        <v>#REF!</v>
      </c>
      <c r="K114" s="48"/>
      <c r="L114" s="45"/>
    </row>
    <row r="115" spans="1:14">
      <c r="A115" s="1"/>
      <c r="B115" s="1"/>
      <c r="C115" s="11"/>
      <c r="D115" s="74" t="s">
        <v>251</v>
      </c>
      <c r="E115" s="15" t="e">
        <f>#REF!</f>
        <v>#REF!</v>
      </c>
      <c r="F115" s="48" t="e">
        <f>#REF!</f>
        <v>#REF!</v>
      </c>
      <c r="G115" s="48" t="e">
        <f>#REF!</f>
        <v>#REF!</v>
      </c>
      <c r="H115" s="48" t="e">
        <f>#REF!</f>
        <v>#REF!</v>
      </c>
      <c r="I115" s="48" t="e">
        <f>#REF!</f>
        <v>#REF!</v>
      </c>
      <c r="J115" s="48" t="e">
        <f>#REF!</f>
        <v>#REF!</v>
      </c>
      <c r="K115" s="48"/>
      <c r="L115" s="45"/>
    </row>
    <row r="116" spans="1:14">
      <c r="A116" s="1"/>
      <c r="B116" s="1"/>
      <c r="C116" s="11"/>
      <c r="D116" s="41" t="s">
        <v>170</v>
      </c>
      <c r="E116" s="15" t="e">
        <f>#REF!</f>
        <v>#REF!</v>
      </c>
      <c r="F116" s="48" t="e">
        <f>#REF!</f>
        <v>#REF!</v>
      </c>
      <c r="G116" s="48" t="e">
        <f>#REF!</f>
        <v>#REF!</v>
      </c>
      <c r="H116" s="48" t="e">
        <f>#REF!</f>
        <v>#REF!</v>
      </c>
      <c r="I116" s="48" t="e">
        <f>#REF!</f>
        <v>#REF!</v>
      </c>
      <c r="J116" s="48" t="e">
        <f>#REF!</f>
        <v>#REF!</v>
      </c>
      <c r="K116" s="48"/>
      <c r="L116" s="45"/>
    </row>
    <row r="117" spans="1:14">
      <c r="A117" s="28" t="s">
        <v>171</v>
      </c>
      <c r="B117" s="1"/>
      <c r="C117" s="11"/>
      <c r="D117" s="39" t="s">
        <v>172</v>
      </c>
      <c r="E117" s="15" t="e">
        <f>#REF!</f>
        <v>#REF!</v>
      </c>
      <c r="F117" s="48" t="e">
        <f>#REF!</f>
        <v>#REF!</v>
      </c>
      <c r="G117" s="48" t="e">
        <f>#REF!</f>
        <v>#REF!</v>
      </c>
      <c r="H117" s="48" t="e">
        <f>#REF!</f>
        <v>#REF!</v>
      </c>
      <c r="I117" s="48" t="e">
        <f>#REF!</f>
        <v>#REF!</v>
      </c>
      <c r="J117" s="53" t="e">
        <f>#REF!</f>
        <v>#REF!</v>
      </c>
      <c r="K117" s="53"/>
      <c r="L117" s="45"/>
    </row>
    <row r="118" spans="1:14">
      <c r="A118" s="1"/>
      <c r="B118" s="1"/>
      <c r="C118" s="9"/>
      <c r="D118" s="37" t="s">
        <v>173</v>
      </c>
      <c r="E118" s="38" t="e">
        <f>#REF!</f>
        <v>#REF!</v>
      </c>
      <c r="F118" s="48" t="e">
        <f>#REF!</f>
        <v>#REF!</v>
      </c>
      <c r="G118" s="48" t="e">
        <f>#REF!</f>
        <v>#REF!</v>
      </c>
      <c r="H118" s="48" t="e">
        <f>#REF!</f>
        <v>#REF!</v>
      </c>
      <c r="I118" s="48" t="e">
        <f>#REF!</f>
        <v>#REF!</v>
      </c>
      <c r="J118" s="48" t="e">
        <f>#REF!</f>
        <v>#REF!</v>
      </c>
      <c r="K118" s="48" t="e">
        <f>#REF!</f>
        <v>#REF!</v>
      </c>
      <c r="L118" s="45" t="e">
        <f>J118-K118</f>
        <v>#REF!</v>
      </c>
      <c r="M118" s="61" t="e">
        <f>L118/K118</f>
        <v>#REF!</v>
      </c>
      <c r="N118" s="71" t="s">
        <v>237</v>
      </c>
    </row>
    <row r="119" spans="1:14">
      <c r="A119" s="1"/>
      <c r="B119" s="1"/>
      <c r="C119" s="11"/>
      <c r="D119" s="41" t="s">
        <v>174</v>
      </c>
      <c r="E119" s="15" t="e">
        <f>#REF!</f>
        <v>#REF!</v>
      </c>
      <c r="F119" s="48" t="e">
        <f>#REF!</f>
        <v>#REF!</v>
      </c>
      <c r="G119" s="48" t="e">
        <f>#REF!</f>
        <v>#REF!</v>
      </c>
      <c r="H119" s="48" t="e">
        <f>#REF!</f>
        <v>#REF!</v>
      </c>
      <c r="I119" s="48" t="e">
        <f>#REF!</f>
        <v>#REF!</v>
      </c>
      <c r="J119" s="48" t="e">
        <f>#REF!</f>
        <v>#REF!</v>
      </c>
      <c r="K119" s="48" t="e">
        <f>#REF!</f>
        <v>#REF!</v>
      </c>
      <c r="L119" s="45" t="e">
        <f>J119-K119</f>
        <v>#REF!</v>
      </c>
      <c r="M119" s="61" t="e">
        <f>L119/K119</f>
        <v>#REF!</v>
      </c>
    </row>
    <row r="120" spans="1:14">
      <c r="A120" s="1"/>
      <c r="B120" s="1"/>
      <c r="C120" s="11"/>
      <c r="D120" s="41" t="s">
        <v>175</v>
      </c>
      <c r="E120" s="15" t="e">
        <f>#REF!</f>
        <v>#REF!</v>
      </c>
      <c r="F120" s="48" t="e">
        <f>#REF!</f>
        <v>#REF!</v>
      </c>
      <c r="G120" s="48" t="e">
        <f>#REF!</f>
        <v>#REF!</v>
      </c>
      <c r="H120" s="48" t="e">
        <f>#REF!</f>
        <v>#REF!</v>
      </c>
      <c r="I120" s="48" t="e">
        <f>#REF!</f>
        <v>#REF!</v>
      </c>
      <c r="J120" s="48" t="e">
        <f>#REF!</f>
        <v>#REF!</v>
      </c>
      <c r="K120" s="17" t="e">
        <f>#REF!</f>
        <v>#REF!</v>
      </c>
      <c r="L120" s="45" t="e">
        <f>J120-K120</f>
        <v>#REF!</v>
      </c>
      <c r="M120" s="61" t="e">
        <f>L120/K120</f>
        <v>#REF!</v>
      </c>
    </row>
    <row r="121" spans="1:14">
      <c r="A121" s="1"/>
      <c r="B121" s="1"/>
      <c r="C121" s="11"/>
      <c r="D121" s="74" t="s">
        <v>252</v>
      </c>
      <c r="E121" s="15" t="e">
        <f>#REF!</f>
        <v>#REF!</v>
      </c>
      <c r="F121" s="48" t="e">
        <f>#REF!</f>
        <v>#REF!</v>
      </c>
      <c r="G121" s="48" t="e">
        <f>#REF!</f>
        <v>#REF!</v>
      </c>
      <c r="H121" s="48" t="e">
        <f>#REF!</f>
        <v>#REF!</v>
      </c>
      <c r="I121" s="48" t="e">
        <f>#REF!</f>
        <v>#REF!</v>
      </c>
      <c r="J121" s="48" t="e">
        <f>#REF!</f>
        <v>#REF!</v>
      </c>
      <c r="K121" s="17"/>
      <c r="L121" s="45"/>
    </row>
    <row r="122" spans="1:14">
      <c r="A122" s="1"/>
      <c r="B122" s="1"/>
      <c r="C122" s="11"/>
      <c r="D122" s="41" t="s">
        <v>176</v>
      </c>
      <c r="E122" s="15" t="e">
        <f>#REF!</f>
        <v>#REF!</v>
      </c>
      <c r="F122" s="48" t="e">
        <f>#REF!</f>
        <v>#REF!</v>
      </c>
      <c r="G122" s="48" t="e">
        <f>#REF!</f>
        <v>#REF!</v>
      </c>
      <c r="H122" s="48" t="e">
        <f>#REF!</f>
        <v>#REF!</v>
      </c>
      <c r="I122" s="48" t="e">
        <f>#REF!</f>
        <v>#REF!</v>
      </c>
      <c r="J122" s="48" t="e">
        <f>#REF!</f>
        <v>#REF!</v>
      </c>
      <c r="K122" s="48"/>
      <c r="L122" s="45"/>
    </row>
    <row r="123" spans="1:14">
      <c r="A123" s="1"/>
      <c r="B123" s="1"/>
      <c r="C123" s="11"/>
      <c r="D123" s="41" t="s">
        <v>177</v>
      </c>
      <c r="E123" s="15" t="e">
        <f>#REF!</f>
        <v>#REF!</v>
      </c>
      <c r="F123" s="48" t="e">
        <f>#REF!</f>
        <v>#REF!</v>
      </c>
      <c r="G123" s="48" t="e">
        <f>#REF!</f>
        <v>#REF!</v>
      </c>
      <c r="H123" s="48" t="e">
        <f>#REF!</f>
        <v>#REF!</v>
      </c>
      <c r="I123" s="48" t="e">
        <f>#REF!</f>
        <v>#REF!</v>
      </c>
      <c r="J123" s="48" t="e">
        <f>#REF!</f>
        <v>#REF!</v>
      </c>
      <c r="K123" s="48"/>
      <c r="L123" s="45"/>
    </row>
    <row r="124" spans="1:14">
      <c r="A124" s="28" t="s">
        <v>171</v>
      </c>
      <c r="B124" s="1"/>
      <c r="C124" s="11"/>
      <c r="D124" s="39" t="s">
        <v>178</v>
      </c>
      <c r="E124" s="15" t="e">
        <f>#REF!</f>
        <v>#REF!</v>
      </c>
      <c r="F124" s="48" t="e">
        <f>#REF!</f>
        <v>#REF!</v>
      </c>
      <c r="G124" s="48" t="e">
        <f>#REF!</f>
        <v>#REF!</v>
      </c>
      <c r="H124" s="48" t="e">
        <f>#REF!</f>
        <v>#REF!</v>
      </c>
      <c r="I124" s="48" t="e">
        <f>#REF!</f>
        <v>#REF!</v>
      </c>
      <c r="J124" s="53" t="e">
        <f>#REF!</f>
        <v>#REF!</v>
      </c>
      <c r="K124" s="53"/>
      <c r="L124" s="45"/>
    </row>
    <row r="125" spans="1:14">
      <c r="A125" s="1"/>
      <c r="B125" s="1"/>
      <c r="C125" s="11"/>
      <c r="D125" s="37" t="s">
        <v>179</v>
      </c>
      <c r="E125" s="15" t="e">
        <f>#REF!</f>
        <v>#REF!</v>
      </c>
      <c r="F125" s="48" t="e">
        <f>#REF!</f>
        <v>#REF!</v>
      </c>
      <c r="G125" s="48" t="e">
        <f>#REF!</f>
        <v>#REF!</v>
      </c>
      <c r="H125" s="48" t="e">
        <f>#REF!</f>
        <v>#REF!</v>
      </c>
      <c r="I125" s="48" t="e">
        <f>#REF!</f>
        <v>#REF!</v>
      </c>
      <c r="J125" s="48" t="e">
        <f>#REF!</f>
        <v>#REF!</v>
      </c>
      <c r="L125" s="45"/>
    </row>
    <row r="126" spans="1:14">
      <c r="A126" s="1"/>
      <c r="B126" s="1"/>
      <c r="C126" s="11"/>
      <c r="D126" s="41" t="s">
        <v>180</v>
      </c>
      <c r="E126" s="15" t="e">
        <f>#REF!</f>
        <v>#REF!</v>
      </c>
      <c r="F126" s="48" t="e">
        <f>#REF!</f>
        <v>#REF!</v>
      </c>
      <c r="G126" s="48" t="e">
        <f>#REF!</f>
        <v>#REF!</v>
      </c>
      <c r="H126" s="48" t="e">
        <f>#REF!</f>
        <v>#REF!</v>
      </c>
      <c r="I126" s="48" t="e">
        <f>#REF!</f>
        <v>#REF!</v>
      </c>
      <c r="J126" s="48" t="e">
        <f>#REF!</f>
        <v>#REF!</v>
      </c>
      <c r="K126" s="48"/>
      <c r="L126" s="45"/>
    </row>
    <row r="127" spans="1:14">
      <c r="A127" s="1"/>
      <c r="B127" s="1"/>
      <c r="C127" s="11"/>
      <c r="D127" s="41" t="s">
        <v>181</v>
      </c>
      <c r="E127" s="15" t="e">
        <f>#REF!</f>
        <v>#REF!</v>
      </c>
      <c r="F127" s="48" t="e">
        <f>#REF!</f>
        <v>#REF!</v>
      </c>
      <c r="G127" s="48" t="e">
        <f>#REF!</f>
        <v>#REF!</v>
      </c>
      <c r="H127" s="48" t="e">
        <f>#REF!</f>
        <v>#REF!</v>
      </c>
      <c r="I127" s="48" t="e">
        <f>#REF!</f>
        <v>#REF!</v>
      </c>
      <c r="J127" s="48" t="e">
        <f>#REF!</f>
        <v>#REF!</v>
      </c>
      <c r="K127" s="48"/>
      <c r="L127" s="45"/>
    </row>
    <row r="128" spans="1:14">
      <c r="A128" s="1"/>
      <c r="B128" s="1"/>
      <c r="C128" s="11"/>
      <c r="D128" s="74" t="s">
        <v>255</v>
      </c>
      <c r="E128" s="15" t="e">
        <f>#REF!</f>
        <v>#REF!</v>
      </c>
      <c r="F128" s="48" t="e">
        <f>#REF!</f>
        <v>#REF!</v>
      </c>
      <c r="G128" s="48" t="e">
        <f>#REF!</f>
        <v>#REF!</v>
      </c>
      <c r="H128" s="48" t="e">
        <f>#REF!</f>
        <v>#REF!</v>
      </c>
      <c r="I128" s="48" t="e">
        <f>#REF!</f>
        <v>#REF!</v>
      </c>
      <c r="J128" s="48" t="e">
        <f>#REF!</f>
        <v>#REF!</v>
      </c>
      <c r="K128" s="48"/>
      <c r="L128" s="45"/>
    </row>
    <row r="129" spans="1:14">
      <c r="A129" s="1"/>
      <c r="B129" s="1"/>
      <c r="C129" s="11"/>
      <c r="D129" s="41" t="s">
        <v>182</v>
      </c>
      <c r="E129" s="15" t="e">
        <f>#REF!</f>
        <v>#REF!</v>
      </c>
      <c r="F129" s="48" t="e">
        <f>#REF!</f>
        <v>#REF!</v>
      </c>
      <c r="G129" s="48" t="e">
        <f>#REF!</f>
        <v>#REF!</v>
      </c>
      <c r="H129" s="48" t="e">
        <f>#REF!</f>
        <v>#REF!</v>
      </c>
      <c r="I129" s="48" t="e">
        <f>#REF!</f>
        <v>#REF!</v>
      </c>
      <c r="J129" s="48" t="e">
        <f>#REF!</f>
        <v>#REF!</v>
      </c>
      <c r="K129" s="48"/>
      <c r="L129" s="45"/>
    </row>
    <row r="130" spans="1:14">
      <c r="A130" s="1"/>
      <c r="B130" s="1"/>
      <c r="C130" s="11"/>
      <c r="D130" s="41" t="s">
        <v>183</v>
      </c>
      <c r="E130" s="15" t="e">
        <f>#REF!</f>
        <v>#REF!</v>
      </c>
      <c r="F130" s="48" t="e">
        <f>#REF!</f>
        <v>#REF!</v>
      </c>
      <c r="G130" s="48" t="e">
        <f>#REF!</f>
        <v>#REF!</v>
      </c>
      <c r="H130" s="48" t="e">
        <f>#REF!</f>
        <v>#REF!</v>
      </c>
      <c r="I130" s="48" t="e">
        <f>#REF!</f>
        <v>#REF!</v>
      </c>
      <c r="J130" s="48" t="e">
        <f>#REF!</f>
        <v>#REF!</v>
      </c>
      <c r="K130" s="48"/>
      <c r="L130" s="45"/>
    </row>
    <row r="131" spans="1:14">
      <c r="A131" s="28" t="s">
        <v>184</v>
      </c>
      <c r="B131" s="1"/>
      <c r="C131" s="11"/>
      <c r="D131" s="60" t="s">
        <v>185</v>
      </c>
      <c r="E131" s="15" t="e">
        <f>#REF!</f>
        <v>#REF!</v>
      </c>
      <c r="F131" s="48" t="e">
        <f>#REF!</f>
        <v>#REF!</v>
      </c>
      <c r="G131" s="48" t="e">
        <f>#REF!</f>
        <v>#REF!</v>
      </c>
      <c r="H131" s="48" t="e">
        <f>#REF!</f>
        <v>#REF!</v>
      </c>
      <c r="I131" s="48" t="e">
        <f>#REF!</f>
        <v>#REF!</v>
      </c>
      <c r="J131" s="53" t="e">
        <f>#REF!</f>
        <v>#REF!</v>
      </c>
      <c r="K131" s="53" t="e">
        <f>#REF!</f>
        <v>#REF!</v>
      </c>
      <c r="L131" s="45" t="e">
        <f>J131-K131</f>
        <v>#REF!</v>
      </c>
      <c r="M131" s="61" t="e">
        <f>L131/K131</f>
        <v>#REF!</v>
      </c>
    </row>
    <row r="132" spans="1:14">
      <c r="A132" s="1"/>
      <c r="B132" s="1"/>
      <c r="C132" s="11"/>
      <c r="D132" s="37" t="s">
        <v>186</v>
      </c>
      <c r="E132" s="15" t="e">
        <f>#REF!</f>
        <v>#REF!</v>
      </c>
      <c r="F132" s="48" t="e">
        <f>#REF!</f>
        <v>#REF!</v>
      </c>
      <c r="G132" s="48" t="e">
        <f>#REF!</f>
        <v>#REF!</v>
      </c>
      <c r="H132" s="48" t="e">
        <f>#REF!</f>
        <v>#REF!</v>
      </c>
      <c r="I132" s="48" t="e">
        <f>#REF!</f>
        <v>#REF!</v>
      </c>
      <c r="J132" s="48" t="e">
        <f>#REF!</f>
        <v>#REF!</v>
      </c>
      <c r="K132" s="53" t="e">
        <f>#REF!</f>
        <v>#REF!</v>
      </c>
      <c r="L132" s="45" t="e">
        <f>J132-K132</f>
        <v>#REF!</v>
      </c>
      <c r="M132" s="61" t="e">
        <f>L132/K132</f>
        <v>#REF!</v>
      </c>
    </row>
    <row r="133" spans="1:14">
      <c r="A133" s="1"/>
      <c r="B133" s="1"/>
      <c r="C133" s="11"/>
      <c r="D133" s="41" t="s">
        <v>187</v>
      </c>
      <c r="E133" s="15" t="e">
        <f>#REF!</f>
        <v>#REF!</v>
      </c>
      <c r="F133" s="48" t="e">
        <f>#REF!</f>
        <v>#REF!</v>
      </c>
      <c r="G133" s="48" t="e">
        <f>#REF!</f>
        <v>#REF!</v>
      </c>
      <c r="H133" s="48" t="e">
        <f>#REF!</f>
        <v>#REF!</v>
      </c>
      <c r="I133" s="48" t="e">
        <f>#REF!</f>
        <v>#REF!</v>
      </c>
      <c r="J133" s="48" t="e">
        <f>#REF!</f>
        <v>#REF!</v>
      </c>
      <c r="K133" s="48"/>
      <c r="L133" s="45"/>
    </row>
    <row r="134" spans="1:14">
      <c r="A134" s="1"/>
      <c r="B134" s="1"/>
      <c r="C134" s="11"/>
      <c r="D134" s="41" t="s">
        <v>188</v>
      </c>
      <c r="E134" s="15" t="e">
        <f>#REF!</f>
        <v>#REF!</v>
      </c>
      <c r="F134" s="48" t="e">
        <f>#REF!</f>
        <v>#REF!</v>
      </c>
      <c r="G134" s="48" t="e">
        <f>#REF!</f>
        <v>#REF!</v>
      </c>
      <c r="H134" s="48" t="e">
        <f>#REF!</f>
        <v>#REF!</v>
      </c>
      <c r="I134" s="48" t="e">
        <f>#REF!</f>
        <v>#REF!</v>
      </c>
      <c r="J134" s="48" t="e">
        <f>#REF!</f>
        <v>#REF!</v>
      </c>
      <c r="K134" s="48"/>
      <c r="L134" s="45"/>
    </row>
    <row r="135" spans="1:14">
      <c r="A135" s="1"/>
      <c r="B135" s="1"/>
      <c r="C135" s="11"/>
      <c r="D135" s="74" t="s">
        <v>254</v>
      </c>
      <c r="E135" s="15" t="e">
        <f>#REF!</f>
        <v>#REF!</v>
      </c>
      <c r="F135" s="48" t="e">
        <f>#REF!</f>
        <v>#REF!</v>
      </c>
      <c r="G135" s="48" t="e">
        <f>#REF!</f>
        <v>#REF!</v>
      </c>
      <c r="H135" s="48" t="e">
        <f>#REF!</f>
        <v>#REF!</v>
      </c>
      <c r="I135" s="48" t="e">
        <f>#REF!</f>
        <v>#REF!</v>
      </c>
      <c r="J135" s="48" t="e">
        <f>#REF!</f>
        <v>#REF!</v>
      </c>
      <c r="K135" s="48"/>
      <c r="L135" s="45"/>
    </row>
    <row r="136" spans="1:14">
      <c r="A136" s="1"/>
      <c r="B136" s="1"/>
      <c r="C136" s="11"/>
      <c r="D136" s="41" t="s">
        <v>189</v>
      </c>
      <c r="E136" s="15" t="e">
        <f>#REF!</f>
        <v>#REF!</v>
      </c>
      <c r="F136" s="48" t="e">
        <f>#REF!</f>
        <v>#REF!</v>
      </c>
      <c r="G136" s="48" t="e">
        <f>#REF!</f>
        <v>#REF!</v>
      </c>
      <c r="H136" s="48" t="e">
        <f>#REF!</f>
        <v>#REF!</v>
      </c>
      <c r="I136" s="48" t="e">
        <f>#REF!</f>
        <v>#REF!</v>
      </c>
      <c r="J136" s="48" t="e">
        <f>#REF!</f>
        <v>#REF!</v>
      </c>
      <c r="K136" s="48"/>
      <c r="L136" s="45"/>
    </row>
    <row r="137" spans="1:14">
      <c r="A137" s="1"/>
      <c r="B137" s="1"/>
      <c r="C137" s="11"/>
      <c r="D137" s="41" t="s">
        <v>190</v>
      </c>
      <c r="E137" s="15" t="e">
        <f>#REF!</f>
        <v>#REF!</v>
      </c>
      <c r="F137" s="48" t="e">
        <f>#REF!</f>
        <v>#REF!</v>
      </c>
      <c r="G137" s="48" t="e">
        <f>#REF!</f>
        <v>#REF!</v>
      </c>
      <c r="H137" s="48" t="e">
        <f>#REF!</f>
        <v>#REF!</v>
      </c>
      <c r="I137" s="48" t="e">
        <f>#REF!</f>
        <v>#REF!</v>
      </c>
      <c r="J137" s="48" t="e">
        <f>#REF!</f>
        <v>#REF!</v>
      </c>
      <c r="K137" s="48"/>
      <c r="L137" s="45"/>
    </row>
    <row r="138" spans="1:14" ht="15">
      <c r="A138" s="28" t="s">
        <v>184</v>
      </c>
      <c r="B138" s="1"/>
      <c r="C138" s="39" t="s">
        <v>191</v>
      </c>
      <c r="D138" s="12"/>
      <c r="E138" s="38" t="e">
        <f>#REF!</f>
        <v>#REF!</v>
      </c>
      <c r="F138" s="52" t="e">
        <f>#REF!</f>
        <v>#REF!</v>
      </c>
      <c r="G138" s="52" t="e">
        <f>#REF!</f>
        <v>#REF!</v>
      </c>
      <c r="H138" s="52" t="e">
        <f>#REF!</f>
        <v>#REF!</v>
      </c>
      <c r="I138" s="52" t="e">
        <f>#REF!</f>
        <v>#REF!</v>
      </c>
      <c r="J138" s="52" t="e">
        <f>#REF!</f>
        <v>#REF!</v>
      </c>
      <c r="K138" s="52" t="e">
        <f>SUM(K131,K118:K120,K112:K116)</f>
        <v>#REF!</v>
      </c>
      <c r="L138" s="45" t="e">
        <f t="shared" ref="L138:L152" si="2">J138-K138</f>
        <v>#REF!</v>
      </c>
      <c r="M138" s="61" t="e">
        <f t="shared" ref="M138:M152" si="3">L138/K138</f>
        <v>#REF!</v>
      </c>
    </row>
    <row r="139" spans="1:14">
      <c r="C139" s="4"/>
      <c r="D139" s="12" t="s">
        <v>192</v>
      </c>
      <c r="E139" s="15" t="e">
        <f>#REF!</f>
        <v>#REF!</v>
      </c>
      <c r="F139" s="45" t="e">
        <f>#REF!</f>
        <v>#REF!</v>
      </c>
      <c r="G139" s="45" t="e">
        <f>#REF!</f>
        <v>#REF!</v>
      </c>
      <c r="H139" s="45" t="e">
        <f>#REF!</f>
        <v>#REF!</v>
      </c>
      <c r="I139" s="45" t="e">
        <f>#REF!</f>
        <v>#REF!</v>
      </c>
      <c r="J139" s="48" t="e">
        <f>#REF!</f>
        <v>#REF!</v>
      </c>
      <c r="K139" s="48" t="e">
        <f>#REF!</f>
        <v>#REF!</v>
      </c>
      <c r="L139" s="45" t="e">
        <f t="shared" si="2"/>
        <v>#REF!</v>
      </c>
      <c r="M139" s="61" t="e">
        <f t="shared" si="3"/>
        <v>#REF!</v>
      </c>
    </row>
    <row r="140" spans="1:14">
      <c r="D140" s="12" t="s">
        <v>193</v>
      </c>
      <c r="E140" s="38" t="e">
        <f>#REF!</f>
        <v>#REF!</v>
      </c>
      <c r="F140" s="54" t="e">
        <f>#REF!</f>
        <v>#REF!</v>
      </c>
      <c r="G140" s="54" t="e">
        <f>#REF!</f>
        <v>#REF!</v>
      </c>
      <c r="H140" s="54" t="e">
        <f>#REF!</f>
        <v>#REF!</v>
      </c>
      <c r="I140" s="54" t="e">
        <f>#REF!</f>
        <v>#REF!</v>
      </c>
      <c r="J140" s="48" t="e">
        <f>#REF!</f>
        <v>#REF!</v>
      </c>
      <c r="K140" s="58" t="e">
        <f>#REF!</f>
        <v>#REF!</v>
      </c>
      <c r="L140" s="45" t="e">
        <f t="shared" si="2"/>
        <v>#REF!</v>
      </c>
      <c r="M140" s="61" t="e">
        <f t="shared" si="3"/>
        <v>#REF!</v>
      </c>
    </row>
    <row r="141" spans="1:14">
      <c r="D141" s="12" t="s">
        <v>194</v>
      </c>
      <c r="E141" s="38" t="e">
        <f>#REF!</f>
        <v>#REF!</v>
      </c>
      <c r="F141" s="54" t="e">
        <f>#REF!</f>
        <v>#REF!</v>
      </c>
      <c r="G141" s="54" t="e">
        <f>#REF!</f>
        <v>#REF!</v>
      </c>
      <c r="H141" s="54" t="e">
        <f>#REF!</f>
        <v>#REF!</v>
      </c>
      <c r="I141" s="54" t="e">
        <f>#REF!</f>
        <v>#REF!</v>
      </c>
      <c r="J141" s="48" t="e">
        <f>#REF!</f>
        <v>#REF!</v>
      </c>
      <c r="K141" s="54" t="e">
        <f>#REF!</f>
        <v>#REF!</v>
      </c>
      <c r="L141" s="45" t="e">
        <f t="shared" si="2"/>
        <v>#REF!</v>
      </c>
      <c r="M141" s="61" t="e">
        <f t="shared" si="3"/>
        <v>#REF!</v>
      </c>
    </row>
    <row r="142" spans="1:14" ht="15">
      <c r="A142" s="1" t="s">
        <v>23</v>
      </c>
      <c r="B142" s="1"/>
      <c r="C142" s="11" t="s">
        <v>195</v>
      </c>
      <c r="D142" s="12"/>
      <c r="E142" s="15" t="e">
        <f>#REF!</f>
        <v>#REF!</v>
      </c>
      <c r="F142" s="52" t="e">
        <f>#REF!</f>
        <v>#REF!</v>
      </c>
      <c r="G142" s="52" t="e">
        <f>#REF!</f>
        <v>#REF!</v>
      </c>
      <c r="H142" s="52" t="e">
        <f>#REF!</f>
        <v>#REF!</v>
      </c>
      <c r="I142" s="52" t="e">
        <f>#REF!</f>
        <v>#REF!</v>
      </c>
      <c r="J142" s="52" t="e">
        <f>#REF!</f>
        <v>#REF!</v>
      </c>
      <c r="K142" s="52" t="e">
        <f>SUM(K139:K141)</f>
        <v>#REF!</v>
      </c>
      <c r="L142" s="45" t="e">
        <f t="shared" si="2"/>
        <v>#REF!</v>
      </c>
      <c r="M142" s="61" t="e">
        <f t="shared" si="3"/>
        <v>#REF!</v>
      </c>
    </row>
    <row r="143" spans="1:14">
      <c r="C143" s="4"/>
      <c r="D143" s="12" t="s">
        <v>196</v>
      </c>
      <c r="E143" s="15" t="e">
        <f>#REF!</f>
        <v>#REF!</v>
      </c>
      <c r="F143" s="54" t="e">
        <f>#REF!</f>
        <v>#REF!</v>
      </c>
      <c r="G143" s="54" t="e">
        <f>#REF!</f>
        <v>#REF!</v>
      </c>
      <c r="H143" s="54" t="e">
        <f>#REF!</f>
        <v>#REF!</v>
      </c>
      <c r="I143" s="54" t="e">
        <f>#REF!</f>
        <v>#REF!</v>
      </c>
      <c r="J143" s="45" t="e">
        <f>#REF!</f>
        <v>#REF!</v>
      </c>
      <c r="K143" s="45" t="e">
        <f>#REF!</f>
        <v>#REF!</v>
      </c>
      <c r="L143" s="45" t="e">
        <f t="shared" si="2"/>
        <v>#REF!</v>
      </c>
      <c r="M143" s="61" t="e">
        <f t="shared" si="3"/>
        <v>#REF!</v>
      </c>
      <c r="N143" s="4" t="s">
        <v>258</v>
      </c>
    </row>
    <row r="144" spans="1:14" ht="15">
      <c r="A144" s="1" t="s">
        <v>24</v>
      </c>
      <c r="B144" s="1"/>
      <c r="C144" s="11" t="s">
        <v>197</v>
      </c>
      <c r="D144" s="12"/>
      <c r="E144" s="15" t="e">
        <f>#REF!</f>
        <v>#REF!</v>
      </c>
      <c r="F144" s="52" t="e">
        <f>#REF!</f>
        <v>#REF!</v>
      </c>
      <c r="G144" s="52" t="e">
        <f>#REF!</f>
        <v>#REF!</v>
      </c>
      <c r="H144" s="52" t="e">
        <f>#REF!</f>
        <v>#REF!</v>
      </c>
      <c r="I144" s="52" t="e">
        <f>#REF!</f>
        <v>#REF!</v>
      </c>
      <c r="J144" s="52" t="e">
        <f>#REF!</f>
        <v>#REF!</v>
      </c>
      <c r="K144" s="52" t="e">
        <f>#REF!-#REF!</f>
        <v>#REF!</v>
      </c>
      <c r="L144" s="45" t="e">
        <f t="shared" si="2"/>
        <v>#REF!</v>
      </c>
      <c r="M144" s="61" t="e">
        <f t="shared" si="3"/>
        <v>#REF!</v>
      </c>
    </row>
    <row r="145" spans="1:14">
      <c r="C145" s="4"/>
      <c r="D145" s="11" t="s">
        <v>198</v>
      </c>
      <c r="E145" s="15" t="e">
        <f>#REF!</f>
        <v>#REF!</v>
      </c>
      <c r="F145" s="45" t="e">
        <f>#REF!</f>
        <v>#REF!</v>
      </c>
      <c r="G145" s="45" t="e">
        <f>#REF!</f>
        <v>#REF!</v>
      </c>
      <c r="H145" s="45" t="e">
        <f>#REF!</f>
        <v>#REF!</v>
      </c>
      <c r="I145" s="45" t="e">
        <f>#REF!</f>
        <v>#REF!</v>
      </c>
      <c r="J145" s="45" t="e">
        <f>#REF!</f>
        <v>#REF!</v>
      </c>
      <c r="K145" s="45" t="e">
        <f>#REF!</f>
        <v>#REF!</v>
      </c>
      <c r="L145" s="45" t="e">
        <f t="shared" si="2"/>
        <v>#REF!</v>
      </c>
      <c r="M145" s="61" t="e">
        <f t="shared" si="3"/>
        <v>#REF!</v>
      </c>
      <c r="N145" s="71" t="s">
        <v>240</v>
      </c>
    </row>
    <row r="146" spans="1:14">
      <c r="A146" s="1"/>
      <c r="B146" s="1"/>
      <c r="C146" s="12"/>
      <c r="D146" s="12" t="s">
        <v>211</v>
      </c>
      <c r="E146" s="15" t="e">
        <f>#REF!</f>
        <v>#REF!</v>
      </c>
      <c r="F146" s="45" t="e">
        <f>#REF!</f>
        <v>#REF!</v>
      </c>
      <c r="G146" s="45" t="e">
        <f>#REF!</f>
        <v>#REF!</v>
      </c>
      <c r="H146" s="45" t="e">
        <f>#REF!</f>
        <v>#REF!</v>
      </c>
      <c r="I146" s="45" t="e">
        <f>#REF!</f>
        <v>#REF!</v>
      </c>
      <c r="J146" s="45" t="e">
        <f>#REF!</f>
        <v>#REF!</v>
      </c>
      <c r="K146" s="45" t="e">
        <f>#REF!</f>
        <v>#REF!</v>
      </c>
      <c r="L146" s="45" t="e">
        <f t="shared" si="2"/>
        <v>#REF!</v>
      </c>
      <c r="M146" s="61" t="e">
        <f t="shared" si="3"/>
        <v>#REF!</v>
      </c>
    </row>
    <row r="147" spans="1:14">
      <c r="A147" s="1" t="s">
        <v>23</v>
      </c>
      <c r="B147" s="2"/>
      <c r="C147" s="11"/>
      <c r="D147" s="12" t="s">
        <v>199</v>
      </c>
      <c r="E147" s="15" t="e">
        <f>#REF!</f>
        <v>#REF!</v>
      </c>
      <c r="F147" s="45" t="e">
        <f>#REF!</f>
        <v>#REF!</v>
      </c>
      <c r="G147" s="45" t="e">
        <f>#REF!</f>
        <v>#REF!</v>
      </c>
      <c r="H147" s="45" t="e">
        <f>#REF!</f>
        <v>#REF!</v>
      </c>
      <c r="I147" s="45" t="e">
        <f>#REF!</f>
        <v>#REF!</v>
      </c>
      <c r="J147" s="45" t="e">
        <f>#REF!</f>
        <v>#REF!</v>
      </c>
      <c r="K147" s="45" t="e">
        <f>#REF!</f>
        <v>#REF!</v>
      </c>
      <c r="L147" s="45" t="e">
        <f t="shared" si="2"/>
        <v>#REF!</v>
      </c>
      <c r="M147" s="61" t="e">
        <f t="shared" si="3"/>
        <v>#REF!</v>
      </c>
    </row>
    <row r="148" spans="1:14" ht="15">
      <c r="A148" s="1" t="s">
        <v>24</v>
      </c>
      <c r="B148" s="1"/>
      <c r="C148" s="12" t="s">
        <v>200</v>
      </c>
      <c r="D148" s="37"/>
      <c r="E148" s="15" t="e">
        <f>#REF!</f>
        <v>#REF!</v>
      </c>
      <c r="F148" s="50" t="e">
        <f>#REF!</f>
        <v>#REF!</v>
      </c>
      <c r="G148" s="50" t="e">
        <f>#REF!</f>
        <v>#REF!</v>
      </c>
      <c r="H148" s="50" t="e">
        <f>#REF!</f>
        <v>#REF!</v>
      </c>
      <c r="I148" s="50" t="e">
        <f>#REF!</f>
        <v>#REF!</v>
      </c>
      <c r="J148" s="50" t="e">
        <f>#REF!</f>
        <v>#REF!</v>
      </c>
      <c r="K148" s="50" t="e">
        <f>SUM(K145:K147)</f>
        <v>#REF!</v>
      </c>
      <c r="L148" s="45" t="e">
        <f t="shared" si="2"/>
        <v>#REF!</v>
      </c>
      <c r="M148" s="61" t="e">
        <f t="shared" si="3"/>
        <v>#REF!</v>
      </c>
    </row>
    <row r="149" spans="1:14">
      <c r="C149" s="4"/>
      <c r="D149" s="12" t="s">
        <v>201</v>
      </c>
      <c r="E149" s="15" t="e">
        <f>#REF!</f>
        <v>#REF!</v>
      </c>
      <c r="F149" s="57" t="e">
        <f>#REF!</f>
        <v>#REF!</v>
      </c>
      <c r="G149" s="57" t="e">
        <f>#REF!</f>
        <v>#REF!</v>
      </c>
      <c r="H149" s="57" t="e">
        <f>#REF!</f>
        <v>#REF!</v>
      </c>
      <c r="I149" s="57" t="e">
        <f>#REF!</f>
        <v>#REF!</v>
      </c>
      <c r="J149" s="57" t="e">
        <f>#REF!</f>
        <v>#REF!</v>
      </c>
      <c r="K149" s="57" t="e">
        <f>#REF!</f>
        <v>#REF!</v>
      </c>
      <c r="L149" s="45" t="e">
        <f t="shared" si="2"/>
        <v>#REF!</v>
      </c>
      <c r="M149" s="61" t="e">
        <f t="shared" si="3"/>
        <v>#REF!</v>
      </c>
    </row>
    <row r="150" spans="1:14">
      <c r="A150" s="1"/>
      <c r="B150" s="1"/>
      <c r="C150" s="11"/>
      <c r="D150" s="12" t="s">
        <v>202</v>
      </c>
      <c r="E150" s="15" t="e">
        <f>#REF!</f>
        <v>#REF!</v>
      </c>
      <c r="F150" s="57" t="e">
        <f>#REF!</f>
        <v>#REF!</v>
      </c>
      <c r="G150" s="57" t="e">
        <f>#REF!</f>
        <v>#REF!</v>
      </c>
      <c r="H150" s="57" t="e">
        <f>#REF!</f>
        <v>#REF!</v>
      </c>
      <c r="I150" s="57" t="e">
        <f>#REF!</f>
        <v>#REF!</v>
      </c>
      <c r="J150" s="57" t="e">
        <f>#REF!</f>
        <v>#REF!</v>
      </c>
      <c r="K150" s="57" t="e">
        <f>#REF!</f>
        <v>#REF!</v>
      </c>
      <c r="L150" s="45" t="e">
        <f t="shared" si="2"/>
        <v>#REF!</v>
      </c>
      <c r="M150" s="61" t="e">
        <f t="shared" si="3"/>
        <v>#REF!</v>
      </c>
    </row>
    <row r="151" spans="1:14" ht="15">
      <c r="A151" s="1" t="s">
        <v>203</v>
      </c>
      <c r="B151" s="1"/>
      <c r="C151" s="11" t="s">
        <v>204</v>
      </c>
      <c r="D151" s="12"/>
      <c r="E151" s="15" t="e">
        <f>#REF!</f>
        <v>#REF!</v>
      </c>
      <c r="F151" s="59" t="e">
        <f>#REF!</f>
        <v>#REF!</v>
      </c>
      <c r="G151" s="59" t="e">
        <f>#REF!</f>
        <v>#REF!</v>
      </c>
      <c r="H151" s="59" t="e">
        <f>#REF!</f>
        <v>#REF!</v>
      </c>
      <c r="I151" s="59" t="e">
        <f>#REF!</f>
        <v>#REF!</v>
      </c>
      <c r="J151" s="59" t="e">
        <f>#REF!</f>
        <v>#REF!</v>
      </c>
      <c r="K151" s="59" t="e">
        <f>SUM(K149:K150)</f>
        <v>#REF!</v>
      </c>
      <c r="L151" s="45" t="e">
        <f t="shared" si="2"/>
        <v>#REF!</v>
      </c>
      <c r="M151" s="61" t="e">
        <f t="shared" si="3"/>
        <v>#REF!</v>
      </c>
    </row>
    <row r="152" spans="1:14" s="70" customFormat="1">
      <c r="A152" s="64"/>
      <c r="B152" s="64"/>
      <c r="C152" s="65"/>
      <c r="D152" s="66" t="s">
        <v>256</v>
      </c>
      <c r="E152" s="67" t="e">
        <f>#REF!</f>
        <v>#REF!</v>
      </c>
      <c r="F152" s="68" t="e">
        <f>#REF!</f>
        <v>#REF!</v>
      </c>
      <c r="G152" s="68" t="e">
        <f>#REF!</f>
        <v>#REF!</v>
      </c>
      <c r="H152" s="68" t="e">
        <f>#REF!</f>
        <v>#REF!</v>
      </c>
      <c r="I152" s="68" t="e">
        <f>#REF!</f>
        <v>#REF!</v>
      </c>
      <c r="J152" s="68" t="e">
        <f>#REF!</f>
        <v>#REF!</v>
      </c>
      <c r="K152" s="68" t="e">
        <f>SUM(K151,K148,K144,K142,K138,K110,K108,K100,K89,K86,K79,K63,K55,K48,K40,K32,K23)+16000</f>
        <v>#REF!</v>
      </c>
      <c r="L152" s="67" t="e">
        <f t="shared" si="2"/>
        <v>#REF!</v>
      </c>
      <c r="M152" s="69" t="e">
        <f t="shared" si="3"/>
        <v>#REF!</v>
      </c>
    </row>
    <row r="153" spans="1:14" outlineLevel="1">
      <c r="A153" s="1"/>
      <c r="B153" s="1"/>
      <c r="C153" s="11"/>
      <c r="D153" s="13"/>
      <c r="E153" s="15"/>
      <c r="J153" s="55"/>
      <c r="K153" s="55"/>
    </row>
    <row r="154" spans="1:14">
      <c r="A154" s="1" t="s">
        <v>205</v>
      </c>
      <c r="B154" s="1"/>
      <c r="C154" s="11" t="s">
        <v>206</v>
      </c>
      <c r="D154" s="12"/>
      <c r="E154" s="15"/>
    </row>
    <row r="155" spans="1:14">
      <c r="A155" s="1"/>
      <c r="B155" s="1"/>
      <c r="C155" s="11" t="s">
        <v>207</v>
      </c>
      <c r="D155" s="12"/>
      <c r="E155" s="15"/>
    </row>
    <row r="156" spans="1:14">
      <c r="A156" s="1"/>
      <c r="B156" s="1"/>
      <c r="C156" s="11" t="s">
        <v>208</v>
      </c>
      <c r="D156" s="12"/>
      <c r="E156" s="15"/>
    </row>
    <row r="157" spans="1:14">
      <c r="A157" s="1"/>
      <c r="B157" s="1"/>
      <c r="C157" s="11" t="s">
        <v>209</v>
      </c>
      <c r="D157" s="12"/>
      <c r="E157" s="15"/>
    </row>
    <row r="158" spans="1:14">
      <c r="A158" s="1"/>
      <c r="B158" s="1"/>
      <c r="C158" s="9"/>
      <c r="D158" s="10"/>
      <c r="E158" s="15"/>
    </row>
    <row r="159" spans="1:14">
      <c r="E159" s="15"/>
    </row>
    <row r="160" spans="1:14">
      <c r="E160" s="15"/>
    </row>
    <row r="161" spans="5:5">
      <c r="E161" s="15"/>
    </row>
    <row r="162" spans="5:5">
      <c r="E162" s="15"/>
    </row>
    <row r="163" spans="5:5">
      <c r="E163" s="15"/>
    </row>
    <row r="164" spans="5:5">
      <c r="E164" s="15"/>
    </row>
  </sheetData>
  <phoneticPr fontId="1" type="noConversion"/>
  <printOptions horizontalCentered="1"/>
  <pageMargins left="0.23622047244094491" right="0.23622047244094491" top="0.39370078740157483" bottom="0.27559055118110237" header="0.31496062992125984" footer="0.31496062992125984"/>
  <pageSetup paperSize="8" scale="6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FF0066"/>
  </sheetPr>
  <dimension ref="A1:N23"/>
  <sheetViews>
    <sheetView showGridLines="0" zoomScaleNormal="100" workbookViewId="0">
      <pane xSplit="4" ySplit="5" topLeftCell="I15" activePane="bottomRight" state="frozen"/>
      <selection pane="topRight" activeCell="F1" sqref="F1"/>
      <selection pane="bottomLeft" activeCell="A6" sqref="A6"/>
      <selection pane="bottomRight" activeCell="J20" sqref="J20"/>
    </sheetView>
  </sheetViews>
  <sheetFormatPr defaultRowHeight="12.75"/>
  <cols>
    <col min="1" max="1" width="3.125" style="4" bestFit="1" customWidth="1"/>
    <col min="2" max="2" width="3.125" style="4" customWidth="1"/>
    <col min="3" max="3" width="20.125" style="16" customWidth="1"/>
    <col min="4" max="4" width="31.75" style="16" customWidth="1"/>
    <col min="5" max="5" width="14.125" style="45" hidden="1" customWidth="1"/>
    <col min="6" max="6" width="13.875" style="45" hidden="1" customWidth="1"/>
    <col min="7" max="7" width="13.25" style="45" hidden="1" customWidth="1"/>
    <col min="8" max="8" width="13.875" style="45" hidden="1" customWidth="1"/>
    <col min="9" max="10" width="14.625" style="45" bestFit="1" customWidth="1"/>
    <col min="11" max="11" width="13.25" style="4" customWidth="1"/>
    <col min="12" max="12" width="11.375" style="61" customWidth="1"/>
    <col min="13" max="13" width="4.5" style="61" customWidth="1"/>
    <col min="14" max="14" width="45" style="61" customWidth="1"/>
    <col min="15" max="16384" width="9" style="4"/>
  </cols>
  <sheetData>
    <row r="1" spans="1:14">
      <c r="B1" s="14"/>
      <c r="C1" s="14" t="s">
        <v>530</v>
      </c>
    </row>
    <row r="2" spans="1:14">
      <c r="J2" s="4"/>
    </row>
    <row r="3" spans="1:14" ht="13.5" thickBot="1">
      <c r="C3" s="445" t="s">
        <v>503</v>
      </c>
      <c r="D3" s="445" t="s">
        <v>504</v>
      </c>
      <c r="E3" s="46" t="s">
        <v>34</v>
      </c>
      <c r="F3" s="46" t="s">
        <v>35</v>
      </c>
      <c r="G3" s="46" t="s">
        <v>36</v>
      </c>
      <c r="H3" s="46" t="s">
        <v>37</v>
      </c>
      <c r="I3" s="46" t="s">
        <v>531</v>
      </c>
      <c r="J3" s="446" t="s">
        <v>532</v>
      </c>
      <c r="K3" s="447" t="s">
        <v>505</v>
      </c>
      <c r="L3" s="447" t="s">
        <v>506</v>
      </c>
      <c r="M3" s="447"/>
      <c r="N3" s="447" t="s">
        <v>507</v>
      </c>
    </row>
    <row r="4" spans="1:14">
      <c r="E4" s="47"/>
      <c r="F4" s="47"/>
      <c r="G4" s="47"/>
      <c r="H4" s="47"/>
      <c r="I4" s="47" t="s">
        <v>103</v>
      </c>
      <c r="J4" s="47"/>
      <c r="N4" s="4"/>
    </row>
    <row r="5" spans="1:14">
      <c r="A5" s="1"/>
      <c r="B5" s="1"/>
      <c r="C5" s="9"/>
      <c r="D5" s="10"/>
      <c r="E5" s="47"/>
      <c r="F5" s="47"/>
      <c r="G5" s="47"/>
      <c r="H5" s="47"/>
      <c r="I5" s="47"/>
      <c r="J5" s="47"/>
    </row>
    <row r="6" spans="1:14" ht="15">
      <c r="A6" s="1"/>
      <c r="B6" s="1"/>
      <c r="C6" s="39" t="s">
        <v>106</v>
      </c>
      <c r="D6" s="73" t="s">
        <v>508</v>
      </c>
      <c r="E6" s="49">
        <f>[27]与2011年预算对比帮助!F23</f>
        <v>9686856.6974999998</v>
      </c>
      <c r="F6" s="49">
        <f>[27]与2011年预算对比帮助!G23</f>
        <v>11022948.8575</v>
      </c>
      <c r="G6" s="49">
        <f>[27]与2011年预算对比帮助!H23</f>
        <v>11258154.8575</v>
      </c>
      <c r="H6" s="49">
        <f>[27]与2011年预算对比帮助!I23</f>
        <v>11728566.8575</v>
      </c>
      <c r="I6" s="49" t="e">
        <f>#REF!</f>
        <v>#REF!</v>
      </c>
      <c r="J6" s="49">
        <f>'2012预算稿'!K21</f>
        <v>42412023.270000003</v>
      </c>
      <c r="K6" s="456" t="e">
        <f>I6-J6</f>
        <v>#REF!</v>
      </c>
      <c r="L6" s="61" t="e">
        <f>(I6-J6)/J6</f>
        <v>#REF!</v>
      </c>
      <c r="N6" s="457" t="s">
        <v>535</v>
      </c>
    </row>
    <row r="7" spans="1:14" ht="15">
      <c r="A7" s="1"/>
      <c r="B7" s="1"/>
      <c r="C7" s="39" t="s">
        <v>109</v>
      </c>
      <c r="D7" s="73" t="s">
        <v>509</v>
      </c>
      <c r="E7" s="49">
        <f>[27]与2011年预算对比帮助!F32</f>
        <v>349270</v>
      </c>
      <c r="F7" s="49">
        <f>[27]与2011年预算对比帮助!G32</f>
        <v>402870</v>
      </c>
      <c r="G7" s="49">
        <f>[27]与2011年预算对比帮助!H32</f>
        <v>402870</v>
      </c>
      <c r="H7" s="49">
        <f>[27]与2011年预算对比帮助!I32</f>
        <v>402870</v>
      </c>
      <c r="I7" s="49" t="e">
        <f>#REF!</f>
        <v>#REF!</v>
      </c>
      <c r="J7" s="49">
        <f>'2012预算稿'!K30</f>
        <v>1493880</v>
      </c>
      <c r="K7" s="456" t="e">
        <f t="shared" ref="K7:K21" si="0">I7-J7</f>
        <v>#REF!</v>
      </c>
      <c r="L7" s="61" t="e">
        <f t="shared" ref="L7:L21" si="1">(I7-J7)/J7</f>
        <v>#REF!</v>
      </c>
      <c r="N7" s="457" t="s">
        <v>536</v>
      </c>
    </row>
    <row r="8" spans="1:14" ht="15">
      <c r="A8" s="1"/>
      <c r="B8" s="1"/>
      <c r="C8" s="39" t="s">
        <v>110</v>
      </c>
      <c r="D8" s="73" t="s">
        <v>138</v>
      </c>
      <c r="E8" s="49">
        <f>[27]与2011年预算对比帮助!F40</f>
        <v>1257655.8</v>
      </c>
      <c r="F8" s="49">
        <f>[27]与2011年预算对比帮助!G40</f>
        <v>1291747.80968523</v>
      </c>
      <c r="G8" s="49">
        <f>[27]与2011年预算对比帮助!H40</f>
        <v>1308793.814527845</v>
      </c>
      <c r="H8" s="49">
        <f>[27]与2011年预算对比帮助!I40</f>
        <v>1308793.814527845</v>
      </c>
      <c r="I8" s="49" t="e">
        <f>#REF!</f>
        <v>#REF!</v>
      </c>
      <c r="J8" s="49">
        <f>'2012预算稿'!K38</f>
        <v>5030623.2</v>
      </c>
      <c r="K8" s="456" t="e">
        <f t="shared" si="0"/>
        <v>#REF!</v>
      </c>
      <c r="L8" s="61" t="e">
        <f t="shared" si="1"/>
        <v>#REF!</v>
      </c>
      <c r="N8" s="457" t="s">
        <v>537</v>
      </c>
    </row>
    <row r="9" spans="1:14" ht="15">
      <c r="A9" s="1"/>
      <c r="B9" s="1"/>
      <c r="C9" s="39" t="s">
        <v>112</v>
      </c>
      <c r="D9" s="449" t="s">
        <v>139</v>
      </c>
      <c r="E9" s="49">
        <f>[27]与2011年预算对比帮助!F48</f>
        <v>131482.20000000001</v>
      </c>
      <c r="F9" s="49">
        <f>[27]与2011年预算对比帮助!G48</f>
        <v>134550.4808716707</v>
      </c>
      <c r="G9" s="49">
        <f>[27]与2011年预算对比帮助!H48</f>
        <v>136084.62130750605</v>
      </c>
      <c r="H9" s="49">
        <f>[27]与2011年预算对比帮助!I48</f>
        <v>136084.62130750605</v>
      </c>
      <c r="I9" s="49" t="e">
        <f>#REF!</f>
        <v>#REF!</v>
      </c>
      <c r="J9" s="49">
        <f>'2012预算稿'!K46</f>
        <v>525928.80000000005</v>
      </c>
      <c r="K9" s="456" t="e">
        <f t="shared" si="0"/>
        <v>#REF!</v>
      </c>
      <c r="L9" s="61" t="e">
        <f t="shared" si="1"/>
        <v>#REF!</v>
      </c>
      <c r="N9" s="448" t="s">
        <v>539</v>
      </c>
    </row>
    <row r="10" spans="1:14" ht="15">
      <c r="A10" s="1"/>
      <c r="B10" s="1"/>
      <c r="C10" s="39" t="s">
        <v>114</v>
      </c>
      <c r="D10" s="449" t="s">
        <v>510</v>
      </c>
      <c r="E10" s="49">
        <f>[27]与2011年预算对比帮助!F55</f>
        <v>756150</v>
      </c>
      <c r="F10" s="49">
        <f>[27]与2011年预算对比帮助!G55</f>
        <v>1146500</v>
      </c>
      <c r="G10" s="49">
        <f>[27]与2011年预算对比帮助!H55</f>
        <v>1156500</v>
      </c>
      <c r="H10" s="49">
        <f>[27]与2011年预算对比帮助!I55</f>
        <v>1156500</v>
      </c>
      <c r="I10" s="49" t="e">
        <f>#REF!</f>
        <v>#REF!</v>
      </c>
      <c r="J10" s="49">
        <f>'2012预算稿'!K53</f>
        <v>4045650</v>
      </c>
      <c r="K10" s="456" t="e">
        <f t="shared" si="0"/>
        <v>#REF!</v>
      </c>
      <c r="L10" s="61" t="e">
        <f t="shared" si="1"/>
        <v>#REF!</v>
      </c>
      <c r="N10" s="448" t="s">
        <v>538</v>
      </c>
    </row>
    <row r="11" spans="1:14" ht="15">
      <c r="A11" s="1"/>
      <c r="B11" s="1"/>
      <c r="C11" s="39" t="s">
        <v>116</v>
      </c>
      <c r="D11" s="449" t="s">
        <v>511</v>
      </c>
      <c r="E11" s="49">
        <f>[27]与2011年预算对比帮助!F63</f>
        <v>100131.34199999999</v>
      </c>
      <c r="F11" s="49">
        <f>[27]与2011年预算对比帮助!G63</f>
        <v>105708.17827779529</v>
      </c>
      <c r="G11" s="49">
        <f>[27]与2011年预算对比帮助!H63</f>
        <v>106823.54553335437</v>
      </c>
      <c r="H11" s="49">
        <f>[27]与2011年预算对比帮助!I63</f>
        <v>106823.54553335437</v>
      </c>
      <c r="I11" s="49" t="e">
        <f>#REF!</f>
        <v>#REF!</v>
      </c>
      <c r="J11" s="49">
        <f>'2012预算稿'!K61</f>
        <v>400525.36799999996</v>
      </c>
      <c r="K11" s="456" t="e">
        <f t="shared" si="0"/>
        <v>#REF!</v>
      </c>
      <c r="L11" s="61" t="e">
        <f t="shared" si="1"/>
        <v>#REF!</v>
      </c>
      <c r="N11" s="61" t="s">
        <v>540</v>
      </c>
    </row>
    <row r="12" spans="1:14" ht="15">
      <c r="A12" s="1"/>
      <c r="B12" s="1"/>
      <c r="C12" s="39" t="s">
        <v>512</v>
      </c>
      <c r="D12" s="449" t="s">
        <v>513</v>
      </c>
      <c r="E12" s="50">
        <f>[27]与2011年预算对比帮助!F79</f>
        <v>348000</v>
      </c>
      <c r="F12" s="50">
        <f>[27]与2011年预算对比帮助!G79</f>
        <v>371623.83999999997</v>
      </c>
      <c r="G12" s="50">
        <f>[27]与2011年预算对比帮助!H79</f>
        <v>306500</v>
      </c>
      <c r="H12" s="50">
        <f>[27]与2011年预算对比帮助!I79</f>
        <v>374323.83999999997</v>
      </c>
      <c r="I12" s="50" t="e">
        <f>#REF!</f>
        <v>#REF!</v>
      </c>
      <c r="J12" s="50">
        <f>'2012预算稿'!K77</f>
        <v>1354547.68</v>
      </c>
      <c r="K12" s="456" t="e">
        <f t="shared" si="0"/>
        <v>#REF!</v>
      </c>
      <c r="L12" s="61" t="e">
        <f t="shared" si="1"/>
        <v>#REF!</v>
      </c>
      <c r="N12" s="448" t="s">
        <v>550</v>
      </c>
    </row>
    <row r="13" spans="1:14" ht="15">
      <c r="A13" s="1"/>
      <c r="B13" s="1"/>
      <c r="C13" s="39" t="s">
        <v>514</v>
      </c>
      <c r="D13" s="449" t="s">
        <v>515</v>
      </c>
      <c r="E13" s="50">
        <f>[27]与2011年预算对比帮助!F86</f>
        <v>139359.62</v>
      </c>
      <c r="F13" s="50">
        <f>[27]与2011年预算对比帮助!G86</f>
        <v>129257.62</v>
      </c>
      <c r="G13" s="50">
        <f>[27]与2011年预算对比帮助!H86</f>
        <v>130957.62</v>
      </c>
      <c r="H13" s="50">
        <f>[27]与2011年预算对比帮助!I86</f>
        <v>130957.62</v>
      </c>
      <c r="I13" s="50" t="e">
        <f>#REF!</f>
        <v>#REF!</v>
      </c>
      <c r="J13" s="50">
        <f>'2012预算稿'!K84</f>
        <v>501632.48</v>
      </c>
      <c r="K13" s="456" t="e">
        <f t="shared" si="0"/>
        <v>#REF!</v>
      </c>
      <c r="L13" s="61" t="e">
        <f t="shared" si="1"/>
        <v>#REF!</v>
      </c>
      <c r="N13" s="61" t="s">
        <v>541</v>
      </c>
    </row>
    <row r="14" spans="1:14" ht="15">
      <c r="A14" s="28"/>
      <c r="B14" s="28"/>
      <c r="C14" s="42" t="s">
        <v>516</v>
      </c>
      <c r="D14" s="449" t="s">
        <v>517</v>
      </c>
      <c r="E14" s="49">
        <f>[27]与2011年预算对比帮助!F89</f>
        <v>588750</v>
      </c>
      <c r="F14" s="49">
        <f>[27]与2011年预算对比帮助!G89</f>
        <v>611750</v>
      </c>
      <c r="G14" s="49">
        <f>[27]与2011年预算对比帮助!H89</f>
        <v>657750</v>
      </c>
      <c r="H14" s="49">
        <f>[27]与2011年预算对比帮助!I89</f>
        <v>657750</v>
      </c>
      <c r="I14" s="49" t="e">
        <f>#REF!</f>
        <v>#REF!</v>
      </c>
      <c r="J14" s="49">
        <f>'2012预算稿'!K87</f>
        <v>2355000</v>
      </c>
      <c r="K14" s="456" t="e">
        <f t="shared" si="0"/>
        <v>#REF!</v>
      </c>
      <c r="L14" s="61" t="e">
        <f t="shared" si="1"/>
        <v>#REF!</v>
      </c>
      <c r="N14" s="448" t="s">
        <v>542</v>
      </c>
    </row>
    <row r="15" spans="1:14" ht="15">
      <c r="A15" s="28"/>
      <c r="B15" s="1"/>
      <c r="C15" s="42" t="s">
        <v>518</v>
      </c>
      <c r="D15" s="449" t="s">
        <v>533</v>
      </c>
      <c r="E15" s="49">
        <f>[27]与2011年预算对比帮助!F100</f>
        <v>176115.71322033898</v>
      </c>
      <c r="F15" s="49">
        <f>[27]与2011年预算对比帮助!G100</f>
        <v>123915.71322033898</v>
      </c>
      <c r="G15" s="49">
        <f>[27]与2011年预算对比帮助!H100</f>
        <v>148615.71322033898</v>
      </c>
      <c r="H15" s="49">
        <f>[27]与2011年预算对比帮助!I100</f>
        <v>128615.71322033898</v>
      </c>
      <c r="I15" s="49" t="e">
        <f>#REF!</f>
        <v>#REF!</v>
      </c>
      <c r="J15" s="49">
        <f>'2012预算稿'!K98</f>
        <v>539662.85288135591</v>
      </c>
      <c r="K15" s="456" t="e">
        <f t="shared" si="0"/>
        <v>#REF!</v>
      </c>
      <c r="L15" s="61" t="e">
        <f t="shared" si="1"/>
        <v>#REF!</v>
      </c>
      <c r="N15" s="448" t="s">
        <v>543</v>
      </c>
    </row>
    <row r="16" spans="1:14" ht="15">
      <c r="A16" s="1"/>
      <c r="B16" s="1"/>
      <c r="C16" s="42" t="s">
        <v>519</v>
      </c>
      <c r="D16" s="449" t="s">
        <v>520</v>
      </c>
      <c r="E16" s="52">
        <f>[27]与2011年预算对比帮助!F110</f>
        <v>48041.64</v>
      </c>
      <c r="F16" s="52">
        <f>[27]与2011年预算对比帮助!G110</f>
        <v>117630.63515738498</v>
      </c>
      <c r="G16" s="52">
        <f>[27]与2011年预算对比帮助!H110</f>
        <v>48672.635157384982</v>
      </c>
      <c r="H16" s="52">
        <f>[27]与2011年预算对比帮助!I110</f>
        <v>48672.635157384982</v>
      </c>
      <c r="I16" s="52" t="e">
        <f>#REF!</f>
        <v>#REF!</v>
      </c>
      <c r="J16" s="52">
        <f>'2012预算稿'!K108</f>
        <v>256501.56000000003</v>
      </c>
      <c r="K16" s="456" t="e">
        <f t="shared" si="0"/>
        <v>#REF!</v>
      </c>
      <c r="L16" s="61" t="e">
        <f t="shared" si="1"/>
        <v>#REF!</v>
      </c>
      <c r="N16" s="459" t="s">
        <v>544</v>
      </c>
    </row>
    <row r="17" spans="1:14" ht="15">
      <c r="A17" s="28"/>
      <c r="B17" s="1"/>
      <c r="C17" s="42" t="s">
        <v>521</v>
      </c>
      <c r="D17" s="449" t="s">
        <v>545</v>
      </c>
      <c r="E17" s="52">
        <f>[27]与2011年预算对比帮助!F138</f>
        <v>342012.35593220335</v>
      </c>
      <c r="F17" s="52">
        <f>[27]与2011年预算对比帮助!G138</f>
        <v>357630.37046004843</v>
      </c>
      <c r="G17" s="52">
        <f>[27]与2011年预算对比帮助!H138</f>
        <v>365439.37772397092</v>
      </c>
      <c r="H17" s="52">
        <f>[27]与2011年预算对比帮助!I138</f>
        <v>365439.37772397092</v>
      </c>
      <c r="I17" s="52" t="e">
        <f>#REF!</f>
        <v>#REF!</v>
      </c>
      <c r="J17" s="52">
        <f>'2012预算稿'!K136</f>
        <v>1368049.4237288137</v>
      </c>
      <c r="K17" s="456" t="e">
        <f t="shared" si="0"/>
        <v>#REF!</v>
      </c>
      <c r="L17" s="61" t="e">
        <f t="shared" si="1"/>
        <v>#REF!</v>
      </c>
      <c r="N17" s="448" t="s">
        <v>551</v>
      </c>
    </row>
    <row r="18" spans="1:14" ht="15">
      <c r="A18" s="1"/>
      <c r="B18" s="1"/>
      <c r="C18" s="42" t="s">
        <v>522</v>
      </c>
      <c r="D18" s="449" t="s">
        <v>523</v>
      </c>
      <c r="E18" s="52">
        <f>[27]与2011年预算对比帮助!F142</f>
        <v>366139.03076923074</v>
      </c>
      <c r="F18" s="52">
        <f>[27]与2011年预算对比帮助!G142</f>
        <v>638901.0307692308</v>
      </c>
      <c r="G18" s="52">
        <f>[27]与2011年预算对比帮助!H142</f>
        <v>619828.0307692308</v>
      </c>
      <c r="H18" s="52">
        <f>[27]与2011年预算对比帮助!I142</f>
        <v>481046.03076923074</v>
      </c>
      <c r="I18" s="52" t="e">
        <f>#REF!</f>
        <v>#REF!</v>
      </c>
      <c r="J18" s="52">
        <f>'2012预算稿'!J140</f>
        <v>2105914.1230769232</v>
      </c>
      <c r="K18" s="456" t="e">
        <f t="shared" si="0"/>
        <v>#REF!</v>
      </c>
      <c r="L18" s="61" t="e">
        <f t="shared" si="1"/>
        <v>#REF!</v>
      </c>
      <c r="N18" s="448" t="s">
        <v>546</v>
      </c>
    </row>
    <row r="19" spans="1:14" ht="15">
      <c r="A19" s="1"/>
      <c r="B19" s="1"/>
      <c r="C19" s="42" t="s">
        <v>524</v>
      </c>
      <c r="D19" s="449" t="s">
        <v>525</v>
      </c>
      <c r="E19" s="52">
        <f>[27]与2011年预算对比帮助!F144</f>
        <v>100961</v>
      </c>
      <c r="F19" s="52">
        <f>[27]与2011年预算对比帮助!G144</f>
        <v>100961</v>
      </c>
      <c r="G19" s="52">
        <f>[27]与2011年预算对比帮助!H144</f>
        <v>100961</v>
      </c>
      <c r="H19" s="52">
        <f>[27]与2011年预算对比帮助!I144</f>
        <v>100961</v>
      </c>
      <c r="I19" s="52" t="e">
        <f>#REF!</f>
        <v>#REF!</v>
      </c>
      <c r="J19" s="52">
        <f>'2012预算稿'!J142</f>
        <v>403844</v>
      </c>
      <c r="K19" s="456" t="e">
        <f t="shared" si="0"/>
        <v>#REF!</v>
      </c>
      <c r="L19" s="61" t="e">
        <f t="shared" si="1"/>
        <v>#REF!</v>
      </c>
      <c r="N19" s="448" t="s">
        <v>547</v>
      </c>
    </row>
    <row r="20" spans="1:14" ht="15">
      <c r="A20" s="1"/>
      <c r="B20" s="1"/>
      <c r="C20" s="42" t="s">
        <v>526</v>
      </c>
      <c r="D20" s="449" t="s">
        <v>527</v>
      </c>
      <c r="E20" s="50">
        <f>[27]与2011年预算对比帮助!F148</f>
        <v>10392104.359999999</v>
      </c>
      <c r="F20" s="50">
        <f>[27]与2011年预算对比帮助!G148</f>
        <v>9754822.4000000004</v>
      </c>
      <c r="G20" s="50">
        <f>[27]与2011年预算对比帮助!H148</f>
        <v>5793222.4000000004</v>
      </c>
      <c r="H20" s="50">
        <f>[27]与2011年预算对比帮助!I148</f>
        <v>5367222.4000000004</v>
      </c>
      <c r="I20" s="50" t="e">
        <f>#REF!</f>
        <v>#REF!</v>
      </c>
      <c r="J20" s="50">
        <f>'2012预算稿'!J146</f>
        <v>31307371.560000002</v>
      </c>
      <c r="K20" s="456" t="e">
        <f t="shared" si="0"/>
        <v>#REF!</v>
      </c>
      <c r="L20" s="61" t="e">
        <f t="shared" si="1"/>
        <v>#REF!</v>
      </c>
      <c r="N20" s="448" t="s">
        <v>548</v>
      </c>
    </row>
    <row r="21" spans="1:14" ht="15">
      <c r="A21" s="1"/>
      <c r="B21" s="1"/>
      <c r="C21" s="42" t="s">
        <v>528</v>
      </c>
      <c r="D21" s="449" t="s">
        <v>529</v>
      </c>
      <c r="E21" s="59">
        <f>[27]与2011年预算对比帮助!F151</f>
        <v>55877</v>
      </c>
      <c r="F21" s="59">
        <f>[27]与2011年预算对比帮助!G151</f>
        <v>72464</v>
      </c>
      <c r="G21" s="59">
        <f>[27]与2011年预算对比帮助!H151</f>
        <v>81033</v>
      </c>
      <c r="H21" s="59">
        <f>[27]与2011年预算对比帮助!I151</f>
        <v>47452</v>
      </c>
      <c r="I21" s="59" t="e">
        <f>#REF!</f>
        <v>#REF!</v>
      </c>
      <c r="J21" s="59">
        <f>'2012预算稿'!J149</f>
        <v>256826</v>
      </c>
      <c r="K21" s="456" t="e">
        <f t="shared" si="0"/>
        <v>#REF!</v>
      </c>
      <c r="L21" s="61" t="e">
        <f t="shared" si="1"/>
        <v>#REF!</v>
      </c>
      <c r="N21" s="448" t="s">
        <v>549</v>
      </c>
    </row>
    <row r="22" spans="1:14" s="70" customFormat="1">
      <c r="A22" s="64"/>
      <c r="B22" s="64"/>
      <c r="C22" s="65"/>
      <c r="D22" s="454" t="s">
        <v>534</v>
      </c>
      <c r="E22" s="68">
        <f>[27]与2011年预算对比帮助!F152</f>
        <v>24838906.759421773</v>
      </c>
      <c r="F22" s="68">
        <f>[27]与2011年预算对比帮助!G152</f>
        <v>26383281.9359417</v>
      </c>
      <c r="G22" s="68">
        <f>[27]与2011年预算对比帮助!H152</f>
        <v>22622206.615739629</v>
      </c>
      <c r="H22" s="68">
        <f>[27]与2011年预算对比帮助!I152</f>
        <v>22542079.455739632</v>
      </c>
      <c r="I22" s="68" t="e">
        <f>SUM(I6:I21)</f>
        <v>#REF!</v>
      </c>
      <c r="J22" s="68">
        <f>SUM(J6:J21)</f>
        <v>94357980.317687094</v>
      </c>
      <c r="K22" s="458" t="e">
        <f>SUM(K6:K21)</f>
        <v>#REF!</v>
      </c>
      <c r="L22" s="69" t="e">
        <f>K22/J22</f>
        <v>#REF!</v>
      </c>
      <c r="M22" s="69"/>
      <c r="N22" s="69"/>
    </row>
    <row r="23" spans="1:14">
      <c r="K23" s="455"/>
    </row>
  </sheetData>
  <phoneticPr fontId="1" type="noConversion"/>
  <printOptions horizontalCentered="1"/>
  <pageMargins left="0.23622047244094491" right="0.23622047244094491" top="0.39370078740157483" bottom="0.27559055118110237" header="0.31496062992125984" footer="0.31496062992125984"/>
  <pageSetup paperSize="8" scale="6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FF0066"/>
  </sheetPr>
  <dimension ref="A1:Q164"/>
  <sheetViews>
    <sheetView showGridLines="0" zoomScale="90" zoomScaleNormal="90" workbookViewId="0">
      <pane xSplit="5" ySplit="5" topLeftCell="F132" activePane="bottomRight" state="frozen"/>
      <selection pane="topRight" activeCell="F1" sqref="F1"/>
      <selection pane="bottomLeft" activeCell="A6" sqref="A6"/>
      <selection pane="bottomRight" activeCell="F143" sqref="F143"/>
    </sheetView>
  </sheetViews>
  <sheetFormatPr defaultRowHeight="12.75" outlineLevelRow="1"/>
  <cols>
    <col min="1" max="1" width="3.125" style="4" bestFit="1" customWidth="1"/>
    <col min="2" max="2" width="3.125" style="4" customWidth="1"/>
    <col min="3" max="3" width="20.125" style="16" customWidth="1"/>
    <col min="4" max="4" width="32.75" style="16" bestFit="1" customWidth="1"/>
    <col min="5" max="5" width="16.75" style="4" bestFit="1" customWidth="1"/>
    <col min="6" max="6" width="14.125" style="45" bestFit="1" customWidth="1"/>
    <col min="7" max="7" width="13.875" style="45" bestFit="1" customWidth="1"/>
    <col min="8" max="8" width="13.25" style="45" customWidth="1"/>
    <col min="9" max="9" width="13.875" style="45" bestFit="1" customWidth="1"/>
    <col min="10" max="10" width="14.625" style="45" bestFit="1" customWidth="1"/>
    <col min="11" max="11" width="91.5" style="338" customWidth="1"/>
    <col min="12" max="12" width="23.125" style="4" bestFit="1" customWidth="1"/>
    <col min="13" max="13" width="10.75" style="4" bestFit="1" customWidth="1"/>
    <col min="14" max="16384" width="9" style="4"/>
  </cols>
  <sheetData>
    <row r="1" spans="1:12">
      <c r="A1" s="14" t="s">
        <v>273</v>
      </c>
      <c r="B1" s="14"/>
    </row>
    <row r="3" spans="1:12" ht="15.75" thickBot="1">
      <c r="C3" s="7" t="s">
        <v>99</v>
      </c>
      <c r="D3" s="8" t="s">
        <v>100</v>
      </c>
      <c r="E3" s="5" t="s">
        <v>274</v>
      </c>
      <c r="F3" s="46" t="s">
        <v>34</v>
      </c>
      <c r="G3" s="46" t="s">
        <v>35</v>
      </c>
      <c r="H3" s="46" t="s">
        <v>36</v>
      </c>
      <c r="I3" s="46" t="s">
        <v>37</v>
      </c>
      <c r="J3" s="46" t="s">
        <v>101</v>
      </c>
      <c r="K3" s="3" t="s">
        <v>7</v>
      </c>
    </row>
    <row r="4" spans="1:12">
      <c r="E4" s="6" t="s">
        <v>102</v>
      </c>
      <c r="F4" s="47"/>
      <c r="G4" s="47"/>
      <c r="H4" s="47"/>
      <c r="I4" s="47"/>
      <c r="J4" s="47" t="s">
        <v>103</v>
      </c>
      <c r="K4" s="339" t="s">
        <v>275</v>
      </c>
    </row>
    <row r="5" spans="1:12" ht="15">
      <c r="A5" s="1"/>
      <c r="B5" s="1"/>
      <c r="C5" s="9"/>
      <c r="D5" s="10"/>
      <c r="E5" s="6" t="s">
        <v>276</v>
      </c>
      <c r="F5" s="47"/>
      <c r="G5" s="47"/>
      <c r="H5" s="47"/>
      <c r="I5" s="47"/>
      <c r="J5" s="47" t="s">
        <v>277</v>
      </c>
    </row>
    <row r="6" spans="1:12" s="346" customFormat="1">
      <c r="A6" s="340" t="s">
        <v>278</v>
      </c>
      <c r="B6" s="340"/>
      <c r="C6" s="341" t="s">
        <v>279</v>
      </c>
      <c r="D6" s="342" t="s">
        <v>280</v>
      </c>
      <c r="E6" s="343">
        <f>[27]物业房租车位费!K23/12</f>
        <v>221979.22124999997</v>
      </c>
      <c r="F6" s="344">
        <f>$E6*3</f>
        <v>665937.66374999995</v>
      </c>
      <c r="G6" s="344">
        <f t="shared" ref="G6:I31" si="0">$E6*3</f>
        <v>665937.66374999995</v>
      </c>
      <c r="H6" s="344">
        <f>$E6*3</f>
        <v>665937.66374999995</v>
      </c>
      <c r="I6" s="344">
        <f>$E6*3</f>
        <v>665937.66374999995</v>
      </c>
      <c r="J6" s="344">
        <f>SUM(F6:I6)</f>
        <v>2663750.6549999998</v>
      </c>
      <c r="K6" s="345" t="s">
        <v>281</v>
      </c>
    </row>
    <row r="7" spans="1:12" s="346" customFormat="1">
      <c r="A7" s="340"/>
      <c r="B7" s="340"/>
      <c r="C7" s="341"/>
      <c r="D7" s="347" t="s">
        <v>282</v>
      </c>
      <c r="E7" s="343">
        <f>[27]物业房租车位费!G23/12</f>
        <v>444998.96625000011</v>
      </c>
      <c r="F7" s="344">
        <f t="shared" ref="F7:I8" si="1">$E7*3</f>
        <v>1334996.8987500004</v>
      </c>
      <c r="G7" s="344">
        <f t="shared" si="1"/>
        <v>1334996.8987500004</v>
      </c>
      <c r="H7" s="344">
        <f t="shared" si="1"/>
        <v>1334996.8987500004</v>
      </c>
      <c r="I7" s="344">
        <f t="shared" si="1"/>
        <v>1334996.8987500004</v>
      </c>
      <c r="J7" s="344">
        <f>SUM(F7:I7)</f>
        <v>5339987.5950000016</v>
      </c>
      <c r="K7" s="345" t="s">
        <v>283</v>
      </c>
    </row>
    <row r="8" spans="1:12" s="346" customFormat="1">
      <c r="A8" s="340"/>
      <c r="B8" s="340"/>
      <c r="C8" s="341"/>
      <c r="D8" s="342" t="s">
        <v>107</v>
      </c>
      <c r="E8" s="343">
        <f>([27]物业房租车位费!K36+[27]物业房租车位费!K39)/12</f>
        <v>19999.688333333332</v>
      </c>
      <c r="F8" s="344">
        <f t="shared" si="1"/>
        <v>59999.064999999995</v>
      </c>
      <c r="G8" s="344">
        <f t="shared" si="0"/>
        <v>59999.064999999995</v>
      </c>
      <c r="H8" s="344">
        <f t="shared" si="0"/>
        <v>59999.064999999995</v>
      </c>
      <c r="I8" s="344">
        <f t="shared" si="0"/>
        <v>59999.064999999995</v>
      </c>
      <c r="J8" s="344">
        <f>SUM(F8:I8)</f>
        <v>239996.25999999998</v>
      </c>
      <c r="K8" s="345" t="s">
        <v>284</v>
      </c>
    </row>
    <row r="9" spans="1:12" s="346" customFormat="1">
      <c r="A9" s="340"/>
      <c r="B9" s="340"/>
      <c r="C9" s="341"/>
      <c r="D9" s="342" t="s">
        <v>108</v>
      </c>
      <c r="E9" s="343">
        <f>([27]物业房租车位费!G36+[27]物业房租车位费!G39)/12</f>
        <v>2819.5033333333336</v>
      </c>
      <c r="F9" s="344">
        <f>$E9*3</f>
        <v>8458.51</v>
      </c>
      <c r="G9" s="344">
        <f t="shared" si="0"/>
        <v>8458.51</v>
      </c>
      <c r="H9" s="344">
        <f t="shared" si="0"/>
        <v>8458.51</v>
      </c>
      <c r="I9" s="344">
        <f t="shared" si="0"/>
        <v>8458.51</v>
      </c>
      <c r="J9" s="344">
        <f t="shared" ref="J9:J10" si="2">SUM(F9:I9)</f>
        <v>33834.04</v>
      </c>
      <c r="K9" s="345" t="s">
        <v>284</v>
      </c>
    </row>
    <row r="10" spans="1:12" s="346" customFormat="1">
      <c r="A10" s="348"/>
      <c r="B10" s="348"/>
      <c r="C10" s="341"/>
      <c r="D10" s="342" t="s">
        <v>285</v>
      </c>
      <c r="E10" s="343">
        <f>[27]物业房租车位费!L41/12</f>
        <v>41666.666666666664</v>
      </c>
      <c r="F10" s="344">
        <f>$E10*3</f>
        <v>125000</v>
      </c>
      <c r="G10" s="344">
        <f t="shared" si="0"/>
        <v>125000</v>
      </c>
      <c r="H10" s="344">
        <f t="shared" si="0"/>
        <v>125000</v>
      </c>
      <c r="I10" s="344">
        <f t="shared" si="0"/>
        <v>125000</v>
      </c>
      <c r="J10" s="344">
        <f t="shared" si="2"/>
        <v>500000</v>
      </c>
      <c r="K10" s="349" t="s">
        <v>286</v>
      </c>
    </row>
    <row r="11" spans="1:12" s="346" customFormat="1">
      <c r="A11" s="348"/>
      <c r="B11" s="348"/>
      <c r="C11" s="341"/>
      <c r="D11" s="342" t="s">
        <v>287</v>
      </c>
      <c r="E11" s="343">
        <f>[27]物业房租车位费!L42/12</f>
        <v>466320</v>
      </c>
      <c r="F11" s="344">
        <f t="shared" ref="F11:F20" si="3">$E11*3</f>
        <v>1398960</v>
      </c>
      <c r="G11" s="344">
        <f t="shared" si="0"/>
        <v>1398960</v>
      </c>
      <c r="H11" s="344">
        <f t="shared" si="0"/>
        <v>1398960</v>
      </c>
      <c r="I11" s="344">
        <f t="shared" si="0"/>
        <v>1398960</v>
      </c>
      <c r="J11" s="344">
        <f>SUM(F11:I11)</f>
        <v>5595840</v>
      </c>
      <c r="K11" s="349" t="s">
        <v>288</v>
      </c>
    </row>
    <row r="12" spans="1:12" s="346" customFormat="1">
      <c r="A12" s="348"/>
      <c r="B12" s="348"/>
      <c r="C12" s="341"/>
      <c r="D12" s="342" t="s">
        <v>289</v>
      </c>
      <c r="E12" s="343">
        <f>[27]物业房租车位费!H42/12</f>
        <v>58290</v>
      </c>
      <c r="F12" s="344">
        <f t="shared" si="3"/>
        <v>174870</v>
      </c>
      <c r="G12" s="344">
        <f t="shared" si="0"/>
        <v>174870</v>
      </c>
      <c r="H12" s="344">
        <f t="shared" si="0"/>
        <v>174870</v>
      </c>
      <c r="I12" s="344">
        <f t="shared" si="0"/>
        <v>174870</v>
      </c>
      <c r="J12" s="344">
        <f t="shared" ref="J12:J20" si="4">SUM(F12:I12)</f>
        <v>699480</v>
      </c>
      <c r="K12" s="350" t="s">
        <v>290</v>
      </c>
    </row>
    <row r="13" spans="1:12" s="346" customFormat="1">
      <c r="A13" s="348"/>
      <c r="B13" s="348"/>
      <c r="C13" s="341"/>
      <c r="D13" s="342" t="s">
        <v>291</v>
      </c>
      <c r="E13" s="343">
        <f>([27]物业房租车位费!L43+[27]物业房租车位费!L44)/12</f>
        <v>973775</v>
      </c>
      <c r="F13" s="344">
        <f t="shared" si="3"/>
        <v>2921325</v>
      </c>
      <c r="G13" s="344">
        <f t="shared" si="0"/>
        <v>2921325</v>
      </c>
      <c r="H13" s="344">
        <f t="shared" si="0"/>
        <v>2921325</v>
      </c>
      <c r="I13" s="344">
        <f t="shared" si="0"/>
        <v>2921325</v>
      </c>
      <c r="J13" s="344">
        <f t="shared" si="4"/>
        <v>11685300</v>
      </c>
      <c r="K13" s="349" t="s">
        <v>288</v>
      </c>
    </row>
    <row r="14" spans="1:12" s="346" customFormat="1" ht="24.75">
      <c r="A14" s="348"/>
      <c r="B14" s="348"/>
      <c r="C14" s="341"/>
      <c r="D14" s="342" t="s">
        <v>292</v>
      </c>
      <c r="E14" s="343">
        <f>([27]物业房租车位费!H43+[27]物业房租车位费!H44)/12</f>
        <v>107730</v>
      </c>
      <c r="F14" s="344">
        <f t="shared" si="3"/>
        <v>323190</v>
      </c>
      <c r="G14" s="344">
        <f t="shared" si="0"/>
        <v>323190</v>
      </c>
      <c r="H14" s="344">
        <f t="shared" si="0"/>
        <v>323190</v>
      </c>
      <c r="I14" s="344">
        <f t="shared" si="0"/>
        <v>323190</v>
      </c>
      <c r="J14" s="344">
        <f>SUM(F14:I14)</f>
        <v>1292760</v>
      </c>
      <c r="K14" s="350" t="s">
        <v>293</v>
      </c>
    </row>
    <row r="15" spans="1:12" s="346" customFormat="1" outlineLevel="1">
      <c r="A15" s="340"/>
      <c r="C15" s="341"/>
      <c r="D15" s="436" t="s">
        <v>294</v>
      </c>
      <c r="E15" s="437"/>
      <c r="F15" s="438"/>
      <c r="G15" s="438"/>
      <c r="H15" s="438">
        <f>235206*1</f>
        <v>235206</v>
      </c>
      <c r="I15" s="438">
        <f>H15*3</f>
        <v>705618</v>
      </c>
      <c r="J15" s="439">
        <f>SUM(F15:I15)</f>
        <v>940824</v>
      </c>
      <c r="K15" s="440" t="s">
        <v>295</v>
      </c>
      <c r="L15" s="438"/>
    </row>
    <row r="16" spans="1:12" s="346" customFormat="1" outlineLevel="1">
      <c r="A16" s="340"/>
      <c r="C16" s="341"/>
      <c r="D16" s="436" t="s">
        <v>296</v>
      </c>
      <c r="E16" s="437"/>
      <c r="F16" s="439">
        <f>34368*1</f>
        <v>34368</v>
      </c>
      <c r="G16" s="439">
        <f>F16*3</f>
        <v>103104</v>
      </c>
      <c r="H16" s="439">
        <f>F16*3</f>
        <v>103104</v>
      </c>
      <c r="I16" s="439">
        <f>H16</f>
        <v>103104</v>
      </c>
      <c r="J16" s="439">
        <f>SUM(F16:I16)</f>
        <v>343680</v>
      </c>
      <c r="K16" s="440"/>
      <c r="L16" s="438"/>
    </row>
    <row r="17" spans="1:12" s="346" customFormat="1">
      <c r="A17" s="348"/>
      <c r="B17" s="348"/>
      <c r="C17" s="341"/>
      <c r="D17" s="342" t="s">
        <v>297</v>
      </c>
      <c r="E17" s="343">
        <f>[27]物业房租车位费!L45/10</f>
        <v>627678.07999999996</v>
      </c>
      <c r="F17" s="344">
        <f>$E17*1</f>
        <v>627678.07999999996</v>
      </c>
      <c r="G17" s="344">
        <f t="shared" si="0"/>
        <v>1883034.2399999998</v>
      </c>
      <c r="H17" s="344">
        <f t="shared" si="0"/>
        <v>1883034.2399999998</v>
      </c>
      <c r="I17" s="344">
        <f t="shared" si="0"/>
        <v>1883034.2399999998</v>
      </c>
      <c r="J17" s="344">
        <f t="shared" ref="J17" si="5">SUM(F17:I17)</f>
        <v>6276780.7999999989</v>
      </c>
      <c r="K17" s="349" t="s">
        <v>298</v>
      </c>
    </row>
    <row r="18" spans="1:12" s="346" customFormat="1">
      <c r="A18" s="348"/>
      <c r="B18" s="348"/>
      <c r="C18" s="341"/>
      <c r="D18" s="342" t="s">
        <v>299</v>
      </c>
      <c r="E18" s="343">
        <f>[27]物业房租车位费!H45/12</f>
        <v>75866.880000000005</v>
      </c>
      <c r="F18" s="344">
        <f>28*2530.96*3+200*30*1</f>
        <v>218600.64</v>
      </c>
      <c r="G18" s="344">
        <f>(28*2530.96+200*30)*3</f>
        <v>230600.64</v>
      </c>
      <c r="H18" s="344">
        <f t="shared" ref="H18:I18" si="6">(28*2530.96+200*30)*3</f>
        <v>230600.64</v>
      </c>
      <c r="I18" s="344">
        <f t="shared" si="6"/>
        <v>230600.64</v>
      </c>
      <c r="J18" s="344">
        <f>SUM(F18:I18)</f>
        <v>910402.56000000006</v>
      </c>
      <c r="K18" s="349" t="s">
        <v>300</v>
      </c>
    </row>
    <row r="19" spans="1:12" s="346" customFormat="1">
      <c r="A19" s="348"/>
      <c r="B19" s="348"/>
      <c r="C19" s="341"/>
      <c r="D19" s="342" t="s">
        <v>301</v>
      </c>
      <c r="E19" s="343">
        <f>[27]物业房租车位费!L46/12</f>
        <v>521607.84</v>
      </c>
      <c r="F19" s="344">
        <f t="shared" si="3"/>
        <v>1564823.52</v>
      </c>
      <c r="G19" s="344">
        <f t="shared" si="0"/>
        <v>1564823.52</v>
      </c>
      <c r="H19" s="344">
        <f t="shared" si="0"/>
        <v>1564823.52</v>
      </c>
      <c r="I19" s="344">
        <f t="shared" si="0"/>
        <v>1564823.52</v>
      </c>
      <c r="J19" s="344">
        <f t="shared" si="4"/>
        <v>6259294.0800000001</v>
      </c>
      <c r="K19" s="349" t="s">
        <v>302</v>
      </c>
    </row>
    <row r="20" spans="1:12" s="346" customFormat="1">
      <c r="A20" s="348"/>
      <c r="B20" s="348"/>
      <c r="C20" s="341"/>
      <c r="D20" s="342" t="s">
        <v>303</v>
      </c>
      <c r="E20" s="343">
        <f>[27]物业房租车位费!H46/12</f>
        <v>76216.44</v>
      </c>
      <c r="F20" s="344">
        <f t="shared" si="3"/>
        <v>228649.32</v>
      </c>
      <c r="G20" s="344">
        <f t="shared" si="0"/>
        <v>228649.32</v>
      </c>
      <c r="H20" s="344">
        <f t="shared" si="0"/>
        <v>228649.32</v>
      </c>
      <c r="I20" s="344">
        <f t="shared" si="0"/>
        <v>228649.32</v>
      </c>
      <c r="J20" s="344">
        <f t="shared" si="4"/>
        <v>914597.28</v>
      </c>
      <c r="K20" s="349" t="s">
        <v>288</v>
      </c>
    </row>
    <row r="21" spans="1:12" s="346" customFormat="1" ht="15">
      <c r="A21" s="348"/>
      <c r="B21" s="348"/>
      <c r="C21" s="341"/>
      <c r="D21" s="342"/>
      <c r="E21" s="343"/>
      <c r="F21" s="353">
        <f>SUM(F6:F20)</f>
        <v>9686856.6974999998</v>
      </c>
      <c r="G21" s="353">
        <f t="shared" ref="G21:I21" si="7">SUM(G6:G20)</f>
        <v>11022948.8575</v>
      </c>
      <c r="H21" s="353">
        <f t="shared" si="7"/>
        <v>11258154.8575</v>
      </c>
      <c r="I21" s="353">
        <f t="shared" si="7"/>
        <v>11728566.8575</v>
      </c>
      <c r="J21" s="353">
        <f>SUM(J6:J20)</f>
        <v>43696527.270000003</v>
      </c>
      <c r="K21" s="450">
        <f>J21-J15-J16</f>
        <v>42412023.270000003</v>
      </c>
    </row>
    <row r="22" spans="1:12" s="346" customFormat="1">
      <c r="A22" s="340" t="s">
        <v>304</v>
      </c>
      <c r="B22" s="340"/>
      <c r="C22" s="341" t="s">
        <v>305</v>
      </c>
      <c r="D22" s="342" t="s">
        <v>306</v>
      </c>
      <c r="E22" s="351">
        <f>SUM([27]物业房租车位费!L49:L51)/12</f>
        <v>27990</v>
      </c>
      <c r="F22" s="344">
        <f>$E22*3</f>
        <v>83970</v>
      </c>
      <c r="G22" s="344">
        <f t="shared" si="0"/>
        <v>83970</v>
      </c>
      <c r="H22" s="344">
        <f t="shared" si="0"/>
        <v>83970</v>
      </c>
      <c r="I22" s="344">
        <f t="shared" si="0"/>
        <v>83970</v>
      </c>
      <c r="J22" s="344">
        <f>SUM(F22:I22)</f>
        <v>335880</v>
      </c>
      <c r="K22" s="349" t="s">
        <v>307</v>
      </c>
    </row>
    <row r="23" spans="1:12" s="346" customFormat="1">
      <c r="A23" s="340"/>
      <c r="B23" s="340"/>
      <c r="C23" s="341"/>
      <c r="D23" s="342" t="s">
        <v>308</v>
      </c>
      <c r="E23" s="351">
        <f>[27]物业房租车位费!L52/12</f>
        <v>29700</v>
      </c>
      <c r="F23" s="344">
        <f>$E$23*3</f>
        <v>89100</v>
      </c>
      <c r="G23" s="344">
        <f t="shared" ref="G23:I23" si="8">$E$23*3</f>
        <v>89100</v>
      </c>
      <c r="H23" s="344">
        <f t="shared" si="8"/>
        <v>89100</v>
      </c>
      <c r="I23" s="344">
        <f t="shared" si="8"/>
        <v>89100</v>
      </c>
      <c r="J23" s="344">
        <f>SUM(F23:I23)</f>
        <v>356400</v>
      </c>
      <c r="K23" s="349" t="s">
        <v>309</v>
      </c>
    </row>
    <row r="24" spans="1:12" s="346" customFormat="1">
      <c r="A24" s="340"/>
      <c r="B24" s="340"/>
      <c r="C24" s="341"/>
      <c r="D24" s="342" t="s">
        <v>310</v>
      </c>
      <c r="E24" s="351">
        <f>[27]物业房租车位费!L53/12</f>
        <v>4900</v>
      </c>
      <c r="F24" s="344">
        <f>E24*3</f>
        <v>14700</v>
      </c>
      <c r="G24" s="344">
        <f>$E24*3</f>
        <v>14700</v>
      </c>
      <c r="H24" s="344">
        <f>$E24*3</f>
        <v>14700</v>
      </c>
      <c r="I24" s="344">
        <f>$E24*3</f>
        <v>14700</v>
      </c>
      <c r="J24" s="344">
        <f>SUM(F24:I24)</f>
        <v>58800</v>
      </c>
      <c r="K24" s="349" t="s">
        <v>311</v>
      </c>
    </row>
    <row r="25" spans="1:12" s="346" customFormat="1">
      <c r="A25" s="340"/>
      <c r="B25" s="340"/>
      <c r="C25" s="341"/>
      <c r="D25" s="342" t="s">
        <v>312</v>
      </c>
      <c r="E25" s="351">
        <f>[27]物业房租车位费!L54/12</f>
        <v>10500</v>
      </c>
      <c r="F25" s="344">
        <f t="shared" ref="F25:F26" si="9">$E25*3</f>
        <v>31500</v>
      </c>
      <c r="G25" s="344">
        <f t="shared" si="0"/>
        <v>31500</v>
      </c>
      <c r="H25" s="344">
        <f t="shared" si="0"/>
        <v>31500</v>
      </c>
      <c r="I25" s="344">
        <f t="shared" si="0"/>
        <v>31500</v>
      </c>
      <c r="J25" s="344">
        <f t="shared" ref="J25:J26" si="10">SUM(F25:I25)</f>
        <v>126000</v>
      </c>
      <c r="K25" s="349" t="s">
        <v>313</v>
      </c>
    </row>
    <row r="26" spans="1:12" s="346" customFormat="1">
      <c r="A26" s="340"/>
      <c r="B26" s="340"/>
      <c r="C26" s="341"/>
      <c r="D26" s="342" t="s">
        <v>314</v>
      </c>
      <c r="E26" s="351">
        <f>[27]物业房租车位费!L55/12</f>
        <v>14000</v>
      </c>
      <c r="F26" s="344">
        <f t="shared" si="9"/>
        <v>42000</v>
      </c>
      <c r="G26" s="344">
        <f t="shared" si="0"/>
        <v>42000</v>
      </c>
      <c r="H26" s="344">
        <f t="shared" si="0"/>
        <v>42000</v>
      </c>
      <c r="I26" s="344">
        <f t="shared" si="0"/>
        <v>42000</v>
      </c>
      <c r="J26" s="344">
        <f t="shared" si="10"/>
        <v>168000</v>
      </c>
      <c r="K26" s="349" t="s">
        <v>315</v>
      </c>
    </row>
    <row r="27" spans="1:12" s="346" customFormat="1" outlineLevel="1">
      <c r="A27" s="340"/>
      <c r="C27" s="341"/>
      <c r="D27" s="436" t="s">
        <v>316</v>
      </c>
      <c r="E27" s="437">
        <v>6400</v>
      </c>
      <c r="F27" s="439">
        <f>$E$27*1</f>
        <v>6400</v>
      </c>
      <c r="G27" s="439">
        <f>$E$27*3</f>
        <v>19200</v>
      </c>
      <c r="H27" s="439">
        <f t="shared" ref="H27:I27" si="11">$E$27*3</f>
        <v>19200</v>
      </c>
      <c r="I27" s="439">
        <f t="shared" si="11"/>
        <v>19200</v>
      </c>
      <c r="J27" s="439">
        <f>SUM(F27:I27)</f>
        <v>64000</v>
      </c>
      <c r="K27" s="440" t="s">
        <v>317</v>
      </c>
      <c r="L27" s="438"/>
    </row>
    <row r="28" spans="1:12" s="346" customFormat="1">
      <c r="A28" s="340"/>
      <c r="B28" s="340"/>
      <c r="C28" s="341"/>
      <c r="D28" s="342" t="s">
        <v>318</v>
      </c>
      <c r="E28" s="351">
        <f>([27]物业房租车位费!H56+[27]物业房租车位费!H57+[27]物业房租车位费!L56+[27]物业房租车位费!L57)/10</f>
        <v>20400</v>
      </c>
      <c r="F28" s="344">
        <f>$E28*1</f>
        <v>20400</v>
      </c>
      <c r="G28" s="344">
        <f t="shared" si="0"/>
        <v>61200</v>
      </c>
      <c r="H28" s="344">
        <f t="shared" si="0"/>
        <v>61200</v>
      </c>
      <c r="I28" s="344">
        <f t="shared" si="0"/>
        <v>61200</v>
      </c>
      <c r="J28" s="344">
        <f>SUM(F28:I28)</f>
        <v>204000</v>
      </c>
      <c r="K28" s="1572" t="s">
        <v>319</v>
      </c>
    </row>
    <row r="29" spans="1:12" s="346" customFormat="1">
      <c r="A29" s="340"/>
      <c r="B29" s="340"/>
      <c r="C29" s="341"/>
      <c r="D29" s="342" t="s">
        <v>320</v>
      </c>
      <c r="E29" s="351">
        <f>([27]物业房租车位费!H58+[27]物业房租车位费!H59+[27]物业房租车位费!L58+[27]物业房租车位费!L59)/12</f>
        <v>20400</v>
      </c>
      <c r="F29" s="344">
        <f>E29*3</f>
        <v>61200</v>
      </c>
      <c r="G29" s="344">
        <f t="shared" si="0"/>
        <v>61200</v>
      </c>
      <c r="H29" s="344">
        <f t="shared" si="0"/>
        <v>61200</v>
      </c>
      <c r="I29" s="344">
        <f t="shared" si="0"/>
        <v>61200</v>
      </c>
      <c r="J29" s="344">
        <f>SUM(F29:I29)</f>
        <v>244800</v>
      </c>
      <c r="K29" s="1572"/>
    </row>
    <row r="30" spans="1:12" s="346" customFormat="1" ht="15">
      <c r="A30" s="340"/>
      <c r="B30" s="340"/>
      <c r="C30" s="341"/>
      <c r="D30" s="342"/>
      <c r="E30" s="351"/>
      <c r="F30" s="353">
        <f>SUM(F22:F29)</f>
        <v>349270</v>
      </c>
      <c r="G30" s="353">
        <f t="shared" ref="G30:J30" si="12">SUM(G22:G29)</f>
        <v>402870</v>
      </c>
      <c r="H30" s="353">
        <f t="shared" si="12"/>
        <v>402870</v>
      </c>
      <c r="I30" s="353">
        <f t="shared" si="12"/>
        <v>402870</v>
      </c>
      <c r="J30" s="353">
        <f t="shared" si="12"/>
        <v>1557880</v>
      </c>
      <c r="K30" s="451">
        <f>J30-J27</f>
        <v>1493880</v>
      </c>
    </row>
    <row r="31" spans="1:12" s="346" customFormat="1" ht="38.25">
      <c r="A31" s="340" t="s">
        <v>304</v>
      </c>
      <c r="B31" s="340"/>
      <c r="C31" s="341" t="s">
        <v>110</v>
      </c>
      <c r="D31" s="342" t="s">
        <v>111</v>
      </c>
      <c r="E31" s="351">
        <f>'[27]部分费用明细（水电植物耗材茶歇）'!E17*74%</f>
        <v>258141.6</v>
      </c>
      <c r="F31" s="344">
        <f>$E31*3</f>
        <v>774424.8</v>
      </c>
      <c r="G31" s="344">
        <f t="shared" si="0"/>
        <v>774424.8</v>
      </c>
      <c r="H31" s="344">
        <f t="shared" si="0"/>
        <v>774424.8</v>
      </c>
      <c r="I31" s="344">
        <f t="shared" si="0"/>
        <v>774424.8</v>
      </c>
      <c r="J31" s="344">
        <f>SUM(F31:I31)</f>
        <v>3097699.2</v>
      </c>
      <c r="K31" s="349" t="s">
        <v>321</v>
      </c>
    </row>
    <row r="32" spans="1:12" s="346" customFormat="1" ht="25.5">
      <c r="A32" s="348"/>
      <c r="B32" s="348"/>
      <c r="C32" s="341"/>
      <c r="D32" s="342" t="s">
        <v>322</v>
      </c>
      <c r="E32" s="351">
        <f>'[27]部分费用明细（水电植物耗材茶歇）'!H17</f>
        <v>1734</v>
      </c>
      <c r="F32" s="344">
        <f>ROUND(E32*3,0)</f>
        <v>5202</v>
      </c>
      <c r="G32" s="344">
        <f>ROUND(E32*3,0)</f>
        <v>5202</v>
      </c>
      <c r="H32" s="344">
        <f>ROUND(E32*3,0)</f>
        <v>5202</v>
      </c>
      <c r="I32" s="344">
        <f>ROUND(E32*3,0)</f>
        <v>5202</v>
      </c>
      <c r="J32" s="344">
        <f>SUBTOTAL(9,F32:I32)</f>
        <v>20808</v>
      </c>
      <c r="K32" s="349" t="s">
        <v>323</v>
      </c>
      <c r="L32" s="346">
        <v>387</v>
      </c>
    </row>
    <row r="33" spans="1:17" s="346" customFormat="1">
      <c r="A33" s="340"/>
      <c r="B33" s="340"/>
      <c r="C33" s="341"/>
      <c r="D33" s="342" t="s">
        <v>324</v>
      </c>
      <c r="E33" s="351">
        <f>ROUND('[27]部分费用明细（水电植物耗材茶歇）'!K17,-1)</f>
        <v>26730</v>
      </c>
      <c r="F33" s="344">
        <f>E33*3</f>
        <v>80190</v>
      </c>
      <c r="G33" s="344">
        <f>$E33*3</f>
        <v>80190</v>
      </c>
      <c r="H33" s="344">
        <f>$E33*3</f>
        <v>80190</v>
      </c>
      <c r="I33" s="344">
        <f>$E33*3</f>
        <v>80190</v>
      </c>
      <c r="J33" s="344">
        <f>SUM(F33:I33)</f>
        <v>320760</v>
      </c>
      <c r="K33" s="349" t="s">
        <v>325</v>
      </c>
      <c r="L33" s="346" t="e">
        <f>ROUND(#REF!/L32,2)</f>
        <v>#REF!</v>
      </c>
      <c r="Q33" s="355"/>
    </row>
    <row r="34" spans="1:17" s="346" customFormat="1">
      <c r="A34" s="340"/>
      <c r="B34" s="340"/>
      <c r="C34" s="341"/>
      <c r="D34" s="342" t="s">
        <v>326</v>
      </c>
      <c r="E34" s="351">
        <f>ROUND('[27]部分费用明细（水电植物耗材茶歇）'!N17,-1)</f>
        <v>41470</v>
      </c>
      <c r="F34" s="344">
        <f>E34*3</f>
        <v>124410</v>
      </c>
      <c r="G34" s="344">
        <f>E34*3</f>
        <v>124410</v>
      </c>
      <c r="H34" s="344">
        <f>E34*3</f>
        <v>124410</v>
      </c>
      <c r="I34" s="344">
        <f>E34*3</f>
        <v>124410</v>
      </c>
      <c r="J34" s="344">
        <f>SUM(F34:I34)</f>
        <v>497640</v>
      </c>
      <c r="K34" s="349" t="s">
        <v>327</v>
      </c>
    </row>
    <row r="35" spans="1:17" s="346" customFormat="1" ht="25.5" outlineLevel="1">
      <c r="A35" s="340"/>
      <c r="C35" s="341"/>
      <c r="D35" s="436" t="s">
        <v>328</v>
      </c>
      <c r="E35" s="439">
        <f>40000/413*176*1</f>
        <v>17046.004842615013</v>
      </c>
      <c r="F35" s="439"/>
      <c r="G35" s="439">
        <f>$E$35*2</f>
        <v>34092.009685230027</v>
      </c>
      <c r="H35" s="439">
        <f t="shared" ref="H35:I35" si="13">$E$35*3</f>
        <v>51138.014527845036</v>
      </c>
      <c r="I35" s="439">
        <f t="shared" si="13"/>
        <v>51138.014527845036</v>
      </c>
      <c r="J35" s="439">
        <f>SUM(F35:I35)</f>
        <v>136368.03874092008</v>
      </c>
      <c r="K35" s="440" t="s">
        <v>329</v>
      </c>
      <c r="L35" s="438"/>
    </row>
    <row r="36" spans="1:17" s="346" customFormat="1" ht="25.5">
      <c r="A36" s="340"/>
      <c r="B36" s="340"/>
      <c r="C36" s="341"/>
      <c r="D36" s="342" t="s">
        <v>330</v>
      </c>
      <c r="E36" s="351">
        <f>'[27]部分费用明细（水电植物耗材茶歇）'!Q17</f>
        <v>39663</v>
      </c>
      <c r="F36" s="344">
        <f>E36*3</f>
        <v>118989</v>
      </c>
      <c r="G36" s="344">
        <f>E36*3</f>
        <v>118989</v>
      </c>
      <c r="H36" s="344">
        <f>$E36*3</f>
        <v>118989</v>
      </c>
      <c r="I36" s="344">
        <f>$E36*3</f>
        <v>118989</v>
      </c>
      <c r="J36" s="344">
        <f>SUM(F36:I36)</f>
        <v>475956</v>
      </c>
      <c r="K36" s="349" t="s">
        <v>331</v>
      </c>
    </row>
    <row r="37" spans="1:17" s="346" customFormat="1" ht="25.5">
      <c r="A37" s="340"/>
      <c r="B37" s="340"/>
      <c r="C37" s="341"/>
      <c r="D37" s="342" t="s">
        <v>332</v>
      </c>
      <c r="E37" s="351">
        <f>ROUND('[27]部分费用明细（水电植物耗材茶歇）'!T17,-1)</f>
        <v>51480</v>
      </c>
      <c r="F37" s="344">
        <f>E37*3</f>
        <v>154440</v>
      </c>
      <c r="G37" s="344">
        <f>E37*3</f>
        <v>154440</v>
      </c>
      <c r="H37" s="344">
        <f>$E37*3</f>
        <v>154440</v>
      </c>
      <c r="I37" s="344">
        <f>$E37*3</f>
        <v>154440</v>
      </c>
      <c r="J37" s="344">
        <f>SUM(F37:I37)</f>
        <v>617760</v>
      </c>
      <c r="K37" s="349" t="s">
        <v>333</v>
      </c>
    </row>
    <row r="38" spans="1:17" s="346" customFormat="1" ht="15">
      <c r="A38" s="348"/>
      <c r="B38" s="348"/>
      <c r="C38" s="341"/>
      <c r="D38" s="342"/>
      <c r="E38" s="351"/>
      <c r="F38" s="353">
        <f>SUM(F31:F37)</f>
        <v>1257655.8</v>
      </c>
      <c r="G38" s="353">
        <f t="shared" ref="G38:I38" si="14">SUM(G31:G37)</f>
        <v>1291747.80968523</v>
      </c>
      <c r="H38" s="353">
        <f t="shared" si="14"/>
        <v>1308793.814527845</v>
      </c>
      <c r="I38" s="353">
        <f t="shared" si="14"/>
        <v>1308793.814527845</v>
      </c>
      <c r="J38" s="353">
        <f>SUM(J31:J37)</f>
        <v>5166991.2387409201</v>
      </c>
      <c r="K38" s="451">
        <f>J38-J35</f>
        <v>5030623.2</v>
      </c>
    </row>
    <row r="39" spans="1:17" s="346" customFormat="1" ht="25.5">
      <c r="A39" s="340" t="s">
        <v>304</v>
      </c>
      <c r="B39" s="340"/>
      <c r="C39" s="341" t="s">
        <v>112</v>
      </c>
      <c r="D39" s="356" t="s">
        <v>113</v>
      </c>
      <c r="E39" s="351">
        <f>'[27]部分费用明细（水电植物耗材茶歇）'!E35*74%</f>
        <v>27683.4</v>
      </c>
      <c r="F39" s="344">
        <f t="shared" ref="F39:I39" si="15">$E39*3</f>
        <v>83050.200000000012</v>
      </c>
      <c r="G39" s="344">
        <f t="shared" si="15"/>
        <v>83050.200000000012</v>
      </c>
      <c r="H39" s="344">
        <f t="shared" si="15"/>
        <v>83050.200000000012</v>
      </c>
      <c r="I39" s="344">
        <f t="shared" si="15"/>
        <v>83050.200000000012</v>
      </c>
      <c r="J39" s="344">
        <f>SUM(F39:I39)</f>
        <v>332200.80000000005</v>
      </c>
      <c r="K39" s="349" t="s">
        <v>334</v>
      </c>
    </row>
    <row r="40" spans="1:17" s="346" customFormat="1">
      <c r="A40" s="340"/>
      <c r="B40" s="340"/>
      <c r="C40" s="341"/>
      <c r="D40" s="356" t="s">
        <v>335</v>
      </c>
      <c r="E40" s="351">
        <f>ROUND('[27]部分费用明细（水电植物耗材茶歇）'!G35+'[27]部分费用明细（水电植物耗材茶歇）'!Q35+'[27]部分费用明细（水电植物耗材茶歇）'!S35,-1)</f>
        <v>1010</v>
      </c>
      <c r="F40" s="344">
        <f>$E40*3</f>
        <v>3030</v>
      </c>
      <c r="G40" s="344">
        <f>$E40*3</f>
        <v>3030</v>
      </c>
      <c r="H40" s="344">
        <f>$E40*3</f>
        <v>3030</v>
      </c>
      <c r="I40" s="344">
        <f>$E40*3</f>
        <v>3030</v>
      </c>
      <c r="J40" s="344">
        <f>SUM(F40:I40)</f>
        <v>12120</v>
      </c>
      <c r="K40" s="349" t="s">
        <v>336</v>
      </c>
    </row>
    <row r="41" spans="1:17" s="346" customFormat="1">
      <c r="A41" s="340"/>
      <c r="B41" s="340"/>
      <c r="C41" s="341"/>
      <c r="D41" s="342" t="s">
        <v>337</v>
      </c>
      <c r="E41" s="351">
        <f>ROUND('[27]部分费用明细（水电植物耗材茶歇）'!I35,-1)</f>
        <v>2270</v>
      </c>
      <c r="F41" s="344">
        <f t="shared" ref="F41:I45" si="16">$E41*3</f>
        <v>6810</v>
      </c>
      <c r="G41" s="344">
        <f t="shared" si="16"/>
        <v>6810</v>
      </c>
      <c r="H41" s="344">
        <f t="shared" si="16"/>
        <v>6810</v>
      </c>
      <c r="I41" s="344">
        <f t="shared" si="16"/>
        <v>6810</v>
      </c>
      <c r="J41" s="344">
        <f t="shared" ref="J41:J45" si="17">SUM(F41:I41)</f>
        <v>27240</v>
      </c>
      <c r="K41" s="349" t="s">
        <v>338</v>
      </c>
    </row>
    <row r="42" spans="1:17" s="346" customFormat="1">
      <c r="A42" s="340"/>
      <c r="B42" s="340"/>
      <c r="C42" s="341"/>
      <c r="D42" s="342" t="s">
        <v>339</v>
      </c>
      <c r="E42" s="351">
        <f>ROUND('[27]部分费用明细（水电植物耗材茶歇）'!K35,-1)</f>
        <v>5740</v>
      </c>
      <c r="F42" s="344">
        <f t="shared" si="16"/>
        <v>17220</v>
      </c>
      <c r="G42" s="344">
        <f t="shared" si="16"/>
        <v>17220</v>
      </c>
      <c r="H42" s="344">
        <f t="shared" si="16"/>
        <v>17220</v>
      </c>
      <c r="I42" s="344">
        <f t="shared" si="16"/>
        <v>17220</v>
      </c>
      <c r="J42" s="344">
        <f t="shared" si="17"/>
        <v>68880</v>
      </c>
      <c r="K42" s="349" t="s">
        <v>340</v>
      </c>
    </row>
    <row r="43" spans="1:17" s="346" customFormat="1" ht="24.75" outlineLevel="1">
      <c r="A43" s="340"/>
      <c r="C43" s="341"/>
      <c r="D43" s="436" t="s">
        <v>341</v>
      </c>
      <c r="E43" s="439">
        <f>300/413*176*12*1</f>
        <v>1534.1404358353511</v>
      </c>
      <c r="F43" s="439"/>
      <c r="G43" s="439">
        <f>$E$43*2</f>
        <v>3068.2808716707023</v>
      </c>
      <c r="H43" s="439">
        <f t="shared" ref="H43:I43" si="18">$E$43*3</f>
        <v>4602.4213075060534</v>
      </c>
      <c r="I43" s="439">
        <f t="shared" si="18"/>
        <v>4602.4213075060534</v>
      </c>
      <c r="J43" s="439">
        <f>SUM(F43:I43)</f>
        <v>12273.123486682809</v>
      </c>
      <c r="K43" s="440" t="s">
        <v>342</v>
      </c>
      <c r="L43" s="438"/>
    </row>
    <row r="44" spans="1:17" s="346" customFormat="1">
      <c r="A44" s="340"/>
      <c r="B44" s="340"/>
      <c r="C44" s="341"/>
      <c r="D44" s="342" t="s">
        <v>343</v>
      </c>
      <c r="E44" s="351">
        <f>'[27]部分费用明细（水电植物耗材茶歇）'!M35</f>
        <v>3090</v>
      </c>
      <c r="F44" s="344">
        <f>$E44*3</f>
        <v>9270</v>
      </c>
      <c r="G44" s="344">
        <f t="shared" si="16"/>
        <v>9270</v>
      </c>
      <c r="H44" s="344">
        <f t="shared" si="16"/>
        <v>9270</v>
      </c>
      <c r="I44" s="344">
        <f t="shared" si="16"/>
        <v>9270</v>
      </c>
      <c r="J44" s="344">
        <f>SUM(F44:I44)</f>
        <v>37080</v>
      </c>
      <c r="K44" s="349" t="s">
        <v>344</v>
      </c>
    </row>
    <row r="45" spans="1:17" s="346" customFormat="1" ht="25.5">
      <c r="A45" s="340"/>
      <c r="B45" s="340"/>
      <c r="C45" s="341"/>
      <c r="D45" s="342" t="s">
        <v>345</v>
      </c>
      <c r="E45" s="351">
        <f>'[27]部分费用明细（水电植物耗材茶歇）'!O35</f>
        <v>4034</v>
      </c>
      <c r="F45" s="344">
        <f t="shared" si="16"/>
        <v>12102</v>
      </c>
      <c r="G45" s="344">
        <f t="shared" si="16"/>
        <v>12102</v>
      </c>
      <c r="H45" s="344">
        <f t="shared" si="16"/>
        <v>12102</v>
      </c>
      <c r="I45" s="344">
        <f t="shared" si="16"/>
        <v>12102</v>
      </c>
      <c r="J45" s="344">
        <f t="shared" si="17"/>
        <v>48408</v>
      </c>
      <c r="K45" s="349" t="s">
        <v>346</v>
      </c>
    </row>
    <row r="46" spans="1:17" s="346" customFormat="1" ht="15">
      <c r="A46" s="340"/>
      <c r="B46" s="340"/>
      <c r="C46" s="341"/>
      <c r="D46" s="356"/>
      <c r="E46" s="351"/>
      <c r="F46" s="353">
        <f>SUM(F39:F45)</f>
        <v>131482.20000000001</v>
      </c>
      <c r="G46" s="353">
        <f t="shared" ref="G46:I46" si="19">SUM(G39:G45)</f>
        <v>134550.4808716707</v>
      </c>
      <c r="H46" s="353">
        <f t="shared" si="19"/>
        <v>136084.62130750605</v>
      </c>
      <c r="I46" s="353">
        <f t="shared" si="19"/>
        <v>136084.62130750605</v>
      </c>
      <c r="J46" s="353">
        <f>SUM(J39:J45)</f>
        <v>538201.92348668282</v>
      </c>
      <c r="K46" s="450">
        <f>J46-J43</f>
        <v>525928.80000000005</v>
      </c>
    </row>
    <row r="47" spans="1:17" s="346" customFormat="1" ht="25.5">
      <c r="A47" s="340" t="s">
        <v>304</v>
      </c>
      <c r="B47" s="340"/>
      <c r="C47" s="341" t="s">
        <v>114</v>
      </c>
      <c r="D47" s="356" t="s">
        <v>115</v>
      </c>
      <c r="E47" s="351">
        <f>J47/12</f>
        <v>176168.75</v>
      </c>
      <c r="F47" s="344">
        <f>[27]保安服务费!H13*3</f>
        <v>354525</v>
      </c>
      <c r="G47" s="344">
        <f>[27]保安服务费!H16*3</f>
        <v>586500</v>
      </c>
      <c r="H47" s="344">
        <f>[27]保安服务费!H16*3</f>
        <v>586500</v>
      </c>
      <c r="I47" s="344">
        <f>[27]保安服务费!H16*3</f>
        <v>586500</v>
      </c>
      <c r="J47" s="344">
        <f>SUM(F47:I47)</f>
        <v>2114025</v>
      </c>
      <c r="K47" s="349" t="s">
        <v>347</v>
      </c>
    </row>
    <row r="48" spans="1:17" s="346" customFormat="1">
      <c r="A48" s="340"/>
      <c r="B48" s="340"/>
      <c r="C48" s="341"/>
      <c r="D48" s="342" t="s">
        <v>348</v>
      </c>
      <c r="E48" s="351">
        <f>J48/12</f>
        <v>32193.75</v>
      </c>
      <c r="F48" s="344">
        <f>[27]保安服务费!H28*3</f>
        <v>80325</v>
      </c>
      <c r="G48" s="344">
        <f>[27]保安服务费!H31*3</f>
        <v>102000</v>
      </c>
      <c r="H48" s="344">
        <f>[27]保安服务费!H31*3</f>
        <v>102000</v>
      </c>
      <c r="I48" s="344">
        <f>[27]保安服务费!H31*3</f>
        <v>102000</v>
      </c>
      <c r="J48" s="344">
        <f>SUM(F48:I48)</f>
        <v>386325</v>
      </c>
      <c r="K48" s="349" t="s">
        <v>349</v>
      </c>
    </row>
    <row r="49" spans="1:12" s="346" customFormat="1">
      <c r="A49" s="340"/>
      <c r="B49" s="340"/>
      <c r="C49" s="341"/>
      <c r="D49" s="342" t="s">
        <v>350</v>
      </c>
      <c r="E49" s="351">
        <f>J49/12</f>
        <v>64387.5</v>
      </c>
      <c r="F49" s="344">
        <f>[27]保安服务费!H42*3</f>
        <v>160650</v>
      </c>
      <c r="G49" s="344">
        <f>[27]保安服务费!H45*3</f>
        <v>204000</v>
      </c>
      <c r="H49" s="344">
        <f>[27]保安服务费!H45*3</f>
        <v>204000</v>
      </c>
      <c r="I49" s="344">
        <f>[27]保安服务费!H45*3</f>
        <v>204000</v>
      </c>
      <c r="J49" s="344">
        <f t="shared" ref="J49" si="20">SUM(F49:I49)</f>
        <v>772650</v>
      </c>
      <c r="K49" s="349" t="s">
        <v>349</v>
      </c>
    </row>
    <row r="50" spans="1:12" s="346" customFormat="1" outlineLevel="1">
      <c r="A50" s="340"/>
      <c r="C50" s="341"/>
      <c r="D50" s="436" t="s">
        <v>351</v>
      </c>
      <c r="E50" s="437">
        <v>20000</v>
      </c>
      <c r="F50" s="439"/>
      <c r="G50" s="439">
        <f>$E$50*2.5</f>
        <v>50000</v>
      </c>
      <c r="H50" s="439">
        <f t="shared" ref="H50:I50" si="21">$E$50*3</f>
        <v>60000</v>
      </c>
      <c r="I50" s="439">
        <f t="shared" si="21"/>
        <v>60000</v>
      </c>
      <c r="J50" s="439">
        <f>SUM(F50:I50)</f>
        <v>170000</v>
      </c>
      <c r="K50" s="440" t="s">
        <v>352</v>
      </c>
      <c r="L50" s="438"/>
    </row>
    <row r="51" spans="1:12" s="346" customFormat="1">
      <c r="A51" s="340"/>
      <c r="B51" s="340"/>
      <c r="C51" s="341"/>
      <c r="D51" s="342" t="s">
        <v>353</v>
      </c>
      <c r="E51" s="351">
        <f t="shared" ref="E51" si="22">J51/12</f>
        <v>32193.75</v>
      </c>
      <c r="F51" s="344">
        <f>[27]保安服务费!H57*3</f>
        <v>80325</v>
      </c>
      <c r="G51" s="344">
        <f>[27]保安服务费!H60*3</f>
        <v>102000</v>
      </c>
      <c r="H51" s="344">
        <f>[27]保安服务费!H60*3</f>
        <v>102000</v>
      </c>
      <c r="I51" s="344">
        <f>[27]保安服务费!H60*3</f>
        <v>102000</v>
      </c>
      <c r="J51" s="344">
        <f t="shared" ref="J51" si="23">SUM(F51:I51)</f>
        <v>386325</v>
      </c>
      <c r="K51" s="349" t="s">
        <v>354</v>
      </c>
    </row>
    <row r="52" spans="1:12" s="346" customFormat="1">
      <c r="A52" s="340"/>
      <c r="B52" s="340"/>
      <c r="C52" s="341"/>
      <c r="D52" s="342" t="s">
        <v>355</v>
      </c>
      <c r="E52" s="351">
        <f>J52/12</f>
        <v>32193.75</v>
      </c>
      <c r="F52" s="344">
        <f>[27]保安服务费!H72*3</f>
        <v>80325</v>
      </c>
      <c r="G52" s="344">
        <f>[27]保安服务费!H75*3</f>
        <v>102000</v>
      </c>
      <c r="H52" s="344">
        <f>[27]保安服务费!H75*3</f>
        <v>102000</v>
      </c>
      <c r="I52" s="344">
        <f>[27]保安服务费!H75*3</f>
        <v>102000</v>
      </c>
      <c r="J52" s="344">
        <f>SUM(F52:I52)</f>
        <v>386325</v>
      </c>
      <c r="K52" s="349" t="s">
        <v>349</v>
      </c>
    </row>
    <row r="53" spans="1:12" s="346" customFormat="1" ht="15">
      <c r="A53" s="340"/>
      <c r="B53" s="340"/>
      <c r="C53" s="341"/>
      <c r="D53" s="356"/>
      <c r="E53" s="351"/>
      <c r="F53" s="353">
        <f>SUM(F47:F52)</f>
        <v>756150</v>
      </c>
      <c r="G53" s="353">
        <f>SUM(G47:G52)</f>
        <v>1146500</v>
      </c>
      <c r="H53" s="353">
        <f>SUM(H47:H52)</f>
        <v>1156500</v>
      </c>
      <c r="I53" s="353">
        <f>SUM(I47:I52)</f>
        <v>1156500</v>
      </c>
      <c r="J53" s="353">
        <f>SUM(J47:J52)</f>
        <v>4215650</v>
      </c>
      <c r="K53" s="451">
        <f>J53-J50</f>
        <v>4045650</v>
      </c>
    </row>
    <row r="54" spans="1:12" s="346" customFormat="1" ht="25.5">
      <c r="A54" s="340" t="s">
        <v>304</v>
      </c>
      <c r="B54" s="340"/>
      <c r="C54" s="341" t="s">
        <v>116</v>
      </c>
      <c r="D54" s="356" t="s">
        <v>117</v>
      </c>
      <c r="E54" s="351">
        <f>'[27]部分费用明细（水电植物耗材茶歇）'!C52*74%</f>
        <v>17202.113999999998</v>
      </c>
      <c r="F54" s="344">
        <f>$E54*3</f>
        <v>51606.34199999999</v>
      </c>
      <c r="G54" s="344">
        <f>$E54*3</f>
        <v>51606.34199999999</v>
      </c>
      <c r="H54" s="344">
        <f>$E54*3</f>
        <v>51606.34199999999</v>
      </c>
      <c r="I54" s="344">
        <f>$E54*3</f>
        <v>51606.34199999999</v>
      </c>
      <c r="J54" s="344">
        <f>SUM(F54:I54)</f>
        <v>206425.36799999996</v>
      </c>
      <c r="K54" s="349" t="s">
        <v>356</v>
      </c>
    </row>
    <row r="55" spans="1:12" s="346" customFormat="1">
      <c r="A55" s="340"/>
      <c r="B55" s="340"/>
      <c r="C55" s="341"/>
      <c r="D55" s="356" t="s">
        <v>357</v>
      </c>
      <c r="E55" s="351">
        <f>ROUND('[27]部分费用明细（水电植物耗材茶歇）'!D52+'[27]部分费用明细（水电植物耗材茶歇）'!E52,-1)</f>
        <v>2290</v>
      </c>
      <c r="F55" s="344">
        <f t="shared" ref="F55:I60" si="24">$E55*3</f>
        <v>6870</v>
      </c>
      <c r="G55" s="344">
        <f t="shared" si="24"/>
        <v>6870</v>
      </c>
      <c r="H55" s="344">
        <f t="shared" si="24"/>
        <v>6870</v>
      </c>
      <c r="I55" s="344">
        <f t="shared" si="24"/>
        <v>6870</v>
      </c>
      <c r="J55" s="344">
        <f t="shared" ref="J55:J60" si="25">SUM(F55:I55)</f>
        <v>27480</v>
      </c>
      <c r="K55" s="349" t="s">
        <v>358</v>
      </c>
    </row>
    <row r="56" spans="1:12" s="346" customFormat="1">
      <c r="A56" s="340"/>
      <c r="B56" s="340"/>
      <c r="C56" s="341"/>
      <c r="D56" s="342" t="s">
        <v>359</v>
      </c>
      <c r="E56" s="351">
        <f>ROUND('[27]部分费用明细（水电植物耗材茶歇）'!F52,-1)</f>
        <v>1340</v>
      </c>
      <c r="F56" s="344">
        <f t="shared" si="24"/>
        <v>4020</v>
      </c>
      <c r="G56" s="344">
        <f t="shared" si="24"/>
        <v>4020</v>
      </c>
      <c r="H56" s="344">
        <f t="shared" si="24"/>
        <v>4020</v>
      </c>
      <c r="I56" s="344">
        <f t="shared" si="24"/>
        <v>4020</v>
      </c>
      <c r="J56" s="344">
        <f t="shared" si="25"/>
        <v>16080</v>
      </c>
      <c r="K56" s="349" t="s">
        <v>360</v>
      </c>
    </row>
    <row r="57" spans="1:12" s="346" customFormat="1">
      <c r="A57" s="340"/>
      <c r="B57" s="340"/>
      <c r="C57" s="341"/>
      <c r="D57" s="342" t="s">
        <v>361</v>
      </c>
      <c r="E57" s="351">
        <f>ROUND('[27]部分费用明细（水电植物耗材茶歇）'!G52,-1)</f>
        <v>3570</v>
      </c>
      <c r="F57" s="344">
        <f t="shared" si="24"/>
        <v>10710</v>
      </c>
      <c r="G57" s="344">
        <f t="shared" si="24"/>
        <v>10710</v>
      </c>
      <c r="H57" s="344">
        <f t="shared" si="24"/>
        <v>10710</v>
      </c>
      <c r="I57" s="344">
        <f t="shared" si="24"/>
        <v>10710</v>
      </c>
      <c r="J57" s="344">
        <f t="shared" si="25"/>
        <v>42840</v>
      </c>
      <c r="K57" s="349" t="s">
        <v>362</v>
      </c>
    </row>
    <row r="58" spans="1:12" s="346" customFormat="1" outlineLevel="1">
      <c r="A58" s="340"/>
      <c r="C58" s="341"/>
      <c r="D58" s="436" t="s">
        <v>363</v>
      </c>
      <c r="E58" s="439">
        <f>3900/2503.57*1432*1</f>
        <v>2230.734511118123</v>
      </c>
      <c r="F58" s="439"/>
      <c r="G58" s="439">
        <f>$E$58*2.5</f>
        <v>5576.836277795308</v>
      </c>
      <c r="H58" s="439">
        <f t="shared" ref="H58:I58" si="26">$E$58*3</f>
        <v>6692.203533354369</v>
      </c>
      <c r="I58" s="439">
        <f t="shared" si="26"/>
        <v>6692.203533354369</v>
      </c>
      <c r="J58" s="439">
        <f>SUM(F58:I58)</f>
        <v>18961.243344504044</v>
      </c>
      <c r="K58" s="440" t="s">
        <v>364</v>
      </c>
      <c r="L58" s="438"/>
    </row>
    <row r="59" spans="1:12" s="346" customFormat="1">
      <c r="A59" s="340"/>
      <c r="B59" s="340"/>
      <c r="C59" s="341"/>
      <c r="D59" s="342" t="s">
        <v>365</v>
      </c>
      <c r="E59" s="351">
        <f>'[27]部分费用明细（水电植物耗材茶歇）'!H52</f>
        <v>4485</v>
      </c>
      <c r="F59" s="344">
        <f t="shared" si="24"/>
        <v>13455</v>
      </c>
      <c r="G59" s="344">
        <f t="shared" si="24"/>
        <v>13455</v>
      </c>
      <c r="H59" s="344">
        <f t="shared" si="24"/>
        <v>13455</v>
      </c>
      <c r="I59" s="344">
        <f t="shared" si="24"/>
        <v>13455</v>
      </c>
      <c r="J59" s="344">
        <f t="shared" ref="J59" si="27">SUM(F59:I59)</f>
        <v>53820</v>
      </c>
      <c r="K59" s="349" t="s">
        <v>354</v>
      </c>
    </row>
    <row r="60" spans="1:12" s="346" customFormat="1">
      <c r="A60" s="340"/>
      <c r="B60" s="340"/>
      <c r="C60" s="341"/>
      <c r="D60" s="342" t="s">
        <v>366</v>
      </c>
      <c r="E60" s="351">
        <f>ROUND('[27]部分费用明细（水电植物耗材茶歇）'!I52,-1)</f>
        <v>4490</v>
      </c>
      <c r="F60" s="344">
        <f t="shared" si="24"/>
        <v>13470</v>
      </c>
      <c r="G60" s="344">
        <f t="shared" si="24"/>
        <v>13470</v>
      </c>
      <c r="H60" s="344">
        <f t="shared" si="24"/>
        <v>13470</v>
      </c>
      <c r="I60" s="344">
        <f t="shared" si="24"/>
        <v>13470</v>
      </c>
      <c r="J60" s="344">
        <f t="shared" si="25"/>
        <v>53880</v>
      </c>
      <c r="K60" s="349" t="s">
        <v>367</v>
      </c>
    </row>
    <row r="61" spans="1:12" s="346" customFormat="1" ht="15">
      <c r="A61" s="340"/>
      <c r="B61" s="340"/>
      <c r="C61" s="341"/>
      <c r="D61" s="356"/>
      <c r="E61" s="351"/>
      <c r="F61" s="353">
        <f>SUM(F54:F60)</f>
        <v>100131.34199999999</v>
      </c>
      <c r="G61" s="353">
        <f t="shared" ref="G61:I61" si="28">SUM(G54:G60)</f>
        <v>105708.17827779529</v>
      </c>
      <c r="H61" s="353">
        <f t="shared" si="28"/>
        <v>106823.54553335437</v>
      </c>
      <c r="I61" s="353">
        <f t="shared" si="28"/>
        <v>106823.54553335437</v>
      </c>
      <c r="J61" s="353">
        <f>SUM(J54:J60)</f>
        <v>419486.611344504</v>
      </c>
      <c r="K61" s="452">
        <f>J61-J58</f>
        <v>400525.36799999996</v>
      </c>
    </row>
    <row r="62" spans="1:12" s="346" customFormat="1">
      <c r="A62" s="340" t="s">
        <v>368</v>
      </c>
      <c r="B62" s="340"/>
      <c r="C62" s="341" t="s">
        <v>369</v>
      </c>
      <c r="D62" s="357" t="s">
        <v>370</v>
      </c>
      <c r="E62" s="358">
        <f>SUM(E63:E69)</f>
        <v>100500</v>
      </c>
      <c r="F62" s="358">
        <f>SUM(F63:F69)</f>
        <v>285300</v>
      </c>
      <c r="G62" s="358">
        <f t="shared" ref="G62:J62" si="29">SUM(G63:G69)</f>
        <v>298800</v>
      </c>
      <c r="H62" s="358">
        <f t="shared" si="29"/>
        <v>301500</v>
      </c>
      <c r="I62" s="358">
        <f t="shared" si="29"/>
        <v>301500</v>
      </c>
      <c r="J62" s="358">
        <f t="shared" si="29"/>
        <v>1187100</v>
      </c>
      <c r="K62" s="359" t="s">
        <v>371</v>
      </c>
    </row>
    <row r="63" spans="1:12" s="346" customFormat="1" ht="38.25">
      <c r="A63" s="340"/>
      <c r="B63" s="340"/>
      <c r="C63" s="341"/>
      <c r="D63" s="360" t="s">
        <v>372</v>
      </c>
      <c r="E63" s="351">
        <f>[27]保洁服务费!D10</f>
        <v>53300</v>
      </c>
      <c r="F63" s="344">
        <f t="shared" ref="F63:I69" si="30">$E63*3</f>
        <v>159900</v>
      </c>
      <c r="G63" s="344">
        <f t="shared" si="30"/>
        <v>159900</v>
      </c>
      <c r="H63" s="344">
        <f t="shared" si="30"/>
        <v>159900</v>
      </c>
      <c r="I63" s="344">
        <f t="shared" si="30"/>
        <v>159900</v>
      </c>
      <c r="J63" s="344">
        <f t="shared" ref="J63:J69" si="31">SUM(F63:I63)</f>
        <v>639600</v>
      </c>
      <c r="K63" s="350" t="s">
        <v>373</v>
      </c>
    </row>
    <row r="64" spans="1:12" s="346" customFormat="1">
      <c r="A64" s="340"/>
      <c r="B64" s="340"/>
      <c r="C64" s="341"/>
      <c r="D64" s="360" t="s">
        <v>374</v>
      </c>
      <c r="E64" s="351">
        <f>[27]保洁服务费!D17+[27]保洁服务费!D23</f>
        <v>3900</v>
      </c>
      <c r="F64" s="344">
        <f t="shared" si="30"/>
        <v>11700</v>
      </c>
      <c r="G64" s="344">
        <f t="shared" si="30"/>
        <v>11700</v>
      </c>
      <c r="H64" s="344">
        <f t="shared" si="30"/>
        <v>11700</v>
      </c>
      <c r="I64" s="344">
        <f t="shared" si="30"/>
        <v>11700</v>
      </c>
      <c r="J64" s="344">
        <f>SUM(F64:I64)</f>
        <v>46800</v>
      </c>
      <c r="K64" s="350" t="s">
        <v>288</v>
      </c>
    </row>
    <row r="65" spans="1:12" s="346" customFormat="1">
      <c r="A65" s="340"/>
      <c r="B65" s="340"/>
      <c r="C65" s="341"/>
      <c r="D65" s="361" t="s">
        <v>375</v>
      </c>
      <c r="E65" s="351">
        <f>[27]保洁服务费!D29</f>
        <v>7200</v>
      </c>
      <c r="F65" s="344">
        <f t="shared" si="30"/>
        <v>21600</v>
      </c>
      <c r="G65" s="344">
        <f t="shared" si="30"/>
        <v>21600</v>
      </c>
      <c r="H65" s="344">
        <f t="shared" si="30"/>
        <v>21600</v>
      </c>
      <c r="I65" s="344">
        <f t="shared" si="30"/>
        <v>21600</v>
      </c>
      <c r="J65" s="344">
        <f t="shared" si="31"/>
        <v>86400</v>
      </c>
      <c r="K65" s="350" t="s">
        <v>288</v>
      </c>
    </row>
    <row r="66" spans="1:12" s="346" customFormat="1">
      <c r="A66" s="340"/>
      <c r="B66" s="340"/>
      <c r="C66" s="341"/>
      <c r="D66" s="361" t="s">
        <v>376</v>
      </c>
      <c r="E66" s="351">
        <f>[27]保洁服务费!D39</f>
        <v>16300</v>
      </c>
      <c r="F66" s="344">
        <f t="shared" si="30"/>
        <v>48900</v>
      </c>
      <c r="G66" s="344">
        <f t="shared" si="30"/>
        <v>48900</v>
      </c>
      <c r="H66" s="344">
        <f t="shared" si="30"/>
        <v>48900</v>
      </c>
      <c r="I66" s="344">
        <f t="shared" si="30"/>
        <v>48900</v>
      </c>
      <c r="J66" s="344">
        <f t="shared" si="31"/>
        <v>195600</v>
      </c>
      <c r="K66" s="350" t="s">
        <v>377</v>
      </c>
    </row>
    <row r="67" spans="1:12" s="346" customFormat="1" outlineLevel="1">
      <c r="A67" s="340"/>
      <c r="C67" s="341"/>
      <c r="D67" s="441" t="s">
        <v>378</v>
      </c>
      <c r="E67" s="439">
        <f>1800*3*1</f>
        <v>5400</v>
      </c>
      <c r="F67" s="439"/>
      <c r="G67" s="439">
        <f>$E$67*2.5</f>
        <v>13500</v>
      </c>
      <c r="H67" s="439">
        <f t="shared" ref="H67:I67" si="32">$E$67*3</f>
        <v>16200</v>
      </c>
      <c r="I67" s="439">
        <f t="shared" si="32"/>
        <v>16200</v>
      </c>
      <c r="J67" s="439">
        <f>SUM(F67:I67)</f>
        <v>45900</v>
      </c>
      <c r="K67" s="440" t="s">
        <v>379</v>
      </c>
      <c r="L67" s="438"/>
    </row>
    <row r="68" spans="1:12" s="346" customFormat="1">
      <c r="A68" s="340"/>
      <c r="B68" s="340"/>
      <c r="C68" s="341"/>
      <c r="D68" s="361" t="s">
        <v>380</v>
      </c>
      <c r="E68" s="351">
        <f>[27]保洁服务费!D48</f>
        <v>7200</v>
      </c>
      <c r="F68" s="344">
        <f t="shared" si="30"/>
        <v>21600</v>
      </c>
      <c r="G68" s="344">
        <f t="shared" si="30"/>
        <v>21600</v>
      </c>
      <c r="H68" s="344">
        <f t="shared" si="30"/>
        <v>21600</v>
      </c>
      <c r="I68" s="344">
        <f t="shared" si="30"/>
        <v>21600</v>
      </c>
      <c r="J68" s="344">
        <f t="shared" ref="J68" si="33">SUM(F68:I68)</f>
        <v>86400</v>
      </c>
      <c r="K68" s="350" t="s">
        <v>381</v>
      </c>
    </row>
    <row r="69" spans="1:12" s="346" customFormat="1">
      <c r="A69" s="340"/>
      <c r="B69" s="340"/>
      <c r="C69" s="341"/>
      <c r="D69" s="361" t="s">
        <v>382</v>
      </c>
      <c r="E69" s="351">
        <f>[27]保洁服务费!D55</f>
        <v>7200</v>
      </c>
      <c r="F69" s="344">
        <f t="shared" si="30"/>
        <v>21600</v>
      </c>
      <c r="G69" s="344">
        <f t="shared" si="30"/>
        <v>21600</v>
      </c>
      <c r="H69" s="344">
        <f t="shared" si="30"/>
        <v>21600</v>
      </c>
      <c r="I69" s="344">
        <f t="shared" si="30"/>
        <v>21600</v>
      </c>
      <c r="J69" s="344">
        <f t="shared" si="31"/>
        <v>86400</v>
      </c>
      <c r="K69" s="350" t="s">
        <v>288</v>
      </c>
    </row>
    <row r="70" spans="1:12" s="365" customFormat="1">
      <c r="A70" s="362"/>
      <c r="B70" s="362"/>
      <c r="C70" s="341"/>
      <c r="D70" s="363" t="s">
        <v>383</v>
      </c>
      <c r="E70" s="358">
        <f t="shared" ref="E70:I70" si="34">SUM(E71:E75)</f>
        <v>67225.483999999997</v>
      </c>
      <c r="F70" s="358">
        <f t="shared" si="34"/>
        <v>57700</v>
      </c>
      <c r="G70" s="358">
        <f t="shared" si="34"/>
        <v>67823.839999999997</v>
      </c>
      <c r="H70" s="358">
        <f t="shared" si="34"/>
        <v>0</v>
      </c>
      <c r="I70" s="358">
        <f t="shared" si="34"/>
        <v>67823.839999999997</v>
      </c>
      <c r="J70" s="358">
        <f>SUM(J71:J75)</f>
        <v>193347.68</v>
      </c>
      <c r="K70" s="364" t="s">
        <v>384</v>
      </c>
    </row>
    <row r="71" spans="1:12" s="346" customFormat="1">
      <c r="A71" s="340"/>
      <c r="B71" s="340"/>
      <c r="C71" s="341"/>
      <c r="D71" s="360" t="s">
        <v>385</v>
      </c>
      <c r="E71" s="351">
        <f>ROUND([27]保洁服务费!D11,-1)</f>
        <v>34170</v>
      </c>
      <c r="F71" s="352">
        <f>ROUND([27]保洁服务费!D11,-1)</f>
        <v>34170</v>
      </c>
      <c r="G71" s="352">
        <f>ROUND([27]保洁服务费!D11,-1)</f>
        <v>34170</v>
      </c>
      <c r="H71" s="352">
        <v>0</v>
      </c>
      <c r="I71" s="352">
        <f>ROUND([27]保洁服务费!D11,-1)</f>
        <v>34170</v>
      </c>
      <c r="J71" s="344">
        <f>SUM(F71:I71)</f>
        <v>102510</v>
      </c>
      <c r="K71" s="350" t="s">
        <v>386</v>
      </c>
    </row>
    <row r="72" spans="1:12" s="346" customFormat="1">
      <c r="A72" s="340"/>
      <c r="B72" s="340"/>
      <c r="C72" s="341"/>
      <c r="D72" s="361" t="s">
        <v>387</v>
      </c>
      <c r="E72" s="351">
        <f>ROUND([27]保洁服务费!D30,-1)</f>
        <v>6000</v>
      </c>
      <c r="F72" s="344">
        <f>ROUND([27]保洁服务费!D30*110%,-2)</f>
        <v>6600</v>
      </c>
      <c r="G72" s="344">
        <f>ROUND([27]保洁服务费!D30*110%,-2)</f>
        <v>6600</v>
      </c>
      <c r="H72" s="344">
        <v>0</v>
      </c>
      <c r="I72" s="344">
        <f>ROUND([27]保洁服务费!D30*110%,-2)</f>
        <v>6600</v>
      </c>
      <c r="J72" s="344">
        <f t="shared" ref="J72:J75" si="35">SUM(F72:I72)</f>
        <v>19800</v>
      </c>
      <c r="K72" s="350" t="s">
        <v>388</v>
      </c>
    </row>
    <row r="73" spans="1:12" s="346" customFormat="1">
      <c r="A73" s="340"/>
      <c r="B73" s="340"/>
      <c r="C73" s="341"/>
      <c r="D73" s="361" t="s">
        <v>389</v>
      </c>
      <c r="E73" s="351">
        <f>ROUND([27]保洁服务费!D42,-1)</f>
        <v>9910</v>
      </c>
      <c r="F73" s="344">
        <f>ROUND([27]保洁服务费!D42,-1)</f>
        <v>9910</v>
      </c>
      <c r="G73" s="344">
        <f>ROUND([27]保洁服务费!D42,-1)</f>
        <v>9910</v>
      </c>
      <c r="H73" s="344">
        <v>0</v>
      </c>
      <c r="I73" s="344">
        <f>ROUND([27]保洁服务费!D42,-1)</f>
        <v>9910</v>
      </c>
      <c r="J73" s="344">
        <f t="shared" si="35"/>
        <v>29730</v>
      </c>
      <c r="K73" s="350" t="s">
        <v>302</v>
      </c>
    </row>
    <row r="74" spans="1:12" s="346" customFormat="1">
      <c r="A74" s="340"/>
      <c r="B74" s="340"/>
      <c r="C74" s="341"/>
      <c r="D74" s="361" t="s">
        <v>390</v>
      </c>
      <c r="E74" s="351">
        <f>[27]保洁服务费!D56</f>
        <v>7021.6439999999993</v>
      </c>
      <c r="F74" s="344">
        <f>ROUND([27]保洁服务费!D56,-1)</f>
        <v>7020</v>
      </c>
      <c r="G74" s="344">
        <f>ROUND([27]保洁服务费!D56,-1)</f>
        <v>7020</v>
      </c>
      <c r="H74" s="344">
        <v>0</v>
      </c>
      <c r="I74" s="344">
        <f>ROUND([27]保洁服务费!D56,-1)</f>
        <v>7020</v>
      </c>
      <c r="J74" s="344">
        <f t="shared" si="35"/>
        <v>21060</v>
      </c>
      <c r="K74" s="350" t="s">
        <v>388</v>
      </c>
    </row>
    <row r="75" spans="1:12" s="346" customFormat="1">
      <c r="A75" s="340"/>
      <c r="B75" s="340"/>
      <c r="C75" s="341"/>
      <c r="D75" s="361" t="s">
        <v>391</v>
      </c>
      <c r="E75" s="351">
        <f>[27]保洁服务费!D49</f>
        <v>10123.84</v>
      </c>
      <c r="F75" s="344"/>
      <c r="G75" s="344">
        <f>E75</f>
        <v>10123.84</v>
      </c>
      <c r="H75" s="344">
        <v>0</v>
      </c>
      <c r="I75" s="344">
        <f>E75</f>
        <v>10123.84</v>
      </c>
      <c r="J75" s="344">
        <f t="shared" si="35"/>
        <v>20247.68</v>
      </c>
      <c r="K75" s="350"/>
    </row>
    <row r="76" spans="1:12" s="346" customFormat="1">
      <c r="A76" s="340"/>
      <c r="B76" s="340"/>
      <c r="C76" s="341"/>
      <c r="D76" s="366" t="s">
        <v>157</v>
      </c>
      <c r="E76" s="367">
        <f>J76/12</f>
        <v>1666.6666666666667</v>
      </c>
      <c r="F76" s="352">
        <v>5000</v>
      </c>
      <c r="G76" s="352">
        <v>5000</v>
      </c>
      <c r="H76" s="352">
        <v>5000</v>
      </c>
      <c r="I76" s="352">
        <v>5000</v>
      </c>
      <c r="J76" s="344">
        <f>SUM(F76:I76)</f>
        <v>20000</v>
      </c>
      <c r="K76" s="350"/>
    </row>
    <row r="77" spans="1:12" s="346" customFormat="1" ht="15">
      <c r="A77" s="340"/>
      <c r="B77" s="340"/>
      <c r="C77" s="341"/>
      <c r="D77" s="356"/>
      <c r="E77" s="351"/>
      <c r="F77" s="368">
        <f>F62+F70+F76</f>
        <v>348000</v>
      </c>
      <c r="G77" s="368">
        <f>G62+G70+G76</f>
        <v>371623.83999999997</v>
      </c>
      <c r="H77" s="368">
        <f>H62+H70+H76</f>
        <v>306500</v>
      </c>
      <c r="I77" s="368">
        <f>I62+I70+I76</f>
        <v>374323.83999999997</v>
      </c>
      <c r="J77" s="368">
        <f>SUM(J62,J70,J76)</f>
        <v>1400447.68</v>
      </c>
      <c r="K77" s="450">
        <f>J77-J67</f>
        <v>1354547.68</v>
      </c>
    </row>
    <row r="78" spans="1:12" s="346" customFormat="1" ht="37.5">
      <c r="A78" s="340" t="s">
        <v>304</v>
      </c>
      <c r="B78" s="340"/>
      <c r="C78" s="341" t="s">
        <v>119</v>
      </c>
      <c r="D78" s="356" t="s">
        <v>120</v>
      </c>
      <c r="E78" s="351">
        <f>[27]阿姨工资奖金!K21</f>
        <v>27822.54</v>
      </c>
      <c r="F78" s="344">
        <f>E78*3+[27]阿姨工资奖金!L21+[27]阿姨工资奖金!M21</f>
        <v>97275.62</v>
      </c>
      <c r="G78" s="344">
        <f>E78*3</f>
        <v>83467.62</v>
      </c>
      <c r="H78" s="344">
        <f t="shared" ref="G78:I83" si="36">$E78*3</f>
        <v>83467.62</v>
      </c>
      <c r="I78" s="344">
        <f t="shared" si="36"/>
        <v>83467.62</v>
      </c>
      <c r="J78" s="344">
        <f t="shared" ref="J78:J83" si="37">SUM(F78:I78)</f>
        <v>347678.48</v>
      </c>
      <c r="K78" s="350" t="s">
        <v>392</v>
      </c>
    </row>
    <row r="79" spans="1:12" s="346" customFormat="1">
      <c r="A79" s="340"/>
      <c r="B79" s="340"/>
      <c r="C79" s="341"/>
      <c r="D79" s="342" t="s">
        <v>393</v>
      </c>
      <c r="E79" s="351">
        <f>[27]阿姨工资奖金!K32</f>
        <v>3070</v>
      </c>
      <c r="F79" s="344">
        <f>E79*3+[27]阿姨工资奖金!L32+[27]阿姨工资奖金!M32</f>
        <v>10366</v>
      </c>
      <c r="G79" s="344">
        <f>$E79*3</f>
        <v>9210</v>
      </c>
      <c r="H79" s="344">
        <f t="shared" si="36"/>
        <v>9210</v>
      </c>
      <c r="I79" s="344">
        <f t="shared" si="36"/>
        <v>9210</v>
      </c>
      <c r="J79" s="344">
        <f t="shared" si="37"/>
        <v>37996</v>
      </c>
      <c r="K79" s="350" t="s">
        <v>394</v>
      </c>
    </row>
    <row r="80" spans="1:12" s="346" customFormat="1" ht="24.75">
      <c r="A80" s="340"/>
      <c r="B80" s="340"/>
      <c r="C80" s="341"/>
      <c r="D80" s="342" t="s">
        <v>395</v>
      </c>
      <c r="E80" s="351">
        <f>[27]阿姨工资奖金!K41</f>
        <v>3220</v>
      </c>
      <c r="F80" s="344">
        <f>[27]阿姨工资奖金!K41*3+[27]阿姨工资奖金!L41+[27]阿姨工资奖金!M41</f>
        <v>11066</v>
      </c>
      <c r="G80" s="344">
        <f t="shared" si="36"/>
        <v>9660</v>
      </c>
      <c r="H80" s="344">
        <f t="shared" si="36"/>
        <v>9660</v>
      </c>
      <c r="I80" s="344">
        <f t="shared" si="36"/>
        <v>9660</v>
      </c>
      <c r="J80" s="344">
        <f t="shared" si="37"/>
        <v>40046</v>
      </c>
      <c r="K80" s="350" t="s">
        <v>396</v>
      </c>
    </row>
    <row r="81" spans="1:12" s="346" customFormat="1" outlineLevel="1">
      <c r="A81" s="340"/>
      <c r="C81" s="341"/>
      <c r="D81" s="436" t="s">
        <v>397</v>
      </c>
      <c r="E81" s="439">
        <f>1700*2*1</f>
        <v>3400</v>
      </c>
      <c r="F81" s="439"/>
      <c r="G81" s="439">
        <f>$E$81*2.5</f>
        <v>8500</v>
      </c>
      <c r="H81" s="439">
        <f t="shared" ref="H81:I81" si="38">$E$81*3</f>
        <v>10200</v>
      </c>
      <c r="I81" s="439">
        <f t="shared" si="38"/>
        <v>10200</v>
      </c>
      <c r="J81" s="439">
        <f t="shared" si="37"/>
        <v>28900</v>
      </c>
      <c r="K81" s="440" t="s">
        <v>398</v>
      </c>
      <c r="L81" s="438"/>
    </row>
    <row r="82" spans="1:12" s="346" customFormat="1">
      <c r="A82" s="340"/>
      <c r="B82" s="340"/>
      <c r="C82" s="341"/>
      <c r="D82" s="342" t="s">
        <v>399</v>
      </c>
      <c r="E82" s="351">
        <f>E83</f>
        <v>3070</v>
      </c>
      <c r="F82" s="344">
        <f>F83</f>
        <v>10326</v>
      </c>
      <c r="G82" s="344">
        <f t="shared" si="36"/>
        <v>9210</v>
      </c>
      <c r="H82" s="344">
        <f t="shared" si="36"/>
        <v>9210</v>
      </c>
      <c r="I82" s="344">
        <f t="shared" si="36"/>
        <v>9210</v>
      </c>
      <c r="J82" s="344">
        <f t="shared" si="37"/>
        <v>37956</v>
      </c>
      <c r="K82" s="350" t="s">
        <v>381</v>
      </c>
    </row>
    <row r="83" spans="1:12" s="346" customFormat="1">
      <c r="A83" s="340"/>
      <c r="B83" s="340"/>
      <c r="C83" s="341"/>
      <c r="D83" s="342" t="s">
        <v>400</v>
      </c>
      <c r="E83" s="351">
        <f>[27]阿姨工资奖金!K50</f>
        <v>3070</v>
      </c>
      <c r="F83" s="344">
        <f>[27]阿姨工资奖金!K50*3+[27]阿姨工资奖金!L50+[27]阿姨工资奖金!M50</f>
        <v>10326</v>
      </c>
      <c r="G83" s="344">
        <f t="shared" si="36"/>
        <v>9210</v>
      </c>
      <c r="H83" s="344">
        <f t="shared" si="36"/>
        <v>9210</v>
      </c>
      <c r="I83" s="344">
        <f t="shared" si="36"/>
        <v>9210</v>
      </c>
      <c r="J83" s="344">
        <f t="shared" si="37"/>
        <v>37956</v>
      </c>
      <c r="K83" s="350" t="s">
        <v>394</v>
      </c>
    </row>
    <row r="84" spans="1:12" s="346" customFormat="1" ht="15">
      <c r="A84" s="340"/>
      <c r="B84" s="340"/>
      <c r="C84" s="341"/>
      <c r="D84" s="356"/>
      <c r="E84" s="351"/>
      <c r="F84" s="368">
        <f>SUM(F78:F83)</f>
        <v>139359.62</v>
      </c>
      <c r="G84" s="368">
        <f t="shared" ref="G84:I84" si="39">SUM(G78:G83)</f>
        <v>129257.62</v>
      </c>
      <c r="H84" s="368">
        <f t="shared" si="39"/>
        <v>130957.62</v>
      </c>
      <c r="I84" s="368">
        <f t="shared" si="39"/>
        <v>130957.62</v>
      </c>
      <c r="J84" s="368">
        <f>SUM(J78:J83)</f>
        <v>530532.48</v>
      </c>
      <c r="K84" s="450">
        <f>J84-J81</f>
        <v>501632.48</v>
      </c>
    </row>
    <row r="85" spans="1:12" s="346" customFormat="1" ht="25.5">
      <c r="A85" s="369" t="s">
        <v>304</v>
      </c>
      <c r="B85" s="369"/>
      <c r="C85" s="341" t="s">
        <v>121</v>
      </c>
      <c r="D85" s="370" t="s">
        <v>401</v>
      </c>
      <c r="E85" s="351">
        <f>ROUND([27]班车费用!E10/3,0)</f>
        <v>196250</v>
      </c>
      <c r="F85" s="344">
        <f t="shared" ref="F85:I94" si="40">$E85*3</f>
        <v>588750</v>
      </c>
      <c r="G85" s="344">
        <f t="shared" si="40"/>
        <v>588750</v>
      </c>
      <c r="H85" s="344">
        <f t="shared" si="40"/>
        <v>588750</v>
      </c>
      <c r="I85" s="344">
        <f t="shared" si="40"/>
        <v>588750</v>
      </c>
      <c r="J85" s="344">
        <f>SUM(F85:I85)</f>
        <v>2355000</v>
      </c>
      <c r="K85" s="350" t="s">
        <v>402</v>
      </c>
    </row>
    <row r="86" spans="1:12" s="346" customFormat="1">
      <c r="A86" s="369"/>
      <c r="B86" s="369"/>
      <c r="C86" s="341"/>
      <c r="D86" s="442" t="s">
        <v>403</v>
      </c>
      <c r="E86" s="437">
        <v>23000</v>
      </c>
      <c r="F86" s="443"/>
      <c r="G86" s="443">
        <f>$E$86*1</f>
        <v>23000</v>
      </c>
      <c r="H86" s="443">
        <f>$E$86*3</f>
        <v>69000</v>
      </c>
      <c r="I86" s="443">
        <f>$E$86*3</f>
        <v>69000</v>
      </c>
      <c r="J86" s="443">
        <f>SUM(F86:I86)</f>
        <v>161000</v>
      </c>
      <c r="K86" s="444"/>
      <c r="L86" s="438"/>
    </row>
    <row r="87" spans="1:12" s="346" customFormat="1" ht="15">
      <c r="A87" s="340"/>
      <c r="B87" s="340"/>
      <c r="C87" s="341"/>
      <c r="D87" s="360"/>
      <c r="E87" s="351"/>
      <c r="F87" s="353">
        <f>SUM(F85:F86)</f>
        <v>588750</v>
      </c>
      <c r="G87" s="353">
        <f t="shared" ref="G87:J87" si="41">SUM(G85:G86)</f>
        <v>611750</v>
      </c>
      <c r="H87" s="353">
        <f t="shared" si="41"/>
        <v>657750</v>
      </c>
      <c r="I87" s="353">
        <f t="shared" si="41"/>
        <v>657750</v>
      </c>
      <c r="J87" s="353">
        <f t="shared" si="41"/>
        <v>2516000</v>
      </c>
      <c r="K87" s="451">
        <f>J87-J86</f>
        <v>2355000</v>
      </c>
    </row>
    <row r="88" spans="1:12" s="346" customFormat="1">
      <c r="A88" s="369" t="s">
        <v>304</v>
      </c>
      <c r="B88" s="340"/>
      <c r="C88" s="341" t="s">
        <v>122</v>
      </c>
      <c r="D88" s="372" t="s">
        <v>404</v>
      </c>
      <c r="E88" s="358">
        <f>E89+E90+E91+E94</f>
        <v>31460.04</v>
      </c>
      <c r="F88" s="373">
        <f>SUM(F89:F94)</f>
        <v>114515.71322033898</v>
      </c>
      <c r="G88" s="373">
        <f t="shared" ref="G88:I88" si="42">SUM(G89:G94)</f>
        <v>123915.71322033898</v>
      </c>
      <c r="H88" s="373">
        <f t="shared" si="42"/>
        <v>128615.71322033898</v>
      </c>
      <c r="I88" s="373">
        <f t="shared" si="42"/>
        <v>128615.71322033898</v>
      </c>
      <c r="J88" s="373">
        <f>SUM(J89:J94)</f>
        <v>495662.85288135591</v>
      </c>
      <c r="K88" s="364" t="s">
        <v>405</v>
      </c>
    </row>
    <row r="89" spans="1:12" s="346" customFormat="1" ht="25.5">
      <c r="A89" s="340"/>
      <c r="B89" s="340"/>
      <c r="C89" s="341"/>
      <c r="D89" s="360" t="s">
        <v>406</v>
      </c>
      <c r="E89" s="351">
        <f>'[27]部分费用明细（水电植物耗材茶歇）'!C68*74%</f>
        <v>15500.039999999999</v>
      </c>
      <c r="F89" s="344">
        <f t="shared" ref="F89:F94" si="43">$E89*3</f>
        <v>46500.119999999995</v>
      </c>
      <c r="G89" s="344">
        <f t="shared" si="40"/>
        <v>46500.119999999995</v>
      </c>
      <c r="H89" s="344">
        <f t="shared" si="40"/>
        <v>46500.119999999995</v>
      </c>
      <c r="I89" s="344">
        <f t="shared" si="40"/>
        <v>46500.119999999995</v>
      </c>
      <c r="J89" s="344">
        <f>SUM(F89:I89)</f>
        <v>186000.47999999998</v>
      </c>
      <c r="K89" s="350" t="s">
        <v>407</v>
      </c>
    </row>
    <row r="90" spans="1:12" s="346" customFormat="1">
      <c r="A90" s="340"/>
      <c r="B90" s="340"/>
      <c r="C90" s="341"/>
      <c r="D90" s="361" t="s">
        <v>408</v>
      </c>
      <c r="E90" s="351">
        <f>ROUND('[27]部分费用明细（水电植物耗材茶歇）'!D68,-1)</f>
        <v>2620</v>
      </c>
      <c r="F90" s="344">
        <f t="shared" si="43"/>
        <v>7860</v>
      </c>
      <c r="G90" s="344">
        <f t="shared" si="40"/>
        <v>7860</v>
      </c>
      <c r="H90" s="344">
        <f t="shared" si="40"/>
        <v>7860</v>
      </c>
      <c r="I90" s="344">
        <f t="shared" si="40"/>
        <v>7860</v>
      </c>
      <c r="J90" s="344">
        <f t="shared" ref="J90:J94" si="44">SUM(F90:I90)</f>
        <v>31440</v>
      </c>
      <c r="K90" s="350" t="s">
        <v>409</v>
      </c>
    </row>
    <row r="91" spans="1:12" s="346" customFormat="1">
      <c r="A91" s="340"/>
      <c r="B91" s="340"/>
      <c r="C91" s="341"/>
      <c r="D91" s="361" t="s">
        <v>410</v>
      </c>
      <c r="E91" s="351">
        <f>ROUND('[27]部分费用明细（水电植物耗材茶歇）'!E68,-1)</f>
        <v>5420</v>
      </c>
      <c r="F91" s="344">
        <f t="shared" si="43"/>
        <v>16260</v>
      </c>
      <c r="G91" s="344">
        <f t="shared" si="40"/>
        <v>16260</v>
      </c>
      <c r="H91" s="344">
        <f t="shared" si="40"/>
        <v>16260</v>
      </c>
      <c r="I91" s="344">
        <f t="shared" si="40"/>
        <v>16260</v>
      </c>
      <c r="J91" s="344">
        <f t="shared" si="44"/>
        <v>65040</v>
      </c>
      <c r="K91" s="350" t="s">
        <v>411</v>
      </c>
    </row>
    <row r="92" spans="1:12" s="346" customFormat="1" outlineLevel="1">
      <c r="A92" s="340"/>
      <c r="C92" s="341"/>
      <c r="D92" s="441" t="s">
        <v>412</v>
      </c>
      <c r="E92" s="439">
        <f>ROUND(11000/413*176,-2)*1</f>
        <v>4700</v>
      </c>
      <c r="F92" s="439"/>
      <c r="G92" s="439">
        <f>$E$92*2</f>
        <v>9400</v>
      </c>
      <c r="H92" s="439">
        <f>$E$92*3</f>
        <v>14100</v>
      </c>
      <c r="I92" s="439">
        <f t="shared" ref="I92" si="45">$E$92*3</f>
        <v>14100</v>
      </c>
      <c r="J92" s="439">
        <f>SUM(F92:I92)</f>
        <v>37600</v>
      </c>
      <c r="K92" s="440" t="s">
        <v>413</v>
      </c>
      <c r="L92" s="438"/>
    </row>
    <row r="93" spans="1:12" s="346" customFormat="1">
      <c r="A93" s="340"/>
      <c r="B93" s="340"/>
      <c r="C93" s="341"/>
      <c r="D93" s="361" t="s">
        <v>414</v>
      </c>
      <c r="E93" s="351">
        <f>E94/413*350</f>
        <v>6711.8644067796613</v>
      </c>
      <c r="F93" s="344">
        <f t="shared" si="43"/>
        <v>20135.593220338982</v>
      </c>
      <c r="G93" s="344">
        <f t="shared" si="40"/>
        <v>20135.593220338982</v>
      </c>
      <c r="H93" s="344">
        <f t="shared" si="40"/>
        <v>20135.593220338982</v>
      </c>
      <c r="I93" s="344">
        <f t="shared" si="40"/>
        <v>20135.593220338982</v>
      </c>
      <c r="J93" s="344">
        <f t="shared" ref="J93" si="46">SUM(F93:I93)</f>
        <v>80542.372881355928</v>
      </c>
      <c r="K93" s="350" t="s">
        <v>415</v>
      </c>
    </row>
    <row r="94" spans="1:12" s="346" customFormat="1">
      <c r="A94" s="340"/>
      <c r="B94" s="340"/>
      <c r="C94" s="341"/>
      <c r="D94" s="361" t="s">
        <v>416</v>
      </c>
      <c r="E94" s="351">
        <f>ROUND('[27]部分费用明细（水电植物耗材茶歇）'!F68,-1)</f>
        <v>7920</v>
      </c>
      <c r="F94" s="344">
        <f t="shared" si="43"/>
        <v>23760</v>
      </c>
      <c r="G94" s="344">
        <f t="shared" si="40"/>
        <v>23760</v>
      </c>
      <c r="H94" s="344">
        <f t="shared" si="40"/>
        <v>23760</v>
      </c>
      <c r="I94" s="344">
        <f t="shared" si="40"/>
        <v>23760</v>
      </c>
      <c r="J94" s="344">
        <f t="shared" si="44"/>
        <v>95040</v>
      </c>
      <c r="K94" s="350" t="s">
        <v>417</v>
      </c>
    </row>
    <row r="95" spans="1:12" s="379" customFormat="1">
      <c r="A95" s="374"/>
      <c r="B95" s="374"/>
      <c r="C95" s="341"/>
      <c r="D95" s="375" t="s">
        <v>418</v>
      </c>
      <c r="E95" s="376"/>
      <c r="F95" s="377">
        <f>SUM(F96:F97)</f>
        <v>61600</v>
      </c>
      <c r="G95" s="377">
        <f t="shared" ref="G95:J95" si="47">SUM(G96:G97)</f>
        <v>0</v>
      </c>
      <c r="H95" s="377">
        <f t="shared" si="47"/>
        <v>20000</v>
      </c>
      <c r="I95" s="377">
        <f t="shared" si="47"/>
        <v>0</v>
      </c>
      <c r="J95" s="377">
        <f t="shared" si="47"/>
        <v>81600</v>
      </c>
      <c r="K95" s="378" t="s">
        <v>419</v>
      </c>
    </row>
    <row r="96" spans="1:12" s="379" customFormat="1">
      <c r="A96" s="374"/>
      <c r="B96" s="374"/>
      <c r="C96" s="341"/>
      <c r="D96" s="361" t="s">
        <v>418</v>
      </c>
      <c r="E96" s="376"/>
      <c r="F96" s="377">
        <f>15*1800+80*20+500*6</f>
        <v>31600</v>
      </c>
      <c r="G96" s="377"/>
      <c r="H96" s="377"/>
      <c r="I96" s="377"/>
      <c r="J96" s="344">
        <f t="shared" ref="J96:J97" si="48">SUM(F96:I96)</f>
        <v>31600</v>
      </c>
      <c r="K96" s="378"/>
    </row>
    <row r="97" spans="1:12" s="379" customFormat="1">
      <c r="A97" s="374"/>
      <c r="B97" s="374"/>
      <c r="C97" s="341"/>
      <c r="D97" s="361" t="s">
        <v>420</v>
      </c>
      <c r="E97" s="376"/>
      <c r="F97" s="377">
        <v>30000</v>
      </c>
      <c r="G97" s="377"/>
      <c r="H97" s="377">
        <v>20000</v>
      </c>
      <c r="I97" s="377"/>
      <c r="J97" s="344">
        <f t="shared" si="48"/>
        <v>50000</v>
      </c>
      <c r="K97" s="378"/>
    </row>
    <row r="98" spans="1:12" s="346" customFormat="1" ht="15">
      <c r="A98" s="340"/>
      <c r="B98" s="340"/>
      <c r="C98" s="341"/>
      <c r="D98" s="360"/>
      <c r="E98" s="351"/>
      <c r="F98" s="353">
        <f>F88+F95</f>
        <v>176115.71322033898</v>
      </c>
      <c r="G98" s="353">
        <f>G88+G95</f>
        <v>123915.71322033898</v>
      </c>
      <c r="H98" s="353">
        <f>H88+H95</f>
        <v>148615.71322033898</v>
      </c>
      <c r="I98" s="353">
        <f>I88+I95</f>
        <v>128615.71322033898</v>
      </c>
      <c r="J98" s="353">
        <f>J88+J95</f>
        <v>577262.85288135591</v>
      </c>
      <c r="K98" s="451">
        <f>J98-J92</f>
        <v>539662.85288135591</v>
      </c>
    </row>
    <row r="99" spans="1:12" s="346" customFormat="1">
      <c r="A99" s="340" t="s">
        <v>24</v>
      </c>
      <c r="B99" s="340"/>
      <c r="C99" s="341" t="s">
        <v>421</v>
      </c>
      <c r="D99" s="385" t="s">
        <v>422</v>
      </c>
      <c r="E99" s="410">
        <f>ROUND('[27]部分费用明细（水电植物耗材茶歇）'!D163/12,0)</f>
        <v>3497</v>
      </c>
      <c r="F99" s="431">
        <f>$E99*3</f>
        <v>10491</v>
      </c>
      <c r="G99" s="431">
        <f>$E99*3</f>
        <v>10491</v>
      </c>
      <c r="H99" s="431">
        <f>$E99*3</f>
        <v>10491</v>
      </c>
      <c r="I99" s="431">
        <f>$E99*3</f>
        <v>10491</v>
      </c>
      <c r="J99" s="431">
        <f t="shared" ref="J99" si="49">SUM(F99:I99)</f>
        <v>41964</v>
      </c>
      <c r="K99" s="432" t="s">
        <v>423</v>
      </c>
    </row>
    <row r="100" spans="1:12" s="379" customFormat="1">
      <c r="A100" s="381"/>
      <c r="B100" s="382"/>
      <c r="C100" s="341"/>
      <c r="D100" s="383" t="s">
        <v>123</v>
      </c>
      <c r="E100" s="376">
        <f t="shared" ref="E100" si="50">SUM(E102:E106)</f>
        <v>5355.3317191283295</v>
      </c>
      <c r="F100" s="376">
        <f>SUM(F101:F106)</f>
        <v>37550.639999999999</v>
      </c>
      <c r="G100" s="376">
        <f t="shared" ref="G100:I100" si="51">SUM(G101:G106)</f>
        <v>39339.635157384982</v>
      </c>
      <c r="H100" s="376">
        <f t="shared" si="51"/>
        <v>38181.635157384982</v>
      </c>
      <c r="I100" s="376">
        <f t="shared" si="51"/>
        <v>38181.635157384982</v>
      </c>
      <c r="J100" s="376">
        <f>SUM(J101:J106)</f>
        <v>153253.54547215498</v>
      </c>
      <c r="K100" s="384"/>
    </row>
    <row r="101" spans="1:12" s="346" customFormat="1" ht="25.5">
      <c r="A101" s="340"/>
      <c r="B101" s="340"/>
      <c r="C101" s="341"/>
      <c r="D101" s="360" t="s">
        <v>424</v>
      </c>
      <c r="E101" s="351">
        <f>ROUND('[27]部分费用明细（水电植物耗材茶歇）'!C90,0)*74%</f>
        <v>7371.88</v>
      </c>
      <c r="F101" s="352">
        <f t="shared" ref="F101:I103" si="52">$E101*3</f>
        <v>22115.64</v>
      </c>
      <c r="G101" s="352">
        <f t="shared" si="52"/>
        <v>22115.64</v>
      </c>
      <c r="H101" s="352">
        <f t="shared" si="52"/>
        <v>22115.64</v>
      </c>
      <c r="I101" s="352">
        <f t="shared" si="52"/>
        <v>22115.64</v>
      </c>
      <c r="J101" s="352">
        <f>SUM(F101:I101)</f>
        <v>88462.56</v>
      </c>
      <c r="K101" s="354" t="s">
        <v>425</v>
      </c>
    </row>
    <row r="102" spans="1:12" s="346" customFormat="1" ht="25.5">
      <c r="A102" s="340"/>
      <c r="B102" s="340"/>
      <c r="C102" s="341"/>
      <c r="D102" s="361" t="s">
        <v>426</v>
      </c>
      <c r="E102" s="351">
        <f>ROUND('[27]部分费用明细（水电植物耗材茶歇）'!K90,-1)</f>
        <v>990</v>
      </c>
      <c r="F102" s="344">
        <f t="shared" si="52"/>
        <v>2970</v>
      </c>
      <c r="G102" s="344">
        <f t="shared" si="52"/>
        <v>2970</v>
      </c>
      <c r="H102" s="344">
        <f t="shared" si="52"/>
        <v>2970</v>
      </c>
      <c r="I102" s="344">
        <f t="shared" si="52"/>
        <v>2970</v>
      </c>
      <c r="J102" s="344">
        <f t="shared" ref="J102:J106" si="53">SUM(F102:I102)</f>
        <v>11880</v>
      </c>
      <c r="K102" s="350" t="s">
        <v>427</v>
      </c>
    </row>
    <row r="103" spans="1:12" s="346" customFormat="1" ht="25.5">
      <c r="A103" s="340"/>
      <c r="B103" s="340"/>
      <c r="C103" s="341"/>
      <c r="D103" s="361" t="s">
        <v>428</v>
      </c>
      <c r="E103" s="351">
        <f>ROUND('[27]部分费用明细（水电植物耗材茶歇）'!S90,-1)</f>
        <v>990</v>
      </c>
      <c r="F103" s="344">
        <f t="shared" si="52"/>
        <v>2970</v>
      </c>
      <c r="G103" s="344">
        <f t="shared" si="52"/>
        <v>2970</v>
      </c>
      <c r="H103" s="344">
        <f t="shared" si="52"/>
        <v>2970</v>
      </c>
      <c r="I103" s="344">
        <f t="shared" si="52"/>
        <v>2970</v>
      </c>
      <c r="J103" s="344">
        <f t="shared" si="53"/>
        <v>11880</v>
      </c>
      <c r="K103" s="350" t="s">
        <v>429</v>
      </c>
    </row>
    <row r="104" spans="1:12" s="346" customFormat="1" outlineLevel="1">
      <c r="A104" s="340"/>
      <c r="C104" s="341"/>
      <c r="D104" s="441" t="s">
        <v>430</v>
      </c>
      <c r="E104" s="439">
        <v>595.33171912832927</v>
      </c>
      <c r="F104" s="439"/>
      <c r="G104" s="439">
        <f>1397/413*176*1+1158+E104*2</f>
        <v>2943.9951573849876</v>
      </c>
      <c r="H104" s="439">
        <f>$E$104*3</f>
        <v>1785.9951573849878</v>
      </c>
      <c r="I104" s="439">
        <f>$E$104*3</f>
        <v>1785.9951573849878</v>
      </c>
      <c r="J104" s="439">
        <f>SUM(F104:I104)</f>
        <v>6515.9854721549627</v>
      </c>
      <c r="K104" s="440" t="s">
        <v>431</v>
      </c>
      <c r="L104" s="438"/>
    </row>
    <row r="105" spans="1:12" s="346" customFormat="1">
      <c r="A105" s="340"/>
      <c r="B105" s="340"/>
      <c r="C105" s="341"/>
      <c r="D105" s="361" t="s">
        <v>432</v>
      </c>
      <c r="E105" s="351">
        <f>E106</f>
        <v>1390</v>
      </c>
      <c r="F105" s="344">
        <f>$E105*3+1155</f>
        <v>5325</v>
      </c>
      <c r="G105" s="344">
        <f t="shared" ref="G105:I106" si="54">$E105*3</f>
        <v>4170</v>
      </c>
      <c r="H105" s="344">
        <f t="shared" si="54"/>
        <v>4170</v>
      </c>
      <c r="I105" s="344">
        <f t="shared" si="54"/>
        <v>4170</v>
      </c>
      <c r="J105" s="344">
        <f t="shared" ref="J105" si="55">SUM(F105:I105)</f>
        <v>17835</v>
      </c>
      <c r="K105" s="350" t="s">
        <v>381</v>
      </c>
    </row>
    <row r="106" spans="1:12" s="346" customFormat="1" ht="25.5">
      <c r="A106" s="340"/>
      <c r="B106" s="340"/>
      <c r="C106" s="341"/>
      <c r="D106" s="361" t="s">
        <v>433</v>
      </c>
      <c r="E106" s="351">
        <f>ROUND('[27]部分费用明细（水电植物耗材茶歇）'!AA90,-1)</f>
        <v>1390</v>
      </c>
      <c r="F106" s="344">
        <f>$E106*3</f>
        <v>4170</v>
      </c>
      <c r="G106" s="344">
        <f t="shared" si="54"/>
        <v>4170</v>
      </c>
      <c r="H106" s="344">
        <f t="shared" si="54"/>
        <v>4170</v>
      </c>
      <c r="I106" s="344">
        <f t="shared" si="54"/>
        <v>4170</v>
      </c>
      <c r="J106" s="344">
        <f t="shared" si="53"/>
        <v>16680</v>
      </c>
      <c r="K106" s="350" t="s">
        <v>434</v>
      </c>
    </row>
    <row r="107" spans="1:12" s="346" customFormat="1">
      <c r="A107" s="340"/>
      <c r="B107" s="340"/>
      <c r="C107" s="341"/>
      <c r="D107" s="385" t="s">
        <v>125</v>
      </c>
      <c r="E107" s="386"/>
      <c r="F107" s="387"/>
      <c r="G107" s="388">
        <v>67800</v>
      </c>
      <c r="H107" s="387"/>
      <c r="I107" s="387"/>
      <c r="J107" s="388">
        <v>67800</v>
      </c>
      <c r="K107" s="389" t="s">
        <v>435</v>
      </c>
    </row>
    <row r="108" spans="1:12" s="346" customFormat="1" ht="15">
      <c r="A108" s="348"/>
      <c r="B108" s="348"/>
      <c r="C108" s="341"/>
      <c r="E108" s="390"/>
      <c r="F108" s="390">
        <f>SUM(F99,F100,F107)</f>
        <v>48041.64</v>
      </c>
      <c r="G108" s="390">
        <f t="shared" ref="G108:J108" si="56">SUM(G99,G100,G107)</f>
        <v>117630.63515738498</v>
      </c>
      <c r="H108" s="390">
        <f t="shared" si="56"/>
        <v>48672.635157384982</v>
      </c>
      <c r="I108" s="390">
        <f t="shared" si="56"/>
        <v>48672.635157384982</v>
      </c>
      <c r="J108" s="390">
        <f t="shared" si="56"/>
        <v>263017.54547215498</v>
      </c>
      <c r="K108" s="450">
        <f>J108-J104</f>
        <v>256501.56000000003</v>
      </c>
    </row>
    <row r="109" spans="1:12" s="346" customFormat="1">
      <c r="A109" s="369" t="s">
        <v>304</v>
      </c>
      <c r="B109" s="340"/>
      <c r="C109" s="341" t="s">
        <v>126</v>
      </c>
      <c r="D109" s="357" t="s">
        <v>127</v>
      </c>
      <c r="E109" s="391">
        <f>SUM(E110:E114)</f>
        <v>50330</v>
      </c>
      <c r="F109" s="391">
        <f t="shared" ref="F109:I109" si="57">SUM(F110:F114)</f>
        <v>132990</v>
      </c>
      <c r="G109" s="391">
        <f t="shared" si="57"/>
        <v>144990</v>
      </c>
      <c r="H109" s="391">
        <f t="shared" si="57"/>
        <v>150990</v>
      </c>
      <c r="I109" s="391">
        <f t="shared" si="57"/>
        <v>150990</v>
      </c>
      <c r="J109" s="392">
        <f>SUM(J110:J114)</f>
        <v>579960</v>
      </c>
      <c r="K109" s="371"/>
    </row>
    <row r="110" spans="1:12" s="346" customFormat="1" ht="25.5">
      <c r="A110" s="340"/>
      <c r="B110" s="340"/>
      <c r="C110" s="341"/>
      <c r="D110" s="360" t="s">
        <v>436</v>
      </c>
      <c r="E110" s="393">
        <f>ROUND((5500*4+1800)*110%,0)</f>
        <v>26180</v>
      </c>
      <c r="F110" s="344">
        <f>$E110*3</f>
        <v>78540</v>
      </c>
      <c r="G110" s="344">
        <f t="shared" ref="G110:I114" si="58">$E110*3</f>
        <v>78540</v>
      </c>
      <c r="H110" s="344">
        <f t="shared" si="58"/>
        <v>78540</v>
      </c>
      <c r="I110" s="344">
        <f t="shared" si="58"/>
        <v>78540</v>
      </c>
      <c r="J110" s="344">
        <f>SUM(F110:I110)</f>
        <v>314160</v>
      </c>
      <c r="K110" s="371" t="s">
        <v>437</v>
      </c>
    </row>
    <row r="111" spans="1:12" s="346" customFormat="1">
      <c r="A111" s="340"/>
      <c r="B111" s="340"/>
      <c r="C111" s="341"/>
      <c r="D111" s="361" t="s">
        <v>438</v>
      </c>
      <c r="E111" s="351">
        <f>5500*110%</f>
        <v>6050.0000000000009</v>
      </c>
      <c r="F111" s="344">
        <f>$E111*3</f>
        <v>18150.000000000004</v>
      </c>
      <c r="G111" s="344">
        <f t="shared" si="58"/>
        <v>18150.000000000004</v>
      </c>
      <c r="H111" s="344">
        <f t="shared" si="58"/>
        <v>18150.000000000004</v>
      </c>
      <c r="I111" s="344">
        <f t="shared" si="58"/>
        <v>18150.000000000004</v>
      </c>
      <c r="J111" s="344">
        <f t="shared" ref="J111:J114" si="59">SUM(F111:I111)</f>
        <v>72600.000000000015</v>
      </c>
      <c r="K111" s="371" t="s">
        <v>439</v>
      </c>
    </row>
    <row r="112" spans="1:12" s="346" customFormat="1">
      <c r="A112" s="340"/>
      <c r="B112" s="340"/>
      <c r="C112" s="341"/>
      <c r="D112" s="361" t="s">
        <v>440</v>
      </c>
      <c r="E112" s="351">
        <f t="shared" ref="E112:E114" si="60">5500*110%</f>
        <v>6050.0000000000009</v>
      </c>
      <c r="F112" s="344">
        <f>$E112*3</f>
        <v>18150.000000000004</v>
      </c>
      <c r="G112" s="344">
        <f t="shared" si="58"/>
        <v>18150.000000000004</v>
      </c>
      <c r="H112" s="344">
        <f t="shared" si="58"/>
        <v>18150.000000000004</v>
      </c>
      <c r="I112" s="344">
        <f t="shared" si="58"/>
        <v>18150.000000000004</v>
      </c>
      <c r="J112" s="344">
        <f t="shared" si="59"/>
        <v>72600.000000000015</v>
      </c>
      <c r="K112" s="371" t="s">
        <v>439</v>
      </c>
    </row>
    <row r="113" spans="1:12" s="346" customFormat="1" outlineLevel="1">
      <c r="A113" s="340"/>
      <c r="C113" s="341"/>
      <c r="D113" s="441" t="s">
        <v>441</v>
      </c>
      <c r="E113" s="439">
        <f>6000*1*1</f>
        <v>6000</v>
      </c>
      <c r="F113" s="439"/>
      <c r="G113" s="439">
        <f>$E$113*2</f>
        <v>12000</v>
      </c>
      <c r="H113" s="439">
        <f t="shared" ref="H113:I113" si="61">$E$113*3</f>
        <v>18000</v>
      </c>
      <c r="I113" s="439">
        <f t="shared" si="61"/>
        <v>18000</v>
      </c>
      <c r="J113" s="439">
        <f>SUM(F113:I113)</f>
        <v>48000</v>
      </c>
      <c r="K113" s="440" t="s">
        <v>442</v>
      </c>
      <c r="L113" s="438"/>
    </row>
    <row r="114" spans="1:12" s="346" customFormat="1">
      <c r="A114" s="340"/>
      <c r="B114" s="340"/>
      <c r="C114" s="341"/>
      <c r="D114" s="361" t="s">
        <v>443</v>
      </c>
      <c r="E114" s="351">
        <f t="shared" si="60"/>
        <v>6050.0000000000009</v>
      </c>
      <c r="F114" s="344">
        <f>$E114*3</f>
        <v>18150.000000000004</v>
      </c>
      <c r="G114" s="344">
        <f t="shared" si="58"/>
        <v>18150.000000000004</v>
      </c>
      <c r="H114" s="344">
        <f t="shared" si="58"/>
        <v>18150.000000000004</v>
      </c>
      <c r="I114" s="344">
        <f t="shared" si="58"/>
        <v>18150.000000000004</v>
      </c>
      <c r="J114" s="344">
        <f t="shared" si="59"/>
        <v>72600.000000000015</v>
      </c>
      <c r="K114" s="371" t="s">
        <v>439</v>
      </c>
    </row>
    <row r="115" spans="1:12" s="346" customFormat="1">
      <c r="A115" s="369" t="s">
        <v>304</v>
      </c>
      <c r="B115" s="340"/>
      <c r="C115" s="341"/>
      <c r="D115" s="363" t="s">
        <v>444</v>
      </c>
      <c r="E115" s="358">
        <f>SUM(E116:E121)</f>
        <v>20411.743341404359</v>
      </c>
      <c r="F115" s="358">
        <f t="shared" ref="F115:I115" si="62">SUM(F116:F121)</f>
        <v>57630</v>
      </c>
      <c r="G115" s="358">
        <f t="shared" si="62"/>
        <v>60033.486682808718</v>
      </c>
      <c r="H115" s="358">
        <f t="shared" si="62"/>
        <v>61235.230024213073</v>
      </c>
      <c r="I115" s="358">
        <f t="shared" si="62"/>
        <v>61235.230024213073</v>
      </c>
      <c r="J115" s="394">
        <f>SUM(J116:J121)</f>
        <v>240133.94673123487</v>
      </c>
      <c r="K115" s="371" t="s">
        <v>445</v>
      </c>
    </row>
    <row r="116" spans="1:12" s="346" customFormat="1" ht="24.75">
      <c r="A116" s="340"/>
      <c r="B116" s="340"/>
      <c r="C116" s="341"/>
      <c r="D116" s="360" t="s">
        <v>446</v>
      </c>
      <c r="E116" s="395">
        <f>ROUND('[27]部分费用明细（水电植物耗材茶歇）'!C127,-1)</f>
        <v>8850</v>
      </c>
      <c r="F116" s="344">
        <f>$E116*3</f>
        <v>26550</v>
      </c>
      <c r="G116" s="344">
        <f t="shared" ref="G116:I121" si="63">$E116*3</f>
        <v>26550</v>
      </c>
      <c r="H116" s="344">
        <f t="shared" si="63"/>
        <v>26550</v>
      </c>
      <c r="I116" s="344">
        <f t="shared" si="63"/>
        <v>26550</v>
      </c>
      <c r="J116" s="344">
        <f>SUM(F116:I116)</f>
        <v>106200</v>
      </c>
      <c r="K116" s="396" t="s">
        <v>447</v>
      </c>
    </row>
    <row r="117" spans="1:12" s="346" customFormat="1">
      <c r="A117" s="340"/>
      <c r="B117" s="340"/>
      <c r="C117" s="341"/>
      <c r="D117" s="361" t="s">
        <v>448</v>
      </c>
      <c r="E117" s="351">
        <f>ROUND('[27]部分费用明细（水电植物耗材茶歇）'!D127,-1)</f>
        <v>390</v>
      </c>
      <c r="F117" s="344">
        <f>$E117*3</f>
        <v>1170</v>
      </c>
      <c r="G117" s="344">
        <f t="shared" si="63"/>
        <v>1170</v>
      </c>
      <c r="H117" s="344">
        <f t="shared" si="63"/>
        <v>1170</v>
      </c>
      <c r="I117" s="344">
        <f t="shared" si="63"/>
        <v>1170</v>
      </c>
      <c r="J117" s="344">
        <f t="shared" ref="J117:J121" si="64">SUM(F117:I117)</f>
        <v>4680</v>
      </c>
      <c r="K117" s="350" t="s">
        <v>449</v>
      </c>
    </row>
    <row r="118" spans="1:12" s="346" customFormat="1">
      <c r="A118" s="340"/>
      <c r="B118" s="340"/>
      <c r="C118" s="341"/>
      <c r="D118" s="361" t="s">
        <v>450</v>
      </c>
      <c r="E118" s="351">
        <f>ROUND('[27]部分费用明细（水电植物耗材茶歇）'!E127,-1)</f>
        <v>2930</v>
      </c>
      <c r="F118" s="344">
        <f>$E118*3</f>
        <v>8790</v>
      </c>
      <c r="G118" s="344">
        <f t="shared" si="63"/>
        <v>8790</v>
      </c>
      <c r="H118" s="344">
        <f t="shared" si="63"/>
        <v>8790</v>
      </c>
      <c r="I118" s="344">
        <f t="shared" si="63"/>
        <v>8790</v>
      </c>
      <c r="J118" s="344">
        <f t="shared" si="64"/>
        <v>35160</v>
      </c>
      <c r="K118" s="350" t="s">
        <v>451</v>
      </c>
    </row>
    <row r="119" spans="1:12" s="346" customFormat="1" outlineLevel="1">
      <c r="A119" s="340"/>
      <c r="C119" s="341"/>
      <c r="D119" s="441" t="s">
        <v>452</v>
      </c>
      <c r="E119" s="439">
        <f>2820/413*176*1</f>
        <v>1201.7433414043585</v>
      </c>
      <c r="F119" s="439"/>
      <c r="G119" s="439">
        <f>$E$119*2</f>
        <v>2403.486682808717</v>
      </c>
      <c r="H119" s="439">
        <f t="shared" ref="H119:I119" si="65">$E$119*3</f>
        <v>3605.2300242130755</v>
      </c>
      <c r="I119" s="439">
        <f t="shared" si="65"/>
        <v>3605.2300242130755</v>
      </c>
      <c r="J119" s="439">
        <f>SUM(F119:I119)</f>
        <v>9613.9467312348679</v>
      </c>
      <c r="K119" s="440" t="s">
        <v>453</v>
      </c>
      <c r="L119" s="438"/>
    </row>
    <row r="120" spans="1:12" s="346" customFormat="1">
      <c r="A120" s="340"/>
      <c r="B120" s="340"/>
      <c r="C120" s="341"/>
      <c r="D120" s="361" t="s">
        <v>454</v>
      </c>
      <c r="E120" s="351">
        <f>E121</f>
        <v>3520</v>
      </c>
      <c r="F120" s="344">
        <f>$E120*3</f>
        <v>10560</v>
      </c>
      <c r="G120" s="344">
        <f t="shared" si="63"/>
        <v>10560</v>
      </c>
      <c r="H120" s="344">
        <f t="shared" si="63"/>
        <v>10560</v>
      </c>
      <c r="I120" s="344">
        <f t="shared" si="63"/>
        <v>10560</v>
      </c>
      <c r="J120" s="344">
        <f t="shared" ref="J120" si="66">SUM(F120:I120)</f>
        <v>42240</v>
      </c>
      <c r="K120" s="350" t="s">
        <v>381</v>
      </c>
    </row>
    <row r="121" spans="1:12" s="346" customFormat="1">
      <c r="A121" s="340"/>
      <c r="B121" s="340"/>
      <c r="C121" s="341"/>
      <c r="D121" s="361" t="s">
        <v>455</v>
      </c>
      <c r="E121" s="351">
        <f>ROUND('[27]部分费用明细（水电植物耗材茶歇）'!F127,-1)</f>
        <v>3520</v>
      </c>
      <c r="F121" s="344">
        <f>$E121*3</f>
        <v>10560</v>
      </c>
      <c r="G121" s="344">
        <f t="shared" si="63"/>
        <v>10560</v>
      </c>
      <c r="H121" s="344">
        <f t="shared" si="63"/>
        <v>10560</v>
      </c>
      <c r="I121" s="344">
        <f t="shared" si="63"/>
        <v>10560</v>
      </c>
      <c r="J121" s="344">
        <f t="shared" si="64"/>
        <v>42240</v>
      </c>
      <c r="K121" s="350" t="s">
        <v>456</v>
      </c>
    </row>
    <row r="122" spans="1:12" s="346" customFormat="1">
      <c r="A122" s="369" t="s">
        <v>304</v>
      </c>
      <c r="B122" s="340"/>
      <c r="C122" s="341"/>
      <c r="D122" s="363" t="s">
        <v>457</v>
      </c>
      <c r="E122" s="358">
        <f>E123+E124+E125+E128</f>
        <v>43010</v>
      </c>
      <c r="F122" s="397">
        <f>SUM(F123:F128)</f>
        <v>138411.35593220338</v>
      </c>
      <c r="G122" s="397">
        <f>SUM(G123:G128)</f>
        <v>139625.88377723971</v>
      </c>
      <c r="H122" s="397">
        <f>SUM(H123:H128)</f>
        <v>140233.14769975786</v>
      </c>
      <c r="I122" s="397">
        <f>SUM(I123:I128)</f>
        <v>140233.14769975786</v>
      </c>
      <c r="J122" s="398">
        <f>SUM(J123:J128)</f>
        <v>558503.53510895884</v>
      </c>
      <c r="K122" s="354"/>
    </row>
    <row r="123" spans="1:12" s="346" customFormat="1" ht="25.5">
      <c r="A123" s="340"/>
      <c r="B123" s="340"/>
      <c r="C123" s="341"/>
      <c r="D123" s="360" t="s">
        <v>458</v>
      </c>
      <c r="E123" s="351">
        <f>ROUND('[27]部分费用明细（水电植物耗材茶歇）'!C146+'[27]部分费用明细（水电植物耗材茶歇）'!D146,-1)</f>
        <v>26330</v>
      </c>
      <c r="F123" s="344">
        <f>$E123*3</f>
        <v>78990</v>
      </c>
      <c r="G123" s="344">
        <f>$E123*3</f>
        <v>78990</v>
      </c>
      <c r="H123" s="344">
        <f>$E123*3</f>
        <v>78990</v>
      </c>
      <c r="I123" s="344">
        <f>$E123*3</f>
        <v>78990</v>
      </c>
      <c r="J123" s="344">
        <f t="shared" ref="J123:J128" si="67">SUM(F123:I123)</f>
        <v>315960</v>
      </c>
      <c r="K123" s="350" t="s">
        <v>459</v>
      </c>
    </row>
    <row r="124" spans="1:12" s="346" customFormat="1" ht="25.5">
      <c r="A124" s="340"/>
      <c r="B124" s="340"/>
      <c r="C124" s="341"/>
      <c r="D124" s="361" t="s">
        <v>460</v>
      </c>
      <c r="E124" s="351">
        <f>ROUND('[27]部分费用明细（水电植物耗材茶歇）'!F146+'[27]部分费用明细（水电植物耗材茶歇）'!G146,-2)</f>
        <v>3500</v>
      </c>
      <c r="F124" s="344">
        <f>$E124*3</f>
        <v>10500</v>
      </c>
      <c r="G124" s="344">
        <f t="shared" ref="G124:I128" si="68">$E124*3</f>
        <v>10500</v>
      </c>
      <c r="H124" s="344">
        <f t="shared" si="68"/>
        <v>10500</v>
      </c>
      <c r="I124" s="344">
        <f t="shared" si="68"/>
        <v>10500</v>
      </c>
      <c r="J124" s="344">
        <f t="shared" si="67"/>
        <v>42000</v>
      </c>
      <c r="K124" s="350" t="s">
        <v>461</v>
      </c>
    </row>
    <row r="125" spans="1:12" s="346" customFormat="1" ht="25.5">
      <c r="A125" s="340"/>
      <c r="B125" s="340"/>
      <c r="C125" s="341"/>
      <c r="D125" s="361" t="s">
        <v>462</v>
      </c>
      <c r="E125" s="351">
        <f>ROUND('[27]部分费用明细（水电植物耗材茶歇）'!H146+'[27]部分费用明细（水电植物耗材茶歇）'!I146,-1)</f>
        <v>9490</v>
      </c>
      <c r="F125" s="344">
        <f>$E125*3</f>
        <v>28470</v>
      </c>
      <c r="G125" s="344">
        <f t="shared" si="68"/>
        <v>28470</v>
      </c>
      <c r="H125" s="344">
        <f t="shared" si="68"/>
        <v>28470</v>
      </c>
      <c r="I125" s="344">
        <f t="shared" si="68"/>
        <v>28470</v>
      </c>
      <c r="J125" s="344">
        <f t="shared" si="67"/>
        <v>113880</v>
      </c>
      <c r="K125" s="350" t="s">
        <v>463</v>
      </c>
    </row>
    <row r="126" spans="1:12" s="346" customFormat="1" outlineLevel="1">
      <c r="A126" s="340"/>
      <c r="C126" s="341"/>
      <c r="D126" s="441" t="s">
        <v>464</v>
      </c>
      <c r="E126" s="439">
        <f>1425/413*176*1</f>
        <v>607.2639225181598</v>
      </c>
      <c r="F126" s="439"/>
      <c r="G126" s="439">
        <f>$E$126*2</f>
        <v>1214.5278450363196</v>
      </c>
      <c r="H126" s="439">
        <f t="shared" ref="H126:I126" si="69">$E$126*3</f>
        <v>1821.7917675544795</v>
      </c>
      <c r="I126" s="439">
        <f t="shared" si="69"/>
        <v>1821.7917675544795</v>
      </c>
      <c r="J126" s="439">
        <f t="shared" si="67"/>
        <v>4858.1113801452784</v>
      </c>
      <c r="K126" s="440" t="s">
        <v>453</v>
      </c>
      <c r="L126" s="438"/>
    </row>
    <row r="127" spans="1:12" s="346" customFormat="1">
      <c r="A127" s="340"/>
      <c r="B127" s="340"/>
      <c r="C127" s="341"/>
      <c r="D127" s="361" t="s">
        <v>465</v>
      </c>
      <c r="E127" s="351">
        <f>E128/413*350</f>
        <v>3127.1186440677966</v>
      </c>
      <c r="F127" s="344">
        <f>$E127*3</f>
        <v>9381.3559322033907</v>
      </c>
      <c r="G127" s="344">
        <f t="shared" si="68"/>
        <v>9381.3559322033907</v>
      </c>
      <c r="H127" s="344">
        <f t="shared" si="68"/>
        <v>9381.3559322033907</v>
      </c>
      <c r="I127" s="344">
        <f t="shared" si="68"/>
        <v>9381.3559322033907</v>
      </c>
      <c r="J127" s="344">
        <f t="shared" si="67"/>
        <v>37525.423728813563</v>
      </c>
      <c r="K127" s="350" t="s">
        <v>466</v>
      </c>
    </row>
    <row r="128" spans="1:12" s="346" customFormat="1" ht="25.5">
      <c r="A128" s="340"/>
      <c r="B128" s="340"/>
      <c r="C128" s="341"/>
      <c r="D128" s="361" t="s">
        <v>467</v>
      </c>
      <c r="E128" s="351">
        <f>ROUND('[27]部分费用明细（水电植物耗材茶歇）'!J146+'[27]部分费用明细（水电植物耗材茶歇）'!K146,-1)</f>
        <v>3690</v>
      </c>
      <c r="F128" s="344">
        <f>$E128*3</f>
        <v>11070</v>
      </c>
      <c r="G128" s="344">
        <f t="shared" si="68"/>
        <v>11070</v>
      </c>
      <c r="H128" s="344">
        <f t="shared" si="68"/>
        <v>11070</v>
      </c>
      <c r="I128" s="344">
        <f t="shared" si="68"/>
        <v>11070</v>
      </c>
      <c r="J128" s="344">
        <f t="shared" si="67"/>
        <v>44280</v>
      </c>
      <c r="K128" s="350" t="s">
        <v>468</v>
      </c>
    </row>
    <row r="129" spans="1:12" s="346" customFormat="1">
      <c r="A129" s="369" t="s">
        <v>304</v>
      </c>
      <c r="B129" s="340"/>
      <c r="C129" s="341"/>
      <c r="D129" s="363" t="s">
        <v>128</v>
      </c>
      <c r="E129" s="358">
        <f>E130+E131+E132+E135</f>
        <v>4324.5111111111109</v>
      </c>
      <c r="F129" s="397">
        <f>SUM(F130:F135)</f>
        <v>12981</v>
      </c>
      <c r="G129" s="397">
        <f>SUM(G130:G135)</f>
        <v>12981</v>
      </c>
      <c r="H129" s="397">
        <f>SUM(H130:H135)</f>
        <v>12981</v>
      </c>
      <c r="I129" s="397">
        <f>SUM(I130:I135)</f>
        <v>12981</v>
      </c>
      <c r="J129" s="398">
        <f>SUM(J130:J135)</f>
        <v>51924</v>
      </c>
      <c r="K129" s="371"/>
    </row>
    <row r="130" spans="1:12" s="346" customFormat="1" ht="25.5">
      <c r="A130" s="340"/>
      <c r="B130" s="340"/>
      <c r="C130" s="341"/>
      <c r="D130" s="360" t="s">
        <v>469</v>
      </c>
      <c r="E130" s="351">
        <f>'[27]部分费用明细（水电植物耗材茶歇）'!F108</f>
        <v>2820.3333333333335</v>
      </c>
      <c r="F130" s="344">
        <f>$E130*3</f>
        <v>8461</v>
      </c>
      <c r="G130" s="344">
        <f>$E130*3</f>
        <v>8461</v>
      </c>
      <c r="H130" s="344">
        <f>$E130*3</f>
        <v>8461</v>
      </c>
      <c r="I130" s="344">
        <f>$E130*3</f>
        <v>8461</v>
      </c>
      <c r="J130" s="344">
        <f>SUM(F130:I130)</f>
        <v>33844</v>
      </c>
      <c r="K130" s="380" t="s">
        <v>470</v>
      </c>
    </row>
    <row r="131" spans="1:12" s="346" customFormat="1">
      <c r="A131" s="340"/>
      <c r="B131" s="340"/>
      <c r="C131" s="341"/>
      <c r="D131" s="361" t="s">
        <v>471</v>
      </c>
      <c r="E131" s="351">
        <f>'[27]部分费用明细（水电植物耗材茶歇）'!F108/7.5</f>
        <v>376.04444444444448</v>
      </c>
      <c r="F131" s="344">
        <f>ROUND($E131*3,-1)</f>
        <v>1130</v>
      </c>
      <c r="G131" s="344">
        <f>ROUND($E131*3,-1)</f>
        <v>1130</v>
      </c>
      <c r="H131" s="344">
        <f>ROUND($E131*3,-1)</f>
        <v>1130</v>
      </c>
      <c r="I131" s="344">
        <f>ROUND($E131*3,-1)</f>
        <v>1130</v>
      </c>
      <c r="J131" s="344">
        <f t="shared" ref="J131:J135" si="70">SUM(F131:I131)</f>
        <v>4520</v>
      </c>
      <c r="K131" s="371" t="s">
        <v>472</v>
      </c>
    </row>
    <row r="132" spans="1:12" s="346" customFormat="1">
      <c r="A132" s="340"/>
      <c r="B132" s="340"/>
      <c r="C132" s="341"/>
      <c r="D132" s="361" t="s">
        <v>473</v>
      </c>
      <c r="E132" s="351">
        <f>'[27]部分费用明细（水电植物耗材茶歇）'!F108/7.5*2</f>
        <v>752.08888888888896</v>
      </c>
      <c r="F132" s="344">
        <f t="shared" ref="F132:I135" si="71">ROUND($E132*3,-1)</f>
        <v>2260</v>
      </c>
      <c r="G132" s="344">
        <f t="shared" si="71"/>
        <v>2260</v>
      </c>
      <c r="H132" s="344">
        <f t="shared" si="71"/>
        <v>2260</v>
      </c>
      <c r="I132" s="344">
        <f t="shared" si="71"/>
        <v>2260</v>
      </c>
      <c r="J132" s="344">
        <f t="shared" si="70"/>
        <v>9040</v>
      </c>
      <c r="K132" s="371" t="s">
        <v>472</v>
      </c>
    </row>
    <row r="133" spans="1:12" s="346" customFormat="1" outlineLevel="1">
      <c r="A133" s="340"/>
      <c r="B133" s="340"/>
      <c r="C133" s="341"/>
      <c r="D133" s="441" t="s">
        <v>474</v>
      </c>
      <c r="E133" s="437"/>
      <c r="F133" s="443">
        <f t="shared" si="71"/>
        <v>0</v>
      </c>
      <c r="G133" s="443">
        <f t="shared" si="71"/>
        <v>0</v>
      </c>
      <c r="H133" s="443">
        <f t="shared" si="71"/>
        <v>0</v>
      </c>
      <c r="I133" s="443">
        <f t="shared" si="71"/>
        <v>0</v>
      </c>
      <c r="J133" s="439">
        <f t="shared" si="70"/>
        <v>0</v>
      </c>
      <c r="K133" s="440" t="s">
        <v>475</v>
      </c>
      <c r="L133" s="438"/>
    </row>
    <row r="134" spans="1:12" s="346" customFormat="1">
      <c r="A134" s="340"/>
      <c r="B134" s="340"/>
      <c r="C134" s="341"/>
      <c r="D134" s="361" t="s">
        <v>476</v>
      </c>
      <c r="E134" s="351"/>
      <c r="F134" s="344">
        <f t="shared" si="71"/>
        <v>0</v>
      </c>
      <c r="G134" s="344">
        <f t="shared" si="71"/>
        <v>0</v>
      </c>
      <c r="H134" s="344">
        <f t="shared" si="71"/>
        <v>0</v>
      </c>
      <c r="I134" s="344">
        <f t="shared" si="71"/>
        <v>0</v>
      </c>
      <c r="J134" s="344">
        <f t="shared" si="70"/>
        <v>0</v>
      </c>
      <c r="K134" s="371" t="s">
        <v>477</v>
      </c>
    </row>
    <row r="135" spans="1:12" s="346" customFormat="1">
      <c r="A135" s="340"/>
      <c r="B135" s="340"/>
      <c r="C135" s="341"/>
      <c r="D135" s="361" t="s">
        <v>478</v>
      </c>
      <c r="E135" s="351">
        <f>'[27]部分费用明细（水电植物耗材茶歇）'!F108/7.5</f>
        <v>376.04444444444448</v>
      </c>
      <c r="F135" s="344">
        <f t="shared" si="71"/>
        <v>1130</v>
      </c>
      <c r="G135" s="344">
        <f t="shared" si="71"/>
        <v>1130</v>
      </c>
      <c r="H135" s="344">
        <f t="shared" si="71"/>
        <v>1130</v>
      </c>
      <c r="I135" s="344">
        <f t="shared" si="71"/>
        <v>1130</v>
      </c>
      <c r="J135" s="344">
        <f t="shared" si="70"/>
        <v>4520</v>
      </c>
      <c r="K135" s="371" t="s">
        <v>479</v>
      </c>
    </row>
    <row r="136" spans="1:12" ht="15">
      <c r="A136" s="2"/>
      <c r="B136" s="2"/>
      <c r="C136" s="39"/>
      <c r="D136" s="12"/>
      <c r="E136" s="38"/>
      <c r="F136" s="52">
        <f>F109+F115+F122+F129</f>
        <v>342012.35593220335</v>
      </c>
      <c r="G136" s="52">
        <f t="shared" ref="G136:I136" si="72">G109+G115+G122+G129</f>
        <v>357630.37046004843</v>
      </c>
      <c r="H136" s="52">
        <f t="shared" si="72"/>
        <v>365439.37772397092</v>
      </c>
      <c r="I136" s="52">
        <f t="shared" si="72"/>
        <v>365439.37772397092</v>
      </c>
      <c r="J136" s="52">
        <f>J109+J115+J122+J129</f>
        <v>1430521.4818401937</v>
      </c>
      <c r="K136" s="453">
        <f>J136-J113-J119-J126-J133</f>
        <v>1368049.4237288137</v>
      </c>
    </row>
    <row r="137" spans="1:12" s="405" customFormat="1">
      <c r="A137" s="399" t="s">
        <v>23</v>
      </c>
      <c r="B137" s="399"/>
      <c r="C137" s="400" t="s">
        <v>480</v>
      </c>
      <c r="D137" s="401" t="s">
        <v>481</v>
      </c>
      <c r="E137" s="402"/>
      <c r="F137" s="336">
        <f>'[27]2012年装饰门禁电视空调维护'!G49+'[27]2012年装饰门禁电视空调维护'!G50</f>
        <v>0</v>
      </c>
      <c r="G137" s="336">
        <f>'[27]2012年装饰门禁电视空调维护'!H49+'[27]2012年装饰门禁电视空调维护'!H50</f>
        <v>0</v>
      </c>
      <c r="H137" s="336">
        <f>'[27]2012年装饰门禁电视空调维护'!I49+'[27]2012年装饰门禁电视空调维护'!I50</f>
        <v>241149</v>
      </c>
      <c r="I137" s="336">
        <f>'[27]2012年装饰门禁电视空调维护'!J49+'[27]2012年装饰门禁电视空调维护'!J50</f>
        <v>0</v>
      </c>
      <c r="J137" s="403">
        <f>SUM(F137:I137)</f>
        <v>241149</v>
      </c>
      <c r="K137" s="404" t="s">
        <v>482</v>
      </c>
    </row>
    <row r="138" spans="1:12" s="405" customFormat="1">
      <c r="C138" s="400"/>
      <c r="D138" s="401" t="s">
        <v>483</v>
      </c>
      <c r="E138" s="406"/>
      <c r="F138" s="407">
        <f>'[27]2012年装饰门禁电视空调维护'!G5+'[27]2012年装饰门禁电视空调维护'!G8+'[27]2012年装饰门禁电视空调维护'!G10+'[27]2012年装饰门禁电视空调维护'!G12+'[27]2012年装饰门禁电视空调维护'!G14</f>
        <v>269229.03076923074</v>
      </c>
      <c r="G138" s="407">
        <f>'[27]2012年装饰门禁电视空调维护'!H5+'[27]2012年装饰门禁电视空调维护'!H8+'[27]2012年装饰门禁电视空调维护'!H12+'[27]2012年装饰门禁电视空调维护'!H14+'[27]2012年装饰门禁电视空调维护'!H10</f>
        <v>269229.0307692308</v>
      </c>
      <c r="H138" s="407">
        <f>'[27]2012年装饰门禁电视空调维护'!I5+'[27]2012年装饰门禁电视空调维护'!I8+'[27]2012年装饰门禁电视空调维护'!I10+'[27]2012年装饰门禁电视空调维护'!I12+'[27]2012年装饰门禁电视空调维护'!I14</f>
        <v>275469.03076923074</v>
      </c>
      <c r="I138" s="407">
        <f>'[27]2012年装饰门禁电视空调维护'!J5+'[27]2012年装饰门禁电视空调维护'!J8+'[27]2012年装饰门禁电视空调维护'!J10+'[27]2012年装饰门禁电视空调维护'!J12+'[27]2012年装饰门禁电视空调维护'!J14</f>
        <v>275469.03076923074</v>
      </c>
      <c r="J138" s="403">
        <f>SUM(F138:I138)</f>
        <v>1089396.1230769232</v>
      </c>
      <c r="K138" s="404" t="s">
        <v>484</v>
      </c>
    </row>
    <row r="139" spans="1:12" s="405" customFormat="1">
      <c r="C139" s="400"/>
      <c r="D139" s="401" t="s">
        <v>485</v>
      </c>
      <c r="E139" s="406"/>
      <c r="F139" s="407">
        <f>'[27]2012年装饰门禁电视空调维护'!G18+'[27]2012年装饰门禁电视空调维护'!G20+'[27]2012年装饰门禁电视空调维护'!G21+'[27]2012年装饰门禁电视空调维护'!G23+'[27]2012年装饰门禁电视空调维护'!G26+'[27]2012年装饰门禁电视空调维护'!G29+'[27]2012年装饰门禁电视空调维护'!G31+'[27]2012年装饰门禁电视空调维护'!G32+'[27]2012年装饰门禁电视空调维护'!G34+'[27]2012年装饰门禁电视空调维护'!G37+'[27]2012年装饰门禁电视空调维护'!G39+'[27]2012年装饰门禁电视空调维护'!G40+'[27]2012年装饰门禁电视空调维护'!G42+'[27]2012年装饰门禁电视空调维护'!G45+'[27]2012年装饰门禁电视空调维护'!G47</f>
        <v>96910</v>
      </c>
      <c r="G139" s="407">
        <f>'[27]2012年装饰门禁电视空调维护'!H18+'[27]2012年装饰门禁电视空调维护'!H20+'[27]2012年装饰门禁电视空调维护'!H21+'[27]2012年装饰门禁电视空调维护'!H23+'[27]2012年装饰门禁电视空调维护'!H26+'[27]2012年装饰门禁电视空调维护'!H29+'[27]2012年装饰门禁电视空调维护'!H31+'[27]2012年装饰门禁电视空调维护'!H32+'[27]2012年装饰门禁电视空调维护'!H34+'[27]2012年装饰门禁电视空调维护'!H37+'[27]2012年装饰门禁电视空调维护'!H39+'[27]2012年装饰门禁电视空调维护'!H40+'[27]2012年装饰门禁电视空调维护'!H42+'[27]2012年装饰门禁电视空调维护'!H45+'[27]2012年装饰门禁电视空调维护'!H47</f>
        <v>369672</v>
      </c>
      <c r="H139" s="407">
        <f>'[27]2012年装饰门禁电视空调维护'!I18+'[27]2012年装饰门禁电视空调维护'!I20+'[27]2012年装饰门禁电视空调维护'!I21+'[27]2012年装饰门禁电视空调维护'!I23+'[27]2012年装饰门禁电视空调维护'!I26+'[27]2012年装饰门禁电视空调维护'!I29+'[27]2012年装饰门禁电视空调维护'!I31+'[27]2012年装饰门禁电视空调维护'!I32+'[27]2012年装饰门禁电视空调维护'!I34+'[27]2012年装饰门禁电视空调维护'!I37+'[27]2012年装饰门禁电视空调维护'!I39+'[27]2012年装饰门禁电视空调维护'!I40+'[27]2012年装饰门禁电视空调维护'!I42+'[27]2012年装饰门禁电视空调维护'!I45+'[27]2012年装饰门禁电视空调维护'!I47</f>
        <v>103210</v>
      </c>
      <c r="I139" s="407">
        <f>'[27]2012年装饰门禁电视空调维护'!J18+'[27]2012年装饰门禁电视空调维护'!J20+'[27]2012年装饰门禁电视空调维护'!J21+'[27]2012年装饰门禁电视空调维护'!J23+'[27]2012年装饰门禁电视空调维护'!J26+'[27]2012年装饰门禁电视空调维护'!J29+'[27]2012年装饰门禁电视空调维护'!J31+'[27]2012年装饰门禁电视空调维护'!J32+'[27]2012年装饰门禁电视空调维护'!J34+'[27]2012年装饰门禁电视空调维护'!J37+'[27]2012年装饰门禁电视空调维护'!J39+'[27]2012年装饰门禁电视空调维护'!J40+'[27]2012年装饰门禁电视空调维护'!J42+'[27]2012年装饰门禁电视空调维护'!J45+'[27]2012年装饰门禁电视空调维护'!J47</f>
        <v>205577</v>
      </c>
      <c r="J139" s="403">
        <f>SUM(F139:I139)</f>
        <v>775369</v>
      </c>
      <c r="K139" s="404"/>
    </row>
    <row r="140" spans="1:12" ht="15">
      <c r="A140" s="2"/>
      <c r="B140" s="2"/>
      <c r="C140" s="39"/>
      <c r="D140" s="12"/>
      <c r="E140" s="15"/>
      <c r="F140" s="52">
        <f>SUBTOTAL(9,F137:F139)</f>
        <v>366139.03076923074</v>
      </c>
      <c r="G140" s="52">
        <f t="shared" ref="G140:J140" si="73">SUBTOTAL(9,G137:G139)</f>
        <v>638901.0307692308</v>
      </c>
      <c r="H140" s="52">
        <f t="shared" si="73"/>
        <v>619828.0307692308</v>
      </c>
      <c r="I140" s="52">
        <f t="shared" si="73"/>
        <v>481046.03076923074</v>
      </c>
      <c r="J140" s="52">
        <f t="shared" si="73"/>
        <v>2105914.1230769232</v>
      </c>
    </row>
    <row r="141" spans="1:12" s="411" customFormat="1">
      <c r="A141" s="408" t="s">
        <v>24</v>
      </c>
      <c r="B141" s="408"/>
      <c r="C141" s="409" t="s">
        <v>486</v>
      </c>
      <c r="D141" s="385" t="s">
        <v>487</v>
      </c>
      <c r="E141" s="410"/>
      <c r="F141" s="333">
        <f>ROUND('[27]2012年财产保险'!F22/4,0)</f>
        <v>100961</v>
      </c>
      <c r="G141" s="333">
        <f>F141</f>
        <v>100961</v>
      </c>
      <c r="H141" s="333">
        <f t="shared" ref="H141:I141" si="74">G141</f>
        <v>100961</v>
      </c>
      <c r="I141" s="333">
        <f t="shared" si="74"/>
        <v>100961</v>
      </c>
      <c r="J141" s="334">
        <f>SUM(F141:I141)</f>
        <v>403844</v>
      </c>
      <c r="K141" s="330" t="s">
        <v>488</v>
      </c>
    </row>
    <row r="142" spans="1:12" s="411" customFormat="1" ht="15">
      <c r="A142" s="412"/>
      <c r="B142" s="412"/>
      <c r="C142" s="409"/>
      <c r="D142" s="385"/>
      <c r="E142" s="410"/>
      <c r="F142" s="335">
        <f>SUBTOTAL(9,F141:F141)</f>
        <v>100961</v>
      </c>
      <c r="G142" s="335">
        <f>SUBTOTAL(9,G141:G141)</f>
        <v>100961</v>
      </c>
      <c r="H142" s="335">
        <f>SUBTOTAL(9,H141:H141)</f>
        <v>100961</v>
      </c>
      <c r="I142" s="335">
        <f>SUBTOTAL(9,I141:I141)</f>
        <v>100961</v>
      </c>
      <c r="J142" s="335">
        <f>SUBTOTAL(9,J141:J141)</f>
        <v>403844</v>
      </c>
      <c r="K142" s="331" t="s">
        <v>260</v>
      </c>
    </row>
    <row r="143" spans="1:12" s="411" customFormat="1">
      <c r="A143" s="408" t="s">
        <v>24</v>
      </c>
      <c r="B143" s="408"/>
      <c r="C143" s="409" t="s">
        <v>8</v>
      </c>
      <c r="D143" s="413" t="s">
        <v>133</v>
      </c>
      <c r="E143" s="410"/>
      <c r="F143" s="334">
        <f>'[27]2012年Capex明细'!E17</f>
        <v>5562802.4000000004</v>
      </c>
      <c r="G143" s="334">
        <f>'[27]2012年Capex明细'!G17</f>
        <v>5912492.4000000004</v>
      </c>
      <c r="H143" s="334">
        <f>'[27]2012年Capex明细'!I17</f>
        <v>5735222.4000000004</v>
      </c>
      <c r="I143" s="334">
        <f>'[27]2012年Capex明细'!K17</f>
        <v>5327222.4000000004</v>
      </c>
      <c r="J143" s="334">
        <f>SUM(F143:I143)</f>
        <v>22537739.600000001</v>
      </c>
      <c r="K143" s="330" t="s">
        <v>489</v>
      </c>
    </row>
    <row r="144" spans="1:12" s="411" customFormat="1" ht="14.25">
      <c r="A144" s="408"/>
      <c r="B144" s="408"/>
      <c r="C144" s="400"/>
      <c r="D144" s="401" t="s">
        <v>134</v>
      </c>
      <c r="E144" s="402"/>
      <c r="F144" s="336">
        <f>'[27]2012年Capex明细'!E21</f>
        <v>3750467.96</v>
      </c>
      <c r="G144" s="336">
        <f>'[27]2012年Capex明细'!G21</f>
        <v>3228000</v>
      </c>
      <c r="H144" s="336"/>
      <c r="I144" s="336"/>
      <c r="J144" s="336">
        <f>SUM(F144:I144)</f>
        <v>6978467.96</v>
      </c>
      <c r="K144" s="332" t="s">
        <v>490</v>
      </c>
    </row>
    <row r="145" spans="1:13" s="411" customFormat="1">
      <c r="A145" s="408" t="s">
        <v>23</v>
      </c>
      <c r="B145" s="412"/>
      <c r="C145" s="409"/>
      <c r="D145" s="385" t="s">
        <v>135</v>
      </c>
      <c r="E145" s="410"/>
      <c r="F145" s="334">
        <f>'[27]2012年Capex明细'!E19+'[27]2012年Capex明细'!E20+'[27]2012年Capex明细'!E22</f>
        <v>1078834</v>
      </c>
      <c r="G145" s="334">
        <f>'[27]2012年Capex明细'!G19+'[27]2012年Capex明细'!G20+'[27]2012年Capex明细'!G22</f>
        <v>614330</v>
      </c>
      <c r="H145" s="334">
        <f>'[27]2012年Capex明细'!G19+'[27]2012年Capex明细'!G20</f>
        <v>58000</v>
      </c>
      <c r="I145" s="334">
        <f>'[27]2012年Capex明细'!I19+'[27]2012年Capex明细'!I20</f>
        <v>40000</v>
      </c>
      <c r="J145" s="334">
        <f>SUM(F145:I145)</f>
        <v>1791164</v>
      </c>
      <c r="K145" s="330" t="s">
        <v>491</v>
      </c>
    </row>
    <row r="146" spans="1:13" ht="15">
      <c r="A146" s="2"/>
      <c r="B146" s="2"/>
      <c r="C146" s="39"/>
      <c r="D146" s="37"/>
      <c r="E146" s="15"/>
      <c r="F146" s="50">
        <f>SUBTOTAL(9,F143:F145)</f>
        <v>10392104.359999999</v>
      </c>
      <c r="G146" s="50">
        <f>SUBTOTAL(9,G143:G145)</f>
        <v>9754822.4000000004</v>
      </c>
      <c r="H146" s="50">
        <f t="shared" ref="H146:J146" si="75">SUBTOTAL(9,H143:H145)</f>
        <v>5793222.4000000004</v>
      </c>
      <c r="I146" s="50">
        <f t="shared" si="75"/>
        <v>5367222.4000000004</v>
      </c>
      <c r="J146" s="50">
        <f t="shared" si="75"/>
        <v>31307371.560000002</v>
      </c>
      <c r="K146" s="337"/>
    </row>
    <row r="147" spans="1:13" s="420" customFormat="1">
      <c r="A147" s="414" t="s">
        <v>492</v>
      </c>
      <c r="B147" s="414"/>
      <c r="C147" s="415" t="s">
        <v>136</v>
      </c>
      <c r="D147" s="416" t="s">
        <v>137</v>
      </c>
      <c r="E147" s="417"/>
      <c r="F147" s="418">
        <v>38152</v>
      </c>
      <c r="G147" s="418">
        <v>54739</v>
      </c>
      <c r="H147" s="418">
        <v>63308</v>
      </c>
      <c r="I147" s="418">
        <v>29727</v>
      </c>
      <c r="J147" s="418">
        <f>SUM(F147:I147)</f>
        <v>185926</v>
      </c>
      <c r="K147" s="419" t="s">
        <v>493</v>
      </c>
      <c r="L147" s="419" t="s">
        <v>494</v>
      </c>
    </row>
    <row r="148" spans="1:13" s="420" customFormat="1">
      <c r="A148" s="414"/>
      <c r="B148" s="414"/>
      <c r="C148" s="415"/>
      <c r="D148" s="416" t="s">
        <v>495</v>
      </c>
      <c r="E148" s="417">
        <f>'[27]2012年公司车险及ES车辆养护'!N23</f>
        <v>5908.333333333333</v>
      </c>
      <c r="F148" s="418">
        <f>$E148*3</f>
        <v>17725</v>
      </c>
      <c r="G148" s="418">
        <f t="shared" ref="G148:I148" si="76">$E148*3</f>
        <v>17725</v>
      </c>
      <c r="H148" s="418">
        <f t="shared" si="76"/>
        <v>17725</v>
      </c>
      <c r="I148" s="418">
        <f t="shared" si="76"/>
        <v>17725</v>
      </c>
      <c r="J148" s="418">
        <f>SUM(F148:I148)</f>
        <v>70900</v>
      </c>
      <c r="K148" s="419" t="s">
        <v>210</v>
      </c>
      <c r="L148" s="419" t="s">
        <v>261</v>
      </c>
    </row>
    <row r="149" spans="1:13" ht="15">
      <c r="A149" s="1"/>
      <c r="B149" s="1"/>
      <c r="C149" s="39"/>
      <c r="D149" s="12"/>
      <c r="E149" s="15"/>
      <c r="F149" s="59">
        <f>SUM(F147:F148)</f>
        <v>55877</v>
      </c>
      <c r="G149" s="59">
        <f>SUM(G147:G148)</f>
        <v>72464</v>
      </c>
      <c r="H149" s="59">
        <f>SUM(H147:H148)</f>
        <v>81033</v>
      </c>
      <c r="I149" s="59">
        <f>SUM(I147:I148)</f>
        <v>47452</v>
      </c>
      <c r="J149" s="59">
        <f>SUM(J147:J148)</f>
        <v>256826</v>
      </c>
      <c r="L149" s="338"/>
    </row>
    <row r="150" spans="1:13" s="70" customFormat="1">
      <c r="A150" s="64"/>
      <c r="B150" s="64"/>
      <c r="C150" s="39"/>
      <c r="D150" s="66" t="s">
        <v>496</v>
      </c>
      <c r="E150" s="67"/>
      <c r="F150" s="68">
        <f>F21+F30+F38+F46+F53+F61+F77+F84+F87+F98+F108+F136+F140+F142+F146+F149</f>
        <v>24838906.759421773</v>
      </c>
      <c r="G150" s="68">
        <f>G21+G30+G38+G46+G53+G61+G77+G84+G87+G98+G108+G136+G140+G142+G146+G149</f>
        <v>26383281.9359417</v>
      </c>
      <c r="H150" s="68">
        <f>H21+H30+H38+H46+H53+H61+H77+H84+H87+H98+H108+H136+H140+H142+H146+H149</f>
        <v>22622206.615739629</v>
      </c>
      <c r="I150" s="68">
        <f>I21+I30+I38+I46+I53+I61+I77+I84+I87+I98+I108+I136+I140+I142+I146+I149</f>
        <v>22542079.455739632</v>
      </c>
      <c r="J150" s="68">
        <f>J21+J30+J38+J46+J53+J61+J77+J84+J87+J98+J108+J136+J140+J142+J146+J149</f>
        <v>96386474.766842723</v>
      </c>
      <c r="K150" s="421"/>
      <c r="L150" s="67"/>
      <c r="M150" s="422"/>
    </row>
    <row r="151" spans="1:13" s="424" customFormat="1">
      <c r="A151" s="423"/>
      <c r="E151" s="425"/>
      <c r="F151" s="426"/>
      <c r="G151" s="426"/>
      <c r="H151" s="426"/>
      <c r="I151" s="426"/>
      <c r="J151" s="426"/>
      <c r="K151" s="427"/>
    </row>
    <row r="152" spans="1:13" outlineLevel="1">
      <c r="A152" s="1"/>
      <c r="B152" s="1"/>
      <c r="C152" s="11"/>
      <c r="D152" s="13"/>
      <c r="E152" s="15"/>
      <c r="J152" s="55"/>
      <c r="K152" s="428"/>
    </row>
    <row r="153" spans="1:13">
      <c r="A153" s="1" t="s">
        <v>497</v>
      </c>
      <c r="B153" s="1"/>
      <c r="C153" s="11" t="s">
        <v>498</v>
      </c>
      <c r="D153" s="12"/>
      <c r="E153" s="15"/>
      <c r="K153" s="429"/>
    </row>
    <row r="154" spans="1:13">
      <c r="A154" s="1"/>
      <c r="B154" s="1"/>
      <c r="C154" s="11" t="s">
        <v>499</v>
      </c>
      <c r="D154" s="12"/>
      <c r="E154" s="15"/>
    </row>
    <row r="155" spans="1:13">
      <c r="A155" s="1"/>
      <c r="B155" s="1"/>
      <c r="C155" s="11" t="s">
        <v>500</v>
      </c>
      <c r="D155" s="12"/>
      <c r="E155" s="15"/>
    </row>
    <row r="156" spans="1:13">
      <c r="A156" s="1"/>
      <c r="B156" s="1"/>
      <c r="C156" s="11" t="s">
        <v>501</v>
      </c>
      <c r="D156" s="12"/>
      <c r="E156" s="15"/>
    </row>
    <row r="157" spans="1:13">
      <c r="E157" s="15"/>
    </row>
    <row r="159" spans="1:13">
      <c r="D159" s="430" t="s">
        <v>502</v>
      </c>
      <c r="E159" s="4">
        <v>2028494</v>
      </c>
      <c r="F159" s="45">
        <f>J150-E159</f>
        <v>94357980.766842723</v>
      </c>
    </row>
    <row r="162" spans="3:3">
      <c r="C162" s="430"/>
    </row>
    <row r="163" spans="3:3">
      <c r="C163" s="430"/>
    </row>
    <row r="164" spans="3:3">
      <c r="C164" s="430"/>
    </row>
  </sheetData>
  <mergeCells count="1">
    <mergeCell ref="K28:K29"/>
  </mergeCells>
  <phoneticPr fontId="1" type="noConversion"/>
  <hyperlinks>
    <hyperlink ref="K141" location="'2012年财产保险'!F20" display="资产增长30%计算"/>
    <hyperlink ref="K143" location="'2012年Capex明细'!A1" display="祥见2012年Capex"/>
    <hyperlink ref="K6" location="物业房租车位费!K23" display="搜狐网络大厦3层。"/>
    <hyperlink ref="K31" location="'部分费用明细（水电植物耗材茶歇）'!E17" display="根据11年月均实际费用30.6万元，按照2012年HC增长率同比增长，即约30.6*157%=48万元"/>
    <hyperlink ref="K138" location="'2012年装饰门禁电视空调维护'!K16" display="参考2011年各项维护费用"/>
    <hyperlink ref="K137" location="'2012年装饰门禁电视空调维护'!K51" display="参考2011年各项维护费用"/>
    <hyperlink ref="K22" location="物业房租车位费!L50" display="现有车位69个，不再新增（其中20个100元/月，49个为510元/月）。另增加每月3000元作为公司活动机动不定量车位费"/>
    <hyperlink ref="K23" location="物业房租车位费!L51" display="现有车位71个，预增40个（300元/月）"/>
    <hyperlink ref="K78" location="阿姨工资奖金!L21" display="不计入ES费用，包括3、7-8、10-15层茶水间、收发室、华清嘉园、老板公寓阿姨费用。为规避用工风险，2012年计划改变用工形式，采用劳务外包方式。比2011年将会增加劳务服务费、未退休人员社保费。详见“阿姨工资奖金”。"/>
    <hyperlink ref="K85" location="班车费用!I9" display="预计因2012年燃油费、车位费上涨等因素，每辆车月费预计增涨1000元。即大车月费用为18000元，小车月费用上涨为12750元。2012年HC增长57%，预计增加大班车4辆、小班车2辆。"/>
    <hyperlink ref="K10" location="物业房租车位费!L41" display="租金中已包含物业管理费，费用同2011年"/>
    <hyperlink ref="K8" location="物业房租车位费!K39" display="搜狐网络大厦地下库房（含摄影棚）"/>
    <hyperlink ref="K9" location="物业房租车位费!G39" display="搜狐网络大厦地下库房（含摄影棚）"/>
    <hyperlink ref="K11" location="物业房租车位费!L42" display="费用同2011年"/>
    <hyperlink ref="K13" location="物业房租车位费!L44" display="费用同2011年"/>
    <hyperlink ref="K19:K20" location="'2011物业房租车位费'!L42" display="费用同2010年。"/>
    <hyperlink ref="K26" location="物业房租车位费!L54" display="现有车位20个，预增11个（500元/月）"/>
    <hyperlink ref="K39" location="'部分费用明细（水电植物耗材茶歇）'!E35" display="根据11年月均实际费用3.6万元，按照2012年HC增长率同比增长，即约3.6万元*157%=5.65万元"/>
    <hyperlink ref="K54" location="'部分费用明细（水电植物耗材茶歇）'!C52" display="根据11年月均实际费用2.02万元，预估2012年HC增长影响为57%，即约2.02*157%=3.17万元"/>
    <hyperlink ref="K89" location="'2010部分费用明细（水电植物耗材茶歇）'!B20" display="搜狐网络大厦3层、7-15层(不含8层258个工位、9层、10层71个工位)。根据11年月均实际费用30.6万元，预估2012年HC增长影响为57%，即约30.6*157%=48.1万元"/>
    <hyperlink ref="K79" location="阿姨工资奖金!L39" display="详见“阿姨工资奖金”。"/>
    <hyperlink ref="K80" location="阿姨工资奖金!L48" display="详见“阿姨工资奖金”。仅包括C座19层阿姨费用，C座20层阿姨属于保洁公司外派，费用包含在Office Cleaning里"/>
    <hyperlink ref="K83" location="阿姨工资奖金!L57" display="详见“阿姨工资奖金”"/>
    <hyperlink ref="K130" location="'部分费用明细（水电植物耗材茶歇）'!F107" display="根据11年月均实际费用1750元，按照2012年HC增长率同比增长，且随着家具老化，维修费预增20%，即1750元*157%*120%=3297元"/>
    <hyperlink ref="K102" location="'部分费用明细（水电植物耗材茶歇）'!K89" display="11年月均费用478元，考虑价格上涨因素，同时按照2012年HC增长率计算，月费用同比增长478*110%*157%=826元"/>
    <hyperlink ref="K103:K106" location="'部分费用明细（水电植物耗材茶歇）'!S89" display="11年月均费用536元，考虑价格上涨因素，同时按照2012年HC增长率计算，月费用同比增长536*110%*157%=926元"/>
    <hyperlink ref="K106" location="'部分费用明细（水电植物耗材茶歇）'!AA89" display="11年月均费用796元，考虑价格上涨因素，同时按照2012年HC增长率计算，月费用同比增长796*110%*157%=1375元"/>
    <hyperlink ref="K7" location="物业房租车位费!G23" display="3层、7-8、10-15层（不含9层、10层部分面积）"/>
    <hyperlink ref="K12" location="物业房租车位费!H42" display="融科物业通知：物业管理费计划从2012年1月起由现在的25元/m2/月上调至30元/m2/月"/>
    <hyperlink ref="K14" location="物业房租车位费!H44" display="融科物业通知：物业管理费计划从2012年1月起由现在的25元/m2/月上调至30元/m2/月。物业管理费中包括1500元/月的空调冷却水费"/>
    <hyperlink ref="K19" location="物业房租车位费!L45" display="费用同2011年"/>
    <hyperlink ref="K20" location="物业房租车位费!H45" display="费用同2011年"/>
    <hyperlink ref="K24" location="物业房租车位费!L52" display="现有车位7个，不再新增"/>
    <hyperlink ref="K25" location="物业房租车位费!L53" display="现有车位15个，不再新增"/>
    <hyperlink ref="K28" location="物业房租车位费!L56" display="现有车位16个(其中10个1000元/月，6个800元/月)，按照2012年HC增长率同比增长，即16*157%=25个(800元/月/个)"/>
    <hyperlink ref="K40" location="'部分费用明细（水电植物耗材茶歇）'!G35" display="华清嘉园11年月均费用510元，按照2012年HC增长率计算，月费用同比增长510*157%=800元。宿舍和公寓费用同2011年"/>
    <hyperlink ref="K41" location="'部分费用明细（水电植物耗材茶歇）'!I35" display="根据11年月均费用1700元，按照2012年HC增长率同比增长，即1700元*157%=2670元"/>
    <hyperlink ref="K42" location="'部分费用明细（水电植物耗材茶歇）'!K35" display="11年月均费用4900元，按照2012年HC增长率计算，月费用同比增长4900*157%=7700元"/>
    <hyperlink ref="K45" location="'部分费用明细（水电植物耗材茶歇）'!K35" display="按照融科C座19层费用估算"/>
    <hyperlink ref="K55" location="'部分费用明细（水电植物耗材茶歇）'!D52" display="根据11年月均费用336元，按照2012年HC增长率计算，月费用同比增长336*157%=530元。公寓费用同2011年"/>
    <hyperlink ref="K56" location="'部分费用明细（水电植物耗材茶歇）'!F52" display="11年月均费用1167元，按照2012年HC增长率计算，月费用同比增长1167*157%=1830元"/>
    <hyperlink ref="K57" location="'部分费用明细（水电植物耗材茶歇）'!G52" display="11年月均费用3100元，按照2012年HC增长率计算，月费用同比增长3100*157%=4900元"/>
    <hyperlink ref="K60" location="'部分费用明细（水电植物耗材茶歇）'!I52" display="11年9月入驻时费用3900元，考虑价格上涨因素，比2011年预增10%，即3900元*110%=4290元"/>
    <hyperlink ref="K63" location="保洁服务费!D9" display="包括3、7-8、10-15层日常保洁费、7层茶水间阿姨、10层洗杯间阿姨服务费，费用同2011年"/>
    <hyperlink ref="K64" location="保洁服务费!D31" display="费用同11年"/>
    <hyperlink ref="K65" location="保洁服务费!D38" display="费用同11年"/>
    <hyperlink ref="K66" location="保洁服务费!D49" display="包括融科C座19、20层日常保洁费、20层茶水间阿姨服务费，费用同11年"/>
    <hyperlink ref="K69" location="保洁服务费!D59" display="费用同11年"/>
    <hyperlink ref="K71" location="保洁服务费!D10" display="3、7-8、10-15层地毯清洗费"/>
    <hyperlink ref="K73" location="保洁服务费!D52" display="费用同2011年"/>
    <hyperlink ref="K72" location="保洁服务费!D39" display="详见“保洁服务费”"/>
    <hyperlink ref="K74" location="保洁服务费!D60" display="详见“保洁服务费”"/>
    <hyperlink ref="K90" location="'部分费用明细（水电植物耗材茶歇）'!D68" display="11年月均费用1955元，按照2012年HC增长率计算，月费用同比增长1955*157%=3100元"/>
    <hyperlink ref="K91" location="'部分费用明细（水电植物耗材茶歇）'!E68" display="11年月均费用4622元，按照2012年HC增长率计算，月费用同比增长4622*157%=7300元"/>
    <hyperlink ref="K94" location="'部分费用明细（水电植物耗材茶歇）'!F68" display="11年9月入驻时费用7218元，按照2012年HC增长率计算，月费用同比增长7218*157%=11300元"/>
    <hyperlink ref="K116" location="'部分费用明细（水电植物耗材茶歇）'!C126" display="11年月均费用7079元，按照2012年HC增长率计算，月费用同比增长7079*157%=11114元。根据搜狗财务意见，一体机费用暂不和搜狗分摊"/>
    <hyperlink ref="K117" location="'部分费用明细（水电植物耗材茶歇）'!D126" display="11年月均费用315元，按照2012年HC增长率计算，月费用同比增长315*157%=500元"/>
    <hyperlink ref="K118" location="'部分费用明细（水电植物耗材茶歇）'!E126" display="11年月均费用2345元，按照2012年HC增长率计算，月费用同比增长2345*157%=3700元"/>
    <hyperlink ref="K121" location="'部分费用明细（水电植物耗材茶歇）'!F126" display="根据融科C座19层费用估算，按照2012年HC增长率计算，月费用同比增长2820*157%=4400元"/>
    <hyperlink ref="K123" location="'部分费用明细（水电植物耗材茶歇）'!C145" display="包括各部门电脑、公共办公设备维修费用，公共设备费暂不和搜狗分摊。11年月均费用86337元，按照2012年HC增长率计算，月费用同比增长21063*157%=33068元"/>
    <hyperlink ref="K124" location="'部分费用明细（水电植物耗材茶歇）'!F145" display="包括各部门电脑、公共办公设备维修费用。11年月均电脑费用1276元，按照2012年HC增长率同比增长，即1276元*157%=2003元。公共设备维修费参照搜狐大厦单层月均费用结合HC增长率同比增长预估11470元/7.5层*157%=2401元"/>
    <hyperlink ref="K125" location="'部分费用明细（水电植物耗材茶歇）'!H145" display="包括各部门电脑、公共办公设备维修费用。11年月均电脑费用4535元，按照2012年HC增长率同比增长，即4535元*157%=7120元。公共设备维修费参照搜狐大厦单层月均费用结合HC增长率同比增长预估11470元/7.5层*2层*157%=4802元"/>
    <hyperlink ref="K128" location="'部分费用明细（水电植物耗材茶歇）'!J145" display="包括各部门电脑、公共办公设备维修费用。11年月均电脑费用1425元，按照2012年HC增长率同比增长，即1425元*157%=2237元。公共设备维修费参照搜狐大厦单层月均费用结合HC增长率同比增长预估11470元/7.5层*157%=2401元"/>
    <hyperlink ref="L147" location="'2012年公司车险及ES车辆养护'!J21" display="明细见2012公车保险及养护"/>
    <hyperlink ref="L148" location="'2012年公司车险及ES车辆养护'!A44" display="按照四个季度均分"/>
    <hyperlink ref="K147" location="'2012年公司车险及ES车辆养护'!J21" display="明细见2012公车保险及养护"/>
    <hyperlink ref="K99" location="'2010部分费用明细（水电植物耗材茶歇）'!E86" display="按照增长30%计算"/>
    <hyperlink ref="K145" location="'2012年Capex明细'!M17" display="计划年更换椅子160把，日常采购办公家具文件柜16个,班台2个"/>
    <hyperlink ref="K101" location="'部分费用明细（水电植物耗材茶歇）'!C89" display="11年月均费用5885元，考虑价格上涨因素，同时按照2012年HC增长率计算，月费用同比增长5885*110%*157%=10163元"/>
    <hyperlink ref="K32" location="'部分费用明细（水电植物耗材茶歇）'!H17" display="11年月均费用1500元，按照2012年HC增长率同比增长，即1500元*157%=2355元"/>
    <hyperlink ref="K33" location="'部分费用明细（水电植物耗材茶歇）'!K17" display="11年月均费用3000元，按照2012年HC增长率同比增长，即3000元*157%=4710元"/>
    <hyperlink ref="K34" location="'部分费用明细（水电植物耗材茶歇）'!N17" display="11年月均费用31428元，按照2012年HC增长率同比增长，即31428元*157%=49342元"/>
    <hyperlink ref="K37" location="'部分费用明细（水电植物耗材茶歇）'!T17" display="11年月均实际用电40000度，按照2012年用电量增长10%估算。同方电费按物业要求，2012年由现在的1.14元/度上调至1.17元/度，即40000元*110%*1.17元/度=51480元"/>
    <hyperlink ref="K17" location="物业房租车位费!L45" display="2012年3月1日起付租金"/>
    <hyperlink ref="K18" location="物业房租车位费!H45" display="2012年1月1日起付物业管理费，包括从3月1日起付的200个DID电话号码占号费"/>
    <hyperlink ref="K36" location="'部分费用明细（水电植物耗材茶歇）'!Q17" display="11年月均费用45600元，按照2012年HC增长率同比增长，即45600元*157%=71592元"/>
    <hyperlink ref="K44" location="'部分费用明细（水电植物耗材茶歇）'!M35" display="根据同方D座7层和融科C座的工位差额比例，按照融科C座费用的63%估算，即4900元*63%=3087元"/>
    <hyperlink ref="K48:K52" location="保安服务费!H14" display="考虑人工成本增加及公司活动支持加班因素，比2011年预增10%，即96140元/月"/>
    <hyperlink ref="K48" location="保安服务费!H27" display="Q1应供应商申请，服务费由原2200元/人/月上调至2975元/人/月，Q2起更换新保安公司，服务费按照4000元/人/月，58人估算"/>
    <hyperlink ref="K49" location="保安服务费!H39" display="Q1应供应商申请，服务费由原2200元/人/月上调至2975元/人/月，Q2起更换新保安公司，服务费按照4000元/人/月，58人估算"/>
    <hyperlink ref="K51" location="保安服务费!H52" display="按照同方D座8层费用估算"/>
    <hyperlink ref="K52" location="保安服务费!H65" display="Q1应供应商申请，服务费由原2200元/人/月上调至2975元/人/月，Q2起更换新保安公司，服务费按照4000元/人/月，58人估算"/>
    <hyperlink ref="K59" location="'部分费用明细（水电植物耗材茶歇）'!H52" display="按照同方D座8层费用估算"/>
    <hyperlink ref="K68" location="保洁服务费!D59" display="费用同11年"/>
    <hyperlink ref="K82" location="阿姨工资奖金!L57" display="详见“阿姨工资奖金”"/>
    <hyperlink ref="K120" location="'部分费用明细（水电植物耗材茶歇）'!F126" display="根据融科C座19层费用估算，按照2012年HC增长率计算，月费用同比增长2820*157%=4400元"/>
    <hyperlink ref="K127" location="'部分费用明细（水电植物耗材茶歇）'!J145" display="包括各部门电脑、公共办公设备维修费用。11年月均电脑费用1425元，按照2012年HC增长率同比增长，即1425元*157%=2237元。公共设备维修费参照搜狐大厦单层月均费用结合HC增长率同比增长预估11470元/7.5层*157%=2401元"/>
    <hyperlink ref="K105" location="'部分费用明细（水电植物耗材茶歇）'!AA89" display="11年月均费用796元，考虑价格上涨因素，同时按照2012年HC增长率计算，月费用同比增长796*110%*157%=1375元"/>
    <hyperlink ref="K93" location="'部分费用明细（水电植物耗材茶歇）'!F68" display="11年9月入驻时费用7218元，按照2012年HC增长率计算，月费用同比增长7218*157%=11300元"/>
    <hyperlink ref="K47" location="保安服务费!H14" display="Q1应供应商申请，服务费由原2200元/人/月上调至2975元/人/月，Q2起更换新保安公司，服务费按照4000元/人/月，58人估算"/>
    <hyperlink ref="K144" location="'2012年Capex明细'!A1" display="详见Capex"/>
  </hyperlinks>
  <printOptions horizontalCentered="1"/>
  <pageMargins left="0.23622047244094491" right="0.23622047244094491" top="0.39370078740157483" bottom="0.27559055118110237" header="0.31496062992125984" footer="0.31496062992125984"/>
  <pageSetup paperSize="8" scale="6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66"/>
  </sheetPr>
  <dimension ref="A1:N160"/>
  <sheetViews>
    <sheetView showGridLines="0" zoomScale="90" zoomScaleNormal="90" workbookViewId="0">
      <pane xSplit="4" ySplit="5" topLeftCell="E20" activePane="bottomRight" state="frozen"/>
      <selection pane="topRight" activeCell="E1" sqref="E1"/>
      <selection pane="bottomLeft" activeCell="A6" sqref="A6"/>
      <selection pane="bottomRight" activeCell="E32" sqref="E32"/>
    </sheetView>
  </sheetViews>
  <sheetFormatPr defaultRowHeight="12.75"/>
  <cols>
    <col min="1" max="1" width="3.125" style="194" bestFit="1" customWidth="1"/>
    <col min="2" max="2" width="3.125" style="194" customWidth="1"/>
    <col min="3" max="3" width="16.25" style="287" customWidth="1"/>
    <col min="4" max="4" width="31.625" style="287" customWidth="1"/>
    <col min="5" max="5" width="15.125" style="194" customWidth="1"/>
    <col min="6" max="9" width="15.125" style="308" customWidth="1"/>
    <col min="10" max="10" width="15.125" style="288" customWidth="1"/>
    <col min="11" max="11" width="15.125" style="288" hidden="1" customWidth="1"/>
    <col min="12" max="12" width="8.375" style="288" bestFit="1" customWidth="1"/>
    <col min="13" max="13" width="86.875" style="84" customWidth="1"/>
    <col min="14" max="14" width="3.375" style="194" customWidth="1"/>
    <col min="15" max="16384" width="9" style="194"/>
  </cols>
  <sheetData>
    <row r="1" spans="1:13">
      <c r="A1" s="286" t="s">
        <v>826</v>
      </c>
      <c r="B1" s="286"/>
      <c r="L1" s="476"/>
    </row>
    <row r="3" spans="1:13" ht="15.75" thickBot="1">
      <c r="C3" s="289" t="s">
        <v>827</v>
      </c>
      <c r="D3" s="290" t="s">
        <v>828</v>
      </c>
      <c r="E3" s="291" t="s">
        <v>829</v>
      </c>
      <c r="F3" s="291" t="s">
        <v>830</v>
      </c>
      <c r="G3" s="291" t="s">
        <v>831</v>
      </c>
      <c r="H3" s="291" t="s">
        <v>832</v>
      </c>
      <c r="I3" s="291" t="s">
        <v>833</v>
      </c>
      <c r="J3" s="775" t="s">
        <v>834</v>
      </c>
      <c r="K3" s="1310"/>
      <c r="L3" s="1310"/>
      <c r="M3" s="292" t="s">
        <v>835</v>
      </c>
    </row>
    <row r="4" spans="1:13">
      <c r="E4" s="293" t="s">
        <v>836</v>
      </c>
      <c r="F4" s="293"/>
      <c r="G4" s="293"/>
      <c r="H4" s="293"/>
      <c r="I4" s="293"/>
      <c r="J4" s="294" t="s">
        <v>837</v>
      </c>
      <c r="K4" s="1311" t="s">
        <v>838</v>
      </c>
      <c r="L4" s="1313" t="s">
        <v>839</v>
      </c>
      <c r="M4" s="295" t="s">
        <v>840</v>
      </c>
    </row>
    <row r="5" spans="1:13" ht="15">
      <c r="A5" s="296"/>
      <c r="B5" s="296"/>
      <c r="C5" s="297"/>
      <c r="D5" s="298"/>
      <c r="E5" s="293" t="s">
        <v>841</v>
      </c>
      <c r="F5" s="293"/>
      <c r="G5" s="293"/>
      <c r="H5" s="293"/>
      <c r="I5" s="293"/>
      <c r="J5" s="294" t="s">
        <v>842</v>
      </c>
      <c r="K5" s="1312"/>
      <c r="L5" s="1314"/>
    </row>
    <row r="6" spans="1:13">
      <c r="A6" s="296" t="s">
        <v>843</v>
      </c>
      <c r="B6" s="296"/>
      <c r="C6" s="303" t="s">
        <v>106</v>
      </c>
      <c r="D6" s="319" t="s">
        <v>844</v>
      </c>
      <c r="E6" s="203"/>
      <c r="F6" s="479"/>
      <c r="G6" s="479"/>
      <c r="H6" s="479"/>
      <c r="I6" s="479"/>
      <c r="J6" s="479">
        <f>SUM(F6:I6)</f>
        <v>0</v>
      </c>
      <c r="K6" s="479">
        <f>'[20]2013预算稿'!J6</f>
        <v>3394976.3250000002</v>
      </c>
      <c r="L6" s="500">
        <f>(J6-K6)/K6</f>
        <v>-1</v>
      </c>
      <c r="M6" s="760"/>
    </row>
    <row r="7" spans="1:13">
      <c r="A7" s="296"/>
      <c r="B7" s="296"/>
      <c r="C7" s="303"/>
      <c r="D7" s="499" t="s">
        <v>845</v>
      </c>
      <c r="E7" s="479"/>
      <c r="F7" s="479"/>
      <c r="G7" s="479"/>
      <c r="H7" s="479"/>
      <c r="I7" s="479"/>
      <c r="J7" s="479">
        <f>SUM(F7:I7)</f>
        <v>0</v>
      </c>
      <c r="K7" s="479">
        <f>'[20]2013预算稿'!J7</f>
        <v>5339987.5950000016</v>
      </c>
      <c r="L7" s="500">
        <f t="shared" ref="L7:L31" si="0">(J7-K7)/K7</f>
        <v>-1</v>
      </c>
      <c r="M7" s="760"/>
    </row>
    <row r="8" spans="1:13">
      <c r="A8" s="296"/>
      <c r="B8" s="296"/>
      <c r="C8" s="303"/>
      <c r="D8" s="319" t="s">
        <v>846</v>
      </c>
      <c r="E8" s="479"/>
      <c r="F8" s="479"/>
      <c r="G8" s="479"/>
      <c r="H8" s="479"/>
      <c r="I8" s="479"/>
      <c r="J8" s="479">
        <f>SUM(F8:I8)</f>
        <v>0</v>
      </c>
      <c r="K8" s="479">
        <f>'[20]2013预算稿'!J8</f>
        <v>263995.886</v>
      </c>
      <c r="L8" s="500">
        <f t="shared" si="0"/>
        <v>-1</v>
      </c>
      <c r="M8" s="760"/>
    </row>
    <row r="9" spans="1:13">
      <c r="A9" s="296"/>
      <c r="B9" s="296"/>
      <c r="C9" s="303"/>
      <c r="D9" s="319" t="s">
        <v>847</v>
      </c>
      <c r="E9" s="479"/>
      <c r="F9" s="479"/>
      <c r="G9" s="479"/>
      <c r="H9" s="479"/>
      <c r="I9" s="479"/>
      <c r="J9" s="479">
        <f t="shared" ref="J9:J10" si="1">SUM(F9:I9)</f>
        <v>0</v>
      </c>
      <c r="K9" s="479">
        <f>'[20]2013预算稿'!J9</f>
        <v>33834.04</v>
      </c>
      <c r="L9" s="500">
        <f t="shared" si="0"/>
        <v>-1</v>
      </c>
      <c r="M9" s="760"/>
    </row>
    <row r="10" spans="1:13">
      <c r="A10" s="296"/>
      <c r="B10" s="296"/>
      <c r="C10" s="303"/>
      <c r="D10" s="319" t="s">
        <v>848</v>
      </c>
      <c r="E10" s="479"/>
      <c r="F10" s="479"/>
      <c r="G10" s="479"/>
      <c r="H10" s="479"/>
      <c r="I10" s="479"/>
      <c r="J10" s="479">
        <f t="shared" si="1"/>
        <v>0</v>
      </c>
      <c r="K10" s="479">
        <f>'[20]2013预算稿'!J10</f>
        <v>250000</v>
      </c>
      <c r="L10" s="500">
        <f t="shared" si="0"/>
        <v>-1</v>
      </c>
      <c r="M10" s="760"/>
    </row>
    <row r="11" spans="1:13">
      <c r="A11" s="302"/>
      <c r="B11" s="302"/>
      <c r="C11" s="303"/>
      <c r="D11" s="319" t="s">
        <v>849</v>
      </c>
      <c r="E11" s="479"/>
      <c r="F11" s="479"/>
      <c r="G11" s="479"/>
      <c r="H11" s="479"/>
      <c r="I11" s="479"/>
      <c r="J11" s="479">
        <f>SUM(F11:I11)</f>
        <v>0</v>
      </c>
      <c r="K11" s="479">
        <f>'[20]2013预算稿'!J125</f>
        <v>10499151.6</v>
      </c>
      <c r="L11" s="500">
        <f t="shared" si="0"/>
        <v>-1</v>
      </c>
      <c r="M11" s="761"/>
    </row>
    <row r="12" spans="1:13">
      <c r="A12" s="302"/>
      <c r="B12" s="302"/>
      <c r="C12" s="303"/>
      <c r="D12" s="319" t="s">
        <v>850</v>
      </c>
      <c r="E12" s="479"/>
      <c r="F12" s="479"/>
      <c r="G12" s="479"/>
      <c r="H12" s="479"/>
      <c r="I12" s="479"/>
      <c r="J12" s="479">
        <f t="shared" ref="J12:J20" si="2">SUM(F12:I12)</f>
        <v>0</v>
      </c>
      <c r="K12" s="479">
        <f>'[20]2013预算稿'!J11</f>
        <v>7694280</v>
      </c>
      <c r="L12" s="500">
        <f t="shared" si="0"/>
        <v>-1</v>
      </c>
      <c r="M12" s="762"/>
    </row>
    <row r="13" spans="1:13">
      <c r="A13" s="302"/>
      <c r="B13" s="302"/>
      <c r="C13" s="303"/>
      <c r="D13" s="319" t="s">
        <v>851</v>
      </c>
      <c r="E13" s="479"/>
      <c r="F13" s="479"/>
      <c r="G13" s="479"/>
      <c r="H13" s="479"/>
      <c r="I13" s="479"/>
      <c r="J13" s="479">
        <f t="shared" si="2"/>
        <v>0</v>
      </c>
      <c r="K13" s="479">
        <f>'[20]2013预算稿'!J12</f>
        <v>676164</v>
      </c>
      <c r="L13" s="500">
        <f t="shared" si="0"/>
        <v>-1</v>
      </c>
      <c r="M13" s="763"/>
    </row>
    <row r="14" spans="1:13">
      <c r="A14" s="302"/>
      <c r="B14" s="302"/>
      <c r="C14" s="303"/>
      <c r="D14" s="319" t="s">
        <v>852</v>
      </c>
      <c r="E14" s="479"/>
      <c r="F14" s="479"/>
      <c r="G14" s="479"/>
      <c r="H14" s="479"/>
      <c r="I14" s="479"/>
      <c r="J14" s="479">
        <f t="shared" si="2"/>
        <v>0</v>
      </c>
      <c r="K14" s="479">
        <f>'[20]2013预算稿'!J13</f>
        <v>14872200</v>
      </c>
      <c r="L14" s="500">
        <f t="shared" si="0"/>
        <v>-1</v>
      </c>
      <c r="M14" s="762"/>
    </row>
    <row r="15" spans="1:13">
      <c r="A15" s="302"/>
      <c r="B15" s="302"/>
      <c r="C15" s="303"/>
      <c r="D15" s="319" t="s">
        <v>853</v>
      </c>
      <c r="E15" s="479"/>
      <c r="F15" s="479"/>
      <c r="G15" s="479"/>
      <c r="H15" s="479"/>
      <c r="I15" s="479"/>
      <c r="J15" s="479">
        <f>SUM(F15:I15)</f>
        <v>0</v>
      </c>
      <c r="K15" s="479">
        <f>'[20]2013预算稿'!J14</f>
        <v>1250268</v>
      </c>
      <c r="L15" s="500">
        <f t="shared" si="0"/>
        <v>-1</v>
      </c>
      <c r="M15" s="763"/>
    </row>
    <row r="16" spans="1:13" ht="15" customHeight="1">
      <c r="A16" s="302"/>
      <c r="B16" s="302"/>
      <c r="C16" s="303"/>
      <c r="D16" s="319" t="s">
        <v>854</v>
      </c>
      <c r="E16" s="479"/>
      <c r="F16" s="479"/>
      <c r="G16" s="479"/>
      <c r="H16" s="479"/>
      <c r="I16" s="479"/>
      <c r="J16" s="479">
        <f>SUM(F16:I16)</f>
        <v>0</v>
      </c>
      <c r="K16" s="478"/>
      <c r="L16" s="500"/>
      <c r="M16" s="764"/>
    </row>
    <row r="17" spans="1:13">
      <c r="A17" s="302"/>
      <c r="B17" s="302"/>
      <c r="C17" s="303"/>
      <c r="D17" s="319" t="s">
        <v>855</v>
      </c>
      <c r="E17" s="479"/>
      <c r="F17" s="479"/>
      <c r="G17" s="479"/>
      <c r="H17" s="479"/>
      <c r="I17" s="479"/>
      <c r="J17" s="479">
        <f>SUM(F17:I17)</f>
        <v>0</v>
      </c>
      <c r="K17" s="478"/>
      <c r="L17" s="500"/>
      <c r="M17" s="764"/>
    </row>
    <row r="18" spans="1:13">
      <c r="A18" s="302"/>
      <c r="B18" s="302"/>
      <c r="C18" s="303"/>
      <c r="D18" s="319" t="s">
        <v>856</v>
      </c>
      <c r="E18" s="479"/>
      <c r="F18" s="479"/>
      <c r="G18" s="479"/>
      <c r="H18" s="479"/>
      <c r="I18" s="479"/>
      <c r="J18" s="479">
        <f>SUM(F18:I18)</f>
        <v>0</v>
      </c>
      <c r="K18" s="479">
        <f>'[20]2013预算稿'!J15</f>
        <v>7532136.959999999</v>
      </c>
      <c r="L18" s="500">
        <f t="shared" si="0"/>
        <v>-1</v>
      </c>
      <c r="M18" s="765"/>
    </row>
    <row r="19" spans="1:13">
      <c r="A19" s="302"/>
      <c r="B19" s="302"/>
      <c r="C19" s="303"/>
      <c r="D19" s="319" t="s">
        <v>857</v>
      </c>
      <c r="E19" s="479"/>
      <c r="F19" s="479"/>
      <c r="G19" s="479"/>
      <c r="H19" s="479"/>
      <c r="I19" s="479"/>
      <c r="J19" s="479">
        <f>SUM(F19:I19)</f>
        <v>0</v>
      </c>
      <c r="K19" s="479">
        <f>'[20]2013预算稿'!J16</f>
        <v>910402.56000000006</v>
      </c>
      <c r="L19" s="500">
        <f>(J19-K19)/K19</f>
        <v>-1</v>
      </c>
      <c r="M19" s="765"/>
    </row>
    <row r="20" spans="1:13">
      <c r="A20" s="302"/>
      <c r="B20" s="302"/>
      <c r="C20" s="303"/>
      <c r="D20" s="319" t="s">
        <v>858</v>
      </c>
      <c r="E20" s="479"/>
      <c r="F20" s="479"/>
      <c r="G20" s="479"/>
      <c r="H20" s="479"/>
      <c r="I20" s="479"/>
      <c r="J20" s="479">
        <f t="shared" si="2"/>
        <v>0</v>
      </c>
      <c r="K20" s="479">
        <f>'[20]2013预算稿'!J17</f>
        <v>6885223.4880000008</v>
      </c>
      <c r="L20" s="500">
        <f t="shared" si="0"/>
        <v>-1</v>
      </c>
      <c r="M20" s="765"/>
    </row>
    <row r="21" spans="1:13">
      <c r="A21" s="302"/>
      <c r="B21" s="302"/>
      <c r="C21" s="303"/>
      <c r="D21" s="319" t="s">
        <v>859</v>
      </c>
      <c r="E21" s="479"/>
      <c r="F21" s="479"/>
      <c r="G21" s="479"/>
      <c r="H21" s="479"/>
      <c r="I21" s="479"/>
      <c r="J21" s="479">
        <f>SUM(F21:I21)</f>
        <v>0</v>
      </c>
      <c r="K21" s="479">
        <f>'[20]2013预算稿'!J18</f>
        <v>914597.28</v>
      </c>
      <c r="L21" s="500">
        <f t="shared" si="0"/>
        <v>-1</v>
      </c>
      <c r="M21" s="765"/>
    </row>
    <row r="22" spans="1:13" ht="15">
      <c r="A22" s="302"/>
      <c r="B22" s="302"/>
      <c r="C22" s="303"/>
      <c r="D22" s="319"/>
      <c r="E22" s="479"/>
      <c r="F22" s="480">
        <f t="shared" ref="F22:K22" si="3">SUM(F6:F21)</f>
        <v>0</v>
      </c>
      <c r="G22" s="480">
        <f t="shared" si="3"/>
        <v>0</v>
      </c>
      <c r="H22" s="480">
        <f t="shared" si="3"/>
        <v>0</v>
      </c>
      <c r="I22" s="480">
        <f t="shared" si="3"/>
        <v>0</v>
      </c>
      <c r="J22" s="481">
        <f t="shared" si="3"/>
        <v>0</v>
      </c>
      <c r="K22" s="481">
        <f t="shared" si="3"/>
        <v>60517217.734000005</v>
      </c>
      <c r="L22" s="500">
        <f t="shared" si="0"/>
        <v>-1</v>
      </c>
      <c r="M22" s="765"/>
    </row>
    <row r="23" spans="1:13">
      <c r="A23" s="296" t="s">
        <v>843</v>
      </c>
      <c r="B23" s="296"/>
      <c r="C23" s="303" t="s">
        <v>860</v>
      </c>
      <c r="D23" s="319" t="s">
        <v>861</v>
      </c>
      <c r="E23" s="308"/>
      <c r="F23" s="479"/>
      <c r="G23" s="479"/>
      <c r="H23" s="479"/>
      <c r="I23" s="479"/>
      <c r="J23" s="479">
        <f t="shared" ref="J23:J30" si="4">SUM(F23:I23)</f>
        <v>0</v>
      </c>
      <c r="K23" s="479">
        <f>'[20]2013预算稿'!J20</f>
        <v>293760</v>
      </c>
      <c r="L23" s="500">
        <f t="shared" si="0"/>
        <v>-1</v>
      </c>
      <c r="M23" s="765"/>
    </row>
    <row r="24" spans="1:13">
      <c r="A24" s="296"/>
      <c r="B24" s="296"/>
      <c r="C24" s="303"/>
      <c r="D24" s="319" t="s">
        <v>862</v>
      </c>
      <c r="E24" s="308"/>
      <c r="F24" s="479"/>
      <c r="G24" s="479"/>
      <c r="H24" s="479"/>
      <c r="I24" s="479"/>
      <c r="J24" s="479">
        <f>SUM(F24:I24)</f>
        <v>0</v>
      </c>
      <c r="K24" s="479">
        <f>'[20]2013预算稿'!J21</f>
        <v>362000</v>
      </c>
      <c r="L24" s="500">
        <f t="shared" si="0"/>
        <v>-1</v>
      </c>
      <c r="M24" s="765"/>
    </row>
    <row r="25" spans="1:13">
      <c r="A25" s="296"/>
      <c r="B25" s="296"/>
      <c r="C25" s="303"/>
      <c r="D25" s="319" t="s">
        <v>863</v>
      </c>
      <c r="E25" s="308"/>
      <c r="F25" s="479"/>
      <c r="G25" s="479"/>
      <c r="H25" s="479"/>
      <c r="I25" s="479"/>
      <c r="J25" s="479">
        <f t="shared" si="4"/>
        <v>0</v>
      </c>
      <c r="K25" s="479">
        <f>'[20]2013预算稿'!J22</f>
        <v>58800</v>
      </c>
      <c r="L25" s="500">
        <f t="shared" si="0"/>
        <v>-1</v>
      </c>
      <c r="M25" s="766"/>
    </row>
    <row r="26" spans="1:13">
      <c r="A26" s="296"/>
      <c r="B26" s="296"/>
      <c r="C26" s="303"/>
      <c r="D26" s="319" t="s">
        <v>864</v>
      </c>
      <c r="E26" s="308"/>
      <c r="F26" s="479"/>
      <c r="G26" s="479"/>
      <c r="H26" s="479"/>
      <c r="I26" s="479"/>
      <c r="J26" s="479">
        <f>SUM(F26:I26)</f>
        <v>0</v>
      </c>
      <c r="K26" s="479">
        <f>'[20]2013预算稿'!J23</f>
        <v>126000</v>
      </c>
      <c r="L26" s="500">
        <f t="shared" si="0"/>
        <v>-1</v>
      </c>
      <c r="M26" s="766"/>
    </row>
    <row r="27" spans="1:13">
      <c r="A27" s="296"/>
      <c r="B27" s="296"/>
      <c r="C27" s="303"/>
      <c r="D27" s="319" t="s">
        <v>865</v>
      </c>
      <c r="E27" s="308"/>
      <c r="F27" s="479"/>
      <c r="G27" s="479"/>
      <c r="H27" s="479"/>
      <c r="I27" s="479"/>
      <c r="J27" s="479">
        <f>SUM(F27:I27)</f>
        <v>0</v>
      </c>
      <c r="K27" s="478"/>
      <c r="L27" s="500"/>
      <c r="M27" s="764"/>
    </row>
    <row r="28" spans="1:13" ht="40.5" customHeight="1">
      <c r="A28" s="296"/>
      <c r="B28" s="296"/>
      <c r="C28" s="303"/>
      <c r="D28" s="319" t="s">
        <v>866</v>
      </c>
      <c r="E28" s="308"/>
      <c r="F28" s="479"/>
      <c r="G28" s="479"/>
      <c r="H28" s="479"/>
      <c r="I28" s="479"/>
      <c r="J28" s="479">
        <f>SUM(F28:I28)</f>
        <v>0</v>
      </c>
      <c r="K28" s="479">
        <f>'[20]2013预算稿'!J24</f>
        <v>187200</v>
      </c>
      <c r="L28" s="500">
        <f t="shared" si="0"/>
        <v>-1</v>
      </c>
      <c r="M28" s="765"/>
    </row>
    <row r="29" spans="1:13">
      <c r="A29" s="296"/>
      <c r="B29" s="296"/>
      <c r="C29" s="303"/>
      <c r="D29" s="319" t="s">
        <v>867</v>
      </c>
      <c r="E29" s="308"/>
      <c r="F29" s="479"/>
      <c r="G29" s="479"/>
      <c r="H29" s="479"/>
      <c r="I29" s="479"/>
      <c r="J29" s="479">
        <f>SUM(F29:I29)</f>
        <v>0</v>
      </c>
      <c r="K29" s="479">
        <f>'[20]2013预算稿'!J25</f>
        <v>177600</v>
      </c>
      <c r="L29" s="500">
        <f t="shared" si="0"/>
        <v>-1</v>
      </c>
      <c r="M29" s="760"/>
    </row>
    <row r="30" spans="1:13">
      <c r="A30" s="296"/>
      <c r="B30" s="296"/>
      <c r="C30" s="303"/>
      <c r="D30" s="319" t="s">
        <v>868</v>
      </c>
      <c r="E30" s="308"/>
      <c r="F30" s="479"/>
      <c r="G30" s="479"/>
      <c r="H30" s="479"/>
      <c r="I30" s="479"/>
      <c r="J30" s="479">
        <f t="shared" si="4"/>
        <v>0</v>
      </c>
      <c r="K30" s="479">
        <f>'[20]2013预算稿'!J26</f>
        <v>177600</v>
      </c>
      <c r="L30" s="500">
        <f t="shared" si="0"/>
        <v>-1</v>
      </c>
      <c r="M30" s="760"/>
    </row>
    <row r="31" spans="1:13" ht="15">
      <c r="A31" s="296"/>
      <c r="B31" s="296"/>
      <c r="C31" s="303"/>
      <c r="D31" s="319"/>
      <c r="E31" s="308"/>
      <c r="F31" s="480">
        <f t="shared" ref="F31:K31" si="5">SUM(F23:F30)</f>
        <v>0</v>
      </c>
      <c r="G31" s="480">
        <f t="shared" si="5"/>
        <v>0</v>
      </c>
      <c r="H31" s="480">
        <f t="shared" si="5"/>
        <v>0</v>
      </c>
      <c r="I31" s="480">
        <f t="shared" si="5"/>
        <v>0</v>
      </c>
      <c r="J31" s="481">
        <f t="shared" si="5"/>
        <v>0</v>
      </c>
      <c r="K31" s="481">
        <f t="shared" si="5"/>
        <v>1382960</v>
      </c>
      <c r="L31" s="500">
        <f t="shared" si="0"/>
        <v>-1</v>
      </c>
      <c r="M31" s="764"/>
    </row>
    <row r="32" spans="1:13">
      <c r="A32" s="296" t="s">
        <v>843</v>
      </c>
      <c r="B32" s="296"/>
      <c r="C32" s="303" t="s">
        <v>869</v>
      </c>
      <c r="D32" s="319" t="s">
        <v>870</v>
      </c>
      <c r="E32" s="308"/>
      <c r="F32" s="479"/>
      <c r="G32" s="479"/>
      <c r="H32" s="479"/>
      <c r="I32" s="479"/>
      <c r="J32" s="479">
        <f>SUM(F32:I32)</f>
        <v>0</v>
      </c>
      <c r="K32" s="479">
        <f>'[20]2013预算稿'!J28</f>
        <v>2351202</v>
      </c>
      <c r="L32" s="500">
        <f>(J32-K32)/K32</f>
        <v>-1</v>
      </c>
      <c r="M32" s="765"/>
    </row>
    <row r="33" spans="1:13">
      <c r="A33" s="296"/>
      <c r="B33" s="296"/>
      <c r="C33" s="303"/>
      <c r="D33" s="319" t="s">
        <v>871</v>
      </c>
      <c r="E33" s="308"/>
      <c r="F33" s="479"/>
      <c r="G33" s="479"/>
      <c r="H33" s="479"/>
      <c r="I33" s="479"/>
      <c r="J33" s="479">
        <f>SUM(F33:I33)</f>
        <v>0</v>
      </c>
      <c r="K33" s="479">
        <f>'[20]2013预算稿'!J29</f>
        <v>2868</v>
      </c>
      <c r="L33" s="500">
        <f>(J33-K33)/K33</f>
        <v>-1</v>
      </c>
      <c r="M33" s="765"/>
    </row>
    <row r="34" spans="1:13">
      <c r="A34" s="302"/>
      <c r="B34" s="302"/>
      <c r="C34" s="303"/>
      <c r="D34" s="319" t="s">
        <v>872</v>
      </c>
      <c r="E34" s="308"/>
      <c r="F34" s="479"/>
      <c r="G34" s="479"/>
      <c r="H34" s="479"/>
      <c r="I34" s="479"/>
      <c r="J34" s="479">
        <f>SUM(F34:I34)</f>
        <v>0</v>
      </c>
      <c r="K34" s="479">
        <f>'[20]2013预算稿'!J127</f>
        <v>9240250</v>
      </c>
      <c r="L34" s="500">
        <f t="shared" ref="L34:L52" si="6">(J34-K34)/K34</f>
        <v>-1</v>
      </c>
      <c r="M34" s="765"/>
    </row>
    <row r="35" spans="1:13">
      <c r="A35" s="302"/>
      <c r="B35" s="302"/>
      <c r="C35" s="303"/>
      <c r="D35" s="319" t="s">
        <v>873</v>
      </c>
      <c r="E35" s="308"/>
      <c r="F35" s="479"/>
      <c r="G35" s="479"/>
      <c r="H35" s="479"/>
      <c r="I35" s="479"/>
      <c r="J35" s="479">
        <f>SUBTOTAL(9,F35:I35)</f>
        <v>0</v>
      </c>
      <c r="K35" s="478">
        <f>'[20]2013预算稿'!J126</f>
        <v>231018</v>
      </c>
      <c r="L35" s="500">
        <f t="shared" si="6"/>
        <v>-1</v>
      </c>
      <c r="M35" s="765"/>
    </row>
    <row r="36" spans="1:13">
      <c r="A36" s="302"/>
      <c r="B36" s="302"/>
      <c r="C36" s="303"/>
      <c r="D36" s="319" t="s">
        <v>874</v>
      </c>
      <c r="E36" s="308"/>
      <c r="F36" s="479"/>
      <c r="G36" s="479"/>
      <c r="H36" s="479"/>
      <c r="I36" s="479"/>
      <c r="J36" s="479">
        <f t="shared" ref="J36:J42" si="7">SUM(F36:I36)</f>
        <v>0</v>
      </c>
      <c r="K36" s="478">
        <f>'[20]2013预算稿'!J128</f>
        <v>1000000</v>
      </c>
      <c r="L36" s="500">
        <f t="shared" si="6"/>
        <v>-1</v>
      </c>
      <c r="M36" s="765"/>
    </row>
    <row r="37" spans="1:13">
      <c r="A37" s="302"/>
      <c r="B37" s="302"/>
      <c r="C37" s="303"/>
      <c r="D37" s="319" t="s">
        <v>875</v>
      </c>
      <c r="E37" s="308"/>
      <c r="F37" s="479"/>
      <c r="G37" s="479"/>
      <c r="H37" s="479"/>
      <c r="I37" s="479"/>
      <c r="J37" s="479">
        <f t="shared" si="7"/>
        <v>0</v>
      </c>
      <c r="K37" s="478">
        <f>'[20]2013预算稿'!J129</f>
        <v>53406</v>
      </c>
      <c r="L37" s="500">
        <f>(J37-K37)/K37</f>
        <v>-1</v>
      </c>
      <c r="M37" s="765"/>
    </row>
    <row r="38" spans="1:13">
      <c r="A38" s="296"/>
      <c r="B38" s="296"/>
      <c r="C38" s="303"/>
      <c r="D38" s="319" t="s">
        <v>876</v>
      </c>
      <c r="E38" s="308"/>
      <c r="F38" s="479"/>
      <c r="G38" s="479"/>
      <c r="H38" s="479"/>
      <c r="I38" s="479"/>
      <c r="J38" s="479">
        <f t="shared" si="7"/>
        <v>0</v>
      </c>
      <c r="K38" s="479">
        <f>'[20]2013预算稿'!J30</f>
        <v>227016</v>
      </c>
      <c r="L38" s="500">
        <f t="shared" si="6"/>
        <v>-1</v>
      </c>
      <c r="M38" s="765"/>
    </row>
    <row r="39" spans="1:13">
      <c r="A39" s="296"/>
      <c r="B39" s="296"/>
      <c r="C39" s="303"/>
      <c r="D39" s="319" t="s">
        <v>877</v>
      </c>
      <c r="E39" s="308"/>
      <c r="F39" s="479"/>
      <c r="G39" s="479"/>
      <c r="H39" s="479"/>
      <c r="I39" s="479"/>
      <c r="J39" s="479">
        <f t="shared" si="7"/>
        <v>0</v>
      </c>
      <c r="K39" s="478"/>
      <c r="L39" s="500"/>
      <c r="M39" s="764"/>
    </row>
    <row r="40" spans="1:13">
      <c r="A40" s="296"/>
      <c r="B40" s="296"/>
      <c r="C40" s="303"/>
      <c r="D40" s="319" t="s">
        <v>878</v>
      </c>
      <c r="E40" s="308"/>
      <c r="F40" s="479"/>
      <c r="G40" s="479"/>
      <c r="H40" s="479"/>
      <c r="I40" s="479"/>
      <c r="J40" s="479">
        <f t="shared" si="7"/>
        <v>0</v>
      </c>
      <c r="K40" s="479">
        <f>'[20]2013预算稿'!J31</f>
        <v>449076</v>
      </c>
      <c r="L40" s="500">
        <f t="shared" si="6"/>
        <v>-1</v>
      </c>
      <c r="M40" s="765"/>
    </row>
    <row r="41" spans="1:13">
      <c r="A41" s="296"/>
      <c r="B41" s="296"/>
      <c r="C41" s="303"/>
      <c r="D41" s="319" t="s">
        <v>879</v>
      </c>
      <c r="E41" s="308"/>
      <c r="F41" s="479"/>
      <c r="G41" s="479"/>
      <c r="H41" s="479"/>
      <c r="I41" s="479"/>
      <c r="J41" s="479">
        <f t="shared" si="7"/>
        <v>0</v>
      </c>
      <c r="K41" s="479">
        <f>'[20]2013预算稿'!J32</f>
        <v>268572</v>
      </c>
      <c r="L41" s="500">
        <f t="shared" si="6"/>
        <v>-1</v>
      </c>
      <c r="M41" s="765"/>
    </row>
    <row r="42" spans="1:13">
      <c r="A42" s="296"/>
      <c r="B42" s="296"/>
      <c r="C42" s="303"/>
      <c r="D42" s="319" t="s">
        <v>880</v>
      </c>
      <c r="E42" s="308"/>
      <c r="F42" s="479"/>
      <c r="G42" s="479"/>
      <c r="H42" s="479"/>
      <c r="I42" s="479"/>
      <c r="J42" s="479">
        <f t="shared" si="7"/>
        <v>0</v>
      </c>
      <c r="K42" s="479">
        <f>'[20]2013预算稿'!J33</f>
        <v>388488</v>
      </c>
      <c r="L42" s="500">
        <f t="shared" si="6"/>
        <v>-1</v>
      </c>
      <c r="M42" s="765"/>
    </row>
    <row r="43" spans="1:13" ht="15">
      <c r="A43" s="302"/>
      <c r="B43" s="302"/>
      <c r="C43" s="303"/>
      <c r="D43" s="319"/>
      <c r="E43" s="308"/>
      <c r="F43" s="480">
        <f t="shared" ref="F43:J43" si="8">SUM(F32:F42)</f>
        <v>0</v>
      </c>
      <c r="G43" s="480">
        <f t="shared" si="8"/>
        <v>0</v>
      </c>
      <c r="H43" s="480">
        <f t="shared" si="8"/>
        <v>0</v>
      </c>
      <c r="I43" s="480">
        <f t="shared" si="8"/>
        <v>0</v>
      </c>
      <c r="J43" s="481">
        <f t="shared" si="8"/>
        <v>0</v>
      </c>
      <c r="K43" s="481">
        <f>SUM(K32:K42)</f>
        <v>14211896</v>
      </c>
      <c r="L43" s="500">
        <f t="shared" si="6"/>
        <v>-1</v>
      </c>
      <c r="M43" s="764"/>
    </row>
    <row r="44" spans="1:13">
      <c r="A44" s="296" t="s">
        <v>843</v>
      </c>
      <c r="B44" s="296"/>
      <c r="C44" s="303" t="s">
        <v>881</v>
      </c>
      <c r="D44" s="304" t="s">
        <v>882</v>
      </c>
      <c r="E44" s="308"/>
      <c r="F44" s="479"/>
      <c r="G44" s="479"/>
      <c r="H44" s="479"/>
      <c r="I44" s="479"/>
      <c r="J44" s="479">
        <f>SUM(F44:I44)</f>
        <v>0</v>
      </c>
      <c r="K44" s="479">
        <f>'[20]2013预算稿'!J35</f>
        <v>240399.35999999999</v>
      </c>
      <c r="L44" s="500">
        <f t="shared" si="6"/>
        <v>-1</v>
      </c>
      <c r="M44" s="765"/>
    </row>
    <row r="45" spans="1:13">
      <c r="A45" s="296"/>
      <c r="B45" s="296"/>
      <c r="C45" s="303"/>
      <c r="D45" s="304" t="s">
        <v>883</v>
      </c>
      <c r="E45" s="308"/>
      <c r="F45" s="479"/>
      <c r="G45" s="479"/>
      <c r="H45" s="479"/>
      <c r="I45" s="479"/>
      <c r="J45" s="479">
        <f>SUM(F45:I45)</f>
        <v>0</v>
      </c>
      <c r="K45" s="479">
        <f>'[20]2013预算稿'!J134</f>
        <v>193317.20689655174</v>
      </c>
      <c r="L45" s="500">
        <f t="shared" si="6"/>
        <v>-1</v>
      </c>
      <c r="M45" s="765"/>
    </row>
    <row r="46" spans="1:13">
      <c r="A46" s="296"/>
      <c r="B46" s="296"/>
      <c r="C46" s="303"/>
      <c r="D46" s="304" t="s">
        <v>884</v>
      </c>
      <c r="E46" s="308"/>
      <c r="F46" s="479"/>
      <c r="G46" s="479"/>
      <c r="H46" s="479"/>
      <c r="I46" s="479"/>
      <c r="J46" s="479">
        <f t="shared" ref="J46:J51" si="9">SUM(F46:I46)</f>
        <v>0</v>
      </c>
      <c r="K46" s="479">
        <f>'[20]2013预算稿'!J36</f>
        <v>3384</v>
      </c>
      <c r="L46" s="500">
        <f t="shared" si="6"/>
        <v>-1</v>
      </c>
      <c r="M46" s="765"/>
    </row>
    <row r="47" spans="1:13">
      <c r="A47" s="296"/>
      <c r="B47" s="296"/>
      <c r="C47" s="303"/>
      <c r="D47" s="319" t="s">
        <v>885</v>
      </c>
      <c r="E47" s="308"/>
      <c r="F47" s="479"/>
      <c r="G47" s="479"/>
      <c r="H47" s="479"/>
      <c r="I47" s="479"/>
      <c r="J47" s="479">
        <f>SUM(F47:I47)</f>
        <v>0</v>
      </c>
      <c r="K47" s="479">
        <f>'[20]2013预算稿'!J37</f>
        <v>35712</v>
      </c>
      <c r="L47" s="500">
        <f t="shared" si="6"/>
        <v>-1</v>
      </c>
      <c r="M47" s="765"/>
    </row>
    <row r="48" spans="1:13">
      <c r="A48" s="296"/>
      <c r="B48" s="296"/>
      <c r="C48" s="303"/>
      <c r="D48" s="319" t="s">
        <v>634</v>
      </c>
      <c r="E48" s="308"/>
      <c r="F48" s="479"/>
      <c r="G48" s="479"/>
      <c r="H48" s="479"/>
      <c r="I48" s="479"/>
      <c r="J48" s="479">
        <f>SUM(F48:I48)</f>
        <v>0</v>
      </c>
      <c r="K48" s="479">
        <f>'[20]2013预算稿'!J38</f>
        <v>70416</v>
      </c>
      <c r="L48" s="500">
        <f t="shared" si="6"/>
        <v>-1</v>
      </c>
      <c r="M48" s="765"/>
    </row>
    <row r="49" spans="1:13">
      <c r="A49" s="296"/>
      <c r="B49" s="296"/>
      <c r="C49" s="303"/>
      <c r="D49" s="319" t="s">
        <v>886</v>
      </c>
      <c r="E49" s="308"/>
      <c r="F49" s="479"/>
      <c r="G49" s="479"/>
      <c r="H49" s="479"/>
      <c r="I49" s="479"/>
      <c r="J49" s="479">
        <f>SUM(F49:I49)</f>
        <v>0</v>
      </c>
      <c r="K49" s="478"/>
      <c r="L49" s="500"/>
      <c r="M49" s="764"/>
    </row>
    <row r="50" spans="1:13">
      <c r="A50" s="296"/>
      <c r="B50" s="296"/>
      <c r="C50" s="303"/>
      <c r="D50" s="319" t="s">
        <v>887</v>
      </c>
      <c r="E50" s="308"/>
      <c r="F50" s="479"/>
      <c r="G50" s="479"/>
      <c r="H50" s="479"/>
      <c r="I50" s="479"/>
      <c r="J50" s="479">
        <f t="shared" si="9"/>
        <v>0</v>
      </c>
      <c r="K50" s="497">
        <f>'[20]2013预算稿'!J39</f>
        <v>43776</v>
      </c>
      <c r="L50" s="500">
        <f t="shared" si="6"/>
        <v>-1</v>
      </c>
      <c r="M50" s="765"/>
    </row>
    <row r="51" spans="1:13">
      <c r="A51" s="296"/>
      <c r="B51" s="296"/>
      <c r="C51" s="303"/>
      <c r="D51" s="319" t="s">
        <v>888</v>
      </c>
      <c r="E51" s="308"/>
      <c r="F51" s="479"/>
      <c r="G51" s="479"/>
      <c r="H51" s="479"/>
      <c r="I51" s="479"/>
      <c r="J51" s="479">
        <f t="shared" si="9"/>
        <v>0</v>
      </c>
      <c r="K51" s="497">
        <f>'[20]2013预算稿'!J40</f>
        <v>67968</v>
      </c>
      <c r="L51" s="500">
        <f t="shared" si="6"/>
        <v>-1</v>
      </c>
      <c r="M51" s="765"/>
    </row>
    <row r="52" spans="1:13" ht="15">
      <c r="A52" s="296"/>
      <c r="B52" s="296"/>
      <c r="C52" s="303"/>
      <c r="D52" s="304"/>
      <c r="E52" s="308"/>
      <c r="F52" s="480">
        <f t="shared" ref="F52:J52" si="10">SUM(F44:F51)</f>
        <v>0</v>
      </c>
      <c r="G52" s="480">
        <f t="shared" si="10"/>
        <v>0</v>
      </c>
      <c r="H52" s="480">
        <f t="shared" si="10"/>
        <v>0</v>
      </c>
      <c r="I52" s="480">
        <f t="shared" si="10"/>
        <v>0</v>
      </c>
      <c r="J52" s="481">
        <f t="shared" si="10"/>
        <v>0</v>
      </c>
      <c r="K52" s="481">
        <f>SUM(K44:K51)</f>
        <v>654972.56689655175</v>
      </c>
      <c r="L52" s="500">
        <f t="shared" si="6"/>
        <v>-1</v>
      </c>
      <c r="M52" s="321"/>
    </row>
    <row r="53" spans="1:13">
      <c r="A53" s="296" t="s">
        <v>843</v>
      </c>
      <c r="B53" s="296"/>
      <c r="C53" s="303" t="s">
        <v>889</v>
      </c>
      <c r="D53" s="304" t="s">
        <v>890</v>
      </c>
      <c r="E53" s="308"/>
      <c r="F53" s="479"/>
      <c r="G53" s="479"/>
      <c r="H53" s="479"/>
      <c r="I53" s="479"/>
      <c r="J53" s="479">
        <f>SUM(F53:I53)</f>
        <v>0</v>
      </c>
      <c r="K53" s="479">
        <f>'[20]2013预算稿'!J42</f>
        <v>1446552</v>
      </c>
      <c r="L53" s="500">
        <f>(J53-K53)/K53</f>
        <v>-1</v>
      </c>
      <c r="M53" s="765"/>
    </row>
    <row r="54" spans="1:13">
      <c r="A54" s="296"/>
      <c r="B54" s="296"/>
      <c r="C54" s="303"/>
      <c r="D54" s="319" t="s">
        <v>891</v>
      </c>
      <c r="E54" s="308"/>
      <c r="F54" s="479"/>
      <c r="G54" s="479"/>
      <c r="H54" s="479"/>
      <c r="I54" s="479"/>
      <c r="J54" s="479">
        <f>SUM(F54:I54)</f>
        <v>0</v>
      </c>
      <c r="K54" s="479">
        <f>'[20]2013预算稿'!J43</f>
        <v>390960</v>
      </c>
      <c r="L54" s="500">
        <f t="shared" ref="L54:L58" si="11">(J54-K54)/K54</f>
        <v>-1</v>
      </c>
      <c r="M54" s="765"/>
    </row>
    <row r="55" spans="1:13">
      <c r="A55" s="296"/>
      <c r="B55" s="296"/>
      <c r="C55" s="303"/>
      <c r="D55" s="319" t="s">
        <v>892</v>
      </c>
      <c r="E55" s="308"/>
      <c r="F55" s="479"/>
      <c r="G55" s="479"/>
      <c r="H55" s="479"/>
      <c r="I55" s="479"/>
      <c r="J55" s="479">
        <f>SUM(F55:I55)</f>
        <v>0</v>
      </c>
      <c r="K55" s="479">
        <f>'[20]2013预算稿'!J44</f>
        <v>781920</v>
      </c>
      <c r="L55" s="500">
        <f t="shared" si="11"/>
        <v>-1</v>
      </c>
      <c r="M55" s="765"/>
    </row>
    <row r="56" spans="1:13">
      <c r="A56" s="296"/>
      <c r="B56" s="296"/>
      <c r="C56" s="303"/>
      <c r="D56" s="319" t="s">
        <v>893</v>
      </c>
      <c r="E56" s="308"/>
      <c r="F56" s="479"/>
      <c r="G56" s="479"/>
      <c r="H56" s="479"/>
      <c r="I56" s="479"/>
      <c r="J56" s="479">
        <f>SUM(F56:I56)</f>
        <v>0</v>
      </c>
      <c r="K56" s="478"/>
      <c r="L56" s="500"/>
      <c r="M56" s="765"/>
    </row>
    <row r="57" spans="1:13">
      <c r="A57" s="296"/>
      <c r="B57" s="296"/>
      <c r="C57" s="303"/>
      <c r="D57" s="319" t="s">
        <v>894</v>
      </c>
      <c r="E57" s="308"/>
      <c r="F57" s="479"/>
      <c r="G57" s="479"/>
      <c r="H57" s="479"/>
      <c r="I57" s="479"/>
      <c r="J57" s="479">
        <f t="shared" ref="J57:J58" si="12">SUM(F57:I57)</f>
        <v>0</v>
      </c>
      <c r="K57" s="479">
        <f>'[20]2013预算稿'!J45</f>
        <v>390960</v>
      </c>
      <c r="L57" s="500">
        <f t="shared" si="11"/>
        <v>-1</v>
      </c>
      <c r="M57" s="765"/>
    </row>
    <row r="58" spans="1:13">
      <c r="A58" s="296"/>
      <c r="B58" s="296"/>
      <c r="C58" s="303"/>
      <c r="D58" s="319" t="s">
        <v>895</v>
      </c>
      <c r="E58" s="308"/>
      <c r="F58" s="479"/>
      <c r="G58" s="479"/>
      <c r="H58" s="479"/>
      <c r="I58" s="479"/>
      <c r="J58" s="479">
        <f t="shared" si="12"/>
        <v>0</v>
      </c>
      <c r="K58" s="479">
        <f>'[20]2013预算稿'!J46</f>
        <v>390960</v>
      </c>
      <c r="L58" s="500">
        <f t="shared" si="11"/>
        <v>-1</v>
      </c>
      <c r="M58" s="765"/>
    </row>
    <row r="59" spans="1:13" ht="15">
      <c r="A59" s="296"/>
      <c r="B59" s="296"/>
      <c r="C59" s="303"/>
      <c r="D59" s="304"/>
      <c r="E59" s="308"/>
      <c r="F59" s="480">
        <f>SUM(F53:F58)</f>
        <v>0</v>
      </c>
      <c r="G59" s="480">
        <f t="shared" ref="G59:I59" si="13">SUM(G53:G58)</f>
        <v>0</v>
      </c>
      <c r="H59" s="480">
        <f t="shared" si="13"/>
        <v>0</v>
      </c>
      <c r="I59" s="480">
        <f t="shared" si="13"/>
        <v>0</v>
      </c>
      <c r="J59" s="481">
        <f>SUM(J53:J58)</f>
        <v>0</v>
      </c>
      <c r="K59" s="481">
        <f>SUM(K53:K58)</f>
        <v>3401352</v>
      </c>
      <c r="L59" s="500">
        <f>(J59-K59)/K59</f>
        <v>-1</v>
      </c>
      <c r="M59" s="764"/>
    </row>
    <row r="60" spans="1:13">
      <c r="A60" s="296" t="s">
        <v>843</v>
      </c>
      <c r="B60" s="296"/>
      <c r="C60" s="303" t="s">
        <v>896</v>
      </c>
      <c r="D60" s="304" t="s">
        <v>897</v>
      </c>
      <c r="E60" s="706"/>
      <c r="F60" s="707"/>
      <c r="G60" s="707"/>
      <c r="H60" s="707"/>
      <c r="I60" s="707"/>
      <c r="J60" s="707">
        <f>SUM(F60:I60)</f>
        <v>0</v>
      </c>
      <c r="K60" s="707">
        <f>'[20]2013预算稿'!J48</f>
        <v>293160</v>
      </c>
      <c r="L60" s="709">
        <f>(J60-K60)/K60</f>
        <v>-1</v>
      </c>
      <c r="M60" s="766"/>
    </row>
    <row r="61" spans="1:13">
      <c r="A61" s="296"/>
      <c r="B61" s="296"/>
      <c r="C61" s="303"/>
      <c r="D61" s="304" t="s">
        <v>898</v>
      </c>
      <c r="E61" s="706"/>
      <c r="F61" s="707"/>
      <c r="G61" s="707"/>
      <c r="H61" s="707"/>
      <c r="I61" s="707"/>
      <c r="J61" s="707">
        <f t="shared" ref="J61:J66" si="14">SUM(F61:I61)</f>
        <v>0</v>
      </c>
      <c r="K61" s="707">
        <f>'[20]2013预算稿'!J49</f>
        <v>39823.933333333334</v>
      </c>
      <c r="L61" s="709">
        <f t="shared" ref="L61:L65" si="15">(J61-K61)/K61</f>
        <v>-1</v>
      </c>
      <c r="M61" s="766"/>
    </row>
    <row r="62" spans="1:13">
      <c r="A62" s="296"/>
      <c r="B62" s="296"/>
      <c r="C62" s="303"/>
      <c r="D62" s="319" t="s">
        <v>899</v>
      </c>
      <c r="E62" s="706"/>
      <c r="F62" s="707"/>
      <c r="G62" s="707"/>
      <c r="H62" s="707"/>
      <c r="I62" s="707"/>
      <c r="J62" s="707">
        <f>SUM(F62:I62)</f>
        <v>0</v>
      </c>
      <c r="K62" s="707">
        <f>'[20]2013预算稿'!J50</f>
        <v>32693.73333333333</v>
      </c>
      <c r="L62" s="709">
        <f t="shared" si="15"/>
        <v>-1</v>
      </c>
      <c r="M62" s="766"/>
    </row>
    <row r="63" spans="1:13">
      <c r="A63" s="296"/>
      <c r="B63" s="296"/>
      <c r="C63" s="303"/>
      <c r="D63" s="319" t="s">
        <v>900</v>
      </c>
      <c r="E63" s="706"/>
      <c r="F63" s="707"/>
      <c r="G63" s="707"/>
      <c r="H63" s="707"/>
      <c r="I63" s="707"/>
      <c r="J63" s="707">
        <f>SUM(F63:I63)</f>
        <v>0</v>
      </c>
      <c r="K63" s="707">
        <f>'[20]2013预算稿'!J51</f>
        <v>55344</v>
      </c>
      <c r="L63" s="709">
        <f t="shared" si="15"/>
        <v>-1</v>
      </c>
      <c r="M63" s="766"/>
    </row>
    <row r="64" spans="1:13">
      <c r="A64" s="296"/>
      <c r="B64" s="296"/>
      <c r="C64" s="303"/>
      <c r="D64" s="319" t="s">
        <v>901</v>
      </c>
      <c r="E64" s="706"/>
      <c r="F64" s="707"/>
      <c r="G64" s="707"/>
      <c r="H64" s="707"/>
      <c r="I64" s="707"/>
      <c r="J64" s="707">
        <f>SUM(F64:I64)</f>
        <v>0</v>
      </c>
      <c r="K64" s="773" t="s">
        <v>902</v>
      </c>
      <c r="L64" s="709"/>
      <c r="M64" s="766"/>
    </row>
    <row r="65" spans="1:13">
      <c r="A65" s="296"/>
      <c r="B65" s="296"/>
      <c r="C65" s="303"/>
      <c r="D65" s="319" t="s">
        <v>903</v>
      </c>
      <c r="E65" s="706"/>
      <c r="F65" s="707"/>
      <c r="G65" s="707"/>
      <c r="H65" s="707"/>
      <c r="I65" s="707"/>
      <c r="J65" s="707">
        <f>SUM(F65:I65)</f>
        <v>0</v>
      </c>
      <c r="K65" s="707">
        <f>'[20]2013预算稿'!J52</f>
        <v>66104.3</v>
      </c>
      <c r="L65" s="709">
        <f t="shared" si="15"/>
        <v>-1</v>
      </c>
      <c r="M65" s="766"/>
    </row>
    <row r="66" spans="1:13">
      <c r="A66" s="296"/>
      <c r="B66" s="296"/>
      <c r="C66" s="303"/>
      <c r="D66" s="319" t="s">
        <v>904</v>
      </c>
      <c r="E66" s="706"/>
      <c r="F66" s="707"/>
      <c r="G66" s="707"/>
      <c r="H66" s="707"/>
      <c r="I66" s="707"/>
      <c r="J66" s="707">
        <f t="shared" si="14"/>
        <v>0</v>
      </c>
      <c r="K66" s="707">
        <f>'[20]2013预算稿'!J53</f>
        <v>58212</v>
      </c>
      <c r="L66" s="709">
        <f>(J66-K66)/K66</f>
        <v>-1</v>
      </c>
      <c r="M66" s="766"/>
    </row>
    <row r="67" spans="1:13" ht="15">
      <c r="A67" s="296"/>
      <c r="B67" s="296"/>
      <c r="C67" s="303"/>
      <c r="D67" s="304"/>
      <c r="E67" s="706"/>
      <c r="F67" s="774">
        <f>SUM(F60:F66)</f>
        <v>0</v>
      </c>
      <c r="G67" s="774">
        <f t="shared" ref="G67:J67" si="16">SUM(G60:G66)</f>
        <v>0</v>
      </c>
      <c r="H67" s="774">
        <f t="shared" si="16"/>
        <v>0</v>
      </c>
      <c r="I67" s="774">
        <f t="shared" si="16"/>
        <v>0</v>
      </c>
      <c r="J67" s="637">
        <f t="shared" si="16"/>
        <v>0</v>
      </c>
      <c r="K67" s="637">
        <f>SUM(K60:K66)</f>
        <v>545337.96666666667</v>
      </c>
      <c r="L67" s="709">
        <f>(J67-K67)/K67</f>
        <v>-1</v>
      </c>
      <c r="M67" s="766"/>
    </row>
    <row r="68" spans="1:13">
      <c r="A68" s="296" t="s">
        <v>843</v>
      </c>
      <c r="B68" s="296"/>
      <c r="C68" s="303" t="s">
        <v>905</v>
      </c>
      <c r="D68" s="482" t="s">
        <v>906</v>
      </c>
      <c r="E68" s="308"/>
      <c r="F68" s="483">
        <f>SUM(F69:F75)</f>
        <v>0</v>
      </c>
      <c r="G68" s="483">
        <f t="shared" ref="G68:J68" si="17">SUM(G69:G75)</f>
        <v>0</v>
      </c>
      <c r="H68" s="483">
        <f t="shared" si="17"/>
        <v>0</v>
      </c>
      <c r="I68" s="483">
        <f t="shared" si="17"/>
        <v>0</v>
      </c>
      <c r="J68" s="483">
        <f t="shared" si="17"/>
        <v>0</v>
      </c>
      <c r="K68" s="483">
        <f>SUM(K69:K75)</f>
        <v>1534657.68</v>
      </c>
      <c r="L68" s="500">
        <f>(J68-K68)/K68</f>
        <v>-1</v>
      </c>
      <c r="M68" s="765"/>
    </row>
    <row r="69" spans="1:13">
      <c r="A69" s="296"/>
      <c r="B69" s="296"/>
      <c r="C69" s="303"/>
      <c r="D69" s="310" t="s">
        <v>907</v>
      </c>
      <c r="E69" s="308"/>
      <c r="F69" s="479"/>
      <c r="G69" s="479"/>
      <c r="H69" s="479"/>
      <c r="I69" s="479"/>
      <c r="J69" s="479">
        <f t="shared" ref="J69:J71" si="18">SUM(F69:I69)</f>
        <v>0</v>
      </c>
      <c r="K69" s="479">
        <f>'[20]2013预算稿'!J56</f>
        <v>910057.67999999993</v>
      </c>
      <c r="L69" s="500">
        <f t="shared" ref="L69:L93" si="19">(J69-K69)/K69</f>
        <v>-1</v>
      </c>
      <c r="M69" s="765"/>
    </row>
    <row r="70" spans="1:13">
      <c r="A70" s="296"/>
      <c r="B70" s="296"/>
      <c r="C70" s="303"/>
      <c r="D70" s="310" t="s">
        <v>908</v>
      </c>
      <c r="E70" s="308"/>
      <c r="F70" s="479"/>
      <c r="G70" s="479"/>
      <c r="H70" s="479"/>
      <c r="I70" s="479"/>
      <c r="J70" s="479">
        <f>SUM(F70:I70)</f>
        <v>0</v>
      </c>
      <c r="K70" s="479">
        <f>'[20]2013预算稿'!J57</f>
        <v>46800</v>
      </c>
      <c r="L70" s="500">
        <f t="shared" si="19"/>
        <v>-1</v>
      </c>
      <c r="M70" s="764"/>
    </row>
    <row r="71" spans="1:13">
      <c r="A71" s="296"/>
      <c r="B71" s="296"/>
      <c r="C71" s="303"/>
      <c r="D71" s="484" t="s">
        <v>909</v>
      </c>
      <c r="E71" s="308"/>
      <c r="F71" s="479"/>
      <c r="G71" s="479"/>
      <c r="H71" s="479"/>
      <c r="I71" s="479"/>
      <c r="J71" s="479">
        <f t="shared" si="18"/>
        <v>0</v>
      </c>
      <c r="K71" s="479">
        <f>'[20]2013预算稿'!J58</f>
        <v>96000</v>
      </c>
      <c r="L71" s="500">
        <f t="shared" si="19"/>
        <v>-1</v>
      </c>
      <c r="M71" s="764"/>
    </row>
    <row r="72" spans="1:13">
      <c r="A72" s="296"/>
      <c r="B72" s="296"/>
      <c r="C72" s="303"/>
      <c r="D72" s="484" t="s">
        <v>910</v>
      </c>
      <c r="E72" s="308"/>
      <c r="F72" s="479"/>
      <c r="G72" s="479"/>
      <c r="H72" s="479"/>
      <c r="I72" s="479"/>
      <c r="J72" s="479">
        <f>SUM(F72:I72)</f>
        <v>0</v>
      </c>
      <c r="K72" s="479">
        <f>'[20]2013预算稿'!J59</f>
        <v>217200</v>
      </c>
      <c r="L72" s="500">
        <f t="shared" si="19"/>
        <v>-1</v>
      </c>
      <c r="M72" s="764"/>
    </row>
    <row r="73" spans="1:13">
      <c r="A73" s="296"/>
      <c r="B73" s="296"/>
      <c r="C73" s="303"/>
      <c r="D73" s="484" t="s">
        <v>911</v>
      </c>
      <c r="E73" s="308"/>
      <c r="F73" s="479"/>
      <c r="G73" s="479"/>
      <c r="H73" s="479"/>
      <c r="I73" s="479"/>
      <c r="J73" s="479">
        <f>SUM(F73:I73)</f>
        <v>0</v>
      </c>
      <c r="K73" s="478"/>
      <c r="L73" s="500"/>
      <c r="M73" s="764"/>
    </row>
    <row r="74" spans="1:13">
      <c r="A74" s="296"/>
      <c r="B74" s="296"/>
      <c r="C74" s="303"/>
      <c r="D74" s="484" t="s">
        <v>912</v>
      </c>
      <c r="E74" s="308"/>
      <c r="F74" s="479"/>
      <c r="G74" s="479"/>
      <c r="H74" s="479"/>
      <c r="I74" s="479"/>
      <c r="J74" s="479">
        <f>SUM(F74:I74)</f>
        <v>0</v>
      </c>
      <c r="K74" s="479">
        <f>'[20]2013预算稿'!J60</f>
        <v>145200</v>
      </c>
      <c r="L74" s="500">
        <f t="shared" si="19"/>
        <v>-1</v>
      </c>
      <c r="M74" s="764"/>
    </row>
    <row r="75" spans="1:13">
      <c r="A75" s="296"/>
      <c r="B75" s="296"/>
      <c r="C75" s="303"/>
      <c r="D75" s="484" t="s">
        <v>913</v>
      </c>
      <c r="E75" s="308"/>
      <c r="F75" s="479"/>
      <c r="G75" s="479"/>
      <c r="H75" s="479"/>
      <c r="I75" s="479"/>
      <c r="J75" s="479">
        <f>SUM(F75:I75)</f>
        <v>0</v>
      </c>
      <c r="K75" s="479">
        <f>'[20]2013预算稿'!J61</f>
        <v>119400</v>
      </c>
      <c r="L75" s="500">
        <f t="shared" si="19"/>
        <v>-1</v>
      </c>
      <c r="M75" s="764"/>
    </row>
    <row r="76" spans="1:13" s="315" customFormat="1">
      <c r="A76" s="314"/>
      <c r="B76" s="314"/>
      <c r="C76" s="303"/>
      <c r="D76" s="303" t="s">
        <v>914</v>
      </c>
      <c r="E76" s="308"/>
      <c r="F76" s="483"/>
      <c r="G76" s="483"/>
      <c r="H76" s="483"/>
      <c r="I76" s="483"/>
      <c r="J76" s="483">
        <f>SUM(J77:J82)</f>
        <v>0</v>
      </c>
      <c r="K76" s="617">
        <f>'[20]2013预算稿'!J62</f>
        <v>212783.52</v>
      </c>
      <c r="L76" s="500">
        <f t="shared" si="19"/>
        <v>-1</v>
      </c>
      <c r="M76" s="764"/>
    </row>
    <row r="77" spans="1:13">
      <c r="A77" s="296"/>
      <c r="B77" s="296"/>
      <c r="C77" s="303"/>
      <c r="D77" s="310" t="s">
        <v>915</v>
      </c>
      <c r="E77" s="308"/>
      <c r="J77" s="479">
        <f>SUM(F77:I77)</f>
        <v>0</v>
      </c>
      <c r="K77" s="479">
        <f>'[20]2013预算稿'!J63</f>
        <v>102500</v>
      </c>
      <c r="L77" s="500">
        <f t="shared" si="19"/>
        <v>-1</v>
      </c>
      <c r="M77" s="765"/>
    </row>
    <row r="78" spans="1:13">
      <c r="A78" s="296"/>
      <c r="B78" s="296"/>
      <c r="C78" s="303"/>
      <c r="D78" s="484" t="s">
        <v>916</v>
      </c>
      <c r="E78" s="308"/>
      <c r="F78" s="479"/>
      <c r="G78" s="479"/>
      <c r="H78" s="479"/>
      <c r="I78" s="479"/>
      <c r="J78" s="479">
        <f>SUM(F78:I78)</f>
        <v>0</v>
      </c>
      <c r="K78" s="479">
        <f>'[20]2013预算稿'!J64</f>
        <v>19800</v>
      </c>
      <c r="L78" s="500">
        <f t="shared" si="19"/>
        <v>-1</v>
      </c>
      <c r="M78" s="764"/>
    </row>
    <row r="79" spans="1:13">
      <c r="A79" s="296"/>
      <c r="B79" s="296"/>
      <c r="C79" s="303"/>
      <c r="D79" s="484" t="s">
        <v>917</v>
      </c>
      <c r="E79" s="308"/>
      <c r="F79" s="479"/>
      <c r="G79" s="479"/>
      <c r="H79" s="479"/>
      <c r="I79" s="479"/>
      <c r="J79" s="479">
        <f t="shared" ref="J79:J83" si="20">SUM(F79:I79)</f>
        <v>0</v>
      </c>
      <c r="K79" s="479">
        <f>'[20]2013预算稿'!J65</f>
        <v>29740</v>
      </c>
      <c r="L79" s="500">
        <f t="shared" si="19"/>
        <v>-1</v>
      </c>
      <c r="M79" s="764"/>
    </row>
    <row r="80" spans="1:13">
      <c r="A80" s="296"/>
      <c r="B80" s="296"/>
      <c r="C80" s="303"/>
      <c r="D80" s="484" t="s">
        <v>918</v>
      </c>
      <c r="E80" s="308"/>
      <c r="F80" s="479"/>
      <c r="G80" s="479"/>
      <c r="H80" s="479"/>
      <c r="I80" s="479"/>
      <c r="J80" s="479">
        <f t="shared" si="20"/>
        <v>0</v>
      </c>
      <c r="K80" s="478"/>
      <c r="L80" s="500"/>
      <c r="M80" s="764"/>
    </row>
    <row r="81" spans="1:13">
      <c r="A81" s="296"/>
      <c r="B81" s="296"/>
      <c r="C81" s="303"/>
      <c r="D81" s="484" t="s">
        <v>919</v>
      </c>
      <c r="E81" s="308"/>
      <c r="F81" s="479"/>
      <c r="G81" s="479"/>
      <c r="H81" s="479"/>
      <c r="I81" s="479"/>
      <c r="J81" s="479">
        <f>SUM(F81:I81)</f>
        <v>0</v>
      </c>
      <c r="K81" s="479">
        <f>'[20]2013预算稿'!J66</f>
        <v>30371.52</v>
      </c>
      <c r="L81" s="500">
        <f t="shared" si="19"/>
        <v>-1</v>
      </c>
      <c r="M81" s="764"/>
    </row>
    <row r="82" spans="1:13">
      <c r="A82" s="296"/>
      <c r="B82" s="296"/>
      <c r="C82" s="303"/>
      <c r="D82" s="484" t="s">
        <v>920</v>
      </c>
      <c r="E82" s="308"/>
      <c r="F82" s="479"/>
      <c r="G82" s="479"/>
      <c r="H82" s="479"/>
      <c r="I82" s="479"/>
      <c r="J82" s="479">
        <f>SUM(F82:I82)</f>
        <v>0</v>
      </c>
      <c r="K82" s="479">
        <f>'[20]2013预算稿'!J67</f>
        <v>30372</v>
      </c>
      <c r="L82" s="500">
        <f t="shared" si="19"/>
        <v>-1</v>
      </c>
      <c r="M82" s="764"/>
    </row>
    <row r="83" spans="1:13">
      <c r="A83" s="296"/>
      <c r="B83" s="296"/>
      <c r="C83" s="303"/>
      <c r="D83" s="486" t="s">
        <v>921</v>
      </c>
      <c r="E83" s="477"/>
      <c r="J83" s="479">
        <f t="shared" si="20"/>
        <v>0</v>
      </c>
      <c r="K83" s="479">
        <f>'[20]2013预算稿'!J68</f>
        <v>20000</v>
      </c>
      <c r="L83" s="500">
        <f t="shared" si="19"/>
        <v>-1</v>
      </c>
      <c r="M83" s="764"/>
    </row>
    <row r="84" spans="1:13" ht="15">
      <c r="A84" s="296"/>
      <c r="B84" s="296"/>
      <c r="C84" s="303"/>
      <c r="D84" s="304"/>
      <c r="E84" s="308"/>
      <c r="F84" s="485">
        <f>F68+F76+F83</f>
        <v>0</v>
      </c>
      <c r="G84" s="485">
        <f>G68+G76+G83</f>
        <v>0</v>
      </c>
      <c r="H84" s="485">
        <f>H68+H76+H83</f>
        <v>0</v>
      </c>
      <c r="I84" s="485">
        <f>I68+I76+I83</f>
        <v>0</v>
      </c>
      <c r="J84" s="487">
        <f>SUM(J68,J76,J83)</f>
        <v>0</v>
      </c>
      <c r="K84" s="487">
        <f>SUM(K68,K76,K83)</f>
        <v>1767441.2</v>
      </c>
      <c r="L84" s="500">
        <f t="shared" si="19"/>
        <v>-1</v>
      </c>
      <c r="M84" s="321"/>
    </row>
    <row r="85" spans="1:13">
      <c r="A85" s="296" t="s">
        <v>843</v>
      </c>
      <c r="B85" s="296"/>
      <c r="C85" s="303" t="s">
        <v>922</v>
      </c>
      <c r="D85" s="304" t="s">
        <v>923</v>
      </c>
      <c r="E85" s="308"/>
      <c r="F85" s="479"/>
      <c r="G85" s="479"/>
      <c r="H85" s="479"/>
      <c r="I85" s="479"/>
      <c r="J85" s="479">
        <f>SUM(F85:I85)</f>
        <v>0</v>
      </c>
      <c r="K85" s="479">
        <f>'[20]2013预算稿'!J70</f>
        <v>367748.39999999997</v>
      </c>
      <c r="L85" s="500">
        <f t="shared" si="19"/>
        <v>-1</v>
      </c>
      <c r="M85" s="764"/>
    </row>
    <row r="86" spans="1:13">
      <c r="A86" s="296"/>
      <c r="B86" s="296"/>
      <c r="C86" s="303"/>
      <c r="D86" s="319" t="s">
        <v>924</v>
      </c>
      <c r="E86" s="308"/>
      <c r="F86" s="479"/>
      <c r="G86" s="479"/>
      <c r="H86" s="479"/>
      <c r="I86" s="479"/>
      <c r="J86" s="479">
        <f t="shared" ref="J86:J87" si="21">SUM(F86:I86)</f>
        <v>0</v>
      </c>
      <c r="K86" s="479">
        <f>'[20]2013预算稿'!J71</f>
        <v>43646</v>
      </c>
      <c r="L86" s="500">
        <f t="shared" si="19"/>
        <v>-1</v>
      </c>
      <c r="M86" s="764"/>
    </row>
    <row r="87" spans="1:13">
      <c r="A87" s="296"/>
      <c r="B87" s="296"/>
      <c r="C87" s="303"/>
      <c r="D87" s="319" t="s">
        <v>925</v>
      </c>
      <c r="E87" s="308"/>
      <c r="F87" s="479"/>
      <c r="G87" s="479"/>
      <c r="H87" s="479"/>
      <c r="I87" s="479"/>
      <c r="J87" s="479">
        <f t="shared" si="21"/>
        <v>0</v>
      </c>
      <c r="K87" s="479">
        <f>'[20]2013预算稿'!J72</f>
        <v>43646</v>
      </c>
      <c r="L87" s="500">
        <f t="shared" si="19"/>
        <v>-1</v>
      </c>
      <c r="M87" s="764"/>
    </row>
    <row r="88" spans="1:13">
      <c r="A88" s="296"/>
      <c r="B88" s="296"/>
      <c r="C88" s="303"/>
      <c r="D88" s="319" t="s">
        <v>926</v>
      </c>
      <c r="E88" s="308"/>
      <c r="F88" s="479"/>
      <c r="G88" s="479"/>
      <c r="H88" s="479"/>
      <c r="I88" s="479"/>
      <c r="J88" s="479">
        <f>SUM(F88:I88)</f>
        <v>0</v>
      </c>
      <c r="K88" s="479">
        <f>'[20]2013预算稿'!J72</f>
        <v>43646</v>
      </c>
      <c r="L88" s="500">
        <f t="shared" si="19"/>
        <v>-1</v>
      </c>
      <c r="M88" s="764"/>
    </row>
    <row r="89" spans="1:13">
      <c r="A89" s="296"/>
      <c r="B89" s="296"/>
      <c r="C89" s="303"/>
      <c r="D89" s="319" t="s">
        <v>927</v>
      </c>
      <c r="E89" s="308"/>
      <c r="F89" s="479"/>
      <c r="G89" s="479"/>
      <c r="H89" s="479"/>
      <c r="I89" s="479"/>
      <c r="J89" s="479">
        <f>SUM(F89:I89)</f>
        <v>0</v>
      </c>
      <c r="K89" s="479">
        <f>'[20]2013预算稿'!J73</f>
        <v>43646</v>
      </c>
      <c r="L89" s="500">
        <f t="shared" si="19"/>
        <v>-1</v>
      </c>
      <c r="M89" s="764"/>
    </row>
    <row r="90" spans="1:13" ht="15">
      <c r="A90" s="296"/>
      <c r="B90" s="296"/>
      <c r="C90" s="303"/>
      <c r="D90" s="304"/>
      <c r="E90" s="308"/>
      <c r="F90" s="485">
        <f>SUM(F85:F89)</f>
        <v>0</v>
      </c>
      <c r="G90" s="485">
        <f t="shared" ref="G90:K90" si="22">SUM(G85:G89)</f>
        <v>0</v>
      </c>
      <c r="H90" s="485">
        <f t="shared" si="22"/>
        <v>0</v>
      </c>
      <c r="I90" s="485">
        <f t="shared" si="22"/>
        <v>0</v>
      </c>
      <c r="J90" s="481">
        <f>SUM(J85:J89)</f>
        <v>0</v>
      </c>
      <c r="K90" s="487">
        <f t="shared" si="22"/>
        <v>542332.39999999991</v>
      </c>
      <c r="L90" s="500">
        <f t="shared" si="19"/>
        <v>-1</v>
      </c>
      <c r="M90" s="321"/>
    </row>
    <row r="91" spans="1:13">
      <c r="A91" s="488" t="s">
        <v>843</v>
      </c>
      <c r="B91" s="488"/>
      <c r="C91" s="303" t="s">
        <v>928</v>
      </c>
      <c r="D91" s="646" t="s">
        <v>929</v>
      </c>
      <c r="E91" s="308"/>
      <c r="F91" s="479"/>
      <c r="G91" s="479"/>
      <c r="H91" s="479"/>
      <c r="I91" s="479"/>
      <c r="J91" s="479">
        <f>SUM(F91:I91)</f>
        <v>0</v>
      </c>
      <c r="K91" s="479">
        <f>'[20]2013预算稿'!J75</f>
        <v>2370540</v>
      </c>
      <c r="L91" s="500">
        <f t="shared" si="19"/>
        <v>-1</v>
      </c>
      <c r="M91" s="764"/>
    </row>
    <row r="92" spans="1:13">
      <c r="A92" s="488"/>
      <c r="B92" s="488"/>
      <c r="C92" s="303"/>
      <c r="D92" s="646" t="s">
        <v>930</v>
      </c>
      <c r="E92" s="308"/>
      <c r="F92" s="479">
        <v>0</v>
      </c>
      <c r="G92" s="479">
        <v>0</v>
      </c>
      <c r="H92" s="479">
        <v>0</v>
      </c>
      <c r="I92" s="479">
        <v>0</v>
      </c>
      <c r="J92" s="479">
        <v>0</v>
      </c>
      <c r="K92" s="479">
        <f>'[20]2013预算稿'!J135</f>
        <v>1942380</v>
      </c>
      <c r="L92" s="500"/>
      <c r="M92" s="767"/>
    </row>
    <row r="93" spans="1:13" ht="15">
      <c r="A93" s="296"/>
      <c r="B93" s="296"/>
      <c r="C93" s="303"/>
      <c r="D93" s="310"/>
      <c r="E93" s="308"/>
      <c r="F93" s="480">
        <f>SUM(F91:F92)</f>
        <v>0</v>
      </c>
      <c r="G93" s="480">
        <f t="shared" ref="G93:J93" si="23">SUM(G91:G92)</f>
        <v>0</v>
      </c>
      <c r="H93" s="480">
        <f t="shared" si="23"/>
        <v>0</v>
      </c>
      <c r="I93" s="480">
        <f t="shared" si="23"/>
        <v>0</v>
      </c>
      <c r="J93" s="481">
        <f t="shared" si="23"/>
        <v>0</v>
      </c>
      <c r="K93" s="481">
        <f>SUM(K91:K92)</f>
        <v>4312920</v>
      </c>
      <c r="L93" s="500">
        <f t="shared" si="19"/>
        <v>-1</v>
      </c>
      <c r="M93" s="752"/>
    </row>
    <row r="94" spans="1:13">
      <c r="A94" s="488" t="s">
        <v>843</v>
      </c>
      <c r="B94" s="296"/>
      <c r="C94" s="303" t="s">
        <v>931</v>
      </c>
      <c r="D94" s="489" t="s">
        <v>932</v>
      </c>
      <c r="E94" s="308"/>
      <c r="F94" s="483">
        <f>SUM(F95:F101)</f>
        <v>0</v>
      </c>
      <c r="G94" s="483">
        <f t="shared" ref="G94:I94" si="24">SUM(G95:G101)</f>
        <v>0</v>
      </c>
      <c r="H94" s="483">
        <f t="shared" si="24"/>
        <v>0</v>
      </c>
      <c r="I94" s="483">
        <f t="shared" si="24"/>
        <v>0</v>
      </c>
      <c r="J94" s="483">
        <f>SUM(F94:I94)</f>
        <v>0</v>
      </c>
      <c r="K94" s="479"/>
      <c r="L94" s="500"/>
      <c r="M94" s="764"/>
    </row>
    <row r="95" spans="1:13">
      <c r="A95" s="296"/>
      <c r="B95" s="296"/>
      <c r="C95" s="303"/>
      <c r="D95" s="310" t="s">
        <v>933</v>
      </c>
      <c r="E95" s="308"/>
      <c r="F95" s="479"/>
      <c r="G95" s="479"/>
      <c r="H95" s="479"/>
      <c r="I95" s="479"/>
      <c r="J95" s="479">
        <f t="shared" ref="J95:J101" si="25">SUM(F95:I95)</f>
        <v>0</v>
      </c>
      <c r="K95" s="479">
        <f>'[20]2013预算稿'!J78</f>
        <v>163329.84</v>
      </c>
      <c r="L95" s="500">
        <f t="shared" ref="L95:L108" si="26">(J95-K95)/K95</f>
        <v>-1</v>
      </c>
      <c r="M95" s="765"/>
    </row>
    <row r="96" spans="1:13">
      <c r="A96" s="296"/>
      <c r="B96" s="296"/>
      <c r="C96" s="303"/>
      <c r="D96" s="310" t="s">
        <v>934</v>
      </c>
      <c r="E96" s="308"/>
      <c r="F96" s="479"/>
      <c r="G96" s="479"/>
      <c r="H96" s="479"/>
      <c r="I96" s="479"/>
      <c r="J96" s="479">
        <f t="shared" si="25"/>
        <v>0</v>
      </c>
      <c r="K96" s="479">
        <f>'[20]2013预算稿'!J133</f>
        <v>131336.83836206896</v>
      </c>
      <c r="L96" s="500">
        <f t="shared" si="26"/>
        <v>-1</v>
      </c>
      <c r="M96" s="764"/>
    </row>
    <row r="97" spans="1:13">
      <c r="A97" s="296"/>
      <c r="B97" s="296"/>
      <c r="C97" s="303"/>
      <c r="D97" s="484" t="s">
        <v>935</v>
      </c>
      <c r="E97" s="308"/>
      <c r="F97" s="479"/>
      <c r="G97" s="479"/>
      <c r="H97" s="479"/>
      <c r="I97" s="479"/>
      <c r="J97" s="479">
        <f t="shared" si="25"/>
        <v>0</v>
      </c>
      <c r="K97" s="479">
        <f>'[20]2013预算稿'!J79</f>
        <v>19248</v>
      </c>
      <c r="L97" s="500">
        <f t="shared" si="26"/>
        <v>-1</v>
      </c>
      <c r="M97" s="764"/>
    </row>
    <row r="98" spans="1:13">
      <c r="A98" s="296"/>
      <c r="B98" s="296"/>
      <c r="C98" s="303"/>
      <c r="D98" s="484" t="s">
        <v>936</v>
      </c>
      <c r="E98" s="308"/>
      <c r="F98" s="479"/>
      <c r="G98" s="479"/>
      <c r="H98" s="479"/>
      <c r="I98" s="479"/>
      <c r="J98" s="479">
        <f t="shared" si="25"/>
        <v>0</v>
      </c>
      <c r="K98" s="479">
        <f>'[20]2013预算稿'!J80</f>
        <v>66192</v>
      </c>
      <c r="L98" s="500">
        <f t="shared" si="26"/>
        <v>-1</v>
      </c>
      <c r="M98" s="764"/>
    </row>
    <row r="99" spans="1:13">
      <c r="A99" s="296"/>
      <c r="B99" s="296"/>
      <c r="C99" s="303"/>
      <c r="D99" s="484" t="s">
        <v>937</v>
      </c>
      <c r="E99" s="308"/>
      <c r="F99" s="479"/>
      <c r="G99" s="479"/>
      <c r="H99" s="479"/>
      <c r="I99" s="479"/>
      <c r="J99" s="479">
        <f t="shared" si="25"/>
        <v>0</v>
      </c>
      <c r="K99" s="478"/>
      <c r="L99" s="500"/>
      <c r="M99" s="764"/>
    </row>
    <row r="100" spans="1:13">
      <c r="A100" s="296"/>
      <c r="B100" s="296"/>
      <c r="C100" s="303"/>
      <c r="D100" s="484" t="s">
        <v>938</v>
      </c>
      <c r="E100" s="308"/>
      <c r="F100" s="479"/>
      <c r="G100" s="479"/>
      <c r="H100" s="479"/>
      <c r="I100" s="479"/>
      <c r="J100" s="479">
        <f>SUM(F100:I100)</f>
        <v>0</v>
      </c>
      <c r="K100" s="479">
        <f>'[20]2013预算稿'!J81</f>
        <v>35460</v>
      </c>
      <c r="L100" s="500">
        <f>(J100-K100)/K100</f>
        <v>-1</v>
      </c>
      <c r="M100" s="764"/>
    </row>
    <row r="101" spans="1:13">
      <c r="A101" s="296"/>
      <c r="B101" s="296"/>
      <c r="C101" s="303"/>
      <c r="D101" s="484" t="s">
        <v>939</v>
      </c>
      <c r="E101" s="308"/>
      <c r="F101" s="479"/>
      <c r="G101" s="479"/>
      <c r="H101" s="479"/>
      <c r="I101" s="479"/>
      <c r="J101" s="479">
        <f t="shared" si="25"/>
        <v>0</v>
      </c>
      <c r="K101" s="479">
        <f>'[20]2013预算稿'!J82</f>
        <v>32592</v>
      </c>
      <c r="L101" s="500">
        <f>(J101-K101)/K101</f>
        <v>-1</v>
      </c>
      <c r="M101" s="764"/>
    </row>
    <row r="102" spans="1:13" s="470" customFormat="1">
      <c r="A102" s="490"/>
      <c r="B102" s="490"/>
      <c r="C102" s="303"/>
      <c r="D102" s="482" t="s">
        <v>940</v>
      </c>
      <c r="E102" s="308"/>
      <c r="F102" s="483">
        <f>F103+F104</f>
        <v>0</v>
      </c>
      <c r="G102" s="483">
        <f t="shared" ref="G102:I102" si="27">G103+G104</f>
        <v>0</v>
      </c>
      <c r="H102" s="483">
        <f t="shared" si="27"/>
        <v>0</v>
      </c>
      <c r="I102" s="483">
        <f t="shared" si="27"/>
        <v>0</v>
      </c>
      <c r="J102" s="483">
        <f>SUM(F102:I102)</f>
        <v>0</v>
      </c>
      <c r="K102" s="483"/>
      <c r="L102" s="483"/>
      <c r="M102" s="320"/>
    </row>
    <row r="103" spans="1:13" s="470" customFormat="1">
      <c r="A103" s="490"/>
      <c r="B103" s="490"/>
      <c r="C103" s="303"/>
      <c r="D103" s="484" t="s">
        <v>941</v>
      </c>
      <c r="E103" s="308"/>
      <c r="F103" s="479">
        <f>$E103*3</f>
        <v>0</v>
      </c>
      <c r="G103" s="479">
        <f t="shared" ref="G103:I103" si="28">$E103*3</f>
        <v>0</v>
      </c>
      <c r="H103" s="479">
        <f t="shared" si="28"/>
        <v>0</v>
      </c>
      <c r="I103" s="479">
        <f t="shared" si="28"/>
        <v>0</v>
      </c>
      <c r="J103" s="483">
        <f>SUM(F103:I103)</f>
        <v>0</v>
      </c>
      <c r="K103" s="483">
        <f>'[20]2013预算稿'!J84</f>
        <v>68200</v>
      </c>
      <c r="L103" s="500">
        <f t="shared" si="26"/>
        <v>-1</v>
      </c>
      <c r="M103" s="320"/>
    </row>
    <row r="104" spans="1:13" s="470" customFormat="1">
      <c r="A104" s="490"/>
      <c r="B104" s="490"/>
      <c r="C104" s="303"/>
      <c r="D104" s="484" t="s">
        <v>940</v>
      </c>
      <c r="E104" s="308"/>
      <c r="F104" s="479"/>
      <c r="G104" s="479"/>
      <c r="H104" s="479"/>
      <c r="I104" s="479"/>
      <c r="J104" s="479">
        <f>SUM(F104:I104)</f>
        <v>0</v>
      </c>
      <c r="K104" s="479">
        <f>'[20]2013预算稿'!J85</f>
        <v>42240</v>
      </c>
      <c r="L104" s="500">
        <f t="shared" si="26"/>
        <v>-1</v>
      </c>
      <c r="M104" s="320"/>
    </row>
    <row r="105" spans="1:13" ht="15">
      <c r="A105" s="296"/>
      <c r="B105" s="296"/>
      <c r="C105" s="303"/>
      <c r="D105" s="310"/>
      <c r="E105" s="308"/>
      <c r="F105" s="480">
        <f>F94+F102</f>
        <v>0</v>
      </c>
      <c r="G105" s="480">
        <f>G94+G102</f>
        <v>0</v>
      </c>
      <c r="H105" s="480">
        <f>H94+H102</f>
        <v>0</v>
      </c>
      <c r="I105" s="480">
        <f>I94+I102</f>
        <v>0</v>
      </c>
      <c r="J105" s="481">
        <f>J94+J102</f>
        <v>0</v>
      </c>
      <c r="K105" s="481">
        <f>SUM(K95:K104)</f>
        <v>558598.67836206895</v>
      </c>
      <c r="L105" s="481"/>
      <c r="M105" s="764"/>
    </row>
    <row r="106" spans="1:13">
      <c r="A106" s="296" t="s">
        <v>131</v>
      </c>
      <c r="B106" s="296"/>
      <c r="C106" s="303" t="s">
        <v>942</v>
      </c>
      <c r="D106" s="304" t="s">
        <v>943</v>
      </c>
      <c r="E106" s="308"/>
      <c r="F106" s="479"/>
      <c r="G106" s="479"/>
      <c r="H106" s="479"/>
      <c r="I106" s="479"/>
      <c r="J106" s="479">
        <f>SUM(F106:I106)</f>
        <v>0</v>
      </c>
      <c r="K106" s="479">
        <f>'[20]2013预算稿'!J87</f>
        <v>45570.87999999999</v>
      </c>
      <c r="L106" s="500">
        <f t="shared" si="26"/>
        <v>-1</v>
      </c>
      <c r="M106" s="768"/>
    </row>
    <row r="107" spans="1:13" s="470" customFormat="1">
      <c r="A107" s="491"/>
      <c r="B107" s="492"/>
      <c r="C107" s="303"/>
      <c r="D107" s="310" t="s">
        <v>944</v>
      </c>
      <c r="E107" s="308"/>
      <c r="F107" s="479"/>
      <c r="G107" s="479"/>
      <c r="H107" s="479"/>
      <c r="I107" s="479"/>
      <c r="J107" s="308">
        <f>SUM(F107:I107)</f>
        <v>0</v>
      </c>
      <c r="K107" s="647"/>
      <c r="L107" s="500"/>
      <c r="M107" s="768"/>
    </row>
    <row r="108" spans="1:13" s="510" customFormat="1">
      <c r="A108" s="503"/>
      <c r="B108" s="503"/>
      <c r="C108" s="504"/>
      <c r="D108" s="484" t="s">
        <v>945</v>
      </c>
      <c r="E108" s="308"/>
      <c r="F108" s="479"/>
      <c r="G108" s="479"/>
      <c r="H108" s="479"/>
      <c r="I108" s="479"/>
      <c r="J108" s="308">
        <f>SUM(F108:I108)</f>
        <v>0</v>
      </c>
      <c r="K108" s="479">
        <f>'[20]2013预算稿'!J88</f>
        <v>217897.4</v>
      </c>
      <c r="L108" s="500">
        <f t="shared" si="26"/>
        <v>-1</v>
      </c>
      <c r="M108" s="770"/>
    </row>
    <row r="109" spans="1:13">
      <c r="A109" s="296"/>
      <c r="B109" s="296"/>
      <c r="C109" s="303"/>
      <c r="D109" s="304" t="s">
        <v>946</v>
      </c>
      <c r="E109" s="477"/>
      <c r="F109" s="477"/>
      <c r="G109" s="478"/>
      <c r="H109" s="477"/>
      <c r="I109" s="477"/>
      <c r="J109" s="478">
        <f>SUM(F109:I109)</f>
        <v>0</v>
      </c>
      <c r="K109" s="479">
        <f>'[20]2013预算稿'!J96</f>
        <v>90445.200000000012</v>
      </c>
      <c r="L109" s="500">
        <f>(J109-K109)/K109</f>
        <v>-1</v>
      </c>
      <c r="M109" s="752"/>
    </row>
    <row r="110" spans="1:13" ht="15">
      <c r="A110" s="302"/>
      <c r="B110" s="302"/>
      <c r="C110" s="303"/>
      <c r="D110" s="194"/>
      <c r="E110" s="493"/>
      <c r="F110" s="493">
        <f>SUM(F106:F109)</f>
        <v>0</v>
      </c>
      <c r="G110" s="493">
        <f t="shared" ref="G110:I110" si="29">SUM(G106:G109)</f>
        <v>0</v>
      </c>
      <c r="H110" s="493">
        <f t="shared" si="29"/>
        <v>0</v>
      </c>
      <c r="I110" s="493">
        <f t="shared" si="29"/>
        <v>0</v>
      </c>
      <c r="J110" s="494">
        <f>SUM(J106:J109)</f>
        <v>0</v>
      </c>
      <c r="K110" s="494">
        <f>SUM(K106:K109)+'[20]2013预算稿'!J130</f>
        <v>417242.72</v>
      </c>
      <c r="L110" s="500">
        <f t="shared" ref="L110:L112" si="30">(J110-K110)/K110</f>
        <v>-1</v>
      </c>
      <c r="M110" s="321"/>
    </row>
    <row r="111" spans="1:13">
      <c r="A111" s="488" t="s">
        <v>843</v>
      </c>
      <c r="B111" s="296"/>
      <c r="C111" s="303" t="s">
        <v>947</v>
      </c>
      <c r="D111" s="319" t="s">
        <v>948</v>
      </c>
      <c r="J111" s="194"/>
      <c r="K111" s="194"/>
      <c r="L111" s="500"/>
      <c r="M111" s="752"/>
    </row>
    <row r="112" spans="1:13">
      <c r="A112" s="488"/>
      <c r="B112" s="296"/>
      <c r="C112" s="303"/>
      <c r="D112" s="521" t="s">
        <v>949</v>
      </c>
      <c r="E112" s="308"/>
      <c r="F112" s="477"/>
      <c r="G112" s="477"/>
      <c r="H112" s="477"/>
      <c r="I112" s="477"/>
      <c r="J112" s="308">
        <f>SUM(F112:I112)</f>
        <v>0</v>
      </c>
      <c r="K112" s="308">
        <f>'[20]2013预算稿'!J99</f>
        <v>77400</v>
      </c>
      <c r="L112" s="500">
        <f t="shared" si="30"/>
        <v>-1</v>
      </c>
      <c r="M112" s="752"/>
    </row>
    <row r="113" spans="1:14">
      <c r="A113" s="488"/>
      <c r="B113" s="296"/>
      <c r="C113" s="303"/>
      <c r="D113" s="303" t="s">
        <v>950</v>
      </c>
      <c r="E113" s="308"/>
      <c r="F113" s="477"/>
      <c r="G113" s="477"/>
      <c r="H113" s="477"/>
      <c r="I113" s="477"/>
      <c r="J113" s="308">
        <f>SUM(F113:I113)</f>
        <v>0</v>
      </c>
      <c r="K113" s="288">
        <f>'[20]2013预算稿'!J101</f>
        <v>48205.440000000002</v>
      </c>
      <c r="M113" s="321"/>
    </row>
    <row r="114" spans="1:14" ht="15">
      <c r="A114" s="484"/>
      <c r="B114" s="484"/>
      <c r="C114" s="484"/>
      <c r="D114" s="484"/>
      <c r="E114" s="495"/>
      <c r="F114" s="495">
        <f>SUM(F112:F113)</f>
        <v>0</v>
      </c>
      <c r="G114" s="495">
        <f t="shared" ref="G114:I114" si="31">SUM(G112:G113)</f>
        <v>0</v>
      </c>
      <c r="H114" s="495">
        <f t="shared" si="31"/>
        <v>0</v>
      </c>
      <c r="I114" s="495">
        <f t="shared" si="31"/>
        <v>0</v>
      </c>
      <c r="J114" s="496">
        <f>SUM(J112:J113)</f>
        <v>0</v>
      </c>
      <c r="K114" s="496">
        <f>SUM(K112:K113)</f>
        <v>125605.44</v>
      </c>
      <c r="L114" s="500">
        <f>(J113-K114)/K114</f>
        <v>-1</v>
      </c>
      <c r="M114" s="752"/>
    </row>
    <row r="115" spans="1:14">
      <c r="A115" s="296" t="s">
        <v>129</v>
      </c>
      <c r="B115" s="296"/>
      <c r="C115" s="303" t="s">
        <v>951</v>
      </c>
      <c r="D115" s="304" t="s">
        <v>594</v>
      </c>
      <c r="E115" s="754"/>
      <c r="F115" s="754"/>
      <c r="G115" s="754"/>
      <c r="H115" s="754"/>
      <c r="I115" s="754"/>
      <c r="J115" s="755">
        <f>SUM(F115:I115)</f>
        <v>0</v>
      </c>
      <c r="K115" s="707">
        <f>'[20]2013预算稿'!J104</f>
        <v>1582306.4830769231</v>
      </c>
      <c r="L115" s="709">
        <f t="shared" ref="L115:L125" si="32">(J115-K115)/K115</f>
        <v>-1</v>
      </c>
      <c r="M115" s="753"/>
    </row>
    <row r="116" spans="1:14">
      <c r="C116" s="303"/>
      <c r="D116" s="304" t="s">
        <v>952</v>
      </c>
      <c r="E116" s="754"/>
      <c r="F116" s="754"/>
      <c r="G116" s="754"/>
      <c r="H116" s="754"/>
      <c r="I116" s="754"/>
      <c r="J116" s="754">
        <f>SUM(F116:I116)</f>
        <v>0</v>
      </c>
      <c r="K116" s="707">
        <f>'[20]2013预算稿'!J105</f>
        <v>823263</v>
      </c>
      <c r="L116" s="709">
        <f t="shared" si="32"/>
        <v>-1</v>
      </c>
      <c r="M116" s="753"/>
    </row>
    <row r="117" spans="1:14">
      <c r="C117" s="303"/>
      <c r="D117" s="304" t="s">
        <v>953</v>
      </c>
      <c r="E117" s="706"/>
      <c r="F117" s="754"/>
      <c r="G117" s="754"/>
      <c r="H117" s="754"/>
      <c r="I117" s="754"/>
      <c r="J117" s="754">
        <f>[20]装饰门禁电视空调维护!K31</f>
        <v>101237</v>
      </c>
      <c r="K117" s="707">
        <f>'[20]2013预算稿'!J103</f>
        <v>183165</v>
      </c>
      <c r="L117" s="709">
        <f t="shared" si="32"/>
        <v>-0.44729069418284062</v>
      </c>
      <c r="M117" s="753"/>
    </row>
    <row r="118" spans="1:14" ht="15">
      <c r="A118" s="302"/>
      <c r="B118" s="302"/>
      <c r="C118" s="303"/>
      <c r="D118" s="304"/>
      <c r="E118" s="308"/>
      <c r="F118" s="493">
        <f>SUBTOTAL(9,F115:F117)</f>
        <v>0</v>
      </c>
      <c r="G118" s="493">
        <f t="shared" ref="G118:I118" si="33">SUBTOTAL(9,G115:G117)</f>
        <v>0</v>
      </c>
      <c r="H118" s="493">
        <f t="shared" si="33"/>
        <v>0</v>
      </c>
      <c r="I118" s="493">
        <f t="shared" si="33"/>
        <v>0</v>
      </c>
      <c r="J118" s="433">
        <f>SUBTOTAL(9,J115:J117)</f>
        <v>101237</v>
      </c>
      <c r="K118" s="433">
        <f>SUM(K115:K117)</f>
        <v>2588734.4830769231</v>
      </c>
      <c r="L118" s="500">
        <f t="shared" si="32"/>
        <v>-0.96089324700474055</v>
      </c>
      <c r="M118" s="771"/>
    </row>
    <row r="119" spans="1:14">
      <c r="A119" s="296" t="s">
        <v>131</v>
      </c>
      <c r="B119" s="296"/>
      <c r="C119" s="303" t="s">
        <v>577</v>
      </c>
      <c r="D119" s="304" t="s">
        <v>578</v>
      </c>
      <c r="E119" s="706"/>
      <c r="F119" s="707"/>
      <c r="G119" s="707"/>
      <c r="H119" s="707"/>
      <c r="I119" s="707"/>
      <c r="J119" s="708">
        <f>[20]财产险!J7</f>
        <v>499203.78199999995</v>
      </c>
      <c r="K119" s="708"/>
      <c r="L119" s="709"/>
      <c r="M119" s="767"/>
    </row>
    <row r="120" spans="1:14" ht="15">
      <c r="A120" s="296"/>
      <c r="B120" s="296"/>
      <c r="C120" s="303"/>
      <c r="D120" s="304"/>
      <c r="E120" s="706"/>
      <c r="F120" s="640">
        <f>SUM(F119)</f>
        <v>0</v>
      </c>
      <c r="G120" s="640">
        <f t="shared" ref="G120:I120" si="34">SUM(G119)</f>
        <v>0</v>
      </c>
      <c r="H120" s="640">
        <f t="shared" si="34"/>
        <v>0</v>
      </c>
      <c r="I120" s="640">
        <f t="shared" si="34"/>
        <v>0</v>
      </c>
      <c r="J120" s="642">
        <f>SUM(J119)</f>
        <v>499203.78199999995</v>
      </c>
      <c r="K120" s="642">
        <f>'[20]2013预算稿'!J107</f>
        <v>392980</v>
      </c>
      <c r="L120" s="709">
        <f>(J120-K120)/K120</f>
        <v>0.27030327752048439</v>
      </c>
      <c r="M120" s="752"/>
    </row>
    <row r="121" spans="1:14">
      <c r="A121" s="296" t="s">
        <v>131</v>
      </c>
      <c r="B121" s="296"/>
      <c r="C121" s="303" t="s">
        <v>579</v>
      </c>
      <c r="D121" s="319" t="s">
        <v>580</v>
      </c>
      <c r="E121" s="308"/>
      <c r="J121" s="288">
        <f>SUM(F121:I121)</f>
        <v>0</v>
      </c>
      <c r="K121" s="479">
        <f>'[20]2013预算稿'!J109</f>
        <v>29753290.333333336</v>
      </c>
      <c r="L121" s="500">
        <f>(J121-K121)/K121</f>
        <v>-1</v>
      </c>
      <c r="M121" s="752"/>
    </row>
    <row r="122" spans="1:14">
      <c r="A122" s="296" t="s">
        <v>129</v>
      </c>
      <c r="B122" s="302"/>
      <c r="C122" s="303"/>
      <c r="D122" s="304" t="s">
        <v>581</v>
      </c>
      <c r="E122" s="308"/>
      <c r="J122" s="288">
        <f>SUM(F122:I122)</f>
        <v>0</v>
      </c>
      <c r="K122" s="479">
        <f>'[20]2013预算稿'!J110</f>
        <v>329400</v>
      </c>
      <c r="L122" s="500">
        <f>(J122-K122)/K122</f>
        <v>-1</v>
      </c>
      <c r="M122" s="752"/>
    </row>
    <row r="123" spans="1:14" ht="15">
      <c r="A123" s="302"/>
      <c r="B123" s="302"/>
      <c r="C123" s="303"/>
      <c r="D123" s="310"/>
      <c r="E123" s="308"/>
      <c r="F123" s="485">
        <f>SUM(F121:F122)</f>
        <v>0</v>
      </c>
      <c r="G123" s="485">
        <f t="shared" ref="G123:I123" si="35">SUM(G121:G122)</f>
        <v>0</v>
      </c>
      <c r="H123" s="485">
        <f t="shared" si="35"/>
        <v>0</v>
      </c>
      <c r="I123" s="485">
        <f t="shared" si="35"/>
        <v>0</v>
      </c>
      <c r="J123" s="615">
        <f>SUM(J121:J122)</f>
        <v>0</v>
      </c>
      <c r="K123" s="615">
        <f>SUM(K121:K122)</f>
        <v>30082690.333333336</v>
      </c>
      <c r="L123" s="500">
        <f>(J123-K123)/K123</f>
        <v>-1</v>
      </c>
      <c r="M123" s="769"/>
    </row>
    <row r="124" spans="1:14">
      <c r="A124" s="296" t="s">
        <v>954</v>
      </c>
      <c r="B124" s="296"/>
      <c r="C124" s="303" t="s">
        <v>955</v>
      </c>
      <c r="D124" s="304" t="s">
        <v>956</v>
      </c>
      <c r="E124" s="308"/>
      <c r="F124" s="477"/>
      <c r="G124" s="477"/>
      <c r="H124" s="477"/>
      <c r="I124" s="477"/>
      <c r="J124" s="461">
        <f>SUM(F124:I124)</f>
        <v>0</v>
      </c>
      <c r="K124" s="479">
        <f>'[20]2013预算稿'!J112</f>
        <v>260715.5306</v>
      </c>
      <c r="L124" s="500">
        <f t="shared" si="32"/>
        <v>-1</v>
      </c>
      <c r="M124" s="772"/>
      <c r="N124" s="475"/>
    </row>
    <row r="125" spans="1:14">
      <c r="A125" s="296"/>
      <c r="B125" s="296"/>
      <c r="C125" s="303"/>
      <c r="D125" s="304" t="s">
        <v>957</v>
      </c>
      <c r="E125" s="308"/>
      <c r="F125" s="477"/>
      <c r="G125" s="477"/>
      <c r="H125" s="477"/>
      <c r="I125" s="477"/>
      <c r="J125" s="461">
        <f>SUM(F125:I125)</f>
        <v>0</v>
      </c>
      <c r="K125" s="479">
        <f>'[20]2013预算稿'!J113</f>
        <v>64404</v>
      </c>
      <c r="L125" s="500">
        <f t="shared" si="32"/>
        <v>-1</v>
      </c>
      <c r="M125" s="772"/>
      <c r="N125" s="475"/>
    </row>
    <row r="126" spans="1:14" ht="15">
      <c r="A126" s="296"/>
      <c r="B126" s="296"/>
      <c r="C126" s="303"/>
      <c r="D126" s="304"/>
      <c r="E126" s="308"/>
      <c r="F126" s="501">
        <f t="shared" ref="F126:K126" si="36">SUM(F124:F125)</f>
        <v>0</v>
      </c>
      <c r="G126" s="501">
        <f t="shared" si="36"/>
        <v>0</v>
      </c>
      <c r="H126" s="501">
        <f t="shared" si="36"/>
        <v>0</v>
      </c>
      <c r="I126" s="501">
        <f t="shared" si="36"/>
        <v>0</v>
      </c>
      <c r="J126" s="434">
        <f>SUM(J124:J125)</f>
        <v>0</v>
      </c>
      <c r="K126" s="434">
        <f t="shared" si="36"/>
        <v>325119.5306</v>
      </c>
      <c r="L126" s="500">
        <f>(J126-K126)/K126</f>
        <v>-1</v>
      </c>
      <c r="M126" s="321"/>
      <c r="N126" s="84"/>
    </row>
    <row r="127" spans="1:14">
      <c r="D127" s="319"/>
      <c r="M127" s="321"/>
    </row>
    <row r="128" spans="1:14">
      <c r="A128" s="319" t="s">
        <v>843</v>
      </c>
      <c r="C128" s="303" t="s">
        <v>958</v>
      </c>
      <c r="D128" s="648" t="s">
        <v>959</v>
      </c>
      <c r="E128" s="203"/>
      <c r="F128" s="308">
        <v>0</v>
      </c>
      <c r="J128" s="461">
        <f>SUM(F128:I128)</f>
        <v>0</v>
      </c>
      <c r="M128" s="321"/>
    </row>
    <row r="129" spans="1:14">
      <c r="D129" s="648" t="s">
        <v>780</v>
      </c>
      <c r="F129" s="308">
        <v>0</v>
      </c>
      <c r="J129" s="461">
        <f>SUM(F129:I129)</f>
        <v>0</v>
      </c>
      <c r="M129" s="321"/>
    </row>
    <row r="130" spans="1:14" ht="15">
      <c r="A130" s="296"/>
      <c r="B130" s="296"/>
      <c r="C130" s="303"/>
      <c r="D130" s="194"/>
      <c r="E130" s="308"/>
      <c r="F130" s="501">
        <f>SUM(F128:F129)</f>
        <v>0</v>
      </c>
      <c r="G130" s="652">
        <f>SUM(G128:G129)</f>
        <v>0</v>
      </c>
      <c r="H130" s="652">
        <f t="shared" ref="H130:I130" si="37">SUM(H128:H129)</f>
        <v>0</v>
      </c>
      <c r="I130" s="652">
        <f t="shared" si="37"/>
        <v>0</v>
      </c>
      <c r="J130" s="434">
        <f>SUM(J128:J129)</f>
        <v>0</v>
      </c>
      <c r="K130" s="194"/>
      <c r="L130" s="500"/>
      <c r="M130" s="321"/>
      <c r="N130" s="84"/>
    </row>
    <row r="131" spans="1:14">
      <c r="D131" s="649" t="s">
        <v>960</v>
      </c>
      <c r="F131" s="650">
        <f t="shared" ref="F131:I131" si="38">F22+F31+F43+F52+F59+F67+F84+F90+F93+F105+F110+F114+F118+F123+F126+F120+F130</f>
        <v>0</v>
      </c>
      <c r="G131" s="650">
        <f t="shared" si="38"/>
        <v>0</v>
      </c>
      <c r="H131" s="650">
        <f t="shared" si="38"/>
        <v>0</v>
      </c>
      <c r="I131" s="650">
        <f t="shared" si="38"/>
        <v>0</v>
      </c>
      <c r="J131" s="650">
        <f>J22+J31+J43+J52+J59+J67+J84+J90+J93+J105+J110+J114+J118+J123+J126+J120+J130</f>
        <v>600440.78199999989</v>
      </c>
      <c r="K131" s="650">
        <f>K22+K31+K43+K52+K59+K67+K84+K90+K93+K105+K110+K114+K118+K123+K126+K120+K130</f>
        <v>121827401.05293556</v>
      </c>
      <c r="L131" s="500">
        <f>(J131-K131)/K131</f>
        <v>-0.9950713815052239</v>
      </c>
      <c r="M131" s="321"/>
    </row>
    <row r="132" spans="1:14">
      <c r="C132" s="650" t="s">
        <v>961</v>
      </c>
      <c r="D132" s="194"/>
      <c r="M132" s="321"/>
    </row>
    <row r="133" spans="1:14" s="315" customFormat="1">
      <c r="A133" s="314"/>
      <c r="E133" s="316"/>
      <c r="F133" s="316"/>
      <c r="G133" s="316"/>
      <c r="H133" s="316"/>
      <c r="I133" s="316"/>
      <c r="J133" s="317"/>
      <c r="K133" s="317"/>
      <c r="L133" s="500"/>
      <c r="M133" s="320"/>
    </row>
    <row r="134" spans="1:14">
      <c r="A134" s="296" t="s">
        <v>962</v>
      </c>
      <c r="B134" s="296"/>
      <c r="C134" s="319" t="s">
        <v>963</v>
      </c>
      <c r="D134" s="304"/>
      <c r="E134" s="308"/>
      <c r="M134" s="321"/>
    </row>
    <row r="135" spans="1:14">
      <c r="A135" s="296"/>
      <c r="B135" s="296"/>
      <c r="C135" s="319" t="s">
        <v>964</v>
      </c>
      <c r="D135" s="304"/>
      <c r="E135" s="308"/>
    </row>
    <row r="136" spans="1:14">
      <c r="A136" s="296"/>
      <c r="B136" s="296"/>
      <c r="C136" s="319" t="s">
        <v>965</v>
      </c>
      <c r="D136" s="304"/>
      <c r="E136" s="308"/>
    </row>
    <row r="137" spans="1:14">
      <c r="A137" s="296"/>
      <c r="B137" s="296"/>
      <c r="C137" s="319" t="s">
        <v>966</v>
      </c>
      <c r="D137" s="304"/>
      <c r="E137" s="308"/>
    </row>
    <row r="138" spans="1:14">
      <c r="E138" s="308"/>
    </row>
    <row r="140" spans="1:14" ht="25.5">
      <c r="A140" s="319" t="s">
        <v>843</v>
      </c>
      <c r="C140" s="489" t="s">
        <v>967</v>
      </c>
      <c r="K140" s="635" t="s">
        <v>968</v>
      </c>
    </row>
    <row r="141" spans="1:14">
      <c r="C141" s="796"/>
      <c r="D141" s="648" t="s">
        <v>969</v>
      </c>
      <c r="E141" s="308">
        <v>34000</v>
      </c>
      <c r="F141" s="477">
        <f t="shared" ref="F141:I141" si="39">$E141*3</f>
        <v>102000</v>
      </c>
      <c r="G141" s="477">
        <f t="shared" si="39"/>
        <v>102000</v>
      </c>
      <c r="H141" s="477">
        <f t="shared" si="39"/>
        <v>102000</v>
      </c>
      <c r="I141" s="477">
        <f t="shared" si="39"/>
        <v>102000</v>
      </c>
      <c r="J141" s="308">
        <f t="shared" ref="J141:J155" si="40">SUM(F141:I141)</f>
        <v>408000</v>
      </c>
      <c r="K141" s="288">
        <v>372000</v>
      </c>
      <c r="L141" s="500">
        <f t="shared" ref="L141:L155" si="41">(J141-K141)/K141</f>
        <v>9.6774193548387094E-2</v>
      </c>
      <c r="M141" s="84" t="s">
        <v>718</v>
      </c>
    </row>
    <row r="142" spans="1:14">
      <c r="A142" s="319"/>
      <c r="C142" s="796"/>
      <c r="D142" s="648" t="s">
        <v>970</v>
      </c>
      <c r="E142" s="308">
        <f>E141*15.7%</f>
        <v>5338</v>
      </c>
      <c r="F142" s="477">
        <f>$E142*3</f>
        <v>16014</v>
      </c>
      <c r="G142" s="477">
        <f>$E142*3</f>
        <v>16014</v>
      </c>
      <c r="H142" s="477">
        <f>$E142*3</f>
        <v>16014</v>
      </c>
      <c r="I142" s="477">
        <f>$E142*3</f>
        <v>16014</v>
      </c>
      <c r="J142" s="288">
        <f t="shared" si="40"/>
        <v>64056</v>
      </c>
      <c r="K142" s="288">
        <v>58404</v>
      </c>
      <c r="L142" s="500">
        <f t="shared" si="41"/>
        <v>9.6774193548387094E-2</v>
      </c>
      <c r="M142" s="84" t="s">
        <v>724</v>
      </c>
    </row>
    <row r="143" spans="1:14">
      <c r="A143" s="319"/>
      <c r="C143" s="796"/>
      <c r="D143" s="287" t="s">
        <v>971</v>
      </c>
      <c r="E143" s="308">
        <f>3*817.12</f>
        <v>2451.36</v>
      </c>
      <c r="F143" s="477">
        <f t="shared" ref="F143:I147" si="42">$E143*3</f>
        <v>7354.08</v>
      </c>
      <c r="G143" s="477">
        <f t="shared" si="42"/>
        <v>7354.08</v>
      </c>
      <c r="H143" s="477">
        <f t="shared" si="42"/>
        <v>7354.08</v>
      </c>
      <c r="I143" s="477">
        <f t="shared" si="42"/>
        <v>7354.08</v>
      </c>
      <c r="J143" s="288">
        <f t="shared" si="40"/>
        <v>29416.32</v>
      </c>
      <c r="K143" s="636">
        <v>29416.32</v>
      </c>
      <c r="L143" s="500">
        <f t="shared" si="41"/>
        <v>0</v>
      </c>
      <c r="M143" s="84" t="s">
        <v>972</v>
      </c>
    </row>
    <row r="144" spans="1:14">
      <c r="A144" s="319"/>
      <c r="C144" s="796"/>
      <c r="D144" s="648" t="s">
        <v>973</v>
      </c>
      <c r="E144" s="308">
        <f>2*817.12</f>
        <v>1634.24</v>
      </c>
      <c r="F144" s="477">
        <f t="shared" si="42"/>
        <v>4902.72</v>
      </c>
      <c r="G144" s="477">
        <f t="shared" si="42"/>
        <v>4902.72</v>
      </c>
      <c r="H144" s="477">
        <f t="shared" si="42"/>
        <v>4902.72</v>
      </c>
      <c r="I144" s="477">
        <f t="shared" si="42"/>
        <v>4902.72</v>
      </c>
      <c r="J144" s="288">
        <f t="shared" si="40"/>
        <v>19610.88</v>
      </c>
      <c r="K144" s="636">
        <v>19610.88</v>
      </c>
      <c r="L144" s="500">
        <f t="shared" si="41"/>
        <v>0</v>
      </c>
      <c r="M144" s="84" t="s">
        <v>719</v>
      </c>
    </row>
    <row r="145" spans="1:13">
      <c r="C145" s="796"/>
      <c r="D145" s="648" t="s">
        <v>974</v>
      </c>
      <c r="E145" s="308">
        <f>[20]武汉研发中心!B12</f>
        <v>107.69999999999999</v>
      </c>
      <c r="F145" s="477">
        <f t="shared" si="42"/>
        <v>323.09999999999997</v>
      </c>
      <c r="G145" s="477">
        <f t="shared" si="42"/>
        <v>323.09999999999997</v>
      </c>
      <c r="H145" s="477">
        <f t="shared" si="42"/>
        <v>323.09999999999997</v>
      </c>
      <c r="I145" s="477">
        <f t="shared" si="42"/>
        <v>323.09999999999997</v>
      </c>
      <c r="J145" s="288">
        <f t="shared" si="40"/>
        <v>1292.3999999999999</v>
      </c>
      <c r="K145" s="288">
        <f>[20]武汉研发中心!B5</f>
        <v>1077</v>
      </c>
      <c r="L145" s="500">
        <f t="shared" si="41"/>
        <v>0.19999999999999987</v>
      </c>
      <c r="M145" s="84" t="s">
        <v>975</v>
      </c>
    </row>
    <row r="146" spans="1:13">
      <c r="C146" s="653"/>
      <c r="D146" s="648" t="s">
        <v>976</v>
      </c>
      <c r="E146" s="308">
        <f>[20]武汉研发中心!B32</f>
        <v>12446.460036363636</v>
      </c>
      <c r="F146" s="477">
        <f>$E146*3</f>
        <v>37339.380109090911</v>
      </c>
      <c r="G146" s="477">
        <f t="shared" si="42"/>
        <v>37339.380109090911</v>
      </c>
      <c r="H146" s="477">
        <f t="shared" si="42"/>
        <v>37339.380109090911</v>
      </c>
      <c r="I146" s="477">
        <f t="shared" si="42"/>
        <v>37339.380109090911</v>
      </c>
      <c r="J146" s="288">
        <f t="shared" si="40"/>
        <v>149357.52043636364</v>
      </c>
      <c r="K146" s="288">
        <f>[20]武汉研发中心!B28*12</f>
        <v>129876.10472727274</v>
      </c>
      <c r="L146" s="500">
        <f t="shared" si="41"/>
        <v>0.14999999999999991</v>
      </c>
      <c r="M146" s="84" t="s">
        <v>720</v>
      </c>
    </row>
    <row r="147" spans="1:13">
      <c r="C147" s="653"/>
      <c r="D147" s="648" t="s">
        <v>977</v>
      </c>
      <c r="E147" s="308">
        <f>156*115%</f>
        <v>179.39999999999998</v>
      </c>
      <c r="F147" s="477">
        <f>$E147*3</f>
        <v>538.19999999999993</v>
      </c>
      <c r="G147" s="477">
        <f t="shared" si="42"/>
        <v>538.19999999999993</v>
      </c>
      <c r="H147" s="477">
        <f t="shared" si="42"/>
        <v>538.19999999999993</v>
      </c>
      <c r="I147" s="477">
        <f t="shared" si="42"/>
        <v>538.19999999999993</v>
      </c>
      <c r="J147" s="288">
        <f t="shared" si="40"/>
        <v>2152.7999999999997</v>
      </c>
      <c r="K147" s="288">
        <f>156*12</f>
        <v>1872</v>
      </c>
      <c r="L147" s="500">
        <f t="shared" si="41"/>
        <v>0.14999999999999986</v>
      </c>
      <c r="M147" s="84" t="s">
        <v>978</v>
      </c>
    </row>
    <row r="148" spans="1:13">
      <c r="C148" s="653"/>
      <c r="D148" s="648" t="s">
        <v>948</v>
      </c>
      <c r="E148" s="308">
        <f>[20]武汉研发中心!B105</f>
        <v>146.36363636363635</v>
      </c>
      <c r="F148" s="477">
        <f t="shared" ref="F148:I155" si="43">$E148*3</f>
        <v>439.09090909090901</v>
      </c>
      <c r="G148" s="477">
        <f t="shared" si="43"/>
        <v>439.09090909090901</v>
      </c>
      <c r="H148" s="477">
        <f t="shared" si="43"/>
        <v>439.09090909090901</v>
      </c>
      <c r="I148" s="477">
        <f t="shared" si="43"/>
        <v>439.09090909090901</v>
      </c>
      <c r="J148" s="288">
        <f t="shared" si="40"/>
        <v>1756.363636363636</v>
      </c>
      <c r="K148" s="288">
        <f>[20]武汉研发中心!B101*12</f>
        <v>1527.2727272727273</v>
      </c>
      <c r="L148" s="500">
        <f t="shared" si="41"/>
        <v>0.1499999999999998</v>
      </c>
      <c r="M148" s="84" t="s">
        <v>721</v>
      </c>
    </row>
    <row r="149" spans="1:13" ht="25.5">
      <c r="C149" s="653"/>
      <c r="D149" s="648" t="s">
        <v>979</v>
      </c>
      <c r="E149" s="308"/>
      <c r="F149" s="477">
        <v>0</v>
      </c>
      <c r="G149" s="308">
        <f>2.57*115%*817.12</f>
        <v>2414.9981599999996</v>
      </c>
      <c r="I149" s="308">
        <f>2.57*115%*817.12</f>
        <v>2414.9981599999996</v>
      </c>
      <c r="J149" s="288">
        <f t="shared" si="40"/>
        <v>4829.9963199999993</v>
      </c>
      <c r="K149" s="288">
        <f>2.57*817.12</f>
        <v>2099.9983999999999</v>
      </c>
      <c r="L149" s="500">
        <f t="shared" si="41"/>
        <v>1.2999999999999998</v>
      </c>
      <c r="M149" s="84" t="s">
        <v>980</v>
      </c>
    </row>
    <row r="150" spans="1:13">
      <c r="D150" s="648" t="s">
        <v>981</v>
      </c>
      <c r="E150" s="308">
        <v>3950</v>
      </c>
      <c r="F150" s="477">
        <f t="shared" si="43"/>
        <v>11850</v>
      </c>
      <c r="G150" s="477">
        <f t="shared" si="43"/>
        <v>11850</v>
      </c>
      <c r="H150" s="477">
        <f t="shared" si="43"/>
        <v>11850</v>
      </c>
      <c r="I150" s="477">
        <f t="shared" si="43"/>
        <v>11850</v>
      </c>
      <c r="J150" s="288">
        <f t="shared" si="40"/>
        <v>47400</v>
      </c>
      <c r="K150" s="288">
        <v>47400</v>
      </c>
      <c r="L150" s="500">
        <f t="shared" si="41"/>
        <v>0</v>
      </c>
      <c r="M150" s="84" t="s">
        <v>725</v>
      </c>
    </row>
    <row r="151" spans="1:13">
      <c r="C151" s="653"/>
      <c r="D151" s="648" t="s">
        <v>982</v>
      </c>
      <c r="E151" s="308">
        <f>[20]武汉研发中心!B85</f>
        <v>43.386363636363633</v>
      </c>
      <c r="F151" s="477">
        <f t="shared" si="43"/>
        <v>130.15909090909091</v>
      </c>
      <c r="G151" s="477">
        <f t="shared" si="43"/>
        <v>130.15909090909091</v>
      </c>
      <c r="H151" s="477">
        <f t="shared" si="43"/>
        <v>130.15909090909091</v>
      </c>
      <c r="I151" s="477">
        <f t="shared" si="43"/>
        <v>130.15909090909091</v>
      </c>
      <c r="J151" s="288">
        <f t="shared" si="40"/>
        <v>520.63636363636363</v>
      </c>
      <c r="K151" s="288">
        <f>[20]武汉研发中心!B81*12</f>
        <v>452.72727272727275</v>
      </c>
      <c r="L151" s="500">
        <f t="shared" si="41"/>
        <v>0.14999999999999991</v>
      </c>
      <c r="M151" s="84" t="s">
        <v>721</v>
      </c>
    </row>
    <row r="152" spans="1:13">
      <c r="C152" s="653"/>
      <c r="D152" s="648" t="s">
        <v>983</v>
      </c>
      <c r="E152" s="308">
        <f>[20]武汉研发中心!B65</f>
        <v>1148.1537272727271</v>
      </c>
      <c r="F152" s="477">
        <f t="shared" si="43"/>
        <v>3444.4611818181811</v>
      </c>
      <c r="G152" s="477">
        <f t="shared" si="43"/>
        <v>3444.4611818181811</v>
      </c>
      <c r="H152" s="477">
        <f t="shared" si="43"/>
        <v>3444.4611818181811</v>
      </c>
      <c r="I152" s="477">
        <f t="shared" si="43"/>
        <v>3444.4611818181811</v>
      </c>
      <c r="J152" s="288">
        <f t="shared" si="40"/>
        <v>13777.844727272724</v>
      </c>
      <c r="K152" s="288">
        <f>[20]武汉研发中心!B61*12</f>
        <v>11980.734545454545</v>
      </c>
      <c r="L152" s="500">
        <f t="shared" si="41"/>
        <v>0.14999999999999983</v>
      </c>
      <c r="M152" s="84" t="s">
        <v>721</v>
      </c>
    </row>
    <row r="153" spans="1:13">
      <c r="C153" s="653"/>
      <c r="D153" s="648" t="s">
        <v>984</v>
      </c>
      <c r="E153" s="308">
        <v>2230</v>
      </c>
      <c r="F153" s="477">
        <f t="shared" si="43"/>
        <v>6690</v>
      </c>
      <c r="G153" s="477">
        <f t="shared" si="43"/>
        <v>6690</v>
      </c>
      <c r="H153" s="477">
        <f t="shared" si="43"/>
        <v>6690</v>
      </c>
      <c r="I153" s="477">
        <f t="shared" si="43"/>
        <v>6690</v>
      </c>
      <c r="J153" s="288">
        <f t="shared" si="40"/>
        <v>26760</v>
      </c>
      <c r="K153" s="288">
        <v>26760</v>
      </c>
      <c r="L153" s="500">
        <f t="shared" si="41"/>
        <v>0</v>
      </c>
      <c r="M153" s="84" t="s">
        <v>726</v>
      </c>
    </row>
    <row r="154" spans="1:13">
      <c r="C154" s="653"/>
      <c r="D154" s="648" t="s">
        <v>985</v>
      </c>
      <c r="E154" s="308">
        <f>[20]武汉研发中心!B120</f>
        <v>140.55555555555554</v>
      </c>
      <c r="F154" s="477">
        <f t="shared" si="43"/>
        <v>421.66666666666663</v>
      </c>
      <c r="G154" s="477">
        <f t="shared" si="43"/>
        <v>421.66666666666663</v>
      </c>
      <c r="H154" s="477">
        <f t="shared" si="43"/>
        <v>421.66666666666663</v>
      </c>
      <c r="I154" s="477">
        <f t="shared" si="43"/>
        <v>421.66666666666663</v>
      </c>
      <c r="J154" s="288">
        <f t="shared" si="40"/>
        <v>1686.6666666666665</v>
      </c>
      <c r="K154" s="288">
        <v>1466.7</v>
      </c>
      <c r="L154" s="500">
        <f t="shared" si="41"/>
        <v>0.14997386423035827</v>
      </c>
      <c r="M154" s="801" t="s">
        <v>727</v>
      </c>
    </row>
    <row r="155" spans="1:13" ht="20.25" customHeight="1">
      <c r="C155" s="653"/>
      <c r="D155" s="648" t="s">
        <v>986</v>
      </c>
      <c r="E155" s="308">
        <f>[20]武汉研发中心!B45</f>
        <v>546.33333333333337</v>
      </c>
      <c r="F155" s="477">
        <f t="shared" si="43"/>
        <v>1639</v>
      </c>
      <c r="G155" s="477">
        <f t="shared" si="43"/>
        <v>1639</v>
      </c>
      <c r="H155" s="477">
        <f t="shared" si="43"/>
        <v>1639</v>
      </c>
      <c r="I155" s="477">
        <f t="shared" si="43"/>
        <v>1639</v>
      </c>
      <c r="J155" s="288">
        <f t="shared" si="40"/>
        <v>6556</v>
      </c>
      <c r="K155" s="288">
        <f>[20]武汉研发中心!B39*12</f>
        <v>5960</v>
      </c>
      <c r="L155" s="500">
        <f t="shared" si="41"/>
        <v>0.1</v>
      </c>
      <c r="M155" s="84" t="s">
        <v>722</v>
      </c>
    </row>
    <row r="156" spans="1:13" ht="15">
      <c r="F156" s="652">
        <f>SUM(F141:F155)</f>
        <v>193085.85795757576</v>
      </c>
      <c r="G156" s="652">
        <f>SUM(G141:G155)</f>
        <v>195500.85611757575</v>
      </c>
      <c r="H156" s="652">
        <f t="shared" ref="H156:I156" si="44">SUM(H141:H155)</f>
        <v>193085.85795757576</v>
      </c>
      <c r="I156" s="652">
        <f t="shared" si="44"/>
        <v>195500.85611757575</v>
      </c>
      <c r="J156" s="652">
        <f>SUM(J141:J155)</f>
        <v>777173.42815030308</v>
      </c>
      <c r="K156" s="654">
        <f>SUM(K141:K155)</f>
        <v>709903.73767272721</v>
      </c>
      <c r="L156" s="500">
        <f>(J156-K156)/K156</f>
        <v>9.4758890406896099E-2</v>
      </c>
    </row>
    <row r="159" spans="1:13">
      <c r="D159" s="649" t="s">
        <v>987</v>
      </c>
      <c r="F159" s="650">
        <f t="shared" ref="F159:I159" si="45">+F131+F156</f>
        <v>193085.85795757576</v>
      </c>
      <c r="G159" s="650">
        <f t="shared" si="45"/>
        <v>195500.85611757575</v>
      </c>
      <c r="H159" s="650">
        <f t="shared" si="45"/>
        <v>193085.85795757576</v>
      </c>
      <c r="I159" s="650">
        <f t="shared" si="45"/>
        <v>195500.85611757575</v>
      </c>
      <c r="J159" s="650">
        <f>+J131+J156</f>
        <v>1377614.2101503029</v>
      </c>
      <c r="K159" s="650">
        <f>+K131+K156</f>
        <v>122537304.79060829</v>
      </c>
      <c r="L159" s="500">
        <f>(J159-K159)/K159</f>
        <v>-0.98875759335082192</v>
      </c>
      <c r="M159" s="86">
        <f>J159-K159</f>
        <v>-121159690.58045799</v>
      </c>
    </row>
    <row r="160" spans="1:13">
      <c r="A160" s="651" t="s">
        <v>1957</v>
      </c>
    </row>
  </sheetData>
  <mergeCells count="3">
    <mergeCell ref="K3:L3"/>
    <mergeCell ref="K4:K5"/>
    <mergeCell ref="L4:L5"/>
  </mergeCells>
  <phoneticPr fontId="1" type="noConversion"/>
  <printOptions horizontalCentered="1"/>
  <pageMargins left="0.23622047244094491" right="0.23622047244094491" top="0.43307086614173229" bottom="0.35433070866141736" header="0.31496062992125984" footer="0.15748031496062992"/>
  <pageSetup paperSize="8"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D238"/>
  <sheetViews>
    <sheetView showGridLines="0" topLeftCell="A61" workbookViewId="0">
      <selection activeCell="C3" sqref="C3:C5"/>
    </sheetView>
  </sheetViews>
  <sheetFormatPr defaultRowHeight="13.5"/>
  <cols>
    <col min="1" max="1" width="17.5" bestFit="1" customWidth="1"/>
    <col min="2" max="2" width="14.375" customWidth="1"/>
    <col min="3" max="3" width="22" customWidth="1"/>
  </cols>
  <sheetData>
    <row r="1" spans="1:4" ht="18" customHeight="1">
      <c r="A1" s="1318" t="s">
        <v>1290</v>
      </c>
      <c r="B1" s="1318"/>
      <c r="C1" s="1318"/>
      <c r="D1" s="618"/>
    </row>
    <row r="2" spans="1:4" ht="16.5">
      <c r="A2" s="619" t="s">
        <v>702</v>
      </c>
      <c r="B2" s="619" t="s">
        <v>703</v>
      </c>
      <c r="C2" s="619" t="s">
        <v>704</v>
      </c>
    </row>
    <row r="3" spans="1:4" ht="16.5">
      <c r="A3" s="619" t="s">
        <v>1291</v>
      </c>
      <c r="B3" s="620"/>
      <c r="C3" s="1316"/>
    </row>
    <row r="4" spans="1:4" ht="16.5">
      <c r="A4" s="621" t="s">
        <v>575</v>
      </c>
      <c r="B4" s="622"/>
      <c r="C4" s="1319"/>
    </row>
    <row r="5" spans="1:4" ht="16.5">
      <c r="A5" s="623" t="s">
        <v>1292</v>
      </c>
      <c r="B5" s="624">
        <f>B4/6</f>
        <v>0</v>
      </c>
      <c r="C5" s="1317"/>
    </row>
    <row r="6" spans="1:4" ht="16.5">
      <c r="A6" s="625"/>
      <c r="B6" s="626"/>
      <c r="C6" s="625"/>
      <c r="D6" s="627"/>
    </row>
    <row r="7" spans="1:4" ht="16.5">
      <c r="A7" s="803" t="s">
        <v>1294</v>
      </c>
      <c r="B7" s="628" t="s">
        <v>1295</v>
      </c>
      <c r="C7" s="803" t="s">
        <v>1296</v>
      </c>
    </row>
    <row r="8" spans="1:4" ht="16.5" customHeight="1">
      <c r="A8" s="619" t="s">
        <v>1297</v>
      </c>
      <c r="B8" s="620">
        <f>B5*6*120%</f>
        <v>0</v>
      </c>
      <c r="C8" s="1316"/>
    </row>
    <row r="9" spans="1:4" ht="16.5">
      <c r="A9" s="619" t="s">
        <v>1299</v>
      </c>
      <c r="B9" s="620">
        <f>B5*6*120%</f>
        <v>0</v>
      </c>
      <c r="C9" s="1319"/>
    </row>
    <row r="10" spans="1:4" ht="16.5">
      <c r="A10" s="621" t="s">
        <v>1301</v>
      </c>
      <c r="B10" s="622">
        <f>B8+B9</f>
        <v>0</v>
      </c>
      <c r="C10" s="1319"/>
    </row>
    <row r="11" spans="1:4" ht="16.5">
      <c r="A11" s="621" t="s">
        <v>1302</v>
      </c>
      <c r="B11" s="622">
        <f>B10/12</f>
        <v>0</v>
      </c>
      <c r="C11" s="1317"/>
    </row>
    <row r="13" spans="1:4" ht="18" customHeight="1">
      <c r="A13" s="1318" t="s">
        <v>1303</v>
      </c>
      <c r="B13" s="1318"/>
      <c r="C13" s="1318"/>
      <c r="D13" s="618"/>
    </row>
    <row r="14" spans="1:4" ht="16.5">
      <c r="A14" s="619" t="s">
        <v>706</v>
      </c>
      <c r="B14" s="619" t="s">
        <v>703</v>
      </c>
      <c r="C14" s="619" t="s">
        <v>704</v>
      </c>
    </row>
    <row r="15" spans="1:4" ht="16.5">
      <c r="A15" s="619" t="s">
        <v>707</v>
      </c>
      <c r="B15" s="629"/>
      <c r="C15" s="1320"/>
    </row>
    <row r="16" spans="1:4" ht="16.5">
      <c r="A16" s="619" t="s">
        <v>708</v>
      </c>
      <c r="B16" s="629"/>
      <c r="C16" s="1321"/>
    </row>
    <row r="17" spans="1:4" ht="16.5">
      <c r="A17" s="619" t="s">
        <v>709</v>
      </c>
      <c r="B17" s="629"/>
      <c r="C17" s="1321"/>
    </row>
    <row r="18" spans="1:4" ht="16.5">
      <c r="A18" s="619" t="s">
        <v>710</v>
      </c>
      <c r="B18" s="629"/>
      <c r="C18" s="1321"/>
    </row>
    <row r="19" spans="1:4" ht="16.5">
      <c r="A19" s="619" t="s">
        <v>711</v>
      </c>
      <c r="B19" s="629"/>
      <c r="C19" s="1321"/>
    </row>
    <row r="20" spans="1:4" ht="16.5">
      <c r="A20" s="619" t="s">
        <v>712</v>
      </c>
      <c r="B20" s="629"/>
      <c r="C20" s="1321"/>
    </row>
    <row r="21" spans="1:4" ht="16.5">
      <c r="A21" s="619" t="s">
        <v>713</v>
      </c>
      <c r="B21" s="629"/>
      <c r="C21" s="1321"/>
    </row>
    <row r="22" spans="1:4" ht="16.5">
      <c r="A22" s="619" t="s">
        <v>714</v>
      </c>
      <c r="B22" s="629"/>
      <c r="C22" s="1321"/>
    </row>
    <row r="23" spans="1:4" ht="16.5">
      <c r="A23" s="619" t="s">
        <v>715</v>
      </c>
      <c r="B23" s="629"/>
      <c r="C23" s="1321"/>
    </row>
    <row r="24" spans="1:4" ht="16.5">
      <c r="A24" s="621" t="s">
        <v>575</v>
      </c>
      <c r="B24" s="630">
        <f>SUM(B15:B23)</f>
        <v>0</v>
      </c>
      <c r="C24" s="1321"/>
    </row>
    <row r="25" spans="1:4" ht="16.5">
      <c r="A25" s="623" t="s">
        <v>1304</v>
      </c>
      <c r="B25" s="634">
        <f>B24/9</f>
        <v>0</v>
      </c>
      <c r="C25" s="1322"/>
    </row>
    <row r="26" spans="1:4" ht="16.5">
      <c r="A26" s="625"/>
      <c r="B26" s="631"/>
      <c r="C26" s="625"/>
    </row>
    <row r="27" spans="1:4" ht="16.5">
      <c r="A27" s="803" t="s">
        <v>1305</v>
      </c>
      <c r="B27" s="632" t="s">
        <v>1306</v>
      </c>
      <c r="C27" s="803" t="s">
        <v>1307</v>
      </c>
    </row>
    <row r="28" spans="1:4" ht="16.5">
      <c r="A28" s="621" t="s">
        <v>1308</v>
      </c>
      <c r="B28" s="630">
        <f>B25*12*120%</f>
        <v>0</v>
      </c>
      <c r="C28" s="1316"/>
    </row>
    <row r="29" spans="1:4" ht="16.5">
      <c r="A29" s="621" t="s">
        <v>1302</v>
      </c>
      <c r="B29" s="634">
        <f>B25*120%</f>
        <v>0</v>
      </c>
      <c r="C29" s="1317"/>
    </row>
    <row r="31" spans="1:4" ht="16.5">
      <c r="A31" s="1318" t="s">
        <v>1309</v>
      </c>
      <c r="B31" s="1318"/>
      <c r="C31" s="1318"/>
      <c r="D31" s="618"/>
    </row>
    <row r="32" spans="1:4" ht="16.5">
      <c r="A32" s="619" t="s">
        <v>1310</v>
      </c>
      <c r="B32" s="619" t="s">
        <v>1311</v>
      </c>
      <c r="C32" s="619" t="s">
        <v>1312</v>
      </c>
    </row>
    <row r="33" spans="1:4" ht="16.5">
      <c r="A33" s="619" t="s">
        <v>1313</v>
      </c>
      <c r="B33" s="620"/>
      <c r="C33" s="1316"/>
    </row>
    <row r="34" spans="1:4" ht="16.5">
      <c r="A34" s="619" t="s">
        <v>1315</v>
      </c>
      <c r="B34" s="620"/>
      <c r="C34" s="1319"/>
    </row>
    <row r="35" spans="1:4" ht="16.5">
      <c r="A35" s="621" t="s">
        <v>1316</v>
      </c>
      <c r="B35" s="622">
        <f>B33+B34</f>
        <v>0</v>
      </c>
      <c r="C35" s="1319"/>
    </row>
    <row r="36" spans="1:4" ht="16.5" customHeight="1">
      <c r="A36" s="623" t="s">
        <v>1317</v>
      </c>
      <c r="B36" s="624">
        <f>B35/12</f>
        <v>0</v>
      </c>
      <c r="C36" s="1317"/>
    </row>
    <row r="37" spans="1:4" ht="16.5">
      <c r="A37" s="625"/>
      <c r="B37" s="626"/>
      <c r="C37" s="625"/>
    </row>
    <row r="38" spans="1:4" ht="16.5">
      <c r="A38" s="803" t="s">
        <v>1318</v>
      </c>
      <c r="B38" s="628" t="s">
        <v>1311</v>
      </c>
      <c r="C38" s="803" t="s">
        <v>1312</v>
      </c>
    </row>
    <row r="39" spans="1:4" ht="16.5">
      <c r="A39" s="619" t="s">
        <v>1313</v>
      </c>
      <c r="B39" s="620">
        <f>B33*110%</f>
        <v>0</v>
      </c>
      <c r="C39" s="1316"/>
    </row>
    <row r="40" spans="1:4" ht="16.5">
      <c r="A40" s="619" t="s">
        <v>1315</v>
      </c>
      <c r="B40" s="620">
        <f>B34*110%</f>
        <v>0</v>
      </c>
      <c r="C40" s="1319"/>
    </row>
    <row r="41" spans="1:4" ht="16.5">
      <c r="A41" s="621" t="s">
        <v>1301</v>
      </c>
      <c r="B41" s="622">
        <f>B39+B40</f>
        <v>0</v>
      </c>
      <c r="C41" s="1319"/>
    </row>
    <row r="42" spans="1:4" ht="16.5" customHeight="1">
      <c r="A42" s="621" t="s">
        <v>1319</v>
      </c>
      <c r="B42" s="622">
        <f>B41/12</f>
        <v>0</v>
      </c>
      <c r="C42" s="1317"/>
    </row>
    <row r="44" spans="1:4" ht="16.5">
      <c r="A44" s="1318" t="s">
        <v>1320</v>
      </c>
      <c r="B44" s="1318"/>
      <c r="C44" s="1318"/>
      <c r="D44" s="618"/>
    </row>
    <row r="45" spans="1:4" ht="16.5">
      <c r="A45" s="619" t="s">
        <v>1321</v>
      </c>
      <c r="B45" s="619" t="s">
        <v>1311</v>
      </c>
      <c r="C45" s="619" t="s">
        <v>1312</v>
      </c>
    </row>
    <row r="46" spans="1:4" ht="16.5">
      <c r="A46" s="619" t="s">
        <v>1322</v>
      </c>
      <c r="B46" s="619"/>
      <c r="C46" s="1316"/>
    </row>
    <row r="47" spans="1:4" ht="16.5">
      <c r="A47" s="619" t="s">
        <v>708</v>
      </c>
      <c r="B47" s="619"/>
      <c r="C47" s="1319"/>
    </row>
    <row r="48" spans="1:4" ht="16.5">
      <c r="A48" s="619" t="s">
        <v>709</v>
      </c>
      <c r="B48" s="619"/>
      <c r="C48" s="1319"/>
    </row>
    <row r="49" spans="1:4" ht="16.5" customHeight="1">
      <c r="A49" s="619" t="s">
        <v>710</v>
      </c>
      <c r="B49" s="619"/>
      <c r="C49" s="1319"/>
    </row>
    <row r="50" spans="1:4" ht="16.5">
      <c r="A50" s="619" t="s">
        <v>711</v>
      </c>
      <c r="B50" s="619"/>
      <c r="C50" s="1319"/>
    </row>
    <row r="51" spans="1:4" ht="16.5">
      <c r="A51" s="619" t="s">
        <v>712</v>
      </c>
      <c r="B51" s="619"/>
      <c r="C51" s="1319"/>
    </row>
    <row r="52" spans="1:4" ht="16.5">
      <c r="A52" s="619" t="s">
        <v>713</v>
      </c>
      <c r="B52" s="619"/>
      <c r="C52" s="1319"/>
    </row>
    <row r="53" spans="1:4" ht="16.5">
      <c r="A53" s="619" t="s">
        <v>714</v>
      </c>
      <c r="B53" s="619"/>
      <c r="C53" s="1319"/>
    </row>
    <row r="54" spans="1:4" ht="16.5">
      <c r="A54" s="619" t="s">
        <v>715</v>
      </c>
      <c r="B54" s="619"/>
      <c r="C54" s="1319"/>
    </row>
    <row r="55" spans="1:4" ht="16.5">
      <c r="A55" s="619" t="s">
        <v>716</v>
      </c>
      <c r="B55" s="619"/>
      <c r="C55" s="1319"/>
    </row>
    <row r="56" spans="1:4" ht="16.5">
      <c r="A56" s="621" t="s">
        <v>822</v>
      </c>
      <c r="B56" s="621">
        <f>SUM(B46:B55)</f>
        <v>0</v>
      </c>
      <c r="C56" s="1319"/>
    </row>
    <row r="57" spans="1:4" ht="16.5">
      <c r="A57" s="623" t="s">
        <v>1323</v>
      </c>
      <c r="B57" s="633">
        <f>B56/10</f>
        <v>0</v>
      </c>
      <c r="C57" s="1317"/>
    </row>
    <row r="58" spans="1:4" ht="16.5">
      <c r="A58" s="625"/>
      <c r="B58" s="631"/>
      <c r="C58" s="625"/>
    </row>
    <row r="59" spans="1:4" ht="16.5">
      <c r="A59" s="803" t="s">
        <v>1324</v>
      </c>
      <c r="B59" s="632" t="s">
        <v>1325</v>
      </c>
      <c r="C59" s="803" t="s">
        <v>1326</v>
      </c>
    </row>
    <row r="60" spans="1:4" ht="16.5">
      <c r="A60" s="621" t="s">
        <v>1327</v>
      </c>
      <c r="B60" s="630">
        <f>B57*12*115%</f>
        <v>0</v>
      </c>
      <c r="C60" s="1316"/>
    </row>
    <row r="61" spans="1:4" ht="16.5">
      <c r="A61" s="621" t="s">
        <v>1328</v>
      </c>
      <c r="B61" s="630">
        <f>B57*115%</f>
        <v>0</v>
      </c>
      <c r="C61" s="1317"/>
    </row>
    <row r="63" spans="1:4" ht="16.5">
      <c r="A63" s="1318" t="s">
        <v>1329</v>
      </c>
      <c r="B63" s="1318"/>
      <c r="C63" s="1318"/>
      <c r="D63" s="618"/>
    </row>
    <row r="64" spans="1:4" ht="16.5" customHeight="1">
      <c r="A64" s="619" t="s">
        <v>1330</v>
      </c>
      <c r="B64" s="619" t="s">
        <v>1331</v>
      </c>
      <c r="C64" s="619" t="s">
        <v>1332</v>
      </c>
    </row>
    <row r="65" spans="1:3" ht="16.5">
      <c r="A65" s="619" t="s">
        <v>1333</v>
      </c>
      <c r="B65" s="619"/>
      <c r="C65" s="1320"/>
    </row>
    <row r="66" spans="1:3" ht="16.5">
      <c r="A66" s="619" t="s">
        <v>708</v>
      </c>
      <c r="B66" s="619"/>
      <c r="C66" s="1321"/>
    </row>
    <row r="67" spans="1:3" ht="16.5">
      <c r="A67" s="619" t="s">
        <v>709</v>
      </c>
      <c r="B67" s="619"/>
      <c r="C67" s="1321"/>
    </row>
    <row r="68" spans="1:3" ht="16.5">
      <c r="A68" s="619" t="s">
        <v>710</v>
      </c>
      <c r="B68" s="619"/>
      <c r="C68" s="1321"/>
    </row>
    <row r="69" spans="1:3" ht="16.5">
      <c r="A69" s="619" t="s">
        <v>711</v>
      </c>
      <c r="B69" s="619"/>
      <c r="C69" s="1321"/>
    </row>
    <row r="70" spans="1:3" ht="16.5">
      <c r="A70" s="619" t="s">
        <v>712</v>
      </c>
      <c r="B70" s="619"/>
      <c r="C70" s="1321"/>
    </row>
    <row r="71" spans="1:3" ht="16.5">
      <c r="A71" s="619" t="s">
        <v>713</v>
      </c>
      <c r="B71" s="619"/>
      <c r="C71" s="1321"/>
    </row>
    <row r="72" spans="1:3" ht="16.5">
      <c r="A72" s="619" t="s">
        <v>714</v>
      </c>
      <c r="B72" s="619"/>
      <c r="C72" s="1321"/>
    </row>
    <row r="73" spans="1:3" ht="16.5">
      <c r="A73" s="619" t="s">
        <v>715</v>
      </c>
      <c r="B73" s="619"/>
      <c r="C73" s="1321"/>
    </row>
    <row r="74" spans="1:3" ht="16.5">
      <c r="A74" s="619" t="s">
        <v>716</v>
      </c>
      <c r="B74" s="619"/>
      <c r="C74" s="1321"/>
    </row>
    <row r="75" spans="1:3" ht="16.5">
      <c r="A75" s="619" t="s">
        <v>717</v>
      </c>
      <c r="B75" s="619"/>
      <c r="C75" s="1321"/>
    </row>
    <row r="76" spans="1:3" ht="16.5">
      <c r="A76" s="621" t="s">
        <v>1334</v>
      </c>
      <c r="B76" s="621">
        <f>SUM(B65:B75)</f>
        <v>0</v>
      </c>
      <c r="C76" s="1321"/>
    </row>
    <row r="77" spans="1:3" ht="16.5">
      <c r="A77" s="623" t="s">
        <v>1335</v>
      </c>
      <c r="B77" s="633">
        <f>B76/11</f>
        <v>0</v>
      </c>
      <c r="C77" s="1322"/>
    </row>
    <row r="78" spans="1:3" ht="16.5">
      <c r="A78" s="625"/>
      <c r="B78" s="631"/>
      <c r="C78" s="625"/>
    </row>
    <row r="79" spans="1:3" ht="16.5">
      <c r="A79" s="803" t="s">
        <v>1336</v>
      </c>
      <c r="B79" s="632" t="s">
        <v>1337</v>
      </c>
      <c r="C79" s="803" t="s">
        <v>1338</v>
      </c>
    </row>
    <row r="80" spans="1:3" ht="16.5">
      <c r="A80" s="621" t="s">
        <v>1339</v>
      </c>
      <c r="B80" s="630">
        <f>B77*12*115%</f>
        <v>0</v>
      </c>
      <c r="C80" s="1316"/>
    </row>
    <row r="81" spans="1:4" ht="16.5">
      <c r="A81" s="621" t="s">
        <v>1340</v>
      </c>
      <c r="B81" s="630">
        <f>B77*115%</f>
        <v>0</v>
      </c>
      <c r="C81" s="1317"/>
    </row>
    <row r="83" spans="1:4" ht="16.5">
      <c r="A83" s="1318" t="s">
        <v>1341</v>
      </c>
      <c r="B83" s="1318"/>
      <c r="C83" s="1318"/>
      <c r="D83" s="618"/>
    </row>
    <row r="84" spans="1:4" ht="16.5" customHeight="1">
      <c r="A84" s="619" t="s">
        <v>1342</v>
      </c>
      <c r="B84" s="619" t="s">
        <v>1337</v>
      </c>
      <c r="C84" s="619" t="s">
        <v>1338</v>
      </c>
    </row>
    <row r="85" spans="1:4" ht="16.5">
      <c r="A85" s="619" t="s">
        <v>1343</v>
      </c>
      <c r="B85" s="619">
        <v>0</v>
      </c>
      <c r="C85" s="1320"/>
    </row>
    <row r="86" spans="1:4" ht="16.5">
      <c r="A86" s="619" t="s">
        <v>708</v>
      </c>
      <c r="B86" s="619">
        <v>0</v>
      </c>
      <c r="C86" s="1321"/>
    </row>
    <row r="87" spans="1:4" ht="16.5">
      <c r="A87" s="619" t="s">
        <v>709</v>
      </c>
      <c r="B87" s="619">
        <v>0</v>
      </c>
      <c r="C87" s="1321"/>
    </row>
    <row r="88" spans="1:4" ht="16.5">
      <c r="A88" s="619" t="s">
        <v>710</v>
      </c>
      <c r="B88" s="619">
        <v>0</v>
      </c>
      <c r="C88" s="1321"/>
    </row>
    <row r="89" spans="1:4" ht="16.5">
      <c r="A89" s="619" t="s">
        <v>711</v>
      </c>
      <c r="B89" s="619">
        <v>0</v>
      </c>
      <c r="C89" s="1321"/>
    </row>
    <row r="90" spans="1:4" ht="16.5">
      <c r="A90" s="619" t="s">
        <v>712</v>
      </c>
      <c r="B90" s="619">
        <v>0</v>
      </c>
      <c r="C90" s="1321"/>
    </row>
    <row r="91" spans="1:4" ht="16.5">
      <c r="A91" s="619" t="s">
        <v>713</v>
      </c>
      <c r="B91" s="619"/>
      <c r="C91" s="1321"/>
    </row>
    <row r="92" spans="1:4" ht="16.5">
      <c r="A92" s="619" t="s">
        <v>714</v>
      </c>
      <c r="B92" s="619"/>
      <c r="C92" s="1321"/>
    </row>
    <row r="93" spans="1:4" ht="16.5">
      <c r="A93" s="619" t="s">
        <v>715</v>
      </c>
      <c r="B93" s="619"/>
      <c r="C93" s="1321"/>
    </row>
    <row r="94" spans="1:4" ht="16.5">
      <c r="A94" s="619" t="s">
        <v>716</v>
      </c>
      <c r="B94" s="619"/>
      <c r="C94" s="1321"/>
    </row>
    <row r="95" spans="1:4" ht="16.5">
      <c r="A95" s="619" t="s">
        <v>717</v>
      </c>
      <c r="B95" s="619">
        <v>0</v>
      </c>
      <c r="C95" s="1321"/>
    </row>
    <row r="96" spans="1:4" ht="16.5">
      <c r="A96" s="621" t="s">
        <v>1344</v>
      </c>
      <c r="B96" s="621">
        <f>SUM(B85:B95)</f>
        <v>0</v>
      </c>
      <c r="C96" s="1321"/>
    </row>
    <row r="97" spans="1:4" ht="16.5">
      <c r="A97" s="623" t="s">
        <v>1345</v>
      </c>
      <c r="B97" s="633">
        <f>B96/11</f>
        <v>0</v>
      </c>
      <c r="C97" s="1322"/>
    </row>
    <row r="98" spans="1:4" ht="16.5">
      <c r="A98" s="625"/>
      <c r="B98" s="631"/>
      <c r="C98" s="625"/>
    </row>
    <row r="99" spans="1:4" ht="16.5">
      <c r="A99" s="803" t="s">
        <v>1346</v>
      </c>
      <c r="B99" s="632" t="s">
        <v>1347</v>
      </c>
      <c r="C99" s="803" t="s">
        <v>1348</v>
      </c>
    </row>
    <row r="100" spans="1:4" ht="16.5">
      <c r="A100" s="621" t="s">
        <v>1349</v>
      </c>
      <c r="B100" s="630">
        <f>B97*12*115%</f>
        <v>0</v>
      </c>
      <c r="C100" s="1316"/>
    </row>
    <row r="101" spans="1:4" ht="16.5">
      <c r="A101" s="621" t="s">
        <v>1350</v>
      </c>
      <c r="B101" s="630">
        <f>B97*115%</f>
        <v>0</v>
      </c>
      <c r="C101" s="1317"/>
    </row>
    <row r="103" spans="1:4" ht="16.5">
      <c r="A103" s="1318" t="s">
        <v>1351</v>
      </c>
      <c r="B103" s="1318"/>
      <c r="C103" s="1318"/>
      <c r="D103" s="618"/>
    </row>
    <row r="104" spans="1:4" ht="16.5" customHeight="1">
      <c r="A104" s="619" t="s">
        <v>1352</v>
      </c>
      <c r="B104" s="619" t="s">
        <v>1353</v>
      </c>
      <c r="C104" s="619" t="s">
        <v>1354</v>
      </c>
    </row>
    <row r="105" spans="1:4" ht="16.5">
      <c r="A105" s="619" t="s">
        <v>1355</v>
      </c>
      <c r="B105" s="629"/>
      <c r="C105" s="1316"/>
    </row>
    <row r="106" spans="1:4" ht="16.5">
      <c r="A106" s="619" t="s">
        <v>1356</v>
      </c>
      <c r="B106" s="629"/>
      <c r="C106" s="1319"/>
    </row>
    <row r="107" spans="1:4" ht="16.5">
      <c r="A107" s="619" t="s">
        <v>1357</v>
      </c>
      <c r="B107" s="629"/>
      <c r="C107" s="1319"/>
    </row>
    <row r="108" spans="1:4" ht="16.5">
      <c r="A108" s="619" t="s">
        <v>1358</v>
      </c>
      <c r="B108" s="629"/>
      <c r="C108" s="1319"/>
    </row>
    <row r="109" spans="1:4" ht="16.5">
      <c r="A109" s="621" t="s">
        <v>1359</v>
      </c>
      <c r="B109" s="630">
        <f>SUM(B105:B108)</f>
        <v>0</v>
      </c>
      <c r="C109" s="1319"/>
    </row>
    <row r="110" spans="1:4" ht="16.5">
      <c r="A110" s="623" t="s">
        <v>1360</v>
      </c>
      <c r="B110" s="633">
        <f>B109/12</f>
        <v>0</v>
      </c>
      <c r="C110" s="1317"/>
    </row>
    <row r="111" spans="1:4" ht="16.5">
      <c r="A111" s="625"/>
      <c r="B111" s="631"/>
    </row>
    <row r="112" spans="1:4" ht="16.5">
      <c r="A112" s="803" t="s">
        <v>1361</v>
      </c>
      <c r="B112" s="632" t="s">
        <v>1362</v>
      </c>
      <c r="C112" s="619" t="s">
        <v>1363</v>
      </c>
    </row>
    <row r="113" spans="1:4" ht="16.5">
      <c r="A113" s="619" t="s">
        <v>1364</v>
      </c>
      <c r="B113" s="629"/>
      <c r="C113" s="1316"/>
    </row>
    <row r="114" spans="1:4" ht="16.5">
      <c r="A114" s="619" t="s">
        <v>1365</v>
      </c>
      <c r="B114" s="629"/>
      <c r="C114" s="1319"/>
    </row>
    <row r="115" spans="1:4" ht="16.5">
      <c r="A115" s="619" t="s">
        <v>1366</v>
      </c>
      <c r="B115" s="629"/>
      <c r="C115" s="1319"/>
    </row>
    <row r="116" spans="1:4" ht="16.5" customHeight="1">
      <c r="A116" s="619" t="s">
        <v>1367</v>
      </c>
      <c r="B116" s="629"/>
      <c r="C116" s="1319"/>
    </row>
    <row r="117" spans="1:4" ht="16.5">
      <c r="A117" s="621" t="s">
        <v>1349</v>
      </c>
      <c r="B117" s="630">
        <f>SUM(B113:B116)</f>
        <v>0</v>
      </c>
      <c r="C117" s="1319"/>
    </row>
    <row r="118" spans="1:4" ht="16.5">
      <c r="A118" s="621" t="s">
        <v>1350</v>
      </c>
      <c r="B118" s="630">
        <f>B117/12</f>
        <v>0</v>
      </c>
      <c r="C118" s="1317"/>
    </row>
    <row r="120" spans="1:4" ht="16.5">
      <c r="A120" s="1318" t="s">
        <v>1368</v>
      </c>
      <c r="B120" s="1318"/>
      <c r="C120" s="1318"/>
      <c r="D120" s="618"/>
    </row>
    <row r="121" spans="1:4" ht="16.5">
      <c r="A121" s="619" t="s">
        <v>1369</v>
      </c>
      <c r="B121" s="619" t="s">
        <v>1370</v>
      </c>
      <c r="C121" s="619" t="s">
        <v>1371</v>
      </c>
    </row>
    <row r="122" spans="1:4" ht="16.5">
      <c r="A122" s="619" t="s">
        <v>1372</v>
      </c>
      <c r="B122" s="629"/>
      <c r="C122" s="1316"/>
    </row>
    <row r="123" spans="1:4" ht="16.5">
      <c r="A123" s="619" t="s">
        <v>1373</v>
      </c>
      <c r="B123" s="629"/>
      <c r="C123" s="1319"/>
    </row>
    <row r="124" spans="1:4" ht="16.5">
      <c r="A124" s="619" t="s">
        <v>1366</v>
      </c>
      <c r="B124" s="629"/>
      <c r="C124" s="1319"/>
    </row>
    <row r="125" spans="1:4" ht="16.5">
      <c r="A125" s="619" t="s">
        <v>1367</v>
      </c>
      <c r="B125" s="629"/>
      <c r="C125" s="1319"/>
    </row>
    <row r="126" spans="1:4" ht="16.5">
      <c r="A126" s="621" t="s">
        <v>1374</v>
      </c>
      <c r="B126" s="630">
        <f>SUM(B122:B125)</f>
        <v>0</v>
      </c>
      <c r="C126" s="1319"/>
    </row>
    <row r="127" spans="1:4" ht="16.5">
      <c r="A127" s="623" t="s">
        <v>1375</v>
      </c>
      <c r="B127" s="633">
        <f>B126/12</f>
        <v>0</v>
      </c>
      <c r="C127" s="1317"/>
    </row>
    <row r="128" spans="1:4" ht="16.5">
      <c r="A128" s="625"/>
      <c r="B128" s="631"/>
    </row>
    <row r="129" spans="1:4" ht="16.5">
      <c r="A129" s="803" t="s">
        <v>1346</v>
      </c>
      <c r="B129" s="632" t="s">
        <v>1347</v>
      </c>
      <c r="C129" s="619" t="s">
        <v>1348</v>
      </c>
    </row>
    <row r="130" spans="1:4" ht="16.5">
      <c r="A130" s="619" t="s">
        <v>1376</v>
      </c>
      <c r="B130" s="629"/>
      <c r="C130" s="1316"/>
    </row>
    <row r="131" spans="1:4" ht="16.5">
      <c r="A131" s="619" t="s">
        <v>1377</v>
      </c>
      <c r="B131" s="629"/>
      <c r="C131" s="1319"/>
    </row>
    <row r="132" spans="1:4" ht="16.5">
      <c r="A132" s="619" t="s">
        <v>1378</v>
      </c>
      <c r="B132" s="629"/>
      <c r="C132" s="1319"/>
    </row>
    <row r="133" spans="1:4" ht="16.5">
      <c r="A133" s="619" t="s">
        <v>1379</v>
      </c>
      <c r="B133" s="629"/>
      <c r="C133" s="1319"/>
    </row>
    <row r="134" spans="1:4" ht="16.5">
      <c r="A134" s="621" t="s">
        <v>1349</v>
      </c>
      <c r="B134" s="630">
        <f>SUM(B130:B133)</f>
        <v>0</v>
      </c>
      <c r="C134" s="1319"/>
    </row>
    <row r="135" spans="1:4" ht="16.5">
      <c r="A135" s="621" t="s">
        <v>1350</v>
      </c>
      <c r="B135" s="630">
        <f>B134/12</f>
        <v>0</v>
      </c>
      <c r="C135" s="1317"/>
    </row>
    <row r="137" spans="1:4" ht="16.5">
      <c r="A137" s="1318" t="s">
        <v>1380</v>
      </c>
      <c r="B137" s="1318"/>
      <c r="C137" s="1318"/>
      <c r="D137" s="618"/>
    </row>
    <row r="138" spans="1:4" ht="16.5">
      <c r="A138" s="619" t="s">
        <v>1352</v>
      </c>
      <c r="B138" s="619" t="s">
        <v>1353</v>
      </c>
      <c r="C138" s="619" t="s">
        <v>1354</v>
      </c>
    </row>
    <row r="139" spans="1:4" ht="16.5">
      <c r="A139" s="619" t="s">
        <v>1355</v>
      </c>
      <c r="B139" s="629"/>
      <c r="C139" s="1316"/>
    </row>
    <row r="140" spans="1:4" ht="16.5">
      <c r="A140" s="619" t="s">
        <v>1373</v>
      </c>
      <c r="B140" s="629"/>
      <c r="C140" s="1319"/>
    </row>
    <row r="141" spans="1:4" ht="16.5">
      <c r="A141" s="619" t="s">
        <v>1366</v>
      </c>
      <c r="B141" s="629"/>
      <c r="C141" s="1319"/>
    </row>
    <row r="142" spans="1:4" ht="16.5">
      <c r="A142" s="619" t="s">
        <v>1381</v>
      </c>
      <c r="B142" s="629"/>
      <c r="C142" s="1319"/>
    </row>
    <row r="143" spans="1:4" ht="16.5">
      <c r="A143" s="621" t="s">
        <v>1374</v>
      </c>
      <c r="B143" s="630">
        <f>SUM(B139:B142)</f>
        <v>0</v>
      </c>
      <c r="C143" s="1319"/>
    </row>
    <row r="144" spans="1:4" ht="16.5">
      <c r="A144" s="623" t="s">
        <v>1375</v>
      </c>
      <c r="B144" s="633">
        <f>B143/12</f>
        <v>0</v>
      </c>
      <c r="C144" s="1317"/>
    </row>
    <row r="145" spans="1:4" ht="16.5">
      <c r="A145" s="625"/>
      <c r="B145" s="631"/>
    </row>
    <row r="146" spans="1:4" ht="16.5">
      <c r="A146" s="803" t="s">
        <v>1361</v>
      </c>
      <c r="B146" s="632" t="s">
        <v>1362</v>
      </c>
      <c r="C146" s="619" t="s">
        <v>1363</v>
      </c>
    </row>
    <row r="147" spans="1:4" ht="16.5">
      <c r="A147" s="619" t="s">
        <v>1364</v>
      </c>
      <c r="B147" s="629"/>
      <c r="C147" s="1316"/>
    </row>
    <row r="148" spans="1:4" ht="16.5">
      <c r="A148" s="619" t="s">
        <v>1365</v>
      </c>
      <c r="B148" s="629"/>
      <c r="C148" s="1319"/>
    </row>
    <row r="149" spans="1:4" ht="16.5">
      <c r="A149" s="619" t="s">
        <v>1382</v>
      </c>
      <c r="B149" s="629"/>
      <c r="C149" s="1319"/>
    </row>
    <row r="150" spans="1:4" ht="16.5">
      <c r="A150" s="619" t="s">
        <v>1383</v>
      </c>
      <c r="B150" s="629"/>
      <c r="C150" s="1319"/>
    </row>
    <row r="151" spans="1:4" ht="16.5">
      <c r="A151" s="621" t="s">
        <v>1384</v>
      </c>
      <c r="B151" s="630">
        <f>SUM(B147:B150)</f>
        <v>0</v>
      </c>
      <c r="C151" s="1319"/>
    </row>
    <row r="152" spans="1:4" ht="16.5">
      <c r="A152" s="621" t="s">
        <v>1385</v>
      </c>
      <c r="B152" s="630">
        <f>B151/12</f>
        <v>0</v>
      </c>
      <c r="C152" s="1317"/>
    </row>
    <row r="154" spans="1:4" ht="16.5">
      <c r="A154" s="1318" t="s">
        <v>1386</v>
      </c>
      <c r="B154" s="1318"/>
      <c r="C154" s="1318"/>
      <c r="D154" s="618"/>
    </row>
    <row r="155" spans="1:4" ht="16.5">
      <c r="A155" s="619" t="s">
        <v>702</v>
      </c>
      <c r="B155" s="619" t="s">
        <v>703</v>
      </c>
      <c r="C155" s="619" t="s">
        <v>704</v>
      </c>
    </row>
    <row r="156" spans="1:4" ht="16.5">
      <c r="A156" s="619" t="s">
        <v>1291</v>
      </c>
      <c r="B156" s="629"/>
      <c r="C156" s="1316"/>
    </row>
    <row r="157" spans="1:4" ht="16.5">
      <c r="A157" s="619" t="s">
        <v>1298</v>
      </c>
      <c r="B157" s="629"/>
      <c r="C157" s="1319"/>
    </row>
    <row r="158" spans="1:4" ht="16.5">
      <c r="A158" s="621" t="s">
        <v>575</v>
      </c>
      <c r="B158" s="630">
        <f>SUM(B156:B157)</f>
        <v>0</v>
      </c>
      <c r="C158" s="1319"/>
    </row>
    <row r="159" spans="1:4" ht="16.5">
      <c r="A159" s="623" t="s">
        <v>705</v>
      </c>
      <c r="B159" s="633">
        <f>B158/12</f>
        <v>0</v>
      </c>
      <c r="C159" s="1317"/>
    </row>
    <row r="160" spans="1:4" ht="16.5">
      <c r="A160" s="625"/>
      <c r="B160" s="631"/>
    </row>
    <row r="161" spans="1:4" ht="16.5">
      <c r="A161" s="803" t="s">
        <v>1293</v>
      </c>
      <c r="B161" s="632" t="s">
        <v>703</v>
      </c>
      <c r="C161" s="619" t="s">
        <v>704</v>
      </c>
    </row>
    <row r="162" spans="1:4" ht="16.5">
      <c r="A162" s="619" t="s">
        <v>1291</v>
      </c>
      <c r="B162" s="629"/>
      <c r="C162" s="1316"/>
    </row>
    <row r="163" spans="1:4" ht="16.5">
      <c r="A163" s="619" t="s">
        <v>1298</v>
      </c>
      <c r="B163" s="629"/>
      <c r="C163" s="1319"/>
    </row>
    <row r="164" spans="1:4" ht="16.5">
      <c r="A164" s="621" t="s">
        <v>1300</v>
      </c>
      <c r="B164" s="630">
        <f>SUM(B162:B163)</f>
        <v>0</v>
      </c>
      <c r="C164" s="1319"/>
    </row>
    <row r="165" spans="1:4" ht="16.5">
      <c r="A165" s="621" t="s">
        <v>1387</v>
      </c>
      <c r="B165" s="630">
        <f>B164/12</f>
        <v>0</v>
      </c>
      <c r="C165" s="1317"/>
    </row>
    <row r="167" spans="1:4" ht="16.5">
      <c r="A167" s="1318" t="s">
        <v>1388</v>
      </c>
      <c r="B167" s="1318"/>
      <c r="C167" s="1318"/>
      <c r="D167" s="618"/>
    </row>
    <row r="168" spans="1:4" ht="16.5">
      <c r="A168" s="619" t="s">
        <v>1389</v>
      </c>
      <c r="B168" s="619" t="s">
        <v>1362</v>
      </c>
      <c r="C168" s="619" t="s">
        <v>1363</v>
      </c>
    </row>
    <row r="169" spans="1:4" ht="16.5">
      <c r="A169" s="619" t="s">
        <v>1390</v>
      </c>
      <c r="B169" s="629"/>
      <c r="C169" s="1316"/>
    </row>
    <row r="170" spans="1:4" ht="16.5">
      <c r="A170" s="619" t="s">
        <v>1391</v>
      </c>
      <c r="B170" s="629"/>
      <c r="C170" s="1319"/>
    </row>
    <row r="171" spans="1:4" ht="16.5">
      <c r="A171" s="621" t="s">
        <v>1374</v>
      </c>
      <c r="B171" s="630">
        <f>SUM(B169:B170)</f>
        <v>0</v>
      </c>
      <c r="C171" s="1319"/>
    </row>
    <row r="172" spans="1:4" ht="16.5">
      <c r="A172" s="623" t="s">
        <v>1392</v>
      </c>
      <c r="B172" s="633">
        <f>B171/12</f>
        <v>0</v>
      </c>
      <c r="C172" s="1317"/>
    </row>
    <row r="173" spans="1:4" ht="16.5">
      <c r="A173" s="625"/>
      <c r="B173" s="631"/>
    </row>
    <row r="174" spans="1:4" ht="16.5">
      <c r="A174" s="803" t="s">
        <v>1293</v>
      </c>
      <c r="B174" s="632" t="s">
        <v>703</v>
      </c>
      <c r="C174" s="619" t="s">
        <v>704</v>
      </c>
    </row>
    <row r="175" spans="1:4" ht="16.5">
      <c r="A175" s="619" t="s">
        <v>1291</v>
      </c>
      <c r="B175" s="629"/>
      <c r="C175" s="1316"/>
    </row>
    <row r="176" spans="1:4" ht="16.5">
      <c r="A176" s="619" t="s">
        <v>1298</v>
      </c>
      <c r="B176" s="629"/>
      <c r="C176" s="1319"/>
    </row>
    <row r="177" spans="1:4" ht="16.5">
      <c r="A177" s="621" t="s">
        <v>1300</v>
      </c>
      <c r="B177" s="630">
        <f>SUM(B175:B176)</f>
        <v>0</v>
      </c>
      <c r="C177" s="1319"/>
    </row>
    <row r="178" spans="1:4" ht="16.5">
      <c r="A178" s="621" t="s">
        <v>1387</v>
      </c>
      <c r="B178" s="630">
        <f>B177/12</f>
        <v>0</v>
      </c>
      <c r="C178" s="1317"/>
    </row>
    <row r="180" spans="1:4" ht="16.5">
      <c r="A180" s="1318" t="s">
        <v>1393</v>
      </c>
      <c r="B180" s="1318"/>
      <c r="C180" s="1318"/>
      <c r="D180" s="618"/>
    </row>
    <row r="181" spans="1:4" ht="16.5">
      <c r="A181" s="619" t="s">
        <v>702</v>
      </c>
      <c r="B181" s="619" t="s">
        <v>703</v>
      </c>
      <c r="C181" s="619" t="s">
        <v>704</v>
      </c>
    </row>
    <row r="182" spans="1:4" ht="16.5">
      <c r="A182" s="619" t="s">
        <v>572</v>
      </c>
      <c r="B182" s="629"/>
      <c r="C182" s="1316"/>
    </row>
    <row r="183" spans="1:4" ht="16.5">
      <c r="A183" s="619" t="s">
        <v>1394</v>
      </c>
      <c r="B183" s="629"/>
      <c r="C183" s="1319"/>
    </row>
    <row r="184" spans="1:4" ht="16.5">
      <c r="A184" s="619" t="s">
        <v>1395</v>
      </c>
      <c r="B184" s="629"/>
      <c r="C184" s="1319"/>
    </row>
    <row r="185" spans="1:4" ht="16.5">
      <c r="A185" s="619" t="s">
        <v>1396</v>
      </c>
      <c r="B185" s="629"/>
      <c r="C185" s="1319"/>
    </row>
    <row r="186" spans="1:4" ht="16.5">
      <c r="A186" s="621" t="s">
        <v>1397</v>
      </c>
      <c r="B186" s="630">
        <f>SUM(B182:B185)</f>
        <v>0</v>
      </c>
      <c r="C186" s="1319"/>
    </row>
    <row r="187" spans="1:4" ht="16.5">
      <c r="A187" s="623" t="s">
        <v>1398</v>
      </c>
      <c r="B187" s="633">
        <f>B186/12</f>
        <v>0</v>
      </c>
      <c r="C187" s="1317"/>
    </row>
    <row r="188" spans="1:4" ht="16.5">
      <c r="A188" s="625"/>
      <c r="B188" s="631"/>
    </row>
    <row r="189" spans="1:4" ht="16.5">
      <c r="A189" s="803" t="s">
        <v>1399</v>
      </c>
      <c r="B189" s="632" t="s">
        <v>1400</v>
      </c>
      <c r="C189" s="619" t="s">
        <v>1401</v>
      </c>
    </row>
    <row r="190" spans="1:4" ht="16.5">
      <c r="A190" s="619" t="s">
        <v>1402</v>
      </c>
      <c r="B190" s="629"/>
      <c r="C190" s="1323"/>
    </row>
    <row r="191" spans="1:4" ht="16.5">
      <c r="A191" s="619" t="s">
        <v>1394</v>
      </c>
      <c r="B191" s="629"/>
      <c r="C191" s="1324"/>
    </row>
    <row r="192" spans="1:4" ht="16.5">
      <c r="A192" s="619" t="s">
        <v>574</v>
      </c>
      <c r="B192" s="629"/>
      <c r="C192" s="1324"/>
    </row>
    <row r="193" spans="1:4" ht="16.5">
      <c r="A193" s="619" t="s">
        <v>1396</v>
      </c>
      <c r="B193" s="629"/>
      <c r="C193" s="1324"/>
    </row>
    <row r="194" spans="1:4" ht="16.5">
      <c r="A194" s="621" t="s">
        <v>1300</v>
      </c>
      <c r="B194" s="630">
        <f>SUM(B190:B193)</f>
        <v>0</v>
      </c>
      <c r="C194" s="1324"/>
    </row>
    <row r="195" spans="1:4" ht="16.5">
      <c r="A195" s="621" t="s">
        <v>1387</v>
      </c>
      <c r="B195" s="630">
        <f>B194/12</f>
        <v>0</v>
      </c>
      <c r="C195" s="1325"/>
    </row>
    <row r="197" spans="1:4" ht="16.5">
      <c r="A197" s="1318" t="s">
        <v>1403</v>
      </c>
      <c r="B197" s="1318"/>
      <c r="C197" s="1318"/>
      <c r="D197" s="618"/>
    </row>
    <row r="198" spans="1:4" ht="16.5">
      <c r="A198" s="619" t="s">
        <v>702</v>
      </c>
      <c r="B198" s="619" t="s">
        <v>703</v>
      </c>
      <c r="C198" s="619" t="s">
        <v>704</v>
      </c>
    </row>
    <row r="199" spans="1:4" ht="16.5">
      <c r="A199" s="619" t="s">
        <v>572</v>
      </c>
      <c r="B199" s="629"/>
      <c r="C199" s="1316"/>
    </row>
    <row r="200" spans="1:4" ht="16.5">
      <c r="A200" s="619" t="s">
        <v>1394</v>
      </c>
      <c r="B200" s="629"/>
      <c r="C200" s="1319"/>
    </row>
    <row r="201" spans="1:4" ht="16.5">
      <c r="A201" s="619" t="s">
        <v>574</v>
      </c>
      <c r="B201" s="629"/>
      <c r="C201" s="1319"/>
    </row>
    <row r="202" spans="1:4" ht="16.5">
      <c r="A202" s="619" t="s">
        <v>1396</v>
      </c>
      <c r="B202" s="629"/>
      <c r="C202" s="1319"/>
    </row>
    <row r="203" spans="1:4" ht="16.5">
      <c r="A203" s="621" t="s">
        <v>575</v>
      </c>
      <c r="B203" s="630">
        <f>SUM(B199:B202)</f>
        <v>0</v>
      </c>
      <c r="C203" s="1319"/>
    </row>
    <row r="204" spans="1:4" ht="16.5">
      <c r="A204" s="623" t="s">
        <v>1404</v>
      </c>
      <c r="B204" s="633">
        <f>B203/12</f>
        <v>0</v>
      </c>
      <c r="C204" s="1317"/>
    </row>
    <row r="205" spans="1:4" ht="16.5">
      <c r="A205" s="625"/>
      <c r="B205" s="631"/>
    </row>
    <row r="206" spans="1:4" ht="16.5">
      <c r="A206" s="803" t="s">
        <v>1405</v>
      </c>
      <c r="B206" s="632" t="s">
        <v>1406</v>
      </c>
      <c r="C206" s="619" t="s">
        <v>1407</v>
      </c>
    </row>
    <row r="207" spans="1:4" ht="16.5">
      <c r="A207" s="619" t="s">
        <v>1408</v>
      </c>
      <c r="B207" s="629"/>
      <c r="C207" s="1323"/>
    </row>
    <row r="208" spans="1:4" ht="16.5">
      <c r="A208" s="619" t="s">
        <v>1394</v>
      </c>
      <c r="B208" s="629"/>
      <c r="C208" s="1324"/>
    </row>
    <row r="209" spans="1:4" ht="16.5">
      <c r="A209" s="619" t="s">
        <v>1409</v>
      </c>
      <c r="B209" s="629"/>
      <c r="C209" s="1324"/>
    </row>
    <row r="210" spans="1:4" ht="16.5">
      <c r="A210" s="619" t="s">
        <v>1396</v>
      </c>
      <c r="B210" s="629"/>
      <c r="C210" s="1324"/>
    </row>
    <row r="211" spans="1:4" ht="16.5">
      <c r="A211" s="621" t="s">
        <v>1410</v>
      </c>
      <c r="B211" s="630">
        <f>SUM(B207:B210)</f>
        <v>0</v>
      </c>
      <c r="C211" s="1324"/>
    </row>
    <row r="212" spans="1:4" ht="16.5">
      <c r="A212" s="621" t="s">
        <v>1411</v>
      </c>
      <c r="B212" s="630">
        <f>B211/12</f>
        <v>0</v>
      </c>
      <c r="C212" s="1325"/>
    </row>
    <row r="214" spans="1:4" ht="16.5">
      <c r="A214" s="1318" t="s">
        <v>1412</v>
      </c>
      <c r="B214" s="1318"/>
      <c r="C214" s="1318"/>
      <c r="D214" s="618"/>
    </row>
    <row r="215" spans="1:4" ht="16.5">
      <c r="A215" s="619" t="s">
        <v>1413</v>
      </c>
      <c r="B215" s="619" t="s">
        <v>1406</v>
      </c>
      <c r="C215" s="619" t="s">
        <v>1407</v>
      </c>
    </row>
    <row r="216" spans="1:4" ht="16.5">
      <c r="A216" s="619" t="s">
        <v>1414</v>
      </c>
      <c r="B216" s="629"/>
      <c r="C216" s="1316"/>
    </row>
    <row r="217" spans="1:4" ht="16.5">
      <c r="A217" s="619" t="s">
        <v>1415</v>
      </c>
      <c r="B217" s="629"/>
      <c r="C217" s="1319"/>
    </row>
    <row r="218" spans="1:4" ht="16.5">
      <c r="A218" s="621" t="s">
        <v>1416</v>
      </c>
      <c r="B218" s="630">
        <f>SUM(B216:B217)</f>
        <v>0</v>
      </c>
      <c r="C218" s="1319"/>
    </row>
    <row r="219" spans="1:4" ht="16.5">
      <c r="A219" s="623" t="s">
        <v>705</v>
      </c>
      <c r="B219" s="633">
        <f>B218/12</f>
        <v>0</v>
      </c>
      <c r="C219" s="1317"/>
    </row>
    <row r="220" spans="1:4" ht="16.5">
      <c r="A220" s="625"/>
      <c r="B220" s="631"/>
    </row>
    <row r="221" spans="1:4" ht="16.5">
      <c r="A221" s="803" t="s">
        <v>1293</v>
      </c>
      <c r="B221" s="632" t="s">
        <v>703</v>
      </c>
      <c r="C221" s="619" t="s">
        <v>704</v>
      </c>
    </row>
    <row r="222" spans="1:4" ht="16.5">
      <c r="A222" s="619" t="s">
        <v>1291</v>
      </c>
      <c r="B222" s="629">
        <f>B216*110%</f>
        <v>0</v>
      </c>
      <c r="C222" s="1316"/>
    </row>
    <row r="223" spans="1:4" ht="16.5">
      <c r="A223" s="619" t="s">
        <v>1298</v>
      </c>
      <c r="B223" s="629">
        <f>B217*110%</f>
        <v>0</v>
      </c>
      <c r="C223" s="1319"/>
    </row>
    <row r="224" spans="1:4" ht="16.5">
      <c r="A224" s="621" t="s">
        <v>1417</v>
      </c>
      <c r="B224" s="630">
        <f>SUM(B222:B223)</f>
        <v>0</v>
      </c>
      <c r="C224" s="1319"/>
    </row>
    <row r="225" spans="1:4" ht="16.5">
      <c r="A225" s="621" t="s">
        <v>1387</v>
      </c>
      <c r="B225" s="630">
        <f>B224/12</f>
        <v>0</v>
      </c>
      <c r="C225" s="1317"/>
    </row>
    <row r="227" spans="1:4" ht="16.5">
      <c r="A227" s="1318" t="s">
        <v>1418</v>
      </c>
      <c r="B227" s="1318"/>
      <c r="C227" s="1318"/>
      <c r="D227" s="618"/>
    </row>
    <row r="228" spans="1:4" ht="16.5">
      <c r="A228" s="619" t="s">
        <v>1419</v>
      </c>
      <c r="B228" s="619" t="s">
        <v>1420</v>
      </c>
      <c r="C228" s="619" t="s">
        <v>1421</v>
      </c>
    </row>
    <row r="229" spans="1:4" ht="16.5">
      <c r="A229" s="619" t="s">
        <v>1422</v>
      </c>
      <c r="B229" s="629"/>
      <c r="C229" s="1316"/>
    </row>
    <row r="230" spans="1:4" ht="16.5">
      <c r="A230" s="619" t="s">
        <v>1423</v>
      </c>
      <c r="B230" s="629"/>
      <c r="C230" s="1319"/>
    </row>
    <row r="231" spans="1:4" ht="16.5">
      <c r="A231" s="621" t="s">
        <v>1374</v>
      </c>
      <c r="B231" s="630">
        <f>SUM(B229:B230)</f>
        <v>0</v>
      </c>
      <c r="C231" s="1319"/>
    </row>
    <row r="232" spans="1:4" ht="16.5">
      <c r="A232" s="623" t="s">
        <v>705</v>
      </c>
      <c r="B232" s="633">
        <f>B231/8</f>
        <v>0</v>
      </c>
      <c r="C232" s="1317"/>
    </row>
    <row r="233" spans="1:4" ht="16.5">
      <c r="A233" s="625"/>
      <c r="B233" s="631"/>
    </row>
    <row r="234" spans="1:4" ht="16.5">
      <c r="A234" s="803" t="s">
        <v>1361</v>
      </c>
      <c r="B234" s="632" t="s">
        <v>1362</v>
      </c>
      <c r="C234" s="619" t="s">
        <v>1363</v>
      </c>
    </row>
    <row r="235" spans="1:4" ht="16.5">
      <c r="A235" s="619" t="s">
        <v>1390</v>
      </c>
      <c r="B235" s="629">
        <f>B232*6</f>
        <v>0</v>
      </c>
      <c r="C235" s="1316"/>
    </row>
    <row r="236" spans="1:4" ht="16.5">
      <c r="A236" s="619" t="s">
        <v>1298</v>
      </c>
      <c r="B236" s="629">
        <f>B232*6</f>
        <v>0</v>
      </c>
      <c r="C236" s="1319"/>
    </row>
    <row r="237" spans="1:4" ht="16.5">
      <c r="A237" s="621" t="s">
        <v>1424</v>
      </c>
      <c r="B237" s="630">
        <f>SUM(B235:B236)</f>
        <v>0</v>
      </c>
      <c r="C237" s="1319"/>
    </row>
    <row r="238" spans="1:4" ht="16.5">
      <c r="A238" s="621" t="s">
        <v>1350</v>
      </c>
      <c r="B238" s="630">
        <f>B237/12</f>
        <v>0</v>
      </c>
      <c r="C238" s="1317"/>
    </row>
  </sheetData>
  <mergeCells count="45">
    <mergeCell ref="A227:C227"/>
    <mergeCell ref="C229:C232"/>
    <mergeCell ref="C235:C238"/>
    <mergeCell ref="A197:C197"/>
    <mergeCell ref="C199:C204"/>
    <mergeCell ref="C207:C212"/>
    <mergeCell ref="A214:C214"/>
    <mergeCell ref="C216:C219"/>
    <mergeCell ref="C222:C225"/>
    <mergeCell ref="C190:C195"/>
    <mergeCell ref="A137:C137"/>
    <mergeCell ref="C139:C144"/>
    <mergeCell ref="C147:C152"/>
    <mergeCell ref="A154:C154"/>
    <mergeCell ref="C156:C159"/>
    <mergeCell ref="C162:C165"/>
    <mergeCell ref="A167:C167"/>
    <mergeCell ref="C169:C172"/>
    <mergeCell ref="C175:C178"/>
    <mergeCell ref="A180:C180"/>
    <mergeCell ref="C182:C187"/>
    <mergeCell ref="C130:C135"/>
    <mergeCell ref="A63:C63"/>
    <mergeCell ref="C65:C77"/>
    <mergeCell ref="C80:C81"/>
    <mergeCell ref="A83:C83"/>
    <mergeCell ref="C85:C97"/>
    <mergeCell ref="C100:C101"/>
    <mergeCell ref="A103:C103"/>
    <mergeCell ref="C105:C110"/>
    <mergeCell ref="C113:C118"/>
    <mergeCell ref="A120:C120"/>
    <mergeCell ref="C122:C127"/>
    <mergeCell ref="C60:C61"/>
    <mergeCell ref="A1:C1"/>
    <mergeCell ref="C3:C5"/>
    <mergeCell ref="C8:C11"/>
    <mergeCell ref="A13:C13"/>
    <mergeCell ref="C15:C25"/>
    <mergeCell ref="C28:C29"/>
    <mergeCell ref="A31:C31"/>
    <mergeCell ref="C33:C36"/>
    <mergeCell ref="C39:C42"/>
    <mergeCell ref="A44:C44"/>
    <mergeCell ref="C46:C57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60"/>
  <sheetViews>
    <sheetView showGridLines="0" zoomScale="90" zoomScaleNormal="90" workbookViewId="0">
      <pane xSplit="4" ySplit="6" topLeftCell="I37" activePane="bottomRight" state="frozen"/>
      <selection pane="topRight" activeCell="E1" sqref="E1"/>
      <selection pane="bottomLeft" activeCell="A7" sqref="A7"/>
      <selection pane="bottomRight" activeCell="M1" sqref="M1:M1048576"/>
    </sheetView>
  </sheetViews>
  <sheetFormatPr defaultRowHeight="12.75"/>
  <cols>
    <col min="1" max="1" width="9.625" style="76" bestFit="1" customWidth="1"/>
    <col min="2" max="2" width="28.625" style="76" customWidth="1"/>
    <col min="3" max="3" width="22.625" style="93" bestFit="1" customWidth="1"/>
    <col min="4" max="4" width="9.125" style="76" bestFit="1" customWidth="1"/>
    <col min="5" max="5" width="7.875" style="83" bestFit="1" customWidth="1"/>
    <col min="6" max="6" width="8.5" style="80" bestFit="1" customWidth="1"/>
    <col min="7" max="7" width="12.125" style="83" bestFit="1" customWidth="1"/>
    <col min="8" max="8" width="12.125" style="94" bestFit="1" customWidth="1"/>
    <col min="9" max="9" width="7.875" style="83" bestFit="1" customWidth="1"/>
    <col min="10" max="10" width="8.5" style="83" bestFit="1" customWidth="1"/>
    <col min="11" max="11" width="13.75" style="83" bestFit="1" customWidth="1"/>
    <col min="12" max="12" width="13" style="83" bestFit="1" customWidth="1"/>
    <col min="13" max="13" width="67.875" style="76" customWidth="1"/>
    <col min="14" max="15" width="9" style="76"/>
    <col min="16" max="16" width="13.75" style="76" customWidth="1"/>
    <col min="17" max="17" width="9" style="76"/>
    <col min="18" max="18" width="10.625" style="76" bestFit="1" customWidth="1"/>
    <col min="19" max="257" width="9" style="76"/>
    <col min="258" max="258" width="29" style="76" customWidth="1"/>
    <col min="259" max="259" width="10.75" style="76" customWidth="1"/>
    <col min="260" max="260" width="14.25" style="76" customWidth="1"/>
    <col min="261" max="261" width="14.5" style="76" customWidth="1"/>
    <col min="262" max="262" width="14.375" style="76" customWidth="1"/>
    <col min="263" max="263" width="16.75" style="76" customWidth="1"/>
    <col min="264" max="264" width="12.875" style="76" customWidth="1"/>
    <col min="265" max="265" width="7.375" style="76" customWidth="1"/>
    <col min="266" max="266" width="11.25" style="76" customWidth="1"/>
    <col min="267" max="267" width="14.625" style="76" customWidth="1"/>
    <col min="268" max="268" width="19.75" style="76" customWidth="1"/>
    <col min="269" max="269" width="14.125" style="76" bestFit="1" customWidth="1"/>
    <col min="270" max="513" width="9" style="76"/>
    <col min="514" max="514" width="29" style="76" customWidth="1"/>
    <col min="515" max="515" width="10.75" style="76" customWidth="1"/>
    <col min="516" max="516" width="14.25" style="76" customWidth="1"/>
    <col min="517" max="517" width="14.5" style="76" customWidth="1"/>
    <col min="518" max="518" width="14.375" style="76" customWidth="1"/>
    <col min="519" max="519" width="16.75" style="76" customWidth="1"/>
    <col min="520" max="520" width="12.875" style="76" customWidth="1"/>
    <col min="521" max="521" width="7.375" style="76" customWidth="1"/>
    <col min="522" max="522" width="11.25" style="76" customWidth="1"/>
    <col min="523" max="523" width="14.625" style="76" customWidth="1"/>
    <col min="524" max="524" width="19.75" style="76" customWidth="1"/>
    <col min="525" max="525" width="14.125" style="76" bestFit="1" customWidth="1"/>
    <col min="526" max="769" width="9" style="76"/>
    <col min="770" max="770" width="29" style="76" customWidth="1"/>
    <col min="771" max="771" width="10.75" style="76" customWidth="1"/>
    <col min="772" max="772" width="14.25" style="76" customWidth="1"/>
    <col min="773" max="773" width="14.5" style="76" customWidth="1"/>
    <col min="774" max="774" width="14.375" style="76" customWidth="1"/>
    <col min="775" max="775" width="16.75" style="76" customWidth="1"/>
    <col min="776" max="776" width="12.875" style="76" customWidth="1"/>
    <col min="777" max="777" width="7.375" style="76" customWidth="1"/>
    <col min="778" max="778" width="11.25" style="76" customWidth="1"/>
    <col min="779" max="779" width="14.625" style="76" customWidth="1"/>
    <col min="780" max="780" width="19.75" style="76" customWidth="1"/>
    <col min="781" max="781" width="14.125" style="76" bestFit="1" customWidth="1"/>
    <col min="782" max="1025" width="9" style="76"/>
    <col min="1026" max="1026" width="29" style="76" customWidth="1"/>
    <col min="1027" max="1027" width="10.75" style="76" customWidth="1"/>
    <col min="1028" max="1028" width="14.25" style="76" customWidth="1"/>
    <col min="1029" max="1029" width="14.5" style="76" customWidth="1"/>
    <col min="1030" max="1030" width="14.375" style="76" customWidth="1"/>
    <col min="1031" max="1031" width="16.75" style="76" customWidth="1"/>
    <col min="1032" max="1032" width="12.875" style="76" customWidth="1"/>
    <col min="1033" max="1033" width="7.375" style="76" customWidth="1"/>
    <col min="1034" max="1034" width="11.25" style="76" customWidth="1"/>
    <col min="1035" max="1035" width="14.625" style="76" customWidth="1"/>
    <col min="1036" max="1036" width="19.75" style="76" customWidth="1"/>
    <col min="1037" max="1037" width="14.125" style="76" bestFit="1" customWidth="1"/>
    <col min="1038" max="1281" width="9" style="76"/>
    <col min="1282" max="1282" width="29" style="76" customWidth="1"/>
    <col min="1283" max="1283" width="10.75" style="76" customWidth="1"/>
    <col min="1284" max="1284" width="14.25" style="76" customWidth="1"/>
    <col min="1285" max="1285" width="14.5" style="76" customWidth="1"/>
    <col min="1286" max="1286" width="14.375" style="76" customWidth="1"/>
    <col min="1287" max="1287" width="16.75" style="76" customWidth="1"/>
    <col min="1288" max="1288" width="12.875" style="76" customWidth="1"/>
    <col min="1289" max="1289" width="7.375" style="76" customWidth="1"/>
    <col min="1290" max="1290" width="11.25" style="76" customWidth="1"/>
    <col min="1291" max="1291" width="14.625" style="76" customWidth="1"/>
    <col min="1292" max="1292" width="19.75" style="76" customWidth="1"/>
    <col min="1293" max="1293" width="14.125" style="76" bestFit="1" customWidth="1"/>
    <col min="1294" max="1537" width="9" style="76"/>
    <col min="1538" max="1538" width="29" style="76" customWidth="1"/>
    <col min="1539" max="1539" width="10.75" style="76" customWidth="1"/>
    <col min="1540" max="1540" width="14.25" style="76" customWidth="1"/>
    <col min="1541" max="1541" width="14.5" style="76" customWidth="1"/>
    <col min="1542" max="1542" width="14.375" style="76" customWidth="1"/>
    <col min="1543" max="1543" width="16.75" style="76" customWidth="1"/>
    <col min="1544" max="1544" width="12.875" style="76" customWidth="1"/>
    <col min="1545" max="1545" width="7.375" style="76" customWidth="1"/>
    <col min="1546" max="1546" width="11.25" style="76" customWidth="1"/>
    <col min="1547" max="1547" width="14.625" style="76" customWidth="1"/>
    <col min="1548" max="1548" width="19.75" style="76" customWidth="1"/>
    <col min="1549" max="1549" width="14.125" style="76" bestFit="1" customWidth="1"/>
    <col min="1550" max="1793" width="9" style="76"/>
    <col min="1794" max="1794" width="29" style="76" customWidth="1"/>
    <col min="1795" max="1795" width="10.75" style="76" customWidth="1"/>
    <col min="1796" max="1796" width="14.25" style="76" customWidth="1"/>
    <col min="1797" max="1797" width="14.5" style="76" customWidth="1"/>
    <col min="1798" max="1798" width="14.375" style="76" customWidth="1"/>
    <col min="1799" max="1799" width="16.75" style="76" customWidth="1"/>
    <col min="1800" max="1800" width="12.875" style="76" customWidth="1"/>
    <col min="1801" max="1801" width="7.375" style="76" customWidth="1"/>
    <col min="1802" max="1802" width="11.25" style="76" customWidth="1"/>
    <col min="1803" max="1803" width="14.625" style="76" customWidth="1"/>
    <col min="1804" max="1804" width="19.75" style="76" customWidth="1"/>
    <col min="1805" max="1805" width="14.125" style="76" bestFit="1" customWidth="1"/>
    <col min="1806" max="2049" width="9" style="76"/>
    <col min="2050" max="2050" width="29" style="76" customWidth="1"/>
    <col min="2051" max="2051" width="10.75" style="76" customWidth="1"/>
    <col min="2052" max="2052" width="14.25" style="76" customWidth="1"/>
    <col min="2053" max="2053" width="14.5" style="76" customWidth="1"/>
    <col min="2054" max="2054" width="14.375" style="76" customWidth="1"/>
    <col min="2055" max="2055" width="16.75" style="76" customWidth="1"/>
    <col min="2056" max="2056" width="12.875" style="76" customWidth="1"/>
    <col min="2057" max="2057" width="7.375" style="76" customWidth="1"/>
    <col min="2058" max="2058" width="11.25" style="76" customWidth="1"/>
    <col min="2059" max="2059" width="14.625" style="76" customWidth="1"/>
    <col min="2060" max="2060" width="19.75" style="76" customWidth="1"/>
    <col min="2061" max="2061" width="14.125" style="76" bestFit="1" customWidth="1"/>
    <col min="2062" max="2305" width="9" style="76"/>
    <col min="2306" max="2306" width="29" style="76" customWidth="1"/>
    <col min="2307" max="2307" width="10.75" style="76" customWidth="1"/>
    <col min="2308" max="2308" width="14.25" style="76" customWidth="1"/>
    <col min="2309" max="2309" width="14.5" style="76" customWidth="1"/>
    <col min="2310" max="2310" width="14.375" style="76" customWidth="1"/>
    <col min="2311" max="2311" width="16.75" style="76" customWidth="1"/>
    <col min="2312" max="2312" width="12.875" style="76" customWidth="1"/>
    <col min="2313" max="2313" width="7.375" style="76" customWidth="1"/>
    <col min="2314" max="2314" width="11.25" style="76" customWidth="1"/>
    <col min="2315" max="2315" width="14.625" style="76" customWidth="1"/>
    <col min="2316" max="2316" width="19.75" style="76" customWidth="1"/>
    <col min="2317" max="2317" width="14.125" style="76" bestFit="1" customWidth="1"/>
    <col min="2318" max="2561" width="9" style="76"/>
    <col min="2562" max="2562" width="29" style="76" customWidth="1"/>
    <col min="2563" max="2563" width="10.75" style="76" customWidth="1"/>
    <col min="2564" max="2564" width="14.25" style="76" customWidth="1"/>
    <col min="2565" max="2565" width="14.5" style="76" customWidth="1"/>
    <col min="2566" max="2566" width="14.375" style="76" customWidth="1"/>
    <col min="2567" max="2567" width="16.75" style="76" customWidth="1"/>
    <col min="2568" max="2568" width="12.875" style="76" customWidth="1"/>
    <col min="2569" max="2569" width="7.375" style="76" customWidth="1"/>
    <col min="2570" max="2570" width="11.25" style="76" customWidth="1"/>
    <col min="2571" max="2571" width="14.625" style="76" customWidth="1"/>
    <col min="2572" max="2572" width="19.75" style="76" customWidth="1"/>
    <col min="2573" max="2573" width="14.125" style="76" bestFit="1" customWidth="1"/>
    <col min="2574" max="2817" width="9" style="76"/>
    <col min="2818" max="2818" width="29" style="76" customWidth="1"/>
    <col min="2819" max="2819" width="10.75" style="76" customWidth="1"/>
    <col min="2820" max="2820" width="14.25" style="76" customWidth="1"/>
    <col min="2821" max="2821" width="14.5" style="76" customWidth="1"/>
    <col min="2822" max="2822" width="14.375" style="76" customWidth="1"/>
    <col min="2823" max="2823" width="16.75" style="76" customWidth="1"/>
    <col min="2824" max="2824" width="12.875" style="76" customWidth="1"/>
    <col min="2825" max="2825" width="7.375" style="76" customWidth="1"/>
    <col min="2826" max="2826" width="11.25" style="76" customWidth="1"/>
    <col min="2827" max="2827" width="14.625" style="76" customWidth="1"/>
    <col min="2828" max="2828" width="19.75" style="76" customWidth="1"/>
    <col min="2829" max="2829" width="14.125" style="76" bestFit="1" customWidth="1"/>
    <col min="2830" max="3073" width="9" style="76"/>
    <col min="3074" max="3074" width="29" style="76" customWidth="1"/>
    <col min="3075" max="3075" width="10.75" style="76" customWidth="1"/>
    <col min="3076" max="3076" width="14.25" style="76" customWidth="1"/>
    <col min="3077" max="3077" width="14.5" style="76" customWidth="1"/>
    <col min="3078" max="3078" width="14.375" style="76" customWidth="1"/>
    <col min="3079" max="3079" width="16.75" style="76" customWidth="1"/>
    <col min="3080" max="3080" width="12.875" style="76" customWidth="1"/>
    <col min="3081" max="3081" width="7.375" style="76" customWidth="1"/>
    <col min="3082" max="3082" width="11.25" style="76" customWidth="1"/>
    <col min="3083" max="3083" width="14.625" style="76" customWidth="1"/>
    <col min="3084" max="3084" width="19.75" style="76" customWidth="1"/>
    <col min="3085" max="3085" width="14.125" style="76" bestFit="1" customWidth="1"/>
    <col min="3086" max="3329" width="9" style="76"/>
    <col min="3330" max="3330" width="29" style="76" customWidth="1"/>
    <col min="3331" max="3331" width="10.75" style="76" customWidth="1"/>
    <col min="3332" max="3332" width="14.25" style="76" customWidth="1"/>
    <col min="3333" max="3333" width="14.5" style="76" customWidth="1"/>
    <col min="3334" max="3334" width="14.375" style="76" customWidth="1"/>
    <col min="3335" max="3335" width="16.75" style="76" customWidth="1"/>
    <col min="3336" max="3336" width="12.875" style="76" customWidth="1"/>
    <col min="3337" max="3337" width="7.375" style="76" customWidth="1"/>
    <col min="3338" max="3338" width="11.25" style="76" customWidth="1"/>
    <col min="3339" max="3339" width="14.625" style="76" customWidth="1"/>
    <col min="3340" max="3340" width="19.75" style="76" customWidth="1"/>
    <col min="3341" max="3341" width="14.125" style="76" bestFit="1" customWidth="1"/>
    <col min="3342" max="3585" width="9" style="76"/>
    <col min="3586" max="3586" width="29" style="76" customWidth="1"/>
    <col min="3587" max="3587" width="10.75" style="76" customWidth="1"/>
    <col min="3588" max="3588" width="14.25" style="76" customWidth="1"/>
    <col min="3589" max="3589" width="14.5" style="76" customWidth="1"/>
    <col min="3590" max="3590" width="14.375" style="76" customWidth="1"/>
    <col min="3591" max="3591" width="16.75" style="76" customWidth="1"/>
    <col min="3592" max="3592" width="12.875" style="76" customWidth="1"/>
    <col min="3593" max="3593" width="7.375" style="76" customWidth="1"/>
    <col min="3594" max="3594" width="11.25" style="76" customWidth="1"/>
    <col min="3595" max="3595" width="14.625" style="76" customWidth="1"/>
    <col min="3596" max="3596" width="19.75" style="76" customWidth="1"/>
    <col min="3597" max="3597" width="14.125" style="76" bestFit="1" customWidth="1"/>
    <col min="3598" max="3841" width="9" style="76"/>
    <col min="3842" max="3842" width="29" style="76" customWidth="1"/>
    <col min="3843" max="3843" width="10.75" style="76" customWidth="1"/>
    <col min="3844" max="3844" width="14.25" style="76" customWidth="1"/>
    <col min="3845" max="3845" width="14.5" style="76" customWidth="1"/>
    <col min="3846" max="3846" width="14.375" style="76" customWidth="1"/>
    <col min="3847" max="3847" width="16.75" style="76" customWidth="1"/>
    <col min="3848" max="3848" width="12.875" style="76" customWidth="1"/>
    <col min="3849" max="3849" width="7.375" style="76" customWidth="1"/>
    <col min="3850" max="3850" width="11.25" style="76" customWidth="1"/>
    <col min="3851" max="3851" width="14.625" style="76" customWidth="1"/>
    <col min="3852" max="3852" width="19.75" style="76" customWidth="1"/>
    <col min="3853" max="3853" width="14.125" style="76" bestFit="1" customWidth="1"/>
    <col min="3854" max="4097" width="9" style="76"/>
    <col min="4098" max="4098" width="29" style="76" customWidth="1"/>
    <col min="4099" max="4099" width="10.75" style="76" customWidth="1"/>
    <col min="4100" max="4100" width="14.25" style="76" customWidth="1"/>
    <col min="4101" max="4101" width="14.5" style="76" customWidth="1"/>
    <col min="4102" max="4102" width="14.375" style="76" customWidth="1"/>
    <col min="4103" max="4103" width="16.75" style="76" customWidth="1"/>
    <col min="4104" max="4104" width="12.875" style="76" customWidth="1"/>
    <col min="4105" max="4105" width="7.375" style="76" customWidth="1"/>
    <col min="4106" max="4106" width="11.25" style="76" customWidth="1"/>
    <col min="4107" max="4107" width="14.625" style="76" customWidth="1"/>
    <col min="4108" max="4108" width="19.75" style="76" customWidth="1"/>
    <col min="4109" max="4109" width="14.125" style="76" bestFit="1" customWidth="1"/>
    <col min="4110" max="4353" width="9" style="76"/>
    <col min="4354" max="4354" width="29" style="76" customWidth="1"/>
    <col min="4355" max="4355" width="10.75" style="76" customWidth="1"/>
    <col min="4356" max="4356" width="14.25" style="76" customWidth="1"/>
    <col min="4357" max="4357" width="14.5" style="76" customWidth="1"/>
    <col min="4358" max="4358" width="14.375" style="76" customWidth="1"/>
    <col min="4359" max="4359" width="16.75" style="76" customWidth="1"/>
    <col min="4360" max="4360" width="12.875" style="76" customWidth="1"/>
    <col min="4361" max="4361" width="7.375" style="76" customWidth="1"/>
    <col min="4362" max="4362" width="11.25" style="76" customWidth="1"/>
    <col min="4363" max="4363" width="14.625" style="76" customWidth="1"/>
    <col min="4364" max="4364" width="19.75" style="76" customWidth="1"/>
    <col min="4365" max="4365" width="14.125" style="76" bestFit="1" customWidth="1"/>
    <col min="4366" max="4609" width="9" style="76"/>
    <col min="4610" max="4610" width="29" style="76" customWidth="1"/>
    <col min="4611" max="4611" width="10.75" style="76" customWidth="1"/>
    <col min="4612" max="4612" width="14.25" style="76" customWidth="1"/>
    <col min="4613" max="4613" width="14.5" style="76" customWidth="1"/>
    <col min="4614" max="4614" width="14.375" style="76" customWidth="1"/>
    <col min="4615" max="4615" width="16.75" style="76" customWidth="1"/>
    <col min="4616" max="4616" width="12.875" style="76" customWidth="1"/>
    <col min="4617" max="4617" width="7.375" style="76" customWidth="1"/>
    <col min="4618" max="4618" width="11.25" style="76" customWidth="1"/>
    <col min="4619" max="4619" width="14.625" style="76" customWidth="1"/>
    <col min="4620" max="4620" width="19.75" style="76" customWidth="1"/>
    <col min="4621" max="4621" width="14.125" style="76" bestFit="1" customWidth="1"/>
    <col min="4622" max="4865" width="9" style="76"/>
    <col min="4866" max="4866" width="29" style="76" customWidth="1"/>
    <col min="4867" max="4867" width="10.75" style="76" customWidth="1"/>
    <col min="4868" max="4868" width="14.25" style="76" customWidth="1"/>
    <col min="4869" max="4869" width="14.5" style="76" customWidth="1"/>
    <col min="4870" max="4870" width="14.375" style="76" customWidth="1"/>
    <col min="4871" max="4871" width="16.75" style="76" customWidth="1"/>
    <col min="4872" max="4872" width="12.875" style="76" customWidth="1"/>
    <col min="4873" max="4873" width="7.375" style="76" customWidth="1"/>
    <col min="4874" max="4874" width="11.25" style="76" customWidth="1"/>
    <col min="4875" max="4875" width="14.625" style="76" customWidth="1"/>
    <col min="4876" max="4876" width="19.75" style="76" customWidth="1"/>
    <col min="4877" max="4877" width="14.125" style="76" bestFit="1" customWidth="1"/>
    <col min="4878" max="5121" width="9" style="76"/>
    <col min="5122" max="5122" width="29" style="76" customWidth="1"/>
    <col min="5123" max="5123" width="10.75" style="76" customWidth="1"/>
    <col min="5124" max="5124" width="14.25" style="76" customWidth="1"/>
    <col min="5125" max="5125" width="14.5" style="76" customWidth="1"/>
    <col min="5126" max="5126" width="14.375" style="76" customWidth="1"/>
    <col min="5127" max="5127" width="16.75" style="76" customWidth="1"/>
    <col min="5128" max="5128" width="12.875" style="76" customWidth="1"/>
    <col min="5129" max="5129" width="7.375" style="76" customWidth="1"/>
    <col min="5130" max="5130" width="11.25" style="76" customWidth="1"/>
    <col min="5131" max="5131" width="14.625" style="76" customWidth="1"/>
    <col min="5132" max="5132" width="19.75" style="76" customWidth="1"/>
    <col min="5133" max="5133" width="14.125" style="76" bestFit="1" customWidth="1"/>
    <col min="5134" max="5377" width="9" style="76"/>
    <col min="5378" max="5378" width="29" style="76" customWidth="1"/>
    <col min="5379" max="5379" width="10.75" style="76" customWidth="1"/>
    <col min="5380" max="5380" width="14.25" style="76" customWidth="1"/>
    <col min="5381" max="5381" width="14.5" style="76" customWidth="1"/>
    <col min="5382" max="5382" width="14.375" style="76" customWidth="1"/>
    <col min="5383" max="5383" width="16.75" style="76" customWidth="1"/>
    <col min="5384" max="5384" width="12.875" style="76" customWidth="1"/>
    <col min="5385" max="5385" width="7.375" style="76" customWidth="1"/>
    <col min="5386" max="5386" width="11.25" style="76" customWidth="1"/>
    <col min="5387" max="5387" width="14.625" style="76" customWidth="1"/>
    <col min="5388" max="5388" width="19.75" style="76" customWidth="1"/>
    <col min="5389" max="5389" width="14.125" style="76" bestFit="1" customWidth="1"/>
    <col min="5390" max="5633" width="9" style="76"/>
    <col min="5634" max="5634" width="29" style="76" customWidth="1"/>
    <col min="5635" max="5635" width="10.75" style="76" customWidth="1"/>
    <col min="5636" max="5636" width="14.25" style="76" customWidth="1"/>
    <col min="5637" max="5637" width="14.5" style="76" customWidth="1"/>
    <col min="5638" max="5638" width="14.375" style="76" customWidth="1"/>
    <col min="5639" max="5639" width="16.75" style="76" customWidth="1"/>
    <col min="5640" max="5640" width="12.875" style="76" customWidth="1"/>
    <col min="5641" max="5641" width="7.375" style="76" customWidth="1"/>
    <col min="5642" max="5642" width="11.25" style="76" customWidth="1"/>
    <col min="5643" max="5643" width="14.625" style="76" customWidth="1"/>
    <col min="5644" max="5644" width="19.75" style="76" customWidth="1"/>
    <col min="5645" max="5645" width="14.125" style="76" bestFit="1" customWidth="1"/>
    <col min="5646" max="5889" width="9" style="76"/>
    <col min="5890" max="5890" width="29" style="76" customWidth="1"/>
    <col min="5891" max="5891" width="10.75" style="76" customWidth="1"/>
    <col min="5892" max="5892" width="14.25" style="76" customWidth="1"/>
    <col min="5893" max="5893" width="14.5" style="76" customWidth="1"/>
    <col min="5894" max="5894" width="14.375" style="76" customWidth="1"/>
    <col min="5895" max="5895" width="16.75" style="76" customWidth="1"/>
    <col min="5896" max="5896" width="12.875" style="76" customWidth="1"/>
    <col min="5897" max="5897" width="7.375" style="76" customWidth="1"/>
    <col min="5898" max="5898" width="11.25" style="76" customWidth="1"/>
    <col min="5899" max="5899" width="14.625" style="76" customWidth="1"/>
    <col min="5900" max="5900" width="19.75" style="76" customWidth="1"/>
    <col min="5901" max="5901" width="14.125" style="76" bestFit="1" customWidth="1"/>
    <col min="5902" max="6145" width="9" style="76"/>
    <col min="6146" max="6146" width="29" style="76" customWidth="1"/>
    <col min="6147" max="6147" width="10.75" style="76" customWidth="1"/>
    <col min="6148" max="6148" width="14.25" style="76" customWidth="1"/>
    <col min="6149" max="6149" width="14.5" style="76" customWidth="1"/>
    <col min="6150" max="6150" width="14.375" style="76" customWidth="1"/>
    <col min="6151" max="6151" width="16.75" style="76" customWidth="1"/>
    <col min="6152" max="6152" width="12.875" style="76" customWidth="1"/>
    <col min="6153" max="6153" width="7.375" style="76" customWidth="1"/>
    <col min="6154" max="6154" width="11.25" style="76" customWidth="1"/>
    <col min="6155" max="6155" width="14.625" style="76" customWidth="1"/>
    <col min="6156" max="6156" width="19.75" style="76" customWidth="1"/>
    <col min="6157" max="6157" width="14.125" style="76" bestFit="1" customWidth="1"/>
    <col min="6158" max="6401" width="9" style="76"/>
    <col min="6402" max="6402" width="29" style="76" customWidth="1"/>
    <col min="6403" max="6403" width="10.75" style="76" customWidth="1"/>
    <col min="6404" max="6404" width="14.25" style="76" customWidth="1"/>
    <col min="6405" max="6405" width="14.5" style="76" customWidth="1"/>
    <col min="6406" max="6406" width="14.375" style="76" customWidth="1"/>
    <col min="6407" max="6407" width="16.75" style="76" customWidth="1"/>
    <col min="6408" max="6408" width="12.875" style="76" customWidth="1"/>
    <col min="6409" max="6409" width="7.375" style="76" customWidth="1"/>
    <col min="6410" max="6410" width="11.25" style="76" customWidth="1"/>
    <col min="6411" max="6411" width="14.625" style="76" customWidth="1"/>
    <col min="6412" max="6412" width="19.75" style="76" customWidth="1"/>
    <col min="6413" max="6413" width="14.125" style="76" bestFit="1" customWidth="1"/>
    <col min="6414" max="6657" width="9" style="76"/>
    <col min="6658" max="6658" width="29" style="76" customWidth="1"/>
    <col min="6659" max="6659" width="10.75" style="76" customWidth="1"/>
    <col min="6660" max="6660" width="14.25" style="76" customWidth="1"/>
    <col min="6661" max="6661" width="14.5" style="76" customWidth="1"/>
    <col min="6662" max="6662" width="14.375" style="76" customWidth="1"/>
    <col min="6663" max="6663" width="16.75" style="76" customWidth="1"/>
    <col min="6664" max="6664" width="12.875" style="76" customWidth="1"/>
    <col min="6665" max="6665" width="7.375" style="76" customWidth="1"/>
    <col min="6666" max="6666" width="11.25" style="76" customWidth="1"/>
    <col min="6667" max="6667" width="14.625" style="76" customWidth="1"/>
    <col min="6668" max="6668" width="19.75" style="76" customWidth="1"/>
    <col min="6669" max="6669" width="14.125" style="76" bestFit="1" customWidth="1"/>
    <col min="6670" max="6913" width="9" style="76"/>
    <col min="6914" max="6914" width="29" style="76" customWidth="1"/>
    <col min="6915" max="6915" width="10.75" style="76" customWidth="1"/>
    <col min="6916" max="6916" width="14.25" style="76" customWidth="1"/>
    <col min="6917" max="6917" width="14.5" style="76" customWidth="1"/>
    <col min="6918" max="6918" width="14.375" style="76" customWidth="1"/>
    <col min="6919" max="6919" width="16.75" style="76" customWidth="1"/>
    <col min="6920" max="6920" width="12.875" style="76" customWidth="1"/>
    <col min="6921" max="6921" width="7.375" style="76" customWidth="1"/>
    <col min="6922" max="6922" width="11.25" style="76" customWidth="1"/>
    <col min="6923" max="6923" width="14.625" style="76" customWidth="1"/>
    <col min="6924" max="6924" width="19.75" style="76" customWidth="1"/>
    <col min="6925" max="6925" width="14.125" style="76" bestFit="1" customWidth="1"/>
    <col min="6926" max="7169" width="9" style="76"/>
    <col min="7170" max="7170" width="29" style="76" customWidth="1"/>
    <col min="7171" max="7171" width="10.75" style="76" customWidth="1"/>
    <col min="7172" max="7172" width="14.25" style="76" customWidth="1"/>
    <col min="7173" max="7173" width="14.5" style="76" customWidth="1"/>
    <col min="7174" max="7174" width="14.375" style="76" customWidth="1"/>
    <col min="7175" max="7175" width="16.75" style="76" customWidth="1"/>
    <col min="7176" max="7176" width="12.875" style="76" customWidth="1"/>
    <col min="7177" max="7177" width="7.375" style="76" customWidth="1"/>
    <col min="7178" max="7178" width="11.25" style="76" customWidth="1"/>
    <col min="7179" max="7179" width="14.625" style="76" customWidth="1"/>
    <col min="7180" max="7180" width="19.75" style="76" customWidth="1"/>
    <col min="7181" max="7181" width="14.125" style="76" bestFit="1" customWidth="1"/>
    <col min="7182" max="7425" width="9" style="76"/>
    <col min="7426" max="7426" width="29" style="76" customWidth="1"/>
    <col min="7427" max="7427" width="10.75" style="76" customWidth="1"/>
    <col min="7428" max="7428" width="14.25" style="76" customWidth="1"/>
    <col min="7429" max="7429" width="14.5" style="76" customWidth="1"/>
    <col min="7430" max="7430" width="14.375" style="76" customWidth="1"/>
    <col min="7431" max="7431" width="16.75" style="76" customWidth="1"/>
    <col min="7432" max="7432" width="12.875" style="76" customWidth="1"/>
    <col min="7433" max="7433" width="7.375" style="76" customWidth="1"/>
    <col min="7434" max="7434" width="11.25" style="76" customWidth="1"/>
    <col min="7435" max="7435" width="14.625" style="76" customWidth="1"/>
    <col min="7436" max="7436" width="19.75" style="76" customWidth="1"/>
    <col min="7437" max="7437" width="14.125" style="76" bestFit="1" customWidth="1"/>
    <col min="7438" max="7681" width="9" style="76"/>
    <col min="7682" max="7682" width="29" style="76" customWidth="1"/>
    <col min="7683" max="7683" width="10.75" style="76" customWidth="1"/>
    <col min="7684" max="7684" width="14.25" style="76" customWidth="1"/>
    <col min="7685" max="7685" width="14.5" style="76" customWidth="1"/>
    <col min="7686" max="7686" width="14.375" style="76" customWidth="1"/>
    <col min="7687" max="7687" width="16.75" style="76" customWidth="1"/>
    <col min="7688" max="7688" width="12.875" style="76" customWidth="1"/>
    <col min="7689" max="7689" width="7.375" style="76" customWidth="1"/>
    <col min="7690" max="7690" width="11.25" style="76" customWidth="1"/>
    <col min="7691" max="7691" width="14.625" style="76" customWidth="1"/>
    <col min="7692" max="7692" width="19.75" style="76" customWidth="1"/>
    <col min="7693" max="7693" width="14.125" style="76" bestFit="1" customWidth="1"/>
    <col min="7694" max="7937" width="9" style="76"/>
    <col min="7938" max="7938" width="29" style="76" customWidth="1"/>
    <col min="7939" max="7939" width="10.75" style="76" customWidth="1"/>
    <col min="7940" max="7940" width="14.25" style="76" customWidth="1"/>
    <col min="7941" max="7941" width="14.5" style="76" customWidth="1"/>
    <col min="7942" max="7942" width="14.375" style="76" customWidth="1"/>
    <col min="7943" max="7943" width="16.75" style="76" customWidth="1"/>
    <col min="7944" max="7944" width="12.875" style="76" customWidth="1"/>
    <col min="7945" max="7945" width="7.375" style="76" customWidth="1"/>
    <col min="7946" max="7946" width="11.25" style="76" customWidth="1"/>
    <col min="7947" max="7947" width="14.625" style="76" customWidth="1"/>
    <col min="7948" max="7948" width="19.75" style="76" customWidth="1"/>
    <col min="7949" max="7949" width="14.125" style="76" bestFit="1" customWidth="1"/>
    <col min="7950" max="8193" width="9" style="76"/>
    <col min="8194" max="8194" width="29" style="76" customWidth="1"/>
    <col min="8195" max="8195" width="10.75" style="76" customWidth="1"/>
    <col min="8196" max="8196" width="14.25" style="76" customWidth="1"/>
    <col min="8197" max="8197" width="14.5" style="76" customWidth="1"/>
    <col min="8198" max="8198" width="14.375" style="76" customWidth="1"/>
    <col min="8199" max="8199" width="16.75" style="76" customWidth="1"/>
    <col min="8200" max="8200" width="12.875" style="76" customWidth="1"/>
    <col min="8201" max="8201" width="7.375" style="76" customWidth="1"/>
    <col min="8202" max="8202" width="11.25" style="76" customWidth="1"/>
    <col min="8203" max="8203" width="14.625" style="76" customWidth="1"/>
    <col min="8204" max="8204" width="19.75" style="76" customWidth="1"/>
    <col min="8205" max="8205" width="14.125" style="76" bestFit="1" customWidth="1"/>
    <col min="8206" max="8449" width="9" style="76"/>
    <col min="8450" max="8450" width="29" style="76" customWidth="1"/>
    <col min="8451" max="8451" width="10.75" style="76" customWidth="1"/>
    <col min="8452" max="8452" width="14.25" style="76" customWidth="1"/>
    <col min="8453" max="8453" width="14.5" style="76" customWidth="1"/>
    <col min="8454" max="8454" width="14.375" style="76" customWidth="1"/>
    <col min="8455" max="8455" width="16.75" style="76" customWidth="1"/>
    <col min="8456" max="8456" width="12.875" style="76" customWidth="1"/>
    <col min="8457" max="8457" width="7.375" style="76" customWidth="1"/>
    <col min="8458" max="8458" width="11.25" style="76" customWidth="1"/>
    <col min="8459" max="8459" width="14.625" style="76" customWidth="1"/>
    <col min="8460" max="8460" width="19.75" style="76" customWidth="1"/>
    <col min="8461" max="8461" width="14.125" style="76" bestFit="1" customWidth="1"/>
    <col min="8462" max="8705" width="9" style="76"/>
    <col min="8706" max="8706" width="29" style="76" customWidth="1"/>
    <col min="8707" max="8707" width="10.75" style="76" customWidth="1"/>
    <col min="8708" max="8708" width="14.25" style="76" customWidth="1"/>
    <col min="8709" max="8709" width="14.5" style="76" customWidth="1"/>
    <col min="8710" max="8710" width="14.375" style="76" customWidth="1"/>
    <col min="8711" max="8711" width="16.75" style="76" customWidth="1"/>
    <col min="8712" max="8712" width="12.875" style="76" customWidth="1"/>
    <col min="8713" max="8713" width="7.375" style="76" customWidth="1"/>
    <col min="8714" max="8714" width="11.25" style="76" customWidth="1"/>
    <col min="8715" max="8715" width="14.625" style="76" customWidth="1"/>
    <col min="8716" max="8716" width="19.75" style="76" customWidth="1"/>
    <col min="8717" max="8717" width="14.125" style="76" bestFit="1" customWidth="1"/>
    <col min="8718" max="8961" width="9" style="76"/>
    <col min="8962" max="8962" width="29" style="76" customWidth="1"/>
    <col min="8963" max="8963" width="10.75" style="76" customWidth="1"/>
    <col min="8964" max="8964" width="14.25" style="76" customWidth="1"/>
    <col min="8965" max="8965" width="14.5" style="76" customWidth="1"/>
    <col min="8966" max="8966" width="14.375" style="76" customWidth="1"/>
    <col min="8967" max="8967" width="16.75" style="76" customWidth="1"/>
    <col min="8968" max="8968" width="12.875" style="76" customWidth="1"/>
    <col min="8969" max="8969" width="7.375" style="76" customWidth="1"/>
    <col min="8970" max="8970" width="11.25" style="76" customWidth="1"/>
    <col min="8971" max="8971" width="14.625" style="76" customWidth="1"/>
    <col min="8972" max="8972" width="19.75" style="76" customWidth="1"/>
    <col min="8973" max="8973" width="14.125" style="76" bestFit="1" customWidth="1"/>
    <col min="8974" max="9217" width="9" style="76"/>
    <col min="9218" max="9218" width="29" style="76" customWidth="1"/>
    <col min="9219" max="9219" width="10.75" style="76" customWidth="1"/>
    <col min="9220" max="9220" width="14.25" style="76" customWidth="1"/>
    <col min="9221" max="9221" width="14.5" style="76" customWidth="1"/>
    <col min="9222" max="9222" width="14.375" style="76" customWidth="1"/>
    <col min="9223" max="9223" width="16.75" style="76" customWidth="1"/>
    <col min="9224" max="9224" width="12.875" style="76" customWidth="1"/>
    <col min="9225" max="9225" width="7.375" style="76" customWidth="1"/>
    <col min="9226" max="9226" width="11.25" style="76" customWidth="1"/>
    <col min="9227" max="9227" width="14.625" style="76" customWidth="1"/>
    <col min="9228" max="9228" width="19.75" style="76" customWidth="1"/>
    <col min="9229" max="9229" width="14.125" style="76" bestFit="1" customWidth="1"/>
    <col min="9230" max="9473" width="9" style="76"/>
    <col min="9474" max="9474" width="29" style="76" customWidth="1"/>
    <col min="9475" max="9475" width="10.75" style="76" customWidth="1"/>
    <col min="9476" max="9476" width="14.25" style="76" customWidth="1"/>
    <col min="9477" max="9477" width="14.5" style="76" customWidth="1"/>
    <col min="9478" max="9478" width="14.375" style="76" customWidth="1"/>
    <col min="9479" max="9479" width="16.75" style="76" customWidth="1"/>
    <col min="9480" max="9480" width="12.875" style="76" customWidth="1"/>
    <col min="9481" max="9481" width="7.375" style="76" customWidth="1"/>
    <col min="9482" max="9482" width="11.25" style="76" customWidth="1"/>
    <col min="9483" max="9483" width="14.625" style="76" customWidth="1"/>
    <col min="9484" max="9484" width="19.75" style="76" customWidth="1"/>
    <col min="9485" max="9485" width="14.125" style="76" bestFit="1" customWidth="1"/>
    <col min="9486" max="9729" width="9" style="76"/>
    <col min="9730" max="9730" width="29" style="76" customWidth="1"/>
    <col min="9731" max="9731" width="10.75" style="76" customWidth="1"/>
    <col min="9732" max="9732" width="14.25" style="76" customWidth="1"/>
    <col min="9733" max="9733" width="14.5" style="76" customWidth="1"/>
    <col min="9734" max="9734" width="14.375" style="76" customWidth="1"/>
    <col min="9735" max="9735" width="16.75" style="76" customWidth="1"/>
    <col min="9736" max="9736" width="12.875" style="76" customWidth="1"/>
    <col min="9737" max="9737" width="7.375" style="76" customWidth="1"/>
    <col min="9738" max="9738" width="11.25" style="76" customWidth="1"/>
    <col min="9739" max="9739" width="14.625" style="76" customWidth="1"/>
    <col min="9740" max="9740" width="19.75" style="76" customWidth="1"/>
    <col min="9741" max="9741" width="14.125" style="76" bestFit="1" customWidth="1"/>
    <col min="9742" max="9985" width="9" style="76"/>
    <col min="9986" max="9986" width="29" style="76" customWidth="1"/>
    <col min="9987" max="9987" width="10.75" style="76" customWidth="1"/>
    <col min="9988" max="9988" width="14.25" style="76" customWidth="1"/>
    <col min="9989" max="9989" width="14.5" style="76" customWidth="1"/>
    <col min="9990" max="9990" width="14.375" style="76" customWidth="1"/>
    <col min="9991" max="9991" width="16.75" style="76" customWidth="1"/>
    <col min="9992" max="9992" width="12.875" style="76" customWidth="1"/>
    <col min="9993" max="9993" width="7.375" style="76" customWidth="1"/>
    <col min="9994" max="9994" width="11.25" style="76" customWidth="1"/>
    <col min="9995" max="9995" width="14.625" style="76" customWidth="1"/>
    <col min="9996" max="9996" width="19.75" style="76" customWidth="1"/>
    <col min="9997" max="9997" width="14.125" style="76" bestFit="1" customWidth="1"/>
    <col min="9998" max="10241" width="9" style="76"/>
    <col min="10242" max="10242" width="29" style="76" customWidth="1"/>
    <col min="10243" max="10243" width="10.75" style="76" customWidth="1"/>
    <col min="10244" max="10244" width="14.25" style="76" customWidth="1"/>
    <col min="10245" max="10245" width="14.5" style="76" customWidth="1"/>
    <col min="10246" max="10246" width="14.375" style="76" customWidth="1"/>
    <col min="10247" max="10247" width="16.75" style="76" customWidth="1"/>
    <col min="10248" max="10248" width="12.875" style="76" customWidth="1"/>
    <col min="10249" max="10249" width="7.375" style="76" customWidth="1"/>
    <col min="10250" max="10250" width="11.25" style="76" customWidth="1"/>
    <col min="10251" max="10251" width="14.625" style="76" customWidth="1"/>
    <col min="10252" max="10252" width="19.75" style="76" customWidth="1"/>
    <col min="10253" max="10253" width="14.125" style="76" bestFit="1" customWidth="1"/>
    <col min="10254" max="10497" width="9" style="76"/>
    <col min="10498" max="10498" width="29" style="76" customWidth="1"/>
    <col min="10499" max="10499" width="10.75" style="76" customWidth="1"/>
    <col min="10500" max="10500" width="14.25" style="76" customWidth="1"/>
    <col min="10501" max="10501" width="14.5" style="76" customWidth="1"/>
    <col min="10502" max="10502" width="14.375" style="76" customWidth="1"/>
    <col min="10503" max="10503" width="16.75" style="76" customWidth="1"/>
    <col min="10504" max="10504" width="12.875" style="76" customWidth="1"/>
    <col min="10505" max="10505" width="7.375" style="76" customWidth="1"/>
    <col min="10506" max="10506" width="11.25" style="76" customWidth="1"/>
    <col min="10507" max="10507" width="14.625" style="76" customWidth="1"/>
    <col min="10508" max="10508" width="19.75" style="76" customWidth="1"/>
    <col min="10509" max="10509" width="14.125" style="76" bestFit="1" customWidth="1"/>
    <col min="10510" max="10753" width="9" style="76"/>
    <col min="10754" max="10754" width="29" style="76" customWidth="1"/>
    <col min="10755" max="10755" width="10.75" style="76" customWidth="1"/>
    <col min="10756" max="10756" width="14.25" style="76" customWidth="1"/>
    <col min="10757" max="10757" width="14.5" style="76" customWidth="1"/>
    <col min="10758" max="10758" width="14.375" style="76" customWidth="1"/>
    <col min="10759" max="10759" width="16.75" style="76" customWidth="1"/>
    <col min="10760" max="10760" width="12.875" style="76" customWidth="1"/>
    <col min="10761" max="10761" width="7.375" style="76" customWidth="1"/>
    <col min="10762" max="10762" width="11.25" style="76" customWidth="1"/>
    <col min="10763" max="10763" width="14.625" style="76" customWidth="1"/>
    <col min="10764" max="10764" width="19.75" style="76" customWidth="1"/>
    <col min="10765" max="10765" width="14.125" style="76" bestFit="1" customWidth="1"/>
    <col min="10766" max="11009" width="9" style="76"/>
    <col min="11010" max="11010" width="29" style="76" customWidth="1"/>
    <col min="11011" max="11011" width="10.75" style="76" customWidth="1"/>
    <col min="11012" max="11012" width="14.25" style="76" customWidth="1"/>
    <col min="11013" max="11013" width="14.5" style="76" customWidth="1"/>
    <col min="11014" max="11014" width="14.375" style="76" customWidth="1"/>
    <col min="11015" max="11015" width="16.75" style="76" customWidth="1"/>
    <col min="11016" max="11016" width="12.875" style="76" customWidth="1"/>
    <col min="11017" max="11017" width="7.375" style="76" customWidth="1"/>
    <col min="11018" max="11018" width="11.25" style="76" customWidth="1"/>
    <col min="11019" max="11019" width="14.625" style="76" customWidth="1"/>
    <col min="11020" max="11020" width="19.75" style="76" customWidth="1"/>
    <col min="11021" max="11021" width="14.125" style="76" bestFit="1" customWidth="1"/>
    <col min="11022" max="11265" width="9" style="76"/>
    <col min="11266" max="11266" width="29" style="76" customWidth="1"/>
    <col min="11267" max="11267" width="10.75" style="76" customWidth="1"/>
    <col min="11268" max="11268" width="14.25" style="76" customWidth="1"/>
    <col min="11269" max="11269" width="14.5" style="76" customWidth="1"/>
    <col min="11270" max="11270" width="14.375" style="76" customWidth="1"/>
    <col min="11271" max="11271" width="16.75" style="76" customWidth="1"/>
    <col min="11272" max="11272" width="12.875" style="76" customWidth="1"/>
    <col min="11273" max="11273" width="7.375" style="76" customWidth="1"/>
    <col min="11274" max="11274" width="11.25" style="76" customWidth="1"/>
    <col min="11275" max="11275" width="14.625" style="76" customWidth="1"/>
    <col min="11276" max="11276" width="19.75" style="76" customWidth="1"/>
    <col min="11277" max="11277" width="14.125" style="76" bestFit="1" customWidth="1"/>
    <col min="11278" max="11521" width="9" style="76"/>
    <col min="11522" max="11522" width="29" style="76" customWidth="1"/>
    <col min="11523" max="11523" width="10.75" style="76" customWidth="1"/>
    <col min="11524" max="11524" width="14.25" style="76" customWidth="1"/>
    <col min="11525" max="11525" width="14.5" style="76" customWidth="1"/>
    <col min="11526" max="11526" width="14.375" style="76" customWidth="1"/>
    <col min="11527" max="11527" width="16.75" style="76" customWidth="1"/>
    <col min="11528" max="11528" width="12.875" style="76" customWidth="1"/>
    <col min="11529" max="11529" width="7.375" style="76" customWidth="1"/>
    <col min="11530" max="11530" width="11.25" style="76" customWidth="1"/>
    <col min="11531" max="11531" width="14.625" style="76" customWidth="1"/>
    <col min="11532" max="11532" width="19.75" style="76" customWidth="1"/>
    <col min="11533" max="11533" width="14.125" style="76" bestFit="1" customWidth="1"/>
    <col min="11534" max="11777" width="9" style="76"/>
    <col min="11778" max="11778" width="29" style="76" customWidth="1"/>
    <col min="11779" max="11779" width="10.75" style="76" customWidth="1"/>
    <col min="11780" max="11780" width="14.25" style="76" customWidth="1"/>
    <col min="11781" max="11781" width="14.5" style="76" customWidth="1"/>
    <col min="11782" max="11782" width="14.375" style="76" customWidth="1"/>
    <col min="11783" max="11783" width="16.75" style="76" customWidth="1"/>
    <col min="11784" max="11784" width="12.875" style="76" customWidth="1"/>
    <col min="11785" max="11785" width="7.375" style="76" customWidth="1"/>
    <col min="11786" max="11786" width="11.25" style="76" customWidth="1"/>
    <col min="11787" max="11787" width="14.625" style="76" customWidth="1"/>
    <col min="11788" max="11788" width="19.75" style="76" customWidth="1"/>
    <col min="11789" max="11789" width="14.125" style="76" bestFit="1" customWidth="1"/>
    <col min="11790" max="12033" width="9" style="76"/>
    <col min="12034" max="12034" width="29" style="76" customWidth="1"/>
    <col min="12035" max="12035" width="10.75" style="76" customWidth="1"/>
    <col min="12036" max="12036" width="14.25" style="76" customWidth="1"/>
    <col min="12037" max="12037" width="14.5" style="76" customWidth="1"/>
    <col min="12038" max="12038" width="14.375" style="76" customWidth="1"/>
    <col min="12039" max="12039" width="16.75" style="76" customWidth="1"/>
    <col min="12040" max="12040" width="12.875" style="76" customWidth="1"/>
    <col min="12041" max="12041" width="7.375" style="76" customWidth="1"/>
    <col min="12042" max="12042" width="11.25" style="76" customWidth="1"/>
    <col min="12043" max="12043" width="14.625" style="76" customWidth="1"/>
    <col min="12044" max="12044" width="19.75" style="76" customWidth="1"/>
    <col min="12045" max="12045" width="14.125" style="76" bestFit="1" customWidth="1"/>
    <col min="12046" max="12289" width="9" style="76"/>
    <col min="12290" max="12290" width="29" style="76" customWidth="1"/>
    <col min="12291" max="12291" width="10.75" style="76" customWidth="1"/>
    <col min="12292" max="12292" width="14.25" style="76" customWidth="1"/>
    <col min="12293" max="12293" width="14.5" style="76" customWidth="1"/>
    <col min="12294" max="12294" width="14.375" style="76" customWidth="1"/>
    <col min="12295" max="12295" width="16.75" style="76" customWidth="1"/>
    <col min="12296" max="12296" width="12.875" style="76" customWidth="1"/>
    <col min="12297" max="12297" width="7.375" style="76" customWidth="1"/>
    <col min="12298" max="12298" width="11.25" style="76" customWidth="1"/>
    <col min="12299" max="12299" width="14.625" style="76" customWidth="1"/>
    <col min="12300" max="12300" width="19.75" style="76" customWidth="1"/>
    <col min="12301" max="12301" width="14.125" style="76" bestFit="1" customWidth="1"/>
    <col min="12302" max="12545" width="9" style="76"/>
    <col min="12546" max="12546" width="29" style="76" customWidth="1"/>
    <col min="12547" max="12547" width="10.75" style="76" customWidth="1"/>
    <col min="12548" max="12548" width="14.25" style="76" customWidth="1"/>
    <col min="12549" max="12549" width="14.5" style="76" customWidth="1"/>
    <col min="12550" max="12550" width="14.375" style="76" customWidth="1"/>
    <col min="12551" max="12551" width="16.75" style="76" customWidth="1"/>
    <col min="12552" max="12552" width="12.875" style="76" customWidth="1"/>
    <col min="12553" max="12553" width="7.375" style="76" customWidth="1"/>
    <col min="12554" max="12554" width="11.25" style="76" customWidth="1"/>
    <col min="12555" max="12555" width="14.625" style="76" customWidth="1"/>
    <col min="12556" max="12556" width="19.75" style="76" customWidth="1"/>
    <col min="12557" max="12557" width="14.125" style="76" bestFit="1" customWidth="1"/>
    <col min="12558" max="12801" width="9" style="76"/>
    <col min="12802" max="12802" width="29" style="76" customWidth="1"/>
    <col min="12803" max="12803" width="10.75" style="76" customWidth="1"/>
    <col min="12804" max="12804" width="14.25" style="76" customWidth="1"/>
    <col min="12805" max="12805" width="14.5" style="76" customWidth="1"/>
    <col min="12806" max="12806" width="14.375" style="76" customWidth="1"/>
    <col min="12807" max="12807" width="16.75" style="76" customWidth="1"/>
    <col min="12808" max="12808" width="12.875" style="76" customWidth="1"/>
    <col min="12809" max="12809" width="7.375" style="76" customWidth="1"/>
    <col min="12810" max="12810" width="11.25" style="76" customWidth="1"/>
    <col min="12811" max="12811" width="14.625" style="76" customWidth="1"/>
    <col min="12812" max="12812" width="19.75" style="76" customWidth="1"/>
    <col min="12813" max="12813" width="14.125" style="76" bestFit="1" customWidth="1"/>
    <col min="12814" max="13057" width="9" style="76"/>
    <col min="13058" max="13058" width="29" style="76" customWidth="1"/>
    <col min="13059" max="13059" width="10.75" style="76" customWidth="1"/>
    <col min="13060" max="13060" width="14.25" style="76" customWidth="1"/>
    <col min="13061" max="13061" width="14.5" style="76" customWidth="1"/>
    <col min="13062" max="13062" width="14.375" style="76" customWidth="1"/>
    <col min="13063" max="13063" width="16.75" style="76" customWidth="1"/>
    <col min="13064" max="13064" width="12.875" style="76" customWidth="1"/>
    <col min="13065" max="13065" width="7.375" style="76" customWidth="1"/>
    <col min="13066" max="13066" width="11.25" style="76" customWidth="1"/>
    <col min="13067" max="13067" width="14.625" style="76" customWidth="1"/>
    <col min="13068" max="13068" width="19.75" style="76" customWidth="1"/>
    <col min="13069" max="13069" width="14.125" style="76" bestFit="1" customWidth="1"/>
    <col min="13070" max="13313" width="9" style="76"/>
    <col min="13314" max="13314" width="29" style="76" customWidth="1"/>
    <col min="13315" max="13315" width="10.75" style="76" customWidth="1"/>
    <col min="13316" max="13316" width="14.25" style="76" customWidth="1"/>
    <col min="13317" max="13317" width="14.5" style="76" customWidth="1"/>
    <col min="13318" max="13318" width="14.375" style="76" customWidth="1"/>
    <col min="13319" max="13319" width="16.75" style="76" customWidth="1"/>
    <col min="13320" max="13320" width="12.875" style="76" customWidth="1"/>
    <col min="13321" max="13321" width="7.375" style="76" customWidth="1"/>
    <col min="13322" max="13322" width="11.25" style="76" customWidth="1"/>
    <col min="13323" max="13323" width="14.625" style="76" customWidth="1"/>
    <col min="13324" max="13324" width="19.75" style="76" customWidth="1"/>
    <col min="13325" max="13325" width="14.125" style="76" bestFit="1" customWidth="1"/>
    <col min="13326" max="13569" width="9" style="76"/>
    <col min="13570" max="13570" width="29" style="76" customWidth="1"/>
    <col min="13571" max="13571" width="10.75" style="76" customWidth="1"/>
    <col min="13572" max="13572" width="14.25" style="76" customWidth="1"/>
    <col min="13573" max="13573" width="14.5" style="76" customWidth="1"/>
    <col min="13574" max="13574" width="14.375" style="76" customWidth="1"/>
    <col min="13575" max="13575" width="16.75" style="76" customWidth="1"/>
    <col min="13576" max="13576" width="12.875" style="76" customWidth="1"/>
    <col min="13577" max="13577" width="7.375" style="76" customWidth="1"/>
    <col min="13578" max="13578" width="11.25" style="76" customWidth="1"/>
    <col min="13579" max="13579" width="14.625" style="76" customWidth="1"/>
    <col min="13580" max="13580" width="19.75" style="76" customWidth="1"/>
    <col min="13581" max="13581" width="14.125" style="76" bestFit="1" customWidth="1"/>
    <col min="13582" max="13825" width="9" style="76"/>
    <col min="13826" max="13826" width="29" style="76" customWidth="1"/>
    <col min="13827" max="13827" width="10.75" style="76" customWidth="1"/>
    <col min="13828" max="13828" width="14.25" style="76" customWidth="1"/>
    <col min="13829" max="13829" width="14.5" style="76" customWidth="1"/>
    <col min="13830" max="13830" width="14.375" style="76" customWidth="1"/>
    <col min="13831" max="13831" width="16.75" style="76" customWidth="1"/>
    <col min="13832" max="13832" width="12.875" style="76" customWidth="1"/>
    <col min="13833" max="13833" width="7.375" style="76" customWidth="1"/>
    <col min="13834" max="13834" width="11.25" style="76" customWidth="1"/>
    <col min="13835" max="13835" width="14.625" style="76" customWidth="1"/>
    <col min="13836" max="13836" width="19.75" style="76" customWidth="1"/>
    <col min="13837" max="13837" width="14.125" style="76" bestFit="1" customWidth="1"/>
    <col min="13838" max="14081" width="9" style="76"/>
    <col min="14082" max="14082" width="29" style="76" customWidth="1"/>
    <col min="14083" max="14083" width="10.75" style="76" customWidth="1"/>
    <col min="14084" max="14084" width="14.25" style="76" customWidth="1"/>
    <col min="14085" max="14085" width="14.5" style="76" customWidth="1"/>
    <col min="14086" max="14086" width="14.375" style="76" customWidth="1"/>
    <col min="14087" max="14087" width="16.75" style="76" customWidth="1"/>
    <col min="14088" max="14088" width="12.875" style="76" customWidth="1"/>
    <col min="14089" max="14089" width="7.375" style="76" customWidth="1"/>
    <col min="14090" max="14090" width="11.25" style="76" customWidth="1"/>
    <col min="14091" max="14091" width="14.625" style="76" customWidth="1"/>
    <col min="14092" max="14092" width="19.75" style="76" customWidth="1"/>
    <col min="14093" max="14093" width="14.125" style="76" bestFit="1" customWidth="1"/>
    <col min="14094" max="14337" width="9" style="76"/>
    <col min="14338" max="14338" width="29" style="76" customWidth="1"/>
    <col min="14339" max="14339" width="10.75" style="76" customWidth="1"/>
    <col min="14340" max="14340" width="14.25" style="76" customWidth="1"/>
    <col min="14341" max="14341" width="14.5" style="76" customWidth="1"/>
    <col min="14342" max="14342" width="14.375" style="76" customWidth="1"/>
    <col min="14343" max="14343" width="16.75" style="76" customWidth="1"/>
    <col min="14344" max="14344" width="12.875" style="76" customWidth="1"/>
    <col min="14345" max="14345" width="7.375" style="76" customWidth="1"/>
    <col min="14346" max="14346" width="11.25" style="76" customWidth="1"/>
    <col min="14347" max="14347" width="14.625" style="76" customWidth="1"/>
    <col min="14348" max="14348" width="19.75" style="76" customWidth="1"/>
    <col min="14349" max="14349" width="14.125" style="76" bestFit="1" customWidth="1"/>
    <col min="14350" max="14593" width="9" style="76"/>
    <col min="14594" max="14594" width="29" style="76" customWidth="1"/>
    <col min="14595" max="14595" width="10.75" style="76" customWidth="1"/>
    <col min="14596" max="14596" width="14.25" style="76" customWidth="1"/>
    <col min="14597" max="14597" width="14.5" style="76" customWidth="1"/>
    <col min="14598" max="14598" width="14.375" style="76" customWidth="1"/>
    <col min="14599" max="14599" width="16.75" style="76" customWidth="1"/>
    <col min="14600" max="14600" width="12.875" style="76" customWidth="1"/>
    <col min="14601" max="14601" width="7.375" style="76" customWidth="1"/>
    <col min="14602" max="14602" width="11.25" style="76" customWidth="1"/>
    <col min="14603" max="14603" width="14.625" style="76" customWidth="1"/>
    <col min="14604" max="14604" width="19.75" style="76" customWidth="1"/>
    <col min="14605" max="14605" width="14.125" style="76" bestFit="1" customWidth="1"/>
    <col min="14606" max="14849" width="9" style="76"/>
    <col min="14850" max="14850" width="29" style="76" customWidth="1"/>
    <col min="14851" max="14851" width="10.75" style="76" customWidth="1"/>
    <col min="14852" max="14852" width="14.25" style="76" customWidth="1"/>
    <col min="14853" max="14853" width="14.5" style="76" customWidth="1"/>
    <col min="14854" max="14854" width="14.375" style="76" customWidth="1"/>
    <col min="14855" max="14855" width="16.75" style="76" customWidth="1"/>
    <col min="14856" max="14856" width="12.875" style="76" customWidth="1"/>
    <col min="14857" max="14857" width="7.375" style="76" customWidth="1"/>
    <col min="14858" max="14858" width="11.25" style="76" customWidth="1"/>
    <col min="14859" max="14859" width="14.625" style="76" customWidth="1"/>
    <col min="14860" max="14860" width="19.75" style="76" customWidth="1"/>
    <col min="14861" max="14861" width="14.125" style="76" bestFit="1" customWidth="1"/>
    <col min="14862" max="15105" width="9" style="76"/>
    <col min="15106" max="15106" width="29" style="76" customWidth="1"/>
    <col min="15107" max="15107" width="10.75" style="76" customWidth="1"/>
    <col min="15108" max="15108" width="14.25" style="76" customWidth="1"/>
    <col min="15109" max="15109" width="14.5" style="76" customWidth="1"/>
    <col min="15110" max="15110" width="14.375" style="76" customWidth="1"/>
    <col min="15111" max="15111" width="16.75" style="76" customWidth="1"/>
    <col min="15112" max="15112" width="12.875" style="76" customWidth="1"/>
    <col min="15113" max="15113" width="7.375" style="76" customWidth="1"/>
    <col min="15114" max="15114" width="11.25" style="76" customWidth="1"/>
    <col min="15115" max="15115" width="14.625" style="76" customWidth="1"/>
    <col min="15116" max="15116" width="19.75" style="76" customWidth="1"/>
    <col min="15117" max="15117" width="14.125" style="76" bestFit="1" customWidth="1"/>
    <col min="15118" max="15361" width="9" style="76"/>
    <col min="15362" max="15362" width="29" style="76" customWidth="1"/>
    <col min="15363" max="15363" width="10.75" style="76" customWidth="1"/>
    <col min="15364" max="15364" width="14.25" style="76" customWidth="1"/>
    <col min="15365" max="15365" width="14.5" style="76" customWidth="1"/>
    <col min="15366" max="15366" width="14.375" style="76" customWidth="1"/>
    <col min="15367" max="15367" width="16.75" style="76" customWidth="1"/>
    <col min="15368" max="15368" width="12.875" style="76" customWidth="1"/>
    <col min="15369" max="15369" width="7.375" style="76" customWidth="1"/>
    <col min="15370" max="15370" width="11.25" style="76" customWidth="1"/>
    <col min="15371" max="15371" width="14.625" style="76" customWidth="1"/>
    <col min="15372" max="15372" width="19.75" style="76" customWidth="1"/>
    <col min="15373" max="15373" width="14.125" style="76" bestFit="1" customWidth="1"/>
    <col min="15374" max="15617" width="9" style="76"/>
    <col min="15618" max="15618" width="29" style="76" customWidth="1"/>
    <col min="15619" max="15619" width="10.75" style="76" customWidth="1"/>
    <col min="15620" max="15620" width="14.25" style="76" customWidth="1"/>
    <col min="15621" max="15621" width="14.5" style="76" customWidth="1"/>
    <col min="15622" max="15622" width="14.375" style="76" customWidth="1"/>
    <col min="15623" max="15623" width="16.75" style="76" customWidth="1"/>
    <col min="15624" max="15624" width="12.875" style="76" customWidth="1"/>
    <col min="15625" max="15625" width="7.375" style="76" customWidth="1"/>
    <col min="15626" max="15626" width="11.25" style="76" customWidth="1"/>
    <col min="15627" max="15627" width="14.625" style="76" customWidth="1"/>
    <col min="15628" max="15628" width="19.75" style="76" customWidth="1"/>
    <col min="15629" max="15629" width="14.125" style="76" bestFit="1" customWidth="1"/>
    <col min="15630" max="15873" width="9" style="76"/>
    <col min="15874" max="15874" width="29" style="76" customWidth="1"/>
    <col min="15875" max="15875" width="10.75" style="76" customWidth="1"/>
    <col min="15876" max="15876" width="14.25" style="76" customWidth="1"/>
    <col min="15877" max="15877" width="14.5" style="76" customWidth="1"/>
    <col min="15878" max="15878" width="14.375" style="76" customWidth="1"/>
    <col min="15879" max="15879" width="16.75" style="76" customWidth="1"/>
    <col min="15880" max="15880" width="12.875" style="76" customWidth="1"/>
    <col min="15881" max="15881" width="7.375" style="76" customWidth="1"/>
    <col min="15882" max="15882" width="11.25" style="76" customWidth="1"/>
    <col min="15883" max="15883" width="14.625" style="76" customWidth="1"/>
    <col min="15884" max="15884" width="19.75" style="76" customWidth="1"/>
    <col min="15885" max="15885" width="14.125" style="76" bestFit="1" customWidth="1"/>
    <col min="15886" max="16129" width="9" style="76"/>
    <col min="16130" max="16130" width="29" style="76" customWidth="1"/>
    <col min="16131" max="16131" width="10.75" style="76" customWidth="1"/>
    <col min="16132" max="16132" width="14.25" style="76" customWidth="1"/>
    <col min="16133" max="16133" width="14.5" style="76" customWidth="1"/>
    <col min="16134" max="16134" width="14.375" style="76" customWidth="1"/>
    <col min="16135" max="16135" width="16.75" style="76" customWidth="1"/>
    <col min="16136" max="16136" width="12.875" style="76" customWidth="1"/>
    <col min="16137" max="16137" width="7.375" style="76" customWidth="1"/>
    <col min="16138" max="16138" width="11.25" style="76" customWidth="1"/>
    <col min="16139" max="16139" width="14.625" style="76" customWidth="1"/>
    <col min="16140" max="16140" width="19.75" style="76" customWidth="1"/>
    <col min="16141" max="16141" width="14.125" style="76" bestFit="1" customWidth="1"/>
    <col min="16142" max="16384" width="9" style="76"/>
  </cols>
  <sheetData>
    <row r="1" spans="1:12">
      <c r="A1" s="1326" t="s">
        <v>1739</v>
      </c>
      <c r="B1" s="1326"/>
      <c r="C1" s="1326"/>
      <c r="D1" s="1326"/>
      <c r="E1" s="1326"/>
      <c r="F1" s="1326"/>
      <c r="G1" s="1326"/>
      <c r="H1" s="1326"/>
      <c r="I1" s="1326"/>
      <c r="J1" s="1326"/>
      <c r="K1" s="1326"/>
      <c r="L1" s="1326"/>
    </row>
    <row r="2" spans="1:12">
      <c r="A2" s="776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</row>
    <row r="3" spans="1:12" s="160" customFormat="1">
      <c r="A3" s="779"/>
      <c r="B3" s="779"/>
      <c r="C3" s="165"/>
      <c r="D3" s="779"/>
      <c r="E3" s="1327" t="s">
        <v>1740</v>
      </c>
      <c r="F3" s="1328"/>
      <c r="G3" s="1328"/>
      <c r="H3" s="1329"/>
      <c r="I3" s="1327" t="s">
        <v>1741</v>
      </c>
      <c r="J3" s="1328"/>
      <c r="K3" s="1328"/>
      <c r="L3" s="1329"/>
    </row>
    <row r="4" spans="1:12" s="160" customFormat="1">
      <c r="A4" s="780"/>
      <c r="B4" s="599" t="s">
        <v>1742</v>
      </c>
      <c r="C4" s="166" t="s">
        <v>1743</v>
      </c>
      <c r="D4" s="780" t="s">
        <v>1744</v>
      </c>
      <c r="E4" s="1330" t="s">
        <v>1745</v>
      </c>
      <c r="F4" s="1331"/>
      <c r="G4" s="1330" t="s">
        <v>1746</v>
      </c>
      <c r="H4" s="1331"/>
      <c r="I4" s="1330" t="s">
        <v>1747</v>
      </c>
      <c r="J4" s="1331"/>
      <c r="K4" s="1330" t="s">
        <v>1746</v>
      </c>
      <c r="L4" s="1331"/>
    </row>
    <row r="5" spans="1:12" s="160" customFormat="1">
      <c r="A5" s="780"/>
      <c r="B5" s="780"/>
      <c r="C5" s="167"/>
      <c r="D5" s="780"/>
      <c r="E5" s="168" t="s">
        <v>1748</v>
      </c>
      <c r="F5" s="169" t="s">
        <v>1749</v>
      </c>
      <c r="G5" s="170"/>
      <c r="H5" s="169"/>
      <c r="I5" s="168" t="s">
        <v>1748</v>
      </c>
      <c r="J5" s="169" t="s">
        <v>1749</v>
      </c>
      <c r="K5" s="170"/>
      <c r="L5" s="169"/>
    </row>
    <row r="6" spans="1:12" s="160" customFormat="1">
      <c r="A6" s="781"/>
      <c r="B6" s="781"/>
      <c r="C6" s="171"/>
      <c r="D6" s="781" t="s">
        <v>1750</v>
      </c>
      <c r="E6" s="172" t="s">
        <v>1751</v>
      </c>
      <c r="F6" s="173" t="s">
        <v>1752</v>
      </c>
      <c r="G6" s="174" t="s">
        <v>1753</v>
      </c>
      <c r="H6" s="175" t="s">
        <v>1754</v>
      </c>
      <c r="I6" s="172" t="s">
        <v>1755</v>
      </c>
      <c r="J6" s="173" t="s">
        <v>1756</v>
      </c>
      <c r="K6" s="174" t="s">
        <v>1757</v>
      </c>
      <c r="L6" s="175" t="s">
        <v>1758</v>
      </c>
    </row>
    <row r="7" spans="1:12" ht="12.75" customHeight="1">
      <c r="A7" s="1332" t="s">
        <v>1759</v>
      </c>
      <c r="B7" s="1335"/>
      <c r="C7" s="176" t="s">
        <v>1760</v>
      </c>
      <c r="D7" s="122"/>
      <c r="E7" s="177">
        <v>1</v>
      </c>
      <c r="F7" s="178">
        <v>0</v>
      </c>
      <c r="G7" s="179">
        <f>D7*E7*365</f>
        <v>0</v>
      </c>
      <c r="H7" s="178">
        <f>D7*F7*12</f>
        <v>0</v>
      </c>
      <c r="I7" s="177">
        <v>0</v>
      </c>
      <c r="J7" s="178">
        <v>0</v>
      </c>
      <c r="K7" s="179">
        <f>D7*I7*365</f>
        <v>0</v>
      </c>
      <c r="L7" s="178">
        <f>D7*J7*12</f>
        <v>0</v>
      </c>
    </row>
    <row r="8" spans="1:12">
      <c r="A8" s="1333"/>
      <c r="B8" s="1336"/>
      <c r="C8" s="176" t="s">
        <v>1761</v>
      </c>
      <c r="D8" s="122"/>
      <c r="E8" s="177">
        <v>1</v>
      </c>
      <c r="F8" s="178">
        <v>0</v>
      </c>
      <c r="G8" s="180">
        <f t="shared" ref="G8:G20" si="0">D8*E8*365</f>
        <v>0</v>
      </c>
      <c r="H8" s="178">
        <f t="shared" ref="H8:H20" si="1">D8*F8*12</f>
        <v>0</v>
      </c>
      <c r="I8" s="177">
        <v>0</v>
      </c>
      <c r="J8" s="178">
        <v>0</v>
      </c>
      <c r="K8" s="179">
        <f t="shared" ref="K8:K20" si="2">D8*I8*365</f>
        <v>0</v>
      </c>
      <c r="L8" s="178">
        <f t="shared" ref="L8:L20" si="3">D8*J8*12</f>
        <v>0</v>
      </c>
    </row>
    <row r="9" spans="1:12">
      <c r="A9" s="1333"/>
      <c r="B9" s="1336"/>
      <c r="C9" s="176" t="s">
        <v>1762</v>
      </c>
      <c r="D9" s="122"/>
      <c r="E9" s="177">
        <v>1</v>
      </c>
      <c r="F9" s="178">
        <v>0</v>
      </c>
      <c r="G9" s="180">
        <f t="shared" si="0"/>
        <v>0</v>
      </c>
      <c r="H9" s="178">
        <f t="shared" si="1"/>
        <v>0</v>
      </c>
      <c r="I9" s="177">
        <v>0</v>
      </c>
      <c r="J9" s="178">
        <v>0</v>
      </c>
      <c r="K9" s="179">
        <f t="shared" si="2"/>
        <v>0</v>
      </c>
      <c r="L9" s="178">
        <f t="shared" si="3"/>
        <v>0</v>
      </c>
    </row>
    <row r="10" spans="1:12">
      <c r="A10" s="1333"/>
      <c r="B10" s="1336"/>
      <c r="C10" s="176" t="s">
        <v>1763</v>
      </c>
      <c r="D10" s="122"/>
      <c r="E10" s="177">
        <v>1</v>
      </c>
      <c r="F10" s="178"/>
      <c r="G10" s="180">
        <f t="shared" si="0"/>
        <v>0</v>
      </c>
      <c r="H10" s="178">
        <f t="shared" si="1"/>
        <v>0</v>
      </c>
      <c r="I10" s="177">
        <v>0</v>
      </c>
      <c r="J10" s="178">
        <v>0</v>
      </c>
      <c r="K10" s="179">
        <f t="shared" si="2"/>
        <v>0</v>
      </c>
      <c r="L10" s="178">
        <f t="shared" si="3"/>
        <v>0</v>
      </c>
    </row>
    <row r="11" spans="1:12">
      <c r="A11" s="1333"/>
      <c r="B11" s="1336"/>
      <c r="C11" s="176" t="s">
        <v>1764</v>
      </c>
      <c r="D11" s="122"/>
      <c r="E11" s="177">
        <v>1</v>
      </c>
      <c r="F11" s="178">
        <v>0</v>
      </c>
      <c r="G11" s="180">
        <f t="shared" si="0"/>
        <v>0</v>
      </c>
      <c r="H11" s="178">
        <f t="shared" si="1"/>
        <v>0</v>
      </c>
      <c r="I11" s="177">
        <v>0</v>
      </c>
      <c r="J11" s="178">
        <v>0</v>
      </c>
      <c r="K11" s="179">
        <f t="shared" si="2"/>
        <v>0</v>
      </c>
      <c r="L11" s="178">
        <f t="shared" si="3"/>
        <v>0</v>
      </c>
    </row>
    <row r="12" spans="1:12">
      <c r="A12" s="1333"/>
      <c r="B12" s="1336"/>
      <c r="C12" s="176" t="s">
        <v>1765</v>
      </c>
      <c r="D12" s="122"/>
      <c r="E12" s="177">
        <v>1</v>
      </c>
      <c r="F12" s="178">
        <v>0</v>
      </c>
      <c r="G12" s="180">
        <f t="shared" si="0"/>
        <v>0</v>
      </c>
      <c r="H12" s="178">
        <f t="shared" si="1"/>
        <v>0</v>
      </c>
      <c r="I12" s="177">
        <v>0</v>
      </c>
      <c r="J12" s="178">
        <v>0</v>
      </c>
      <c r="K12" s="179">
        <f t="shared" si="2"/>
        <v>0</v>
      </c>
      <c r="L12" s="178">
        <f t="shared" si="3"/>
        <v>0</v>
      </c>
    </row>
    <row r="13" spans="1:12">
      <c r="A13" s="1333"/>
      <c r="B13" s="1336"/>
      <c r="C13" s="176" t="s">
        <v>1766</v>
      </c>
      <c r="D13" s="122"/>
      <c r="E13" s="177">
        <v>1</v>
      </c>
      <c r="F13" s="178">
        <v>0</v>
      </c>
      <c r="G13" s="180">
        <f t="shared" si="0"/>
        <v>0</v>
      </c>
      <c r="H13" s="178">
        <f t="shared" si="1"/>
        <v>0</v>
      </c>
      <c r="I13" s="177">
        <v>0</v>
      </c>
      <c r="J13" s="178">
        <v>0</v>
      </c>
      <c r="K13" s="179">
        <f t="shared" si="2"/>
        <v>0</v>
      </c>
      <c r="L13" s="178">
        <f t="shared" si="3"/>
        <v>0</v>
      </c>
    </row>
    <row r="14" spans="1:12">
      <c r="A14" s="1333"/>
      <c r="B14" s="1337"/>
      <c r="C14" s="176" t="s">
        <v>1767</v>
      </c>
      <c r="D14" s="122"/>
      <c r="E14" s="177">
        <v>1</v>
      </c>
      <c r="F14" s="178">
        <v>0</v>
      </c>
      <c r="G14" s="180">
        <f t="shared" si="0"/>
        <v>0</v>
      </c>
      <c r="H14" s="178">
        <f t="shared" si="1"/>
        <v>0</v>
      </c>
      <c r="I14" s="177">
        <v>0</v>
      </c>
      <c r="J14" s="178">
        <v>0</v>
      </c>
      <c r="K14" s="179">
        <f t="shared" si="2"/>
        <v>0</v>
      </c>
      <c r="L14" s="178">
        <f t="shared" si="3"/>
        <v>0</v>
      </c>
    </row>
    <row r="15" spans="1:12" ht="12.75" customHeight="1">
      <c r="A15" s="1333"/>
      <c r="B15" s="181"/>
      <c r="C15" s="176" t="s">
        <v>1768</v>
      </c>
      <c r="D15" s="122"/>
      <c r="E15" s="177">
        <v>1</v>
      </c>
      <c r="F15" s="178">
        <v>0</v>
      </c>
      <c r="G15" s="180">
        <f t="shared" si="0"/>
        <v>0</v>
      </c>
      <c r="H15" s="178">
        <f t="shared" si="1"/>
        <v>0</v>
      </c>
      <c r="I15" s="177">
        <v>0</v>
      </c>
      <c r="J15" s="178">
        <v>0</v>
      </c>
      <c r="K15" s="179">
        <f t="shared" si="2"/>
        <v>0</v>
      </c>
      <c r="L15" s="178">
        <f t="shared" si="3"/>
        <v>0</v>
      </c>
    </row>
    <row r="16" spans="1:12" ht="12.75" customHeight="1">
      <c r="A16" s="1333"/>
      <c r="B16" s="181"/>
      <c r="C16" s="176" t="s">
        <v>1769</v>
      </c>
      <c r="D16" s="122"/>
      <c r="E16" s="177">
        <v>1</v>
      </c>
      <c r="F16" s="178">
        <v>0</v>
      </c>
      <c r="G16" s="180">
        <f t="shared" si="0"/>
        <v>0</v>
      </c>
      <c r="H16" s="178">
        <f t="shared" si="1"/>
        <v>0</v>
      </c>
      <c r="I16" s="177">
        <v>0</v>
      </c>
      <c r="J16" s="178">
        <v>0</v>
      </c>
      <c r="K16" s="179">
        <f t="shared" si="2"/>
        <v>0</v>
      </c>
      <c r="L16" s="178">
        <f t="shared" si="3"/>
        <v>0</v>
      </c>
    </row>
    <row r="17" spans="1:13" ht="12.75" customHeight="1">
      <c r="A17" s="1333"/>
      <c r="B17" s="181"/>
      <c r="C17" s="176" t="s">
        <v>1770</v>
      </c>
      <c r="D17" s="122"/>
      <c r="E17" s="177">
        <v>1</v>
      </c>
      <c r="F17" s="178">
        <v>0</v>
      </c>
      <c r="G17" s="180">
        <f t="shared" si="0"/>
        <v>0</v>
      </c>
      <c r="H17" s="178">
        <f t="shared" si="1"/>
        <v>0</v>
      </c>
      <c r="I17" s="177">
        <v>0</v>
      </c>
      <c r="J17" s="178">
        <v>0</v>
      </c>
      <c r="K17" s="179">
        <f t="shared" si="2"/>
        <v>0</v>
      </c>
      <c r="L17" s="178">
        <f t="shared" si="3"/>
        <v>0</v>
      </c>
    </row>
    <row r="18" spans="1:13" ht="12.75" customHeight="1">
      <c r="A18" s="1333"/>
      <c r="B18" s="181"/>
      <c r="C18" s="176" t="s">
        <v>1771</v>
      </c>
      <c r="D18" s="122"/>
      <c r="E18" s="177">
        <v>1</v>
      </c>
      <c r="F18" s="178">
        <v>0</v>
      </c>
      <c r="G18" s="180">
        <f t="shared" si="0"/>
        <v>0</v>
      </c>
      <c r="H18" s="178">
        <f t="shared" si="1"/>
        <v>0</v>
      </c>
      <c r="I18" s="177">
        <v>0</v>
      </c>
      <c r="J18" s="178">
        <v>0</v>
      </c>
      <c r="K18" s="179">
        <f t="shared" si="2"/>
        <v>0</v>
      </c>
      <c r="L18" s="178">
        <f t="shared" si="3"/>
        <v>0</v>
      </c>
    </row>
    <row r="19" spans="1:13" ht="12.75" customHeight="1">
      <c r="A19" s="1333"/>
      <c r="B19" s="181"/>
      <c r="C19" s="176" t="s">
        <v>1772</v>
      </c>
      <c r="D19" s="122"/>
      <c r="E19" s="177">
        <v>1</v>
      </c>
      <c r="F19" s="178">
        <v>0</v>
      </c>
      <c r="G19" s="180">
        <f t="shared" si="0"/>
        <v>0</v>
      </c>
      <c r="H19" s="178">
        <f t="shared" si="1"/>
        <v>0</v>
      </c>
      <c r="I19" s="177">
        <v>0</v>
      </c>
      <c r="J19" s="178">
        <v>0</v>
      </c>
      <c r="K19" s="179">
        <f t="shared" si="2"/>
        <v>0</v>
      </c>
      <c r="L19" s="178">
        <f t="shared" si="3"/>
        <v>0</v>
      </c>
    </row>
    <row r="20" spans="1:13" ht="12.75" customHeight="1">
      <c r="A20" s="1333"/>
      <c r="B20" s="181"/>
      <c r="C20" s="176" t="s">
        <v>1766</v>
      </c>
      <c r="D20" s="122"/>
      <c r="E20" s="177">
        <v>1</v>
      </c>
      <c r="F20" s="178">
        <v>0</v>
      </c>
      <c r="G20" s="180">
        <f t="shared" si="0"/>
        <v>0</v>
      </c>
      <c r="H20" s="178">
        <f t="shared" si="1"/>
        <v>0</v>
      </c>
      <c r="I20" s="177">
        <v>0</v>
      </c>
      <c r="J20" s="178">
        <v>0</v>
      </c>
      <c r="K20" s="179">
        <f t="shared" si="2"/>
        <v>0</v>
      </c>
      <c r="L20" s="178">
        <f t="shared" si="3"/>
        <v>0</v>
      </c>
    </row>
    <row r="21" spans="1:13">
      <c r="A21" s="1333"/>
      <c r="B21" s="544"/>
      <c r="C21" s="176" t="s">
        <v>1773</v>
      </c>
      <c r="D21" s="122"/>
      <c r="E21" s="177">
        <v>1</v>
      </c>
      <c r="F21" s="178">
        <v>0</v>
      </c>
      <c r="G21" s="180">
        <f>D21*E21*365</f>
        <v>0</v>
      </c>
      <c r="H21" s="178">
        <f>D21*F21*12</f>
        <v>0</v>
      </c>
      <c r="I21" s="177">
        <v>0</v>
      </c>
      <c r="J21" s="178">
        <v>0</v>
      </c>
      <c r="K21" s="179">
        <f>D21*I21*365</f>
        <v>0</v>
      </c>
      <c r="L21" s="178">
        <f>D21*J21*12</f>
        <v>0</v>
      </c>
    </row>
    <row r="22" spans="1:13" ht="12.75" customHeight="1">
      <c r="A22" s="1333"/>
      <c r="B22" s="1335"/>
      <c r="C22" s="176" t="s">
        <v>1774</v>
      </c>
      <c r="D22" s="156"/>
      <c r="E22" s="177">
        <v>1</v>
      </c>
      <c r="F22" s="178">
        <v>0</v>
      </c>
      <c r="G22" s="180">
        <f>D22*E22*365</f>
        <v>0</v>
      </c>
      <c r="H22" s="178">
        <f>D22*F22*12</f>
        <v>0</v>
      </c>
      <c r="I22" s="177">
        <v>0</v>
      </c>
      <c r="J22" s="178">
        <v>0</v>
      </c>
      <c r="K22" s="179">
        <f>D22*I22*365</f>
        <v>0</v>
      </c>
      <c r="L22" s="178">
        <f>D22*J22*12</f>
        <v>0</v>
      </c>
    </row>
    <row r="23" spans="1:13" ht="12.75" customHeight="1">
      <c r="A23" s="1333"/>
      <c r="B23" s="1337"/>
      <c r="C23" s="176" t="s">
        <v>1775</v>
      </c>
      <c r="D23" s="156"/>
      <c r="E23" s="177">
        <v>1</v>
      </c>
      <c r="F23" s="178">
        <v>0</v>
      </c>
      <c r="G23" s="180">
        <f>D23*E23*365</f>
        <v>0</v>
      </c>
      <c r="H23" s="178">
        <f>D23*F23*12</f>
        <v>0</v>
      </c>
      <c r="I23" s="177">
        <v>0</v>
      </c>
      <c r="J23" s="178">
        <v>0</v>
      </c>
      <c r="K23" s="179">
        <f>D23*I23*365</f>
        <v>0</v>
      </c>
      <c r="L23" s="178">
        <f>D23*J23*12</f>
        <v>0</v>
      </c>
    </row>
    <row r="24" spans="1:13" ht="12.75" customHeight="1">
      <c r="A24" s="1333"/>
      <c r="B24" s="181"/>
      <c r="C24" s="176" t="s">
        <v>1776</v>
      </c>
      <c r="D24" s="156"/>
      <c r="E24" s="177">
        <v>1</v>
      </c>
      <c r="F24" s="178">
        <v>0</v>
      </c>
      <c r="G24" s="180">
        <f>D24*E24*365</f>
        <v>0</v>
      </c>
      <c r="H24" s="178">
        <f>D24*F24*12</f>
        <v>0</v>
      </c>
      <c r="I24" s="177">
        <v>0</v>
      </c>
      <c r="J24" s="178">
        <v>0</v>
      </c>
      <c r="K24" s="179">
        <f>D24*I24*365</f>
        <v>0</v>
      </c>
      <c r="L24" s="178">
        <f>D24*J24*12</f>
        <v>0</v>
      </c>
    </row>
    <row r="25" spans="1:13">
      <c r="A25" s="1333"/>
      <c r="B25" s="544" t="s">
        <v>1777</v>
      </c>
      <c r="C25" s="176" t="s">
        <v>1778</v>
      </c>
      <c r="D25" s="122"/>
      <c r="E25" s="177">
        <v>1.1000000000000001</v>
      </c>
      <c r="F25" s="178">
        <v>0</v>
      </c>
      <c r="G25" s="180">
        <f>D25*E25*365</f>
        <v>0</v>
      </c>
      <c r="H25" s="178">
        <f>D25*F25*12</f>
        <v>0</v>
      </c>
      <c r="I25" s="177">
        <v>8.4</v>
      </c>
      <c r="J25" s="178">
        <v>0</v>
      </c>
      <c r="K25" s="179">
        <f>D25*I25*306+D25*59*6.5</f>
        <v>0</v>
      </c>
      <c r="L25" s="178">
        <f>D25*J25*12</f>
        <v>0</v>
      </c>
      <c r="M25" s="1049"/>
    </row>
    <row r="26" spans="1:13">
      <c r="A26" s="1333"/>
      <c r="B26" s="182" t="s">
        <v>1779</v>
      </c>
      <c r="C26" s="183"/>
      <c r="D26" s="184">
        <f>SUM(D7:D25)</f>
        <v>0</v>
      </c>
      <c r="E26" s="184">
        <f t="shared" ref="E26:L26" si="4">SUM(E13:E25)</f>
        <v>13.1</v>
      </c>
      <c r="F26" s="184">
        <f>SUM(F13:F25)</f>
        <v>0</v>
      </c>
      <c r="G26" s="184">
        <f>SUM(G7:G24)*11%+G25</f>
        <v>0</v>
      </c>
      <c r="H26" s="184">
        <f t="shared" si="4"/>
        <v>0</v>
      </c>
      <c r="I26" s="184">
        <f>SUM(I13:I25)</f>
        <v>8.4</v>
      </c>
      <c r="J26" s="184">
        <f t="shared" si="4"/>
        <v>0</v>
      </c>
      <c r="K26" s="184">
        <f>SUM(K13:K25)</f>
        <v>0</v>
      </c>
      <c r="L26" s="184">
        <f t="shared" si="4"/>
        <v>0</v>
      </c>
    </row>
    <row r="27" spans="1:13">
      <c r="A27" s="1333"/>
      <c r="B27" s="189" t="s">
        <v>1780</v>
      </c>
      <c r="C27" s="190"/>
      <c r="D27" s="191"/>
      <c r="E27" s="191"/>
      <c r="F27" s="191"/>
      <c r="G27" s="192"/>
      <c r="H27" s="191"/>
      <c r="I27" s="191"/>
      <c r="J27" s="191"/>
      <c r="K27" s="191"/>
      <c r="L27" s="193">
        <f>G26+H26+K26+L26</f>
        <v>0</v>
      </c>
    </row>
    <row r="28" spans="1:13">
      <c r="A28" s="1333"/>
      <c r="B28" s="1336"/>
      <c r="C28" s="176" t="s">
        <v>1781</v>
      </c>
      <c r="D28" s="122"/>
      <c r="E28" s="177">
        <v>0</v>
      </c>
      <c r="F28" s="178">
        <v>29</v>
      </c>
      <c r="G28" s="180">
        <f t="shared" ref="G28:G33" si="5">D28*E28*365</f>
        <v>0</v>
      </c>
      <c r="H28" s="178">
        <f>D28*F28*12</f>
        <v>0</v>
      </c>
      <c r="I28" s="177">
        <v>0</v>
      </c>
      <c r="J28" s="600"/>
      <c r="K28" s="179">
        <f t="shared" ref="K28:K33" si="6">D28*I28*365</f>
        <v>0</v>
      </c>
      <c r="L28" s="178">
        <f>D28*J28*12</f>
        <v>0</v>
      </c>
      <c r="M28" s="84"/>
    </row>
    <row r="29" spans="1:13">
      <c r="A29" s="1333"/>
      <c r="B29" s="1336"/>
      <c r="C29" s="176" t="s">
        <v>1782</v>
      </c>
      <c r="D29" s="122"/>
      <c r="E29" s="177">
        <v>0</v>
      </c>
      <c r="F29" s="178">
        <v>29</v>
      </c>
      <c r="G29" s="180">
        <f t="shared" si="5"/>
        <v>0</v>
      </c>
      <c r="H29" s="178">
        <f>(D29*F29+1500)*12</f>
        <v>18000</v>
      </c>
      <c r="I29" s="177">
        <v>0</v>
      </c>
      <c r="J29" s="600"/>
      <c r="K29" s="179">
        <f t="shared" si="6"/>
        <v>0</v>
      </c>
      <c r="L29" s="178">
        <f>D29*J29*12</f>
        <v>0</v>
      </c>
      <c r="M29" s="194"/>
    </row>
    <row r="30" spans="1:13">
      <c r="A30" s="1333"/>
      <c r="B30" s="1336"/>
      <c r="C30" s="176" t="s">
        <v>1783</v>
      </c>
      <c r="D30" s="122"/>
      <c r="E30" s="177">
        <v>0</v>
      </c>
      <c r="F30" s="178">
        <v>29</v>
      </c>
      <c r="G30" s="180">
        <f t="shared" si="5"/>
        <v>0</v>
      </c>
      <c r="H30" s="178">
        <f>D30*F30*12</f>
        <v>0</v>
      </c>
      <c r="I30" s="177">
        <v>0</v>
      </c>
      <c r="J30" s="600"/>
      <c r="K30" s="179">
        <f t="shared" si="6"/>
        <v>0</v>
      </c>
      <c r="L30" s="178">
        <f>D30*J30*12</f>
        <v>0</v>
      </c>
      <c r="M30" s="84"/>
    </row>
    <row r="31" spans="1:13">
      <c r="A31" s="1333"/>
      <c r="B31" s="1336"/>
      <c r="C31" s="176" t="s">
        <v>1784</v>
      </c>
      <c r="D31" s="122"/>
      <c r="E31" s="177">
        <v>0</v>
      </c>
      <c r="F31" s="178">
        <v>29</v>
      </c>
      <c r="G31" s="180">
        <f>D31*E31*365</f>
        <v>0</v>
      </c>
      <c r="H31" s="178">
        <f>D31*F31*12</f>
        <v>0</v>
      </c>
      <c r="I31" s="177">
        <v>0</v>
      </c>
      <c r="J31" s="600"/>
      <c r="K31" s="179">
        <f>D31*I31*365</f>
        <v>0</v>
      </c>
      <c r="L31" s="178">
        <f>D31*J31*12</f>
        <v>0</v>
      </c>
      <c r="M31" s="84"/>
    </row>
    <row r="32" spans="1:13">
      <c r="A32" s="1333"/>
      <c r="B32" s="1336"/>
      <c r="C32" s="1172" t="s">
        <v>1785</v>
      </c>
      <c r="D32" s="122"/>
      <c r="E32" s="177">
        <v>0</v>
      </c>
      <c r="F32" s="178">
        <v>28</v>
      </c>
      <c r="G32" s="180">
        <f>D32*E32*365</f>
        <v>0</v>
      </c>
      <c r="H32" s="178">
        <f>(D32*F32+30*200)*12</f>
        <v>72000</v>
      </c>
      <c r="I32" s="177">
        <v>0</v>
      </c>
      <c r="J32" s="178"/>
      <c r="K32" s="179">
        <f>D32*I32*365</f>
        <v>0</v>
      </c>
      <c r="L32" s="178">
        <f t="shared" ref="L32:L33" si="7">D32*J32*12</f>
        <v>0</v>
      </c>
      <c r="M32" s="601"/>
    </row>
    <row r="33" spans="1:13">
      <c r="A33" s="1333"/>
      <c r="B33" s="1337"/>
      <c r="C33" s="176" t="s">
        <v>1786</v>
      </c>
      <c r="D33" s="122"/>
      <c r="E33" s="177">
        <v>0</v>
      </c>
      <c r="F33" s="178">
        <v>28</v>
      </c>
      <c r="G33" s="180">
        <f t="shared" si="5"/>
        <v>0</v>
      </c>
      <c r="H33" s="600">
        <f>(D33*F33+30*200)*12</f>
        <v>72000</v>
      </c>
      <c r="I33" s="177">
        <v>0</v>
      </c>
      <c r="J33" s="178"/>
      <c r="K33" s="179">
        <f t="shared" si="6"/>
        <v>0</v>
      </c>
      <c r="L33" s="178">
        <f t="shared" si="7"/>
        <v>0</v>
      </c>
      <c r="M33" s="601"/>
    </row>
    <row r="34" spans="1:13">
      <c r="A34" s="1333"/>
      <c r="B34" s="182" t="s">
        <v>1787</v>
      </c>
      <c r="C34" s="183"/>
      <c r="D34" s="184"/>
      <c r="E34" s="185"/>
      <c r="F34" s="186"/>
      <c r="G34" s="187">
        <f>SUM(G28:G33)</f>
        <v>0</v>
      </c>
      <c r="H34" s="188">
        <f>SUM(H28:H33)</f>
        <v>162000</v>
      </c>
      <c r="I34" s="185"/>
      <c r="J34" s="186"/>
      <c r="K34" s="187">
        <f>SUM(K28:K33)</f>
        <v>0</v>
      </c>
      <c r="L34" s="188">
        <f>SUM(L28:L33)</f>
        <v>0</v>
      </c>
      <c r="M34" s="84"/>
    </row>
    <row r="35" spans="1:13">
      <c r="A35" s="1334"/>
      <c r="B35" s="189" t="s">
        <v>1788</v>
      </c>
      <c r="C35" s="190"/>
      <c r="D35" s="191"/>
      <c r="E35" s="191"/>
      <c r="F35" s="191"/>
      <c r="G35" s="192"/>
      <c r="H35" s="191"/>
      <c r="I35" s="191"/>
      <c r="J35" s="191"/>
      <c r="K35" s="191"/>
      <c r="L35" s="193">
        <f>G34+H34+K34+L34</f>
        <v>162000</v>
      </c>
      <c r="M35" s="84"/>
    </row>
    <row r="36" spans="1:13" ht="12.75" customHeight="1">
      <c r="A36" s="1335" t="s">
        <v>1789</v>
      </c>
      <c r="B36" s="1335" t="s">
        <v>1790</v>
      </c>
      <c r="C36" s="1338" t="s">
        <v>1791</v>
      </c>
      <c r="D36" s="195"/>
      <c r="E36" s="177">
        <v>0</v>
      </c>
      <c r="F36" s="178">
        <v>100</v>
      </c>
      <c r="G36" s="180">
        <f t="shared" ref="G36:G43" si="8">D36*E36*365</f>
        <v>0</v>
      </c>
      <c r="H36" s="178">
        <f>D36*F36*12</f>
        <v>0</v>
      </c>
      <c r="I36" s="177">
        <v>0</v>
      </c>
      <c r="J36" s="178">
        <v>0</v>
      </c>
      <c r="K36" s="179">
        <f t="shared" ref="K36:K43" si="9">D36*I36*365</f>
        <v>0</v>
      </c>
      <c r="L36" s="178">
        <f>D36*J36*12</f>
        <v>0</v>
      </c>
      <c r="M36" s="84"/>
    </row>
    <row r="37" spans="1:13">
      <c r="A37" s="1336"/>
      <c r="B37" s="1336"/>
      <c r="C37" s="1339"/>
      <c r="D37" s="195"/>
      <c r="E37" s="177">
        <v>0</v>
      </c>
      <c r="F37" s="178">
        <v>0</v>
      </c>
      <c r="G37" s="180">
        <f t="shared" si="8"/>
        <v>0</v>
      </c>
      <c r="H37" s="178">
        <f t="shared" ref="H37:H46" si="10">D37*F37*12</f>
        <v>0</v>
      </c>
      <c r="I37" s="177">
        <v>0</v>
      </c>
      <c r="J37" s="178"/>
      <c r="K37" s="179">
        <f t="shared" si="9"/>
        <v>0</v>
      </c>
      <c r="L37" s="1193">
        <f>D37*J37*12</f>
        <v>0</v>
      </c>
      <c r="M37" s="1173"/>
    </row>
    <row r="38" spans="1:13">
      <c r="A38" s="1336"/>
      <c r="B38" s="1336"/>
      <c r="C38" s="176" t="s">
        <v>1792</v>
      </c>
      <c r="D38" s="195"/>
      <c r="E38" s="177">
        <v>0</v>
      </c>
      <c r="F38" s="178">
        <v>0</v>
      </c>
      <c r="G38" s="180">
        <f t="shared" si="8"/>
        <v>0</v>
      </c>
      <c r="H38" s="178">
        <f t="shared" si="10"/>
        <v>0</v>
      </c>
      <c r="I38" s="177">
        <v>0</v>
      </c>
      <c r="J38" s="178"/>
      <c r="K38" s="179">
        <f t="shared" si="9"/>
        <v>0</v>
      </c>
      <c r="L38" s="1193">
        <f>J38*D38*12</f>
        <v>0</v>
      </c>
      <c r="M38" s="601"/>
    </row>
    <row r="39" spans="1:13">
      <c r="A39" s="1336"/>
      <c r="B39" s="1336"/>
      <c r="C39" s="1174" t="s">
        <v>1793</v>
      </c>
      <c r="D39" s="195"/>
      <c r="E39" s="177">
        <v>0</v>
      </c>
      <c r="F39" s="178">
        <v>150</v>
      </c>
      <c r="G39" s="180">
        <f t="shared" si="8"/>
        <v>0</v>
      </c>
      <c r="H39" s="178">
        <f t="shared" si="10"/>
        <v>0</v>
      </c>
      <c r="I39" s="177">
        <v>0</v>
      </c>
      <c r="J39" s="178"/>
      <c r="K39" s="179">
        <f t="shared" si="9"/>
        <v>0</v>
      </c>
      <c r="L39" s="1193">
        <f>D39*J39*12</f>
        <v>0</v>
      </c>
      <c r="M39" s="84"/>
    </row>
    <row r="40" spans="1:13">
      <c r="A40" s="1336"/>
      <c r="B40" s="1336"/>
      <c r="C40" s="1174" t="s">
        <v>1794</v>
      </c>
      <c r="D40" s="602"/>
      <c r="E40" s="177">
        <v>0</v>
      </c>
      <c r="F40" s="178">
        <v>150</v>
      </c>
      <c r="G40" s="180">
        <f t="shared" si="8"/>
        <v>0</v>
      </c>
      <c r="H40" s="178">
        <f t="shared" si="10"/>
        <v>0</v>
      </c>
      <c r="I40" s="177">
        <v>0</v>
      </c>
      <c r="J40" s="178"/>
      <c r="K40" s="179">
        <f t="shared" si="9"/>
        <v>0</v>
      </c>
      <c r="L40" s="1193">
        <f>D40*J40*12</f>
        <v>0</v>
      </c>
      <c r="M40" s="84"/>
    </row>
    <row r="41" spans="1:13">
      <c r="A41" s="1336"/>
      <c r="B41" s="1336"/>
      <c r="C41" s="1174" t="s">
        <v>1795</v>
      </c>
      <c r="D41" s="602"/>
      <c r="E41" s="177"/>
      <c r="F41" s="178">
        <v>150</v>
      </c>
      <c r="G41" s="180"/>
      <c r="H41" s="178">
        <f t="shared" si="10"/>
        <v>0</v>
      </c>
      <c r="I41" s="177"/>
      <c r="J41" s="178"/>
      <c r="K41" s="179"/>
      <c r="L41" s="1193">
        <f>D41*J41*12</f>
        <v>0</v>
      </c>
      <c r="M41" s="84"/>
    </row>
    <row r="42" spans="1:13">
      <c r="A42" s="1336"/>
      <c r="B42" s="1336"/>
      <c r="C42" s="176" t="s">
        <v>1811</v>
      </c>
      <c r="D42" s="195"/>
      <c r="E42" s="177">
        <v>0</v>
      </c>
      <c r="F42" s="178"/>
      <c r="G42" s="180">
        <f t="shared" si="8"/>
        <v>0</v>
      </c>
      <c r="H42" s="178">
        <f t="shared" si="10"/>
        <v>0</v>
      </c>
      <c r="I42" s="177">
        <v>0</v>
      </c>
      <c r="J42" s="178"/>
      <c r="K42" s="179">
        <f t="shared" si="9"/>
        <v>0</v>
      </c>
      <c r="L42" s="1193">
        <f>D42*J42*12</f>
        <v>0</v>
      </c>
      <c r="M42" s="194"/>
    </row>
    <row r="43" spans="1:13">
      <c r="A43" s="1336"/>
      <c r="B43" s="1336"/>
      <c r="C43" s="1340" t="s">
        <v>1796</v>
      </c>
      <c r="D43" s="195"/>
      <c r="E43" s="177">
        <v>0</v>
      </c>
      <c r="F43" s="178">
        <v>1000</v>
      </c>
      <c r="G43" s="180">
        <f t="shared" si="8"/>
        <v>0</v>
      </c>
      <c r="H43" s="178">
        <f t="shared" si="10"/>
        <v>0</v>
      </c>
      <c r="I43" s="177">
        <v>0</v>
      </c>
      <c r="J43" s="178"/>
      <c r="K43" s="179">
        <f t="shared" si="9"/>
        <v>0</v>
      </c>
      <c r="L43" s="1193">
        <f t="shared" ref="L43:L46" si="11">D43*J43*12</f>
        <v>0</v>
      </c>
      <c r="M43" s="1342"/>
    </row>
    <row r="44" spans="1:13">
      <c r="A44" s="1336"/>
      <c r="B44" s="1336"/>
      <c r="C44" s="1341"/>
      <c r="D44" s="195"/>
      <c r="E44" s="177">
        <v>0</v>
      </c>
      <c r="F44" s="178">
        <v>800</v>
      </c>
      <c r="G44" s="180">
        <f>D44*E44*365</f>
        <v>0</v>
      </c>
      <c r="H44" s="178">
        <f t="shared" si="10"/>
        <v>0</v>
      </c>
      <c r="I44" s="177">
        <v>0</v>
      </c>
      <c r="J44" s="178"/>
      <c r="K44" s="179">
        <f>D44*I44*365</f>
        <v>0</v>
      </c>
      <c r="L44" s="178">
        <f t="shared" si="11"/>
        <v>0</v>
      </c>
      <c r="M44" s="1342"/>
    </row>
    <row r="45" spans="1:13">
      <c r="A45" s="1336"/>
      <c r="B45" s="1336"/>
      <c r="C45" s="1338" t="s">
        <v>1797</v>
      </c>
      <c r="D45" s="195"/>
      <c r="E45" s="177">
        <v>0</v>
      </c>
      <c r="F45" s="178">
        <v>1000</v>
      </c>
      <c r="G45" s="180">
        <f>D45*E45*365</f>
        <v>0</v>
      </c>
      <c r="H45" s="600">
        <f t="shared" si="10"/>
        <v>0</v>
      </c>
      <c r="I45" s="177">
        <v>0</v>
      </c>
      <c r="J45" s="178"/>
      <c r="K45" s="179">
        <f>D45*I45*365</f>
        <v>0</v>
      </c>
      <c r="L45" s="600">
        <f t="shared" si="11"/>
        <v>0</v>
      </c>
      <c r="M45" s="1342"/>
    </row>
    <row r="46" spans="1:13">
      <c r="A46" s="1336"/>
      <c r="B46" s="1337"/>
      <c r="C46" s="1343"/>
      <c r="D46" s="195"/>
      <c r="E46" s="177">
        <v>0</v>
      </c>
      <c r="F46" s="178">
        <v>800</v>
      </c>
      <c r="G46" s="180">
        <f>D46*E46*365</f>
        <v>0</v>
      </c>
      <c r="H46" s="600">
        <f t="shared" si="10"/>
        <v>0</v>
      </c>
      <c r="I46" s="177">
        <v>0</v>
      </c>
      <c r="J46" s="178"/>
      <c r="K46" s="179">
        <f>D46*I46*365</f>
        <v>0</v>
      </c>
      <c r="L46" s="600">
        <f t="shared" si="11"/>
        <v>0</v>
      </c>
      <c r="M46" s="1342"/>
    </row>
    <row r="47" spans="1:13">
      <c r="A47" s="1336"/>
      <c r="B47" s="182" t="s">
        <v>1787</v>
      </c>
      <c r="C47" s="183"/>
      <c r="D47" s="196"/>
      <c r="E47" s="185"/>
      <c r="F47" s="186"/>
      <c r="G47" s="187">
        <f>SUM(G36:G44)</f>
        <v>0</v>
      </c>
      <c r="H47" s="188">
        <f>SUM(H36:H44)</f>
        <v>0</v>
      </c>
      <c r="I47" s="185"/>
      <c r="J47" s="186"/>
      <c r="K47" s="187">
        <f>SUM(K36:K44)</f>
        <v>0</v>
      </c>
      <c r="L47" s="188">
        <f>SUM(L36:L44)</f>
        <v>0</v>
      </c>
      <c r="M47" s="84"/>
    </row>
    <row r="48" spans="1:13">
      <c r="A48" s="1337"/>
      <c r="B48" s="189" t="s">
        <v>1788</v>
      </c>
      <c r="C48" s="190"/>
      <c r="D48" s="197"/>
      <c r="E48" s="191"/>
      <c r="F48" s="191"/>
      <c r="G48" s="192"/>
      <c r="H48" s="191"/>
      <c r="I48" s="191"/>
      <c r="J48" s="191"/>
      <c r="K48" s="191"/>
      <c r="L48" s="193">
        <f>G47+H47+K47+L47</f>
        <v>0</v>
      </c>
      <c r="M48" s="84"/>
    </row>
    <row r="49" spans="4:12">
      <c r="D49" s="80"/>
      <c r="E49" s="80"/>
      <c r="G49" s="80"/>
      <c r="H49" s="80"/>
      <c r="I49" s="80"/>
      <c r="J49" s="80"/>
      <c r="K49" s="80" t="s">
        <v>1798</v>
      </c>
      <c r="L49" s="198">
        <f>H36+L37</f>
        <v>0</v>
      </c>
    </row>
    <row r="50" spans="4:12">
      <c r="D50" s="80"/>
      <c r="E50" s="80"/>
      <c r="G50" s="80"/>
      <c r="H50" s="80"/>
      <c r="I50" s="80"/>
      <c r="J50" s="80"/>
      <c r="K50" s="199" t="s">
        <v>1799</v>
      </c>
      <c r="L50" s="200">
        <f>L38</f>
        <v>0</v>
      </c>
    </row>
    <row r="55" spans="4:12">
      <c r="F55" s="91"/>
    </row>
    <row r="56" spans="4:12">
      <c r="F56" s="91"/>
    </row>
    <row r="57" spans="4:12">
      <c r="F57" s="201"/>
    </row>
    <row r="58" spans="4:12">
      <c r="F58" s="91"/>
    </row>
    <row r="59" spans="4:12">
      <c r="F59" s="91"/>
    </row>
    <row r="60" spans="4:12">
      <c r="F60" s="91"/>
    </row>
  </sheetData>
  <mergeCells count="18">
    <mergeCell ref="C36:C37"/>
    <mergeCell ref="C43:C44"/>
    <mergeCell ref="M43:M44"/>
    <mergeCell ref="C45:C46"/>
    <mergeCell ref="M45:M46"/>
    <mergeCell ref="A7:A35"/>
    <mergeCell ref="B7:B14"/>
    <mergeCell ref="B22:B23"/>
    <mergeCell ref="B28:B33"/>
    <mergeCell ref="A36:A48"/>
    <mergeCell ref="B36:B46"/>
    <mergeCell ref="A1:L1"/>
    <mergeCell ref="E3:H3"/>
    <mergeCell ref="I3:L3"/>
    <mergeCell ref="E4:F4"/>
    <mergeCell ref="G4:H4"/>
    <mergeCell ref="I4:J4"/>
    <mergeCell ref="K4:L4"/>
  </mergeCells>
  <phoneticPr fontId="1" type="noConversion"/>
  <printOptions horizontalCentered="1"/>
  <pageMargins left="0.23622047244094491" right="0.23622047244094491" top="0.43307086614173229" bottom="0.27559055118110237" header="0.31496062992125984" footer="0.15748031496062992"/>
  <pageSetup paperSize="9" scale="8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T79"/>
  <sheetViews>
    <sheetView workbookViewId="0">
      <pane xSplit="3" ySplit="3" topLeftCell="D48" activePane="bottomRight" state="frozen"/>
      <selection pane="topRight" activeCell="D1" sqref="D1"/>
      <selection pane="bottomLeft" activeCell="A4" sqref="A4"/>
      <selection pane="bottomRight" activeCell="J4" sqref="J4:J53"/>
    </sheetView>
  </sheetViews>
  <sheetFormatPr defaultRowHeight="16.5"/>
  <cols>
    <col min="1" max="1" width="9" style="1154"/>
    <col min="2" max="2" width="9" style="1131"/>
    <col min="3" max="3" width="10.25" style="1131" bestFit="1" customWidth="1"/>
    <col min="4" max="4" width="16.25" style="1154" customWidth="1"/>
    <col min="5" max="5" width="14.125" style="1154" customWidth="1"/>
    <col min="6" max="6" width="9.75" style="1155" customWidth="1"/>
    <col min="7" max="7" width="10.875" style="1155" customWidth="1"/>
    <col min="8" max="8" width="10.5" style="1155" customWidth="1"/>
    <col min="9" max="9" width="10.625" style="1155" customWidth="1"/>
    <col min="10" max="10" width="47.375" style="1131" customWidth="1"/>
    <col min="11" max="12" width="9" style="1131"/>
    <col min="13" max="13" width="16.125" style="1131" customWidth="1"/>
    <col min="14" max="19" width="9" style="1131"/>
    <col min="20" max="20" width="48.625" style="1131" customWidth="1"/>
    <col min="21" max="16384" width="9" style="1131"/>
  </cols>
  <sheetData>
    <row r="1" spans="1:11" ht="25.5">
      <c r="A1" s="1346" t="s">
        <v>1574</v>
      </c>
      <c r="B1" s="1346"/>
      <c r="C1" s="1346"/>
      <c r="D1" s="1346"/>
      <c r="E1" s="1346"/>
      <c r="F1" s="1346"/>
      <c r="G1" s="1346"/>
      <c r="H1" s="1346"/>
      <c r="I1" s="1346"/>
      <c r="J1" s="1346"/>
    </row>
    <row r="2" spans="1:11">
      <c r="A2" s="1132"/>
      <c r="B2" s="1133"/>
      <c r="C2" s="1133"/>
      <c r="D2" s="1132"/>
      <c r="E2" s="1132"/>
      <c r="F2" s="1134"/>
      <c r="G2" s="1134"/>
      <c r="H2" s="1134"/>
      <c r="I2" s="1134"/>
      <c r="J2" s="1131" t="s">
        <v>1575</v>
      </c>
    </row>
    <row r="3" spans="1:11">
      <c r="A3" s="1135" t="s">
        <v>1576</v>
      </c>
      <c r="B3" s="1347" t="s">
        <v>1577</v>
      </c>
      <c r="C3" s="1348"/>
      <c r="D3" s="1135" t="s">
        <v>1578</v>
      </c>
      <c r="E3" s="1199" t="s">
        <v>1579</v>
      </c>
      <c r="F3" s="1196" t="s">
        <v>572</v>
      </c>
      <c r="G3" s="1196" t="s">
        <v>573</v>
      </c>
      <c r="H3" s="1196" t="s">
        <v>574</v>
      </c>
      <c r="I3" s="1196" t="s">
        <v>1314</v>
      </c>
      <c r="J3" s="1135" t="s">
        <v>1580</v>
      </c>
    </row>
    <row r="4" spans="1:11" s="1133" customFormat="1">
      <c r="A4" s="1136">
        <v>1</v>
      </c>
      <c r="B4" s="1349" t="s">
        <v>1581</v>
      </c>
      <c r="C4" s="1349" t="s">
        <v>1582</v>
      </c>
      <c r="D4" s="1137" t="s">
        <v>1583</v>
      </c>
      <c r="E4" s="1140">
        <f t="shared" ref="E4:E20" si="0">SUM(F4:I4)</f>
        <v>0</v>
      </c>
      <c r="F4" s="1139"/>
      <c r="G4" s="1139"/>
      <c r="H4" s="1139"/>
      <c r="I4" s="1139"/>
      <c r="J4" s="1137"/>
      <c r="K4" s="1141"/>
    </row>
    <row r="5" spans="1:11" s="1133" customFormat="1">
      <c r="A5" s="1136">
        <v>2</v>
      </c>
      <c r="B5" s="1349"/>
      <c r="C5" s="1349"/>
      <c r="D5" s="1137" t="s">
        <v>1584</v>
      </c>
      <c r="E5" s="1140">
        <f t="shared" si="0"/>
        <v>0</v>
      </c>
      <c r="F5" s="1139"/>
      <c r="G5" s="1139"/>
      <c r="H5" s="1139"/>
      <c r="I5" s="1139"/>
      <c r="J5" s="1137"/>
      <c r="K5" s="1141"/>
    </row>
    <row r="6" spans="1:11" s="1133" customFormat="1">
      <c r="A6" s="1136">
        <v>3</v>
      </c>
      <c r="B6" s="1349"/>
      <c r="C6" s="1349"/>
      <c r="D6" s="1137" t="s">
        <v>1585</v>
      </c>
      <c r="E6" s="1140">
        <f t="shared" si="0"/>
        <v>0</v>
      </c>
      <c r="F6" s="1139"/>
      <c r="G6" s="1139"/>
      <c r="H6" s="1139"/>
      <c r="I6" s="1139"/>
      <c r="J6" s="1137"/>
      <c r="K6" s="1141"/>
    </row>
    <row r="7" spans="1:11">
      <c r="A7" s="1136">
        <v>4</v>
      </c>
      <c r="B7" s="1349"/>
      <c r="C7" s="1349"/>
      <c r="D7" s="1137" t="s">
        <v>1586</v>
      </c>
      <c r="E7" s="1140">
        <f t="shared" si="0"/>
        <v>0</v>
      </c>
      <c r="F7" s="1138"/>
      <c r="G7" s="1197"/>
      <c r="H7" s="1139"/>
      <c r="I7" s="1139"/>
      <c r="J7" s="1137"/>
    </row>
    <row r="8" spans="1:11">
      <c r="A8" s="1136">
        <v>5</v>
      </c>
      <c r="B8" s="1349"/>
      <c r="C8" s="1349"/>
      <c r="D8" s="1137" t="s">
        <v>1587</v>
      </c>
      <c r="E8" s="1140">
        <f t="shared" si="0"/>
        <v>0</v>
      </c>
      <c r="F8" s="1139"/>
      <c r="G8" s="1197"/>
      <c r="H8" s="1139"/>
      <c r="I8" s="1139"/>
      <c r="J8" s="1137"/>
    </row>
    <row r="9" spans="1:11">
      <c r="A9" s="1136">
        <v>6</v>
      </c>
      <c r="B9" s="1349"/>
      <c r="C9" s="1349"/>
      <c r="D9" s="1137" t="s">
        <v>1588</v>
      </c>
      <c r="E9" s="1140">
        <f t="shared" si="0"/>
        <v>0</v>
      </c>
      <c r="F9" s="1139"/>
      <c r="G9" s="1139"/>
      <c r="H9" s="1139"/>
      <c r="I9" s="1139"/>
      <c r="J9" s="1137"/>
    </row>
    <row r="10" spans="1:11" ht="24">
      <c r="A10" s="1136">
        <v>7</v>
      </c>
      <c r="B10" s="1349"/>
      <c r="C10" s="1349"/>
      <c r="D10" s="1137" t="s">
        <v>1589</v>
      </c>
      <c r="E10" s="1140">
        <f t="shared" si="0"/>
        <v>0</v>
      </c>
      <c r="F10" s="1139"/>
      <c r="G10" s="1139"/>
      <c r="H10" s="1139"/>
      <c r="I10" s="1139"/>
      <c r="J10" s="1137"/>
    </row>
    <row r="11" spans="1:11" ht="24.75">
      <c r="A11" s="1136">
        <v>8</v>
      </c>
      <c r="B11" s="1349"/>
      <c r="C11" s="1349"/>
      <c r="D11" s="1137" t="s">
        <v>1590</v>
      </c>
      <c r="E11" s="1140">
        <f t="shared" si="0"/>
        <v>0</v>
      </c>
      <c r="F11" s="1139"/>
      <c r="G11" s="1138"/>
      <c r="H11" s="1139"/>
      <c r="I11" s="1139"/>
      <c r="J11" s="1137"/>
    </row>
    <row r="12" spans="1:11">
      <c r="A12" s="1136">
        <v>9</v>
      </c>
      <c r="B12" s="1349"/>
      <c r="C12" s="1349"/>
      <c r="D12" s="1151" t="s">
        <v>1591</v>
      </c>
      <c r="E12" s="1210">
        <f t="shared" si="0"/>
        <v>0</v>
      </c>
      <c r="F12" s="1211"/>
      <c r="G12" s="1211"/>
      <c r="H12" s="1211"/>
      <c r="I12" s="1212"/>
      <c r="J12" s="1213"/>
    </row>
    <row r="13" spans="1:11">
      <c r="A13" s="1136">
        <v>10</v>
      </c>
      <c r="B13" s="1349"/>
      <c r="C13" s="1349"/>
      <c r="D13" s="1142" t="s">
        <v>1592</v>
      </c>
      <c r="E13" s="1140">
        <f t="shared" si="0"/>
        <v>0</v>
      </c>
      <c r="F13" s="1139"/>
      <c r="G13" s="1139"/>
      <c r="H13" s="1139"/>
      <c r="I13" s="1139"/>
      <c r="J13" s="1137"/>
    </row>
    <row r="14" spans="1:11" ht="24">
      <c r="A14" s="1136">
        <v>11</v>
      </c>
      <c r="B14" s="1349"/>
      <c r="C14" s="1349"/>
      <c r="D14" s="1142" t="s">
        <v>1593</v>
      </c>
      <c r="E14" s="1140">
        <f t="shared" si="0"/>
        <v>0</v>
      </c>
      <c r="F14" s="1139"/>
      <c r="G14" s="1139"/>
      <c r="H14" s="1139"/>
      <c r="I14" s="1139"/>
      <c r="J14" s="1137"/>
    </row>
    <row r="15" spans="1:11" ht="24">
      <c r="A15" s="1136">
        <v>12</v>
      </c>
      <c r="B15" s="1349"/>
      <c r="C15" s="1349"/>
      <c r="D15" s="1142" t="s">
        <v>1594</v>
      </c>
      <c r="E15" s="1140">
        <f t="shared" si="0"/>
        <v>0</v>
      </c>
      <c r="F15" s="1139"/>
      <c r="G15" s="1139"/>
      <c r="H15" s="1139"/>
      <c r="I15" s="1139"/>
      <c r="J15" s="1137"/>
    </row>
    <row r="16" spans="1:11">
      <c r="A16" s="1136">
        <v>13</v>
      </c>
      <c r="B16" s="1349"/>
      <c r="C16" s="1349"/>
      <c r="D16" s="1142" t="s">
        <v>1595</v>
      </c>
      <c r="E16" s="1140">
        <f t="shared" si="0"/>
        <v>0</v>
      </c>
      <c r="F16" s="1139"/>
      <c r="G16" s="1139"/>
      <c r="H16" s="1139"/>
      <c r="I16" s="1139"/>
      <c r="J16" s="1137"/>
    </row>
    <row r="17" spans="1:10" ht="24">
      <c r="A17" s="1136">
        <v>14</v>
      </c>
      <c r="B17" s="1349"/>
      <c r="C17" s="1349"/>
      <c r="D17" s="1142" t="s">
        <v>1596</v>
      </c>
      <c r="E17" s="1140">
        <f t="shared" si="0"/>
        <v>0</v>
      </c>
      <c r="F17" s="1139"/>
      <c r="G17" s="1139"/>
      <c r="H17" s="1139"/>
      <c r="I17" s="1139"/>
      <c r="J17" s="1137"/>
    </row>
    <row r="18" spans="1:10" ht="24">
      <c r="A18" s="1136">
        <v>15</v>
      </c>
      <c r="B18" s="1349"/>
      <c r="C18" s="1349"/>
      <c r="D18" s="1142" t="s">
        <v>1597</v>
      </c>
      <c r="E18" s="1140">
        <f t="shared" si="0"/>
        <v>0</v>
      </c>
      <c r="F18" s="1139"/>
      <c r="G18" s="1139"/>
      <c r="H18" s="1139"/>
      <c r="I18" s="1139"/>
      <c r="J18" s="1137"/>
    </row>
    <row r="19" spans="1:10" ht="24">
      <c r="A19" s="1136">
        <v>16</v>
      </c>
      <c r="B19" s="1349"/>
      <c r="C19" s="1350" t="s">
        <v>1598</v>
      </c>
      <c r="D19" s="1142" t="s">
        <v>1599</v>
      </c>
      <c r="E19" s="1140">
        <f t="shared" si="0"/>
        <v>0</v>
      </c>
      <c r="F19" s="1139"/>
      <c r="G19" s="1139"/>
      <c r="H19" s="1139"/>
      <c r="I19" s="1139"/>
      <c r="J19" s="1137"/>
    </row>
    <row r="20" spans="1:10">
      <c r="A20" s="1136">
        <v>17</v>
      </c>
      <c r="B20" s="1349"/>
      <c r="C20" s="1351"/>
      <c r="D20" s="1142" t="s">
        <v>1600</v>
      </c>
      <c r="E20" s="1140">
        <f t="shared" si="0"/>
        <v>0</v>
      </c>
      <c r="F20" s="1139"/>
      <c r="G20" s="1139"/>
      <c r="H20" s="1139"/>
      <c r="I20" s="1139"/>
      <c r="J20" s="1137"/>
    </row>
    <row r="21" spans="1:10">
      <c r="A21" s="1136">
        <v>18</v>
      </c>
      <c r="B21" s="1349"/>
      <c r="C21" s="1351"/>
      <c r="D21" s="1142" t="s">
        <v>1601</v>
      </c>
      <c r="E21" s="1140">
        <v>12000</v>
      </c>
      <c r="F21" s="1197"/>
      <c r="G21" s="1197"/>
      <c r="H21" s="1197"/>
      <c r="I21" s="1197"/>
      <c r="J21" s="1137"/>
    </row>
    <row r="22" spans="1:10">
      <c r="A22" s="1136">
        <v>19</v>
      </c>
      <c r="B22" s="1349"/>
      <c r="C22" s="1351"/>
      <c r="D22" s="1143" t="s">
        <v>1602</v>
      </c>
      <c r="E22" s="1140">
        <f>SUM(F22:I22)</f>
        <v>0</v>
      </c>
      <c r="F22" s="1145"/>
      <c r="G22" s="1198"/>
      <c r="H22" s="1145"/>
      <c r="I22" s="1145"/>
      <c r="J22" s="1137"/>
    </row>
    <row r="23" spans="1:10">
      <c r="A23" s="1136">
        <v>20</v>
      </c>
      <c r="B23" s="1349"/>
      <c r="C23" s="1352"/>
      <c r="D23" s="1143" t="s">
        <v>1603</v>
      </c>
      <c r="E23" s="1147">
        <v>0</v>
      </c>
      <c r="F23" s="1148"/>
      <c r="G23" s="1148"/>
      <c r="H23" s="1148"/>
      <c r="I23" s="1148"/>
      <c r="J23" s="1137"/>
    </row>
    <row r="24" spans="1:10">
      <c r="A24" s="1136">
        <v>21</v>
      </c>
      <c r="B24" s="1349"/>
      <c r="C24" s="1349" t="s">
        <v>1604</v>
      </c>
      <c r="D24" s="1137" t="s">
        <v>1605</v>
      </c>
      <c r="E24" s="1146">
        <f>SUM(F24:I24)</f>
        <v>0</v>
      </c>
      <c r="F24" s="1198"/>
      <c r="G24" s="1145"/>
      <c r="H24" s="1145"/>
      <c r="I24" s="1145"/>
      <c r="J24" s="1137"/>
    </row>
    <row r="25" spans="1:10">
      <c r="A25" s="1136">
        <v>22</v>
      </c>
      <c r="B25" s="1349"/>
      <c r="C25" s="1353"/>
      <c r="D25" s="1137" t="s">
        <v>1606</v>
      </c>
      <c r="E25" s="1146">
        <f>SUM(F25:I25)</f>
        <v>0</v>
      </c>
      <c r="F25" s="1145"/>
      <c r="G25" s="1145"/>
      <c r="H25" s="1145"/>
      <c r="I25" s="1144"/>
      <c r="J25" s="1137"/>
    </row>
    <row r="26" spans="1:10" ht="24">
      <c r="A26" s="1136">
        <v>24</v>
      </c>
      <c r="B26" s="1349"/>
      <c r="C26" s="1353"/>
      <c r="D26" s="1137" t="s">
        <v>1607</v>
      </c>
      <c r="E26" s="1146">
        <f>SUM(F26:I26)</f>
        <v>0</v>
      </c>
      <c r="F26" s="1139"/>
      <c r="G26" s="1139"/>
      <c r="H26" s="1139"/>
      <c r="I26" s="1138"/>
      <c r="J26" s="1137"/>
    </row>
    <row r="27" spans="1:10">
      <c r="A27" s="1344" t="s">
        <v>1608</v>
      </c>
      <c r="B27" s="1345"/>
      <c r="C27" s="1345"/>
      <c r="D27" s="1345"/>
      <c r="E27" s="1149">
        <f>SUM(E4:E26)</f>
        <v>12000</v>
      </c>
      <c r="F27" s="1149">
        <f>SUM(F4:F26)</f>
        <v>0</v>
      </c>
      <c r="G27" s="1149">
        <f>SUM(G4:G26)</f>
        <v>0</v>
      </c>
      <c r="H27" s="1149">
        <f>SUM(H4:H26)</f>
        <v>0</v>
      </c>
      <c r="I27" s="1149">
        <f>SUM(I4:I26)</f>
        <v>0</v>
      </c>
      <c r="J27" s="1200"/>
    </row>
    <row r="28" spans="1:10">
      <c r="A28" s="1136">
        <v>1</v>
      </c>
      <c r="B28" s="1349" t="s">
        <v>1609</v>
      </c>
      <c r="C28" s="1349" t="s">
        <v>1582</v>
      </c>
      <c r="D28" s="1137" t="s">
        <v>1610</v>
      </c>
      <c r="E28" s="1140">
        <f t="shared" ref="E28:E33" si="1">SUM(F28:I28)</f>
        <v>0</v>
      </c>
      <c r="F28" s="1139"/>
      <c r="G28" s="1197"/>
      <c r="H28" s="1197"/>
      <c r="I28" s="1139"/>
      <c r="J28" s="1137"/>
    </row>
    <row r="29" spans="1:10" ht="24.75">
      <c r="A29" s="1136">
        <v>2</v>
      </c>
      <c r="B29" s="1353"/>
      <c r="C29" s="1353"/>
      <c r="D29" s="1137" t="s">
        <v>1611</v>
      </c>
      <c r="E29" s="1140">
        <f t="shared" si="1"/>
        <v>0</v>
      </c>
      <c r="F29" s="1139"/>
      <c r="G29" s="1197"/>
      <c r="H29" s="1197"/>
      <c r="I29" s="1139"/>
      <c r="J29" s="1137"/>
    </row>
    <row r="30" spans="1:10" ht="24">
      <c r="A30" s="1136">
        <v>3</v>
      </c>
      <c r="B30" s="1353"/>
      <c r="C30" s="1351" t="s">
        <v>1878</v>
      </c>
      <c r="D30" s="1137" t="s">
        <v>1612</v>
      </c>
      <c r="E30" s="1140">
        <f t="shared" si="1"/>
        <v>0</v>
      </c>
      <c r="F30" s="1139"/>
      <c r="G30" s="1197"/>
      <c r="H30" s="1197"/>
      <c r="I30" s="1139"/>
      <c r="J30" s="1137"/>
    </row>
    <row r="31" spans="1:10">
      <c r="A31" s="1136">
        <v>4</v>
      </c>
      <c r="B31" s="1353"/>
      <c r="C31" s="1351"/>
      <c r="D31" s="1137" t="s">
        <v>1613</v>
      </c>
      <c r="E31" s="1140">
        <f t="shared" si="1"/>
        <v>0</v>
      </c>
      <c r="F31" s="1144"/>
      <c r="G31" s="1198"/>
      <c r="H31" s="1145"/>
      <c r="I31" s="1145"/>
      <c r="J31" s="1137"/>
    </row>
    <row r="32" spans="1:10" ht="24.75">
      <c r="A32" s="1136">
        <v>5</v>
      </c>
      <c r="B32" s="1353"/>
      <c r="C32" s="1349" t="s">
        <v>1604</v>
      </c>
      <c r="D32" s="1137" t="s">
        <v>1614</v>
      </c>
      <c r="E32" s="1140">
        <f t="shared" si="1"/>
        <v>0</v>
      </c>
      <c r="F32" s="1197"/>
      <c r="G32" s="1139"/>
      <c r="H32" s="1139"/>
      <c r="I32" s="1139"/>
      <c r="J32" s="1137"/>
    </row>
    <row r="33" spans="1:20" ht="24.75">
      <c r="A33" s="1136">
        <v>6</v>
      </c>
      <c r="B33" s="1353"/>
      <c r="C33" s="1353"/>
      <c r="D33" s="1137" t="s">
        <v>1615</v>
      </c>
      <c r="E33" s="1140">
        <f t="shared" si="1"/>
        <v>0</v>
      </c>
      <c r="F33" s="1145"/>
      <c r="G33" s="1198"/>
      <c r="H33" s="1145"/>
      <c r="I33" s="1145"/>
      <c r="J33" s="1137"/>
    </row>
    <row r="34" spans="1:20">
      <c r="A34" s="1344" t="s">
        <v>1616</v>
      </c>
      <c r="B34" s="1345"/>
      <c r="C34" s="1345"/>
      <c r="D34" s="1345"/>
      <c r="E34" s="1149">
        <f>SUM(E28:E33)</f>
        <v>0</v>
      </c>
      <c r="F34" s="1149">
        <f t="shared" ref="F34:I34" si="2">SUM(F28:F33)</f>
        <v>0</v>
      </c>
      <c r="G34" s="1149">
        <f t="shared" si="2"/>
        <v>0</v>
      </c>
      <c r="H34" s="1149">
        <f t="shared" si="2"/>
        <v>0</v>
      </c>
      <c r="I34" s="1149">
        <f t="shared" si="2"/>
        <v>0</v>
      </c>
      <c r="J34" s="1200"/>
    </row>
    <row r="35" spans="1:20">
      <c r="A35" s="1136">
        <v>1</v>
      </c>
      <c r="B35" s="1350" t="s">
        <v>1617</v>
      </c>
      <c r="C35" s="1350" t="s">
        <v>1582</v>
      </c>
      <c r="D35" s="1137" t="s">
        <v>1618</v>
      </c>
      <c r="E35" s="1139">
        <f>SUM(F35:I35)</f>
        <v>0</v>
      </c>
      <c r="F35" s="1139"/>
      <c r="G35" s="1139"/>
      <c r="H35" s="1139"/>
      <c r="I35" s="1139"/>
      <c r="J35" s="1137"/>
    </row>
    <row r="36" spans="1:20">
      <c r="A36" s="1136">
        <v>2</v>
      </c>
      <c r="B36" s="1351"/>
      <c r="C36" s="1352"/>
      <c r="D36" s="1143" t="s">
        <v>1619</v>
      </c>
      <c r="E36" s="1139">
        <f>SUM(F36:I36)</f>
        <v>0</v>
      </c>
      <c r="F36" s="1138"/>
      <c r="G36" s="1139"/>
      <c r="H36" s="1139"/>
      <c r="I36" s="1139"/>
      <c r="J36" s="1143"/>
    </row>
    <row r="37" spans="1:20">
      <c r="A37" s="1136">
        <v>3</v>
      </c>
      <c r="B37" s="1351"/>
      <c r="C37" s="1350" t="s">
        <v>1598</v>
      </c>
      <c r="D37" s="1137" t="s">
        <v>1620</v>
      </c>
      <c r="E37" s="1139">
        <f>SUM(F37:I37)</f>
        <v>0</v>
      </c>
      <c r="F37" s="1139"/>
      <c r="G37" s="1139"/>
      <c r="H37" s="1139"/>
      <c r="I37" s="1139"/>
      <c r="J37" s="1137"/>
    </row>
    <row r="38" spans="1:20">
      <c r="A38" s="1136">
        <v>4</v>
      </c>
      <c r="B38" s="1351"/>
      <c r="C38" s="1351"/>
      <c r="D38" s="1137" t="s">
        <v>1621</v>
      </c>
      <c r="E38" s="1139">
        <f t="shared" ref="E38:E54" si="3">SUM(F38:I38)</f>
        <v>0</v>
      </c>
      <c r="F38" s="1150"/>
      <c r="G38" s="1150"/>
      <c r="H38" s="1150"/>
      <c r="I38" s="1150"/>
      <c r="J38" s="1137"/>
    </row>
    <row r="39" spans="1:20" ht="24.75">
      <c r="A39" s="1136">
        <v>5</v>
      </c>
      <c r="B39" s="1351"/>
      <c r="C39" s="1351"/>
      <c r="D39" s="1137" t="s">
        <v>1622</v>
      </c>
      <c r="E39" s="1139">
        <f t="shared" si="3"/>
        <v>0</v>
      </c>
      <c r="F39" s="1148"/>
      <c r="G39" s="1148"/>
      <c r="H39" s="1148"/>
      <c r="I39" s="1148"/>
      <c r="J39" s="1137"/>
    </row>
    <row r="40" spans="1:20">
      <c r="A40" s="1136">
        <v>6</v>
      </c>
      <c r="B40" s="1351"/>
      <c r="C40" s="1351"/>
      <c r="D40" s="1137" t="s">
        <v>1623</v>
      </c>
      <c r="E40" s="1139">
        <f t="shared" si="3"/>
        <v>0</v>
      </c>
      <c r="F40" s="1145"/>
      <c r="G40" s="1145"/>
      <c r="H40" s="1145"/>
      <c r="I40" s="1145"/>
      <c r="J40" s="1137"/>
    </row>
    <row r="41" spans="1:20">
      <c r="A41" s="1136">
        <v>7</v>
      </c>
      <c r="B41" s="1351"/>
      <c r="C41" s="1351"/>
      <c r="D41" s="1137" t="s">
        <v>1813</v>
      </c>
      <c r="E41" s="1362">
        <f t="shared" si="3"/>
        <v>0</v>
      </c>
      <c r="F41" s="1363"/>
      <c r="G41" s="1357"/>
      <c r="H41" s="1357"/>
      <c r="I41" s="1357"/>
      <c r="J41" s="1359"/>
    </row>
    <row r="42" spans="1:20">
      <c r="A42" s="1136">
        <v>8</v>
      </c>
      <c r="B42" s="1351"/>
      <c r="C42" s="1351"/>
      <c r="D42" s="1137" t="s">
        <v>1814</v>
      </c>
      <c r="E42" s="1362"/>
      <c r="F42" s="1364"/>
      <c r="G42" s="1358"/>
      <c r="H42" s="1358"/>
      <c r="I42" s="1358"/>
      <c r="J42" s="1360"/>
    </row>
    <row r="43" spans="1:20">
      <c r="A43" s="1136">
        <v>9</v>
      </c>
      <c r="B43" s="1351"/>
      <c r="C43" s="1351"/>
      <c r="D43" s="1137" t="s">
        <v>1624</v>
      </c>
      <c r="E43" s="1197">
        <f t="shared" si="3"/>
        <v>0</v>
      </c>
      <c r="F43" s="1145"/>
      <c r="G43" s="1145"/>
      <c r="H43" s="1145"/>
      <c r="I43" s="1145"/>
      <c r="J43" s="1143"/>
    </row>
    <row r="44" spans="1:20">
      <c r="A44" s="1136">
        <v>10</v>
      </c>
      <c r="B44" s="1351"/>
      <c r="C44" s="1351"/>
      <c r="D44" s="1143" t="s">
        <v>1948</v>
      </c>
      <c r="E44" s="1197">
        <f t="shared" si="3"/>
        <v>0</v>
      </c>
      <c r="F44" s="1148"/>
      <c r="G44" s="1148"/>
      <c r="H44" s="1148"/>
      <c r="I44" s="1148"/>
      <c r="J44" s="1143"/>
      <c r="L44" s="1215" t="s">
        <v>1947</v>
      </c>
      <c r="M44" s="1215"/>
      <c r="N44" s="1215"/>
      <c r="O44" s="1215"/>
      <c r="P44" s="1215"/>
      <c r="Q44" s="1215"/>
      <c r="R44" s="1215"/>
      <c r="S44" s="1232" t="s">
        <v>1950</v>
      </c>
      <c r="T44" s="1233" t="s">
        <v>1949</v>
      </c>
    </row>
    <row r="45" spans="1:20">
      <c r="A45" s="1136">
        <v>12</v>
      </c>
      <c r="B45" s="1351"/>
      <c r="C45" s="1351"/>
      <c r="D45" s="1137" t="s">
        <v>1625</v>
      </c>
      <c r="E45" s="1197">
        <f t="shared" si="3"/>
        <v>0</v>
      </c>
      <c r="F45" s="1145"/>
      <c r="G45" s="1145"/>
      <c r="H45" s="1145"/>
      <c r="I45" s="1145"/>
      <c r="J45" s="1143"/>
      <c r="L45" s="1215"/>
      <c r="M45" s="1215"/>
      <c r="N45" s="1215"/>
      <c r="O45" s="1215"/>
      <c r="P45" s="1215"/>
      <c r="Q45" s="1215"/>
      <c r="R45" s="1215"/>
      <c r="S45" s="1232">
        <f>SUM(S47:S79)</f>
        <v>856710</v>
      </c>
      <c r="T45" s="1233">
        <f>S45/12</f>
        <v>71392.5</v>
      </c>
    </row>
    <row r="46" spans="1:20">
      <c r="A46" s="1136">
        <v>13</v>
      </c>
      <c r="B46" s="1351"/>
      <c r="C46" s="1351"/>
      <c r="D46" s="1143" t="s">
        <v>1626</v>
      </c>
      <c r="E46" s="1197">
        <f t="shared" si="3"/>
        <v>0</v>
      </c>
      <c r="F46" s="1145"/>
      <c r="G46" s="1144"/>
      <c r="H46" s="1145"/>
      <c r="I46" s="1145"/>
      <c r="J46" s="1137"/>
      <c r="L46" s="1215"/>
      <c r="M46" s="1215"/>
      <c r="N46" s="1215"/>
      <c r="O46" s="1215" t="s">
        <v>1880</v>
      </c>
      <c r="P46" s="1215" t="s">
        <v>1881</v>
      </c>
      <c r="Q46" s="1215" t="s">
        <v>1882</v>
      </c>
      <c r="R46" s="1215" t="s">
        <v>1883</v>
      </c>
      <c r="S46" s="1215" t="s">
        <v>1884</v>
      </c>
      <c r="T46" s="1216" t="s">
        <v>1885</v>
      </c>
    </row>
    <row r="47" spans="1:20" ht="54">
      <c r="A47" s="1136">
        <v>14</v>
      </c>
      <c r="B47" s="1351"/>
      <c r="C47" s="1351"/>
      <c r="D47" s="1137" t="s">
        <v>1627</v>
      </c>
      <c r="E47" s="1197">
        <f t="shared" si="3"/>
        <v>0</v>
      </c>
      <c r="F47" s="1148"/>
      <c r="G47" s="1148"/>
      <c r="H47" s="1148"/>
      <c r="I47" s="1148"/>
      <c r="J47" s="1143"/>
      <c r="L47" s="1217"/>
      <c r="M47" s="1218" t="s">
        <v>1951</v>
      </c>
      <c r="N47" s="1219" t="s">
        <v>1886</v>
      </c>
      <c r="O47" s="1219">
        <v>5</v>
      </c>
      <c r="P47" s="1220">
        <v>1</v>
      </c>
      <c r="Q47" s="1219">
        <v>2</v>
      </c>
      <c r="R47" s="1219">
        <v>12000</v>
      </c>
      <c r="S47" s="1219">
        <f>O47*P47*Q47*R47</f>
        <v>120000</v>
      </c>
      <c r="T47" s="1216" t="s">
        <v>1887</v>
      </c>
    </row>
    <row r="48" spans="1:20">
      <c r="A48" s="1136"/>
      <c r="B48" s="1351"/>
      <c r="C48" s="1352"/>
      <c r="D48" s="1143" t="s">
        <v>1879</v>
      </c>
      <c r="E48" s="1197">
        <f t="shared" si="3"/>
        <v>0</v>
      </c>
      <c r="F48" s="1148"/>
      <c r="G48" s="1148"/>
      <c r="H48" s="1148"/>
      <c r="I48" s="1148"/>
      <c r="J48" s="1143"/>
      <c r="L48" s="1215"/>
      <c r="M48" s="1221" t="s">
        <v>1888</v>
      </c>
      <c r="N48" s="1215" t="s">
        <v>1889</v>
      </c>
      <c r="O48" s="1215">
        <v>7</v>
      </c>
      <c r="P48" s="1222">
        <v>1</v>
      </c>
      <c r="Q48" s="1215">
        <v>2</v>
      </c>
      <c r="R48" s="1215">
        <v>350</v>
      </c>
      <c r="S48" s="1215">
        <f t="shared" ref="S48:S79" si="4">O48*P48*Q48*R48</f>
        <v>4900</v>
      </c>
      <c r="T48" s="1216" t="s">
        <v>1890</v>
      </c>
    </row>
    <row r="49" spans="1:20">
      <c r="A49" s="1136">
        <v>15</v>
      </c>
      <c r="B49" s="1351"/>
      <c r="C49" s="1350" t="s">
        <v>1628</v>
      </c>
      <c r="D49" s="1143" t="s">
        <v>1629</v>
      </c>
      <c r="E49" s="1197">
        <f>SUM(F49:I49)</f>
        <v>0</v>
      </c>
      <c r="F49" s="1152"/>
      <c r="G49" s="1152"/>
      <c r="H49" s="1152"/>
      <c r="I49" s="1152"/>
      <c r="J49" s="1137"/>
      <c r="L49" s="1215"/>
      <c r="M49" s="1215" t="s">
        <v>1891</v>
      </c>
      <c r="N49" s="1215" t="s">
        <v>1889</v>
      </c>
      <c r="O49" s="1215">
        <v>7</v>
      </c>
      <c r="P49" s="1222">
        <v>1</v>
      </c>
      <c r="Q49" s="1215">
        <v>1</v>
      </c>
      <c r="R49" s="1215">
        <v>350</v>
      </c>
      <c r="S49" s="1215">
        <f t="shared" si="4"/>
        <v>2450</v>
      </c>
      <c r="T49" s="1216" t="s">
        <v>1890</v>
      </c>
    </row>
    <row r="50" spans="1:20">
      <c r="A50" s="1136">
        <v>16</v>
      </c>
      <c r="B50" s="1351"/>
      <c r="C50" s="1361"/>
      <c r="D50" s="1143" t="s">
        <v>1630</v>
      </c>
      <c r="E50" s="1208">
        <f t="shared" si="3"/>
        <v>0</v>
      </c>
      <c r="F50" s="1209"/>
      <c r="G50" s="1209"/>
      <c r="H50" s="1209"/>
      <c r="I50" s="1209"/>
      <c r="J50" s="1137"/>
      <c r="L50" s="1215"/>
      <c r="M50" s="1215" t="s">
        <v>1892</v>
      </c>
      <c r="N50" s="1215" t="s">
        <v>1889</v>
      </c>
      <c r="O50" s="1215">
        <v>33</v>
      </c>
      <c r="P50" s="1222">
        <v>1</v>
      </c>
      <c r="Q50" s="1215">
        <v>12</v>
      </c>
      <c r="R50" s="1215">
        <v>450</v>
      </c>
      <c r="S50" s="1215">
        <f t="shared" si="4"/>
        <v>178200</v>
      </c>
      <c r="T50" s="1216" t="s">
        <v>1893</v>
      </c>
    </row>
    <row r="51" spans="1:20">
      <c r="A51" s="1136">
        <v>17</v>
      </c>
      <c r="B51" s="1351"/>
      <c r="C51" s="1361"/>
      <c r="D51" s="1143" t="s">
        <v>1631</v>
      </c>
      <c r="E51" s="1197">
        <f t="shared" si="3"/>
        <v>0</v>
      </c>
      <c r="F51" s="1152"/>
      <c r="G51" s="1201"/>
      <c r="H51" s="1152"/>
      <c r="I51" s="1152"/>
      <c r="J51" s="1143"/>
      <c r="L51" s="1215"/>
      <c r="M51" s="1215" t="s">
        <v>1892</v>
      </c>
      <c r="N51" s="1215" t="s">
        <v>1889</v>
      </c>
      <c r="O51" s="1215">
        <v>33</v>
      </c>
      <c r="P51" s="1222">
        <v>0.5</v>
      </c>
      <c r="Q51" s="1215">
        <v>1</v>
      </c>
      <c r="R51" s="1215">
        <v>2000</v>
      </c>
      <c r="S51" s="1215">
        <f t="shared" si="4"/>
        <v>33000</v>
      </c>
      <c r="T51" s="1216" t="s">
        <v>1894</v>
      </c>
    </row>
    <row r="52" spans="1:20">
      <c r="A52" s="1136">
        <v>18</v>
      </c>
      <c r="B52" s="1351"/>
      <c r="C52" s="1361"/>
      <c r="D52" s="1213" t="s">
        <v>1877</v>
      </c>
      <c r="E52" s="1214">
        <f t="shared" si="3"/>
        <v>0</v>
      </c>
      <c r="F52" s="1251"/>
      <c r="G52" s="1251"/>
      <c r="H52" s="1251"/>
      <c r="I52" s="1251"/>
      <c r="J52" s="1213"/>
      <c r="L52" s="1215"/>
      <c r="M52" s="1223" t="s">
        <v>1895</v>
      </c>
      <c r="N52" s="1223" t="s">
        <v>1889</v>
      </c>
      <c r="O52" s="1223">
        <v>6</v>
      </c>
      <c r="P52" s="1224">
        <v>1</v>
      </c>
      <c r="Q52" s="1223">
        <v>1</v>
      </c>
      <c r="R52" s="1223">
        <v>200</v>
      </c>
      <c r="S52" s="1223">
        <f t="shared" si="4"/>
        <v>1200</v>
      </c>
      <c r="T52" s="1216" t="s">
        <v>1896</v>
      </c>
    </row>
    <row r="53" spans="1:20" ht="24">
      <c r="A53" s="1136"/>
      <c r="B53" s="1351"/>
      <c r="C53" s="1361"/>
      <c r="D53" s="1213" t="s">
        <v>1999</v>
      </c>
      <c r="E53" s="1214">
        <f t="shared" si="3"/>
        <v>0</v>
      </c>
      <c r="F53" s="1251"/>
      <c r="G53" s="1251"/>
      <c r="H53" s="1251"/>
      <c r="I53" s="1251"/>
      <c r="J53" s="1213"/>
      <c r="L53" s="1215"/>
      <c r="M53" s="1223"/>
      <c r="N53" s="1223"/>
      <c r="O53" s="1223"/>
      <c r="P53" s="1224"/>
      <c r="Q53" s="1223"/>
      <c r="R53" s="1223"/>
      <c r="S53" s="1223"/>
      <c r="T53" s="1216"/>
    </row>
    <row r="54" spans="1:20" ht="27">
      <c r="A54" s="1136">
        <v>19</v>
      </c>
      <c r="B54" s="1351"/>
      <c r="C54" s="1361"/>
      <c r="D54" s="1137" t="s">
        <v>1632</v>
      </c>
      <c r="E54" s="1197">
        <f t="shared" si="3"/>
        <v>0</v>
      </c>
      <c r="F54" s="1148"/>
      <c r="G54" s="1148"/>
      <c r="H54" s="1148"/>
      <c r="I54" s="1148"/>
      <c r="J54" s="1143"/>
      <c r="L54" s="1215"/>
      <c r="M54" s="1223" t="s">
        <v>1897</v>
      </c>
      <c r="N54" s="1223" t="s">
        <v>1889</v>
      </c>
      <c r="O54" s="1223">
        <v>45</v>
      </c>
      <c r="P54" s="1224">
        <v>1</v>
      </c>
      <c r="Q54" s="1223">
        <v>6</v>
      </c>
      <c r="R54" s="1223">
        <v>200</v>
      </c>
      <c r="S54" s="1223">
        <f t="shared" si="4"/>
        <v>54000</v>
      </c>
      <c r="T54" s="1216" t="s">
        <v>1898</v>
      </c>
    </row>
    <row r="55" spans="1:20" ht="27">
      <c r="A55" s="1345" t="s">
        <v>1633</v>
      </c>
      <c r="B55" s="1345"/>
      <c r="C55" s="1345"/>
      <c r="D55" s="1345"/>
      <c r="E55" s="1153">
        <f>SUM(E35:E54)</f>
        <v>0</v>
      </c>
      <c r="F55" s="1153">
        <f>SUM(F35:F54)</f>
        <v>0</v>
      </c>
      <c r="G55" s="1153">
        <f>SUM(G35:G54)</f>
        <v>0</v>
      </c>
      <c r="H55" s="1153">
        <f>SUM(H35:H54)</f>
        <v>0</v>
      </c>
      <c r="I55" s="1153">
        <f>SUM(I35:I54)</f>
        <v>0</v>
      </c>
      <c r="J55" s="1202"/>
      <c r="L55" s="1215"/>
      <c r="M55" s="1215" t="s">
        <v>1899</v>
      </c>
      <c r="N55" s="1215" t="s">
        <v>1889</v>
      </c>
      <c r="O55" s="1215">
        <v>38</v>
      </c>
      <c r="P55" s="1222">
        <v>1</v>
      </c>
      <c r="Q55" s="1215">
        <v>1</v>
      </c>
      <c r="R55" s="1215">
        <v>800</v>
      </c>
      <c r="S55" s="1215">
        <f t="shared" si="4"/>
        <v>30400</v>
      </c>
      <c r="T55" s="1216" t="s">
        <v>1900</v>
      </c>
    </row>
    <row r="56" spans="1:20">
      <c r="B56" s="1203" t="s">
        <v>1875</v>
      </c>
      <c r="E56" s="1204">
        <f>E27+E34+E55</f>
        <v>12000</v>
      </c>
      <c r="F56" s="1204">
        <f>F27+F34+F55</f>
        <v>0</v>
      </c>
      <c r="G56" s="1204">
        <f>G27+G34+G55</f>
        <v>0</v>
      </c>
      <c r="H56" s="1204">
        <f>H27+H34+H55</f>
        <v>0</v>
      </c>
      <c r="I56" s="1204">
        <f>I27+I34+I55</f>
        <v>0</v>
      </c>
      <c r="L56" s="1215"/>
      <c r="M56" s="1215" t="s">
        <v>1901</v>
      </c>
      <c r="N56" s="1215" t="s">
        <v>1889</v>
      </c>
      <c r="O56" s="1215">
        <v>14</v>
      </c>
      <c r="P56" s="1222">
        <v>1</v>
      </c>
      <c r="Q56" s="1215">
        <v>1</v>
      </c>
      <c r="R56" s="1215">
        <v>600</v>
      </c>
      <c r="S56" s="1215">
        <f t="shared" si="4"/>
        <v>8400</v>
      </c>
      <c r="T56" s="1216" t="s">
        <v>1902</v>
      </c>
    </row>
    <row r="57" spans="1:20">
      <c r="L57" s="1215"/>
      <c r="M57" s="1215" t="s">
        <v>1903</v>
      </c>
      <c r="N57" s="1215" t="s">
        <v>1889</v>
      </c>
      <c r="O57" s="1215">
        <v>74</v>
      </c>
      <c r="P57" s="1222">
        <v>0.1</v>
      </c>
      <c r="Q57" s="1215">
        <v>1</v>
      </c>
      <c r="R57" s="1215">
        <v>1000</v>
      </c>
      <c r="S57" s="1215">
        <f t="shared" si="4"/>
        <v>7400</v>
      </c>
      <c r="T57" s="1216" t="s">
        <v>1904</v>
      </c>
    </row>
    <row r="58" spans="1:20" ht="27">
      <c r="L58" s="1215"/>
      <c r="M58" s="1225" t="s">
        <v>1905</v>
      </c>
      <c r="N58" s="1226" t="s">
        <v>1906</v>
      </c>
      <c r="O58" s="1215">
        <v>961</v>
      </c>
      <c r="P58" s="1227">
        <v>0.1</v>
      </c>
      <c r="Q58" s="1215">
        <v>1</v>
      </c>
      <c r="R58" s="1215">
        <v>600</v>
      </c>
      <c r="S58" s="1215">
        <f t="shared" si="4"/>
        <v>57660.000000000007</v>
      </c>
      <c r="T58" s="1216" t="s">
        <v>1907</v>
      </c>
    </row>
    <row r="59" spans="1:20">
      <c r="L59" s="1215"/>
      <c r="M59" s="1225" t="s">
        <v>1908</v>
      </c>
      <c r="N59" s="1226" t="s">
        <v>1886</v>
      </c>
      <c r="O59" s="1215">
        <v>1</v>
      </c>
      <c r="P59" s="1227">
        <v>0.5</v>
      </c>
      <c r="Q59" s="1215">
        <v>1</v>
      </c>
      <c r="R59" s="1215">
        <v>1500</v>
      </c>
      <c r="S59" s="1215">
        <f t="shared" si="4"/>
        <v>750</v>
      </c>
      <c r="T59" s="1216" t="s">
        <v>1909</v>
      </c>
    </row>
    <row r="60" spans="1:20" ht="27">
      <c r="L60" s="1215"/>
      <c r="M60" s="1225" t="s">
        <v>1910</v>
      </c>
      <c r="N60" s="1226" t="s">
        <v>1911</v>
      </c>
      <c r="O60" s="1215">
        <v>5</v>
      </c>
      <c r="P60" s="1227">
        <v>1</v>
      </c>
      <c r="Q60" s="1215">
        <v>1</v>
      </c>
      <c r="R60" s="1215">
        <v>400</v>
      </c>
      <c r="S60" s="1215">
        <f t="shared" si="4"/>
        <v>2000</v>
      </c>
      <c r="T60" s="1216" t="s">
        <v>1912</v>
      </c>
    </row>
    <row r="61" spans="1:20" ht="27">
      <c r="L61" s="1215"/>
      <c r="M61" s="1225" t="s">
        <v>1913</v>
      </c>
      <c r="N61" s="1226" t="s">
        <v>1886</v>
      </c>
      <c r="O61" s="1215">
        <v>1</v>
      </c>
      <c r="P61" s="1227">
        <v>1</v>
      </c>
      <c r="Q61" s="1215">
        <v>1</v>
      </c>
      <c r="R61" s="1215">
        <v>2000</v>
      </c>
      <c r="S61" s="1215">
        <f t="shared" si="4"/>
        <v>2000</v>
      </c>
      <c r="T61" s="1216" t="s">
        <v>1914</v>
      </c>
    </row>
    <row r="62" spans="1:20" ht="22.5">
      <c r="L62" s="1215"/>
      <c r="M62" s="1225" t="s">
        <v>1915</v>
      </c>
      <c r="N62" s="1226" t="s">
        <v>1886</v>
      </c>
      <c r="O62" s="1215">
        <v>1</v>
      </c>
      <c r="P62" s="1227">
        <v>1</v>
      </c>
      <c r="Q62" s="1215">
        <v>1</v>
      </c>
      <c r="R62" s="1215">
        <v>2000</v>
      </c>
      <c r="S62" s="1215">
        <f t="shared" si="4"/>
        <v>2000</v>
      </c>
      <c r="T62" s="1216" t="s">
        <v>1916</v>
      </c>
    </row>
    <row r="63" spans="1:20">
      <c r="L63" s="1215"/>
      <c r="M63" s="1225" t="s">
        <v>1917</v>
      </c>
      <c r="N63" s="1226" t="s">
        <v>1918</v>
      </c>
      <c r="O63" s="1215">
        <v>3</v>
      </c>
      <c r="P63" s="1227">
        <v>1</v>
      </c>
      <c r="Q63" s="1215">
        <v>1</v>
      </c>
      <c r="R63" s="1215">
        <v>500</v>
      </c>
      <c r="S63" s="1215">
        <f t="shared" si="4"/>
        <v>1500</v>
      </c>
      <c r="T63" s="1354" t="s">
        <v>1919</v>
      </c>
    </row>
    <row r="64" spans="1:20">
      <c r="L64" s="1215"/>
      <c r="M64" s="1225" t="s">
        <v>1920</v>
      </c>
      <c r="N64" s="1226" t="s">
        <v>1918</v>
      </c>
      <c r="O64" s="1215">
        <v>2</v>
      </c>
      <c r="P64" s="1227">
        <v>1</v>
      </c>
      <c r="Q64" s="1215">
        <v>1</v>
      </c>
      <c r="R64" s="1215">
        <v>500</v>
      </c>
      <c r="S64" s="1215">
        <f t="shared" si="4"/>
        <v>1000</v>
      </c>
      <c r="T64" s="1355"/>
    </row>
    <row r="65" spans="12:20" ht="22.5">
      <c r="L65" s="1215"/>
      <c r="M65" s="1225" t="s">
        <v>1921</v>
      </c>
      <c r="N65" s="1226" t="s">
        <v>1918</v>
      </c>
      <c r="O65" s="1215">
        <v>3</v>
      </c>
      <c r="P65" s="1227">
        <v>1</v>
      </c>
      <c r="Q65" s="1215">
        <v>1</v>
      </c>
      <c r="R65" s="1215">
        <v>500</v>
      </c>
      <c r="S65" s="1215">
        <f t="shared" si="4"/>
        <v>1500</v>
      </c>
      <c r="T65" s="1355"/>
    </row>
    <row r="66" spans="12:20">
      <c r="L66" s="1215"/>
      <c r="M66" s="1225" t="s">
        <v>1922</v>
      </c>
      <c r="N66" s="1226" t="s">
        <v>1889</v>
      </c>
      <c r="O66" s="1215">
        <v>3</v>
      </c>
      <c r="P66" s="1227">
        <v>1</v>
      </c>
      <c r="Q66" s="1215">
        <v>1</v>
      </c>
      <c r="R66" s="1215">
        <v>500</v>
      </c>
      <c r="S66" s="1215">
        <f t="shared" si="4"/>
        <v>1500</v>
      </c>
      <c r="T66" s="1355"/>
    </row>
    <row r="67" spans="12:20">
      <c r="L67" s="1215"/>
      <c r="M67" s="1225" t="s">
        <v>1923</v>
      </c>
      <c r="N67" s="1226" t="s">
        <v>1918</v>
      </c>
      <c r="O67" s="1215">
        <v>2</v>
      </c>
      <c r="P67" s="1227">
        <v>1</v>
      </c>
      <c r="Q67" s="1215">
        <v>1</v>
      </c>
      <c r="R67" s="1215">
        <v>500</v>
      </c>
      <c r="S67" s="1215">
        <f t="shared" si="4"/>
        <v>1000</v>
      </c>
      <c r="T67" s="1355"/>
    </row>
    <row r="68" spans="12:20">
      <c r="L68" s="1215"/>
      <c r="M68" s="1225" t="s">
        <v>1924</v>
      </c>
      <c r="N68" s="1226" t="s">
        <v>1889</v>
      </c>
      <c r="O68" s="1215">
        <v>3</v>
      </c>
      <c r="P68" s="1227">
        <v>1</v>
      </c>
      <c r="Q68" s="1215">
        <v>1</v>
      </c>
      <c r="R68" s="1215">
        <v>500</v>
      </c>
      <c r="S68" s="1215">
        <f t="shared" si="4"/>
        <v>1500</v>
      </c>
      <c r="T68" s="1355"/>
    </row>
    <row r="69" spans="12:20">
      <c r="L69" s="1215"/>
      <c r="M69" s="1225" t="s">
        <v>1925</v>
      </c>
      <c r="N69" s="1226" t="s">
        <v>1889</v>
      </c>
      <c r="O69" s="1215">
        <v>3</v>
      </c>
      <c r="P69" s="1227">
        <v>1</v>
      </c>
      <c r="Q69" s="1215">
        <v>1</v>
      </c>
      <c r="R69" s="1215">
        <v>500</v>
      </c>
      <c r="S69" s="1215">
        <f t="shared" si="4"/>
        <v>1500</v>
      </c>
      <c r="T69" s="1356"/>
    </row>
    <row r="70" spans="12:20">
      <c r="L70" s="1215"/>
      <c r="M70" s="1225" t="s">
        <v>1926</v>
      </c>
      <c r="N70" s="1226" t="s">
        <v>1918</v>
      </c>
      <c r="O70" s="1215">
        <v>1</v>
      </c>
      <c r="P70" s="1227">
        <v>0.15</v>
      </c>
      <c r="Q70" s="1215">
        <v>1</v>
      </c>
      <c r="R70" s="1215">
        <v>55000</v>
      </c>
      <c r="S70" s="1215">
        <f t="shared" si="4"/>
        <v>8250</v>
      </c>
      <c r="T70" s="1216" t="s">
        <v>1927</v>
      </c>
    </row>
    <row r="71" spans="12:20" ht="27">
      <c r="L71" s="1215"/>
      <c r="M71" s="1228" t="s">
        <v>1928</v>
      </c>
      <c r="N71" s="1229" t="s">
        <v>1918</v>
      </c>
      <c r="O71" s="1215">
        <v>5</v>
      </c>
      <c r="P71" s="1222">
        <v>1</v>
      </c>
      <c r="Q71" s="1215">
        <v>1</v>
      </c>
      <c r="R71" s="1215">
        <v>1000</v>
      </c>
      <c r="S71" s="1215">
        <f t="shared" si="4"/>
        <v>5000</v>
      </c>
      <c r="T71" s="1216" t="s">
        <v>1929</v>
      </c>
    </row>
    <row r="72" spans="12:20">
      <c r="L72" s="1215"/>
      <c r="M72" s="1228" t="s">
        <v>1930</v>
      </c>
      <c r="N72" s="1229" t="s">
        <v>1918</v>
      </c>
      <c r="O72" s="1215">
        <v>6</v>
      </c>
      <c r="P72" s="1222">
        <v>0.2</v>
      </c>
      <c r="Q72" s="1215">
        <v>2</v>
      </c>
      <c r="R72" s="1215">
        <v>6000</v>
      </c>
      <c r="S72" s="1215">
        <f t="shared" si="4"/>
        <v>14400.000000000002</v>
      </c>
      <c r="T72" s="1216" t="s">
        <v>1931</v>
      </c>
    </row>
    <row r="73" spans="12:20">
      <c r="L73" s="1215"/>
      <c r="M73" s="1228" t="s">
        <v>1932</v>
      </c>
      <c r="N73" s="1229" t="s">
        <v>1933</v>
      </c>
      <c r="O73" s="1215">
        <v>25</v>
      </c>
      <c r="P73" s="1222">
        <v>0.3</v>
      </c>
      <c r="Q73" s="1215">
        <v>1</v>
      </c>
      <c r="R73" s="1215">
        <v>21000</v>
      </c>
      <c r="S73" s="1215"/>
      <c r="T73" s="1216" t="s">
        <v>1934</v>
      </c>
    </row>
    <row r="74" spans="12:20">
      <c r="L74" s="1215"/>
      <c r="M74" s="1215" t="s">
        <v>1935</v>
      </c>
      <c r="N74" s="1215" t="s">
        <v>1889</v>
      </c>
      <c r="O74" s="1215">
        <v>670</v>
      </c>
      <c r="P74" s="1222">
        <v>0.1</v>
      </c>
      <c r="Q74" s="1215">
        <v>6</v>
      </c>
      <c r="R74" s="1215">
        <v>100</v>
      </c>
      <c r="S74" s="1215">
        <f t="shared" si="4"/>
        <v>40200</v>
      </c>
      <c r="T74" s="1216" t="s">
        <v>1936</v>
      </c>
    </row>
    <row r="75" spans="12:20">
      <c r="L75" s="1215"/>
      <c r="M75" s="1228" t="s">
        <v>1937</v>
      </c>
      <c r="N75" s="1215" t="s">
        <v>1938</v>
      </c>
      <c r="O75" s="1215">
        <v>1</v>
      </c>
      <c r="P75" s="1222">
        <v>1</v>
      </c>
      <c r="Q75" s="1215">
        <v>1</v>
      </c>
      <c r="R75" s="1215">
        <v>50000</v>
      </c>
      <c r="S75" s="1215">
        <f t="shared" si="4"/>
        <v>50000</v>
      </c>
      <c r="T75" s="1216" t="s">
        <v>1939</v>
      </c>
    </row>
    <row r="76" spans="12:20">
      <c r="L76" s="1215"/>
      <c r="M76" s="1215" t="s">
        <v>1940</v>
      </c>
      <c r="N76" s="1215" t="s">
        <v>1886</v>
      </c>
      <c r="O76" s="1215">
        <v>2</v>
      </c>
      <c r="P76" s="1222">
        <v>1</v>
      </c>
      <c r="Q76" s="1215">
        <v>1</v>
      </c>
      <c r="R76" s="1215">
        <v>2500</v>
      </c>
      <c r="S76" s="1215">
        <f t="shared" si="4"/>
        <v>5000</v>
      </c>
      <c r="T76" s="1216" t="s">
        <v>1909</v>
      </c>
    </row>
    <row r="77" spans="12:20">
      <c r="L77" s="1215"/>
      <c r="M77" s="1228" t="s">
        <v>1941</v>
      </c>
      <c r="N77" s="1215" t="s">
        <v>1942</v>
      </c>
      <c r="O77" s="1215">
        <v>80</v>
      </c>
      <c r="P77" s="1222">
        <v>0.2</v>
      </c>
      <c r="Q77" s="1215">
        <v>1</v>
      </c>
      <c r="R77" s="1215">
        <v>1000</v>
      </c>
      <c r="S77" s="1215">
        <f t="shared" si="4"/>
        <v>16000</v>
      </c>
      <c r="T77" s="1216" t="s">
        <v>1916</v>
      </c>
    </row>
    <row r="78" spans="12:20" ht="27">
      <c r="L78" s="1215"/>
      <c r="M78" s="1230" t="s">
        <v>1943</v>
      </c>
      <c r="N78" s="1231" t="s">
        <v>1944</v>
      </c>
      <c r="O78" s="1215">
        <v>2</v>
      </c>
      <c r="P78" s="1222">
        <v>1</v>
      </c>
      <c r="Q78" s="1215">
        <v>1</v>
      </c>
      <c r="R78" s="1215">
        <v>30000</v>
      </c>
      <c r="S78" s="1215">
        <f t="shared" si="4"/>
        <v>60000</v>
      </c>
      <c r="T78" s="1216" t="s">
        <v>1945</v>
      </c>
    </row>
    <row r="79" spans="12:20">
      <c r="L79" s="1215"/>
      <c r="M79" s="1215" t="s">
        <v>1946</v>
      </c>
      <c r="N79" s="1215" t="s">
        <v>1942</v>
      </c>
      <c r="O79" s="1215">
        <v>2</v>
      </c>
      <c r="P79" s="1222">
        <v>1</v>
      </c>
      <c r="Q79" s="1215">
        <v>12</v>
      </c>
      <c r="R79" s="1215">
        <v>6000</v>
      </c>
      <c r="S79" s="1215">
        <f t="shared" si="4"/>
        <v>144000</v>
      </c>
      <c r="T79" s="1216"/>
    </row>
  </sheetData>
  <mergeCells count="24">
    <mergeCell ref="T63:T69"/>
    <mergeCell ref="I41:I42"/>
    <mergeCell ref="B35:B54"/>
    <mergeCell ref="C35:C36"/>
    <mergeCell ref="J41:J42"/>
    <mergeCell ref="C49:C54"/>
    <mergeCell ref="C37:C48"/>
    <mergeCell ref="A55:D55"/>
    <mergeCell ref="E41:E42"/>
    <mergeCell ref="F41:F42"/>
    <mergeCell ref="G41:G42"/>
    <mergeCell ref="H41:H42"/>
    <mergeCell ref="A34:D34"/>
    <mergeCell ref="A1:J1"/>
    <mergeCell ref="B3:C3"/>
    <mergeCell ref="B4:B26"/>
    <mergeCell ref="C4:C18"/>
    <mergeCell ref="C19:C23"/>
    <mergeCell ref="C24:C26"/>
    <mergeCell ref="A27:D27"/>
    <mergeCell ref="B28:B33"/>
    <mergeCell ref="C28:C29"/>
    <mergeCell ref="C30:C31"/>
    <mergeCell ref="C32:C33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1"/>
  <sheetViews>
    <sheetView showGridLines="0" zoomScale="90" zoomScaleNormal="90" workbookViewId="0">
      <pane xSplit="3" ySplit="2" topLeftCell="D3" activePane="bottomRight" state="frozen"/>
      <selection pane="topRight" activeCell="D1" sqref="D1"/>
      <selection pane="bottomLeft" activeCell="A7" sqref="A7"/>
      <selection pane="bottomRight" activeCell="I63" sqref="I63"/>
    </sheetView>
  </sheetViews>
  <sheetFormatPr defaultRowHeight="12.75"/>
  <cols>
    <col min="1" max="1" width="24.625" style="76" customWidth="1"/>
    <col min="2" max="2" width="12.625" style="76" customWidth="1"/>
    <col min="3" max="3" width="12.625" style="93" customWidth="1"/>
    <col min="4" max="4" width="12.625" style="76" customWidth="1"/>
    <col min="5" max="5" width="12.625" style="83" customWidth="1"/>
    <col min="6" max="8" width="12.625" style="80" customWidth="1"/>
    <col min="9" max="9" width="12.625" style="83" customWidth="1"/>
    <col min="10" max="10" width="12.625" style="94" customWidth="1"/>
    <col min="11" max="13" width="12.625" style="83" customWidth="1"/>
    <col min="14" max="14" width="14.625" style="83" customWidth="1"/>
    <col min="15" max="254" width="9" style="76"/>
    <col min="255" max="255" width="29" style="76" customWidth="1"/>
    <col min="256" max="256" width="10.75" style="76" customWidth="1"/>
    <col min="257" max="257" width="14.25" style="76" customWidth="1"/>
    <col min="258" max="258" width="14.5" style="76" customWidth="1"/>
    <col min="259" max="259" width="14.375" style="76" customWidth="1"/>
    <col min="260" max="260" width="16.75" style="76" customWidth="1"/>
    <col min="261" max="261" width="12.875" style="76" customWidth="1"/>
    <col min="262" max="262" width="7.375" style="76" customWidth="1"/>
    <col min="263" max="263" width="11.25" style="76" customWidth="1"/>
    <col min="264" max="264" width="14.625" style="76" customWidth="1"/>
    <col min="265" max="265" width="19.75" style="76" customWidth="1"/>
    <col min="266" max="266" width="14.125" style="76" bestFit="1" customWidth="1"/>
    <col min="267" max="510" width="9" style="76"/>
    <col min="511" max="511" width="29" style="76" customWidth="1"/>
    <col min="512" max="512" width="10.75" style="76" customWidth="1"/>
    <col min="513" max="513" width="14.25" style="76" customWidth="1"/>
    <col min="514" max="514" width="14.5" style="76" customWidth="1"/>
    <col min="515" max="515" width="14.375" style="76" customWidth="1"/>
    <col min="516" max="516" width="16.75" style="76" customWidth="1"/>
    <col min="517" max="517" width="12.875" style="76" customWidth="1"/>
    <col min="518" max="518" width="7.375" style="76" customWidth="1"/>
    <col min="519" max="519" width="11.25" style="76" customWidth="1"/>
    <col min="520" max="520" width="14.625" style="76" customWidth="1"/>
    <col min="521" max="521" width="19.75" style="76" customWidth="1"/>
    <col min="522" max="522" width="14.125" style="76" bestFit="1" customWidth="1"/>
    <col min="523" max="766" width="9" style="76"/>
    <col min="767" max="767" width="29" style="76" customWidth="1"/>
    <col min="768" max="768" width="10.75" style="76" customWidth="1"/>
    <col min="769" max="769" width="14.25" style="76" customWidth="1"/>
    <col min="770" max="770" width="14.5" style="76" customWidth="1"/>
    <col min="771" max="771" width="14.375" style="76" customWidth="1"/>
    <col min="772" max="772" width="16.75" style="76" customWidth="1"/>
    <col min="773" max="773" width="12.875" style="76" customWidth="1"/>
    <col min="774" max="774" width="7.375" style="76" customWidth="1"/>
    <col min="775" max="775" width="11.25" style="76" customWidth="1"/>
    <col min="776" max="776" width="14.625" style="76" customWidth="1"/>
    <col min="777" max="777" width="19.75" style="76" customWidth="1"/>
    <col min="778" max="778" width="14.125" style="76" bestFit="1" customWidth="1"/>
    <col min="779" max="1022" width="9" style="76"/>
    <col min="1023" max="1023" width="29" style="76" customWidth="1"/>
    <col min="1024" max="1024" width="10.75" style="76" customWidth="1"/>
    <col min="1025" max="1025" width="14.25" style="76" customWidth="1"/>
    <col min="1026" max="1026" width="14.5" style="76" customWidth="1"/>
    <col min="1027" max="1027" width="14.375" style="76" customWidth="1"/>
    <col min="1028" max="1028" width="16.75" style="76" customWidth="1"/>
    <col min="1029" max="1029" width="12.875" style="76" customWidth="1"/>
    <col min="1030" max="1030" width="7.375" style="76" customWidth="1"/>
    <col min="1031" max="1031" width="11.25" style="76" customWidth="1"/>
    <col min="1032" max="1032" width="14.625" style="76" customWidth="1"/>
    <col min="1033" max="1033" width="19.75" style="76" customWidth="1"/>
    <col min="1034" max="1034" width="14.125" style="76" bestFit="1" customWidth="1"/>
    <col min="1035" max="1278" width="9" style="76"/>
    <col min="1279" max="1279" width="29" style="76" customWidth="1"/>
    <col min="1280" max="1280" width="10.75" style="76" customWidth="1"/>
    <col min="1281" max="1281" width="14.25" style="76" customWidth="1"/>
    <col min="1282" max="1282" width="14.5" style="76" customWidth="1"/>
    <col min="1283" max="1283" width="14.375" style="76" customWidth="1"/>
    <col min="1284" max="1284" width="16.75" style="76" customWidth="1"/>
    <col min="1285" max="1285" width="12.875" style="76" customWidth="1"/>
    <col min="1286" max="1286" width="7.375" style="76" customWidth="1"/>
    <col min="1287" max="1287" width="11.25" style="76" customWidth="1"/>
    <col min="1288" max="1288" width="14.625" style="76" customWidth="1"/>
    <col min="1289" max="1289" width="19.75" style="76" customWidth="1"/>
    <col min="1290" max="1290" width="14.125" style="76" bestFit="1" customWidth="1"/>
    <col min="1291" max="1534" width="9" style="76"/>
    <col min="1535" max="1535" width="29" style="76" customWidth="1"/>
    <col min="1536" max="1536" width="10.75" style="76" customWidth="1"/>
    <col min="1537" max="1537" width="14.25" style="76" customWidth="1"/>
    <col min="1538" max="1538" width="14.5" style="76" customWidth="1"/>
    <col min="1539" max="1539" width="14.375" style="76" customWidth="1"/>
    <col min="1540" max="1540" width="16.75" style="76" customWidth="1"/>
    <col min="1541" max="1541" width="12.875" style="76" customWidth="1"/>
    <col min="1542" max="1542" width="7.375" style="76" customWidth="1"/>
    <col min="1543" max="1543" width="11.25" style="76" customWidth="1"/>
    <col min="1544" max="1544" width="14.625" style="76" customWidth="1"/>
    <col min="1545" max="1545" width="19.75" style="76" customWidth="1"/>
    <col min="1546" max="1546" width="14.125" style="76" bestFit="1" customWidth="1"/>
    <col min="1547" max="1790" width="9" style="76"/>
    <col min="1791" max="1791" width="29" style="76" customWidth="1"/>
    <col min="1792" max="1792" width="10.75" style="76" customWidth="1"/>
    <col min="1793" max="1793" width="14.25" style="76" customWidth="1"/>
    <col min="1794" max="1794" width="14.5" style="76" customWidth="1"/>
    <col min="1795" max="1795" width="14.375" style="76" customWidth="1"/>
    <col min="1796" max="1796" width="16.75" style="76" customWidth="1"/>
    <col min="1797" max="1797" width="12.875" style="76" customWidth="1"/>
    <col min="1798" max="1798" width="7.375" style="76" customWidth="1"/>
    <col min="1799" max="1799" width="11.25" style="76" customWidth="1"/>
    <col min="1800" max="1800" width="14.625" style="76" customWidth="1"/>
    <col min="1801" max="1801" width="19.75" style="76" customWidth="1"/>
    <col min="1802" max="1802" width="14.125" style="76" bestFit="1" customWidth="1"/>
    <col min="1803" max="2046" width="9" style="76"/>
    <col min="2047" max="2047" width="29" style="76" customWidth="1"/>
    <col min="2048" max="2048" width="10.75" style="76" customWidth="1"/>
    <col min="2049" max="2049" width="14.25" style="76" customWidth="1"/>
    <col min="2050" max="2050" width="14.5" style="76" customWidth="1"/>
    <col min="2051" max="2051" width="14.375" style="76" customWidth="1"/>
    <col min="2052" max="2052" width="16.75" style="76" customWidth="1"/>
    <col min="2053" max="2053" width="12.875" style="76" customWidth="1"/>
    <col min="2054" max="2054" width="7.375" style="76" customWidth="1"/>
    <col min="2055" max="2055" width="11.25" style="76" customWidth="1"/>
    <col min="2056" max="2056" width="14.625" style="76" customWidth="1"/>
    <col min="2057" max="2057" width="19.75" style="76" customWidth="1"/>
    <col min="2058" max="2058" width="14.125" style="76" bestFit="1" customWidth="1"/>
    <col min="2059" max="2302" width="9" style="76"/>
    <col min="2303" max="2303" width="29" style="76" customWidth="1"/>
    <col min="2304" max="2304" width="10.75" style="76" customWidth="1"/>
    <col min="2305" max="2305" width="14.25" style="76" customWidth="1"/>
    <col min="2306" max="2306" width="14.5" style="76" customWidth="1"/>
    <col min="2307" max="2307" width="14.375" style="76" customWidth="1"/>
    <col min="2308" max="2308" width="16.75" style="76" customWidth="1"/>
    <col min="2309" max="2309" width="12.875" style="76" customWidth="1"/>
    <col min="2310" max="2310" width="7.375" style="76" customWidth="1"/>
    <col min="2311" max="2311" width="11.25" style="76" customWidth="1"/>
    <col min="2312" max="2312" width="14.625" style="76" customWidth="1"/>
    <col min="2313" max="2313" width="19.75" style="76" customWidth="1"/>
    <col min="2314" max="2314" width="14.125" style="76" bestFit="1" customWidth="1"/>
    <col min="2315" max="2558" width="9" style="76"/>
    <col min="2559" max="2559" width="29" style="76" customWidth="1"/>
    <col min="2560" max="2560" width="10.75" style="76" customWidth="1"/>
    <col min="2561" max="2561" width="14.25" style="76" customWidth="1"/>
    <col min="2562" max="2562" width="14.5" style="76" customWidth="1"/>
    <col min="2563" max="2563" width="14.375" style="76" customWidth="1"/>
    <col min="2564" max="2564" width="16.75" style="76" customWidth="1"/>
    <col min="2565" max="2565" width="12.875" style="76" customWidth="1"/>
    <col min="2566" max="2566" width="7.375" style="76" customWidth="1"/>
    <col min="2567" max="2567" width="11.25" style="76" customWidth="1"/>
    <col min="2568" max="2568" width="14.625" style="76" customWidth="1"/>
    <col min="2569" max="2569" width="19.75" style="76" customWidth="1"/>
    <col min="2570" max="2570" width="14.125" style="76" bestFit="1" customWidth="1"/>
    <col min="2571" max="2814" width="9" style="76"/>
    <col min="2815" max="2815" width="29" style="76" customWidth="1"/>
    <col min="2816" max="2816" width="10.75" style="76" customWidth="1"/>
    <col min="2817" max="2817" width="14.25" style="76" customWidth="1"/>
    <col min="2818" max="2818" width="14.5" style="76" customWidth="1"/>
    <col min="2819" max="2819" width="14.375" style="76" customWidth="1"/>
    <col min="2820" max="2820" width="16.75" style="76" customWidth="1"/>
    <col min="2821" max="2821" width="12.875" style="76" customWidth="1"/>
    <col min="2822" max="2822" width="7.375" style="76" customWidth="1"/>
    <col min="2823" max="2823" width="11.25" style="76" customWidth="1"/>
    <col min="2824" max="2824" width="14.625" style="76" customWidth="1"/>
    <col min="2825" max="2825" width="19.75" style="76" customWidth="1"/>
    <col min="2826" max="2826" width="14.125" style="76" bestFit="1" customWidth="1"/>
    <col min="2827" max="3070" width="9" style="76"/>
    <col min="3071" max="3071" width="29" style="76" customWidth="1"/>
    <col min="3072" max="3072" width="10.75" style="76" customWidth="1"/>
    <col min="3073" max="3073" width="14.25" style="76" customWidth="1"/>
    <col min="3074" max="3074" width="14.5" style="76" customWidth="1"/>
    <col min="3075" max="3075" width="14.375" style="76" customWidth="1"/>
    <col min="3076" max="3076" width="16.75" style="76" customWidth="1"/>
    <col min="3077" max="3077" width="12.875" style="76" customWidth="1"/>
    <col min="3078" max="3078" width="7.375" style="76" customWidth="1"/>
    <col min="3079" max="3079" width="11.25" style="76" customWidth="1"/>
    <col min="3080" max="3080" width="14.625" style="76" customWidth="1"/>
    <col min="3081" max="3081" width="19.75" style="76" customWidth="1"/>
    <col min="3082" max="3082" width="14.125" style="76" bestFit="1" customWidth="1"/>
    <col min="3083" max="3326" width="9" style="76"/>
    <col min="3327" max="3327" width="29" style="76" customWidth="1"/>
    <col min="3328" max="3328" width="10.75" style="76" customWidth="1"/>
    <col min="3329" max="3329" width="14.25" style="76" customWidth="1"/>
    <col min="3330" max="3330" width="14.5" style="76" customWidth="1"/>
    <col min="3331" max="3331" width="14.375" style="76" customWidth="1"/>
    <col min="3332" max="3332" width="16.75" style="76" customWidth="1"/>
    <col min="3333" max="3333" width="12.875" style="76" customWidth="1"/>
    <col min="3334" max="3334" width="7.375" style="76" customWidth="1"/>
    <col min="3335" max="3335" width="11.25" style="76" customWidth="1"/>
    <col min="3336" max="3336" width="14.625" style="76" customWidth="1"/>
    <col min="3337" max="3337" width="19.75" style="76" customWidth="1"/>
    <col min="3338" max="3338" width="14.125" style="76" bestFit="1" customWidth="1"/>
    <col min="3339" max="3582" width="9" style="76"/>
    <col min="3583" max="3583" width="29" style="76" customWidth="1"/>
    <col min="3584" max="3584" width="10.75" style="76" customWidth="1"/>
    <col min="3585" max="3585" width="14.25" style="76" customWidth="1"/>
    <col min="3586" max="3586" width="14.5" style="76" customWidth="1"/>
    <col min="3587" max="3587" width="14.375" style="76" customWidth="1"/>
    <col min="3588" max="3588" width="16.75" style="76" customWidth="1"/>
    <col min="3589" max="3589" width="12.875" style="76" customWidth="1"/>
    <col min="3590" max="3590" width="7.375" style="76" customWidth="1"/>
    <col min="3591" max="3591" width="11.25" style="76" customWidth="1"/>
    <col min="3592" max="3592" width="14.625" style="76" customWidth="1"/>
    <col min="3593" max="3593" width="19.75" style="76" customWidth="1"/>
    <col min="3594" max="3594" width="14.125" style="76" bestFit="1" customWidth="1"/>
    <col min="3595" max="3838" width="9" style="76"/>
    <col min="3839" max="3839" width="29" style="76" customWidth="1"/>
    <col min="3840" max="3840" width="10.75" style="76" customWidth="1"/>
    <col min="3841" max="3841" width="14.25" style="76" customWidth="1"/>
    <col min="3842" max="3842" width="14.5" style="76" customWidth="1"/>
    <col min="3843" max="3843" width="14.375" style="76" customWidth="1"/>
    <col min="3844" max="3844" width="16.75" style="76" customWidth="1"/>
    <col min="3845" max="3845" width="12.875" style="76" customWidth="1"/>
    <col min="3846" max="3846" width="7.375" style="76" customWidth="1"/>
    <col min="3847" max="3847" width="11.25" style="76" customWidth="1"/>
    <col min="3848" max="3848" width="14.625" style="76" customWidth="1"/>
    <col min="3849" max="3849" width="19.75" style="76" customWidth="1"/>
    <col min="3850" max="3850" width="14.125" style="76" bestFit="1" customWidth="1"/>
    <col min="3851" max="4094" width="9" style="76"/>
    <col min="4095" max="4095" width="29" style="76" customWidth="1"/>
    <col min="4096" max="4096" width="10.75" style="76" customWidth="1"/>
    <col min="4097" max="4097" width="14.25" style="76" customWidth="1"/>
    <col min="4098" max="4098" width="14.5" style="76" customWidth="1"/>
    <col min="4099" max="4099" width="14.375" style="76" customWidth="1"/>
    <col min="4100" max="4100" width="16.75" style="76" customWidth="1"/>
    <col min="4101" max="4101" width="12.875" style="76" customWidth="1"/>
    <col min="4102" max="4102" width="7.375" style="76" customWidth="1"/>
    <col min="4103" max="4103" width="11.25" style="76" customWidth="1"/>
    <col min="4104" max="4104" width="14.625" style="76" customWidth="1"/>
    <col min="4105" max="4105" width="19.75" style="76" customWidth="1"/>
    <col min="4106" max="4106" width="14.125" style="76" bestFit="1" customWidth="1"/>
    <col min="4107" max="4350" width="9" style="76"/>
    <col min="4351" max="4351" width="29" style="76" customWidth="1"/>
    <col min="4352" max="4352" width="10.75" style="76" customWidth="1"/>
    <col min="4353" max="4353" width="14.25" style="76" customWidth="1"/>
    <col min="4354" max="4354" width="14.5" style="76" customWidth="1"/>
    <col min="4355" max="4355" width="14.375" style="76" customWidth="1"/>
    <col min="4356" max="4356" width="16.75" style="76" customWidth="1"/>
    <col min="4357" max="4357" width="12.875" style="76" customWidth="1"/>
    <col min="4358" max="4358" width="7.375" style="76" customWidth="1"/>
    <col min="4359" max="4359" width="11.25" style="76" customWidth="1"/>
    <col min="4360" max="4360" width="14.625" style="76" customWidth="1"/>
    <col min="4361" max="4361" width="19.75" style="76" customWidth="1"/>
    <col min="4362" max="4362" width="14.125" style="76" bestFit="1" customWidth="1"/>
    <col min="4363" max="4606" width="9" style="76"/>
    <col min="4607" max="4607" width="29" style="76" customWidth="1"/>
    <col min="4608" max="4608" width="10.75" style="76" customWidth="1"/>
    <col min="4609" max="4609" width="14.25" style="76" customWidth="1"/>
    <col min="4610" max="4610" width="14.5" style="76" customWidth="1"/>
    <col min="4611" max="4611" width="14.375" style="76" customWidth="1"/>
    <col min="4612" max="4612" width="16.75" style="76" customWidth="1"/>
    <col min="4613" max="4613" width="12.875" style="76" customWidth="1"/>
    <col min="4614" max="4614" width="7.375" style="76" customWidth="1"/>
    <col min="4615" max="4615" width="11.25" style="76" customWidth="1"/>
    <col min="4616" max="4616" width="14.625" style="76" customWidth="1"/>
    <col min="4617" max="4617" width="19.75" style="76" customWidth="1"/>
    <col min="4618" max="4618" width="14.125" style="76" bestFit="1" customWidth="1"/>
    <col min="4619" max="4862" width="9" style="76"/>
    <col min="4863" max="4863" width="29" style="76" customWidth="1"/>
    <col min="4864" max="4864" width="10.75" style="76" customWidth="1"/>
    <col min="4865" max="4865" width="14.25" style="76" customWidth="1"/>
    <col min="4866" max="4866" width="14.5" style="76" customWidth="1"/>
    <col min="4867" max="4867" width="14.375" style="76" customWidth="1"/>
    <col min="4868" max="4868" width="16.75" style="76" customWidth="1"/>
    <col min="4869" max="4869" width="12.875" style="76" customWidth="1"/>
    <col min="4870" max="4870" width="7.375" style="76" customWidth="1"/>
    <col min="4871" max="4871" width="11.25" style="76" customWidth="1"/>
    <col min="4872" max="4872" width="14.625" style="76" customWidth="1"/>
    <col min="4873" max="4873" width="19.75" style="76" customWidth="1"/>
    <col min="4874" max="4874" width="14.125" style="76" bestFit="1" customWidth="1"/>
    <col min="4875" max="5118" width="9" style="76"/>
    <col min="5119" max="5119" width="29" style="76" customWidth="1"/>
    <col min="5120" max="5120" width="10.75" style="76" customWidth="1"/>
    <col min="5121" max="5121" width="14.25" style="76" customWidth="1"/>
    <col min="5122" max="5122" width="14.5" style="76" customWidth="1"/>
    <col min="5123" max="5123" width="14.375" style="76" customWidth="1"/>
    <col min="5124" max="5124" width="16.75" style="76" customWidth="1"/>
    <col min="5125" max="5125" width="12.875" style="76" customWidth="1"/>
    <col min="5126" max="5126" width="7.375" style="76" customWidth="1"/>
    <col min="5127" max="5127" width="11.25" style="76" customWidth="1"/>
    <col min="5128" max="5128" width="14.625" style="76" customWidth="1"/>
    <col min="5129" max="5129" width="19.75" style="76" customWidth="1"/>
    <col min="5130" max="5130" width="14.125" style="76" bestFit="1" customWidth="1"/>
    <col min="5131" max="5374" width="9" style="76"/>
    <col min="5375" max="5375" width="29" style="76" customWidth="1"/>
    <col min="5376" max="5376" width="10.75" style="76" customWidth="1"/>
    <col min="5377" max="5377" width="14.25" style="76" customWidth="1"/>
    <col min="5378" max="5378" width="14.5" style="76" customWidth="1"/>
    <col min="5379" max="5379" width="14.375" style="76" customWidth="1"/>
    <col min="5380" max="5380" width="16.75" style="76" customWidth="1"/>
    <col min="5381" max="5381" width="12.875" style="76" customWidth="1"/>
    <col min="5382" max="5382" width="7.375" style="76" customWidth="1"/>
    <col min="5383" max="5383" width="11.25" style="76" customWidth="1"/>
    <col min="5384" max="5384" width="14.625" style="76" customWidth="1"/>
    <col min="5385" max="5385" width="19.75" style="76" customWidth="1"/>
    <col min="5386" max="5386" width="14.125" style="76" bestFit="1" customWidth="1"/>
    <col min="5387" max="5630" width="9" style="76"/>
    <col min="5631" max="5631" width="29" style="76" customWidth="1"/>
    <col min="5632" max="5632" width="10.75" style="76" customWidth="1"/>
    <col min="5633" max="5633" width="14.25" style="76" customWidth="1"/>
    <col min="5634" max="5634" width="14.5" style="76" customWidth="1"/>
    <col min="5635" max="5635" width="14.375" style="76" customWidth="1"/>
    <col min="5636" max="5636" width="16.75" style="76" customWidth="1"/>
    <col min="5637" max="5637" width="12.875" style="76" customWidth="1"/>
    <col min="5638" max="5638" width="7.375" style="76" customWidth="1"/>
    <col min="5639" max="5639" width="11.25" style="76" customWidth="1"/>
    <col min="5640" max="5640" width="14.625" style="76" customWidth="1"/>
    <col min="5641" max="5641" width="19.75" style="76" customWidth="1"/>
    <col min="5642" max="5642" width="14.125" style="76" bestFit="1" customWidth="1"/>
    <col min="5643" max="5886" width="9" style="76"/>
    <col min="5887" max="5887" width="29" style="76" customWidth="1"/>
    <col min="5888" max="5888" width="10.75" style="76" customWidth="1"/>
    <col min="5889" max="5889" width="14.25" style="76" customWidth="1"/>
    <col min="5890" max="5890" width="14.5" style="76" customWidth="1"/>
    <col min="5891" max="5891" width="14.375" style="76" customWidth="1"/>
    <col min="5892" max="5892" width="16.75" style="76" customWidth="1"/>
    <col min="5893" max="5893" width="12.875" style="76" customWidth="1"/>
    <col min="5894" max="5894" width="7.375" style="76" customWidth="1"/>
    <col min="5895" max="5895" width="11.25" style="76" customWidth="1"/>
    <col min="5896" max="5896" width="14.625" style="76" customWidth="1"/>
    <col min="5897" max="5897" width="19.75" style="76" customWidth="1"/>
    <col min="5898" max="5898" width="14.125" style="76" bestFit="1" customWidth="1"/>
    <col min="5899" max="6142" width="9" style="76"/>
    <col min="6143" max="6143" width="29" style="76" customWidth="1"/>
    <col min="6144" max="6144" width="10.75" style="76" customWidth="1"/>
    <col min="6145" max="6145" width="14.25" style="76" customWidth="1"/>
    <col min="6146" max="6146" width="14.5" style="76" customWidth="1"/>
    <col min="6147" max="6147" width="14.375" style="76" customWidth="1"/>
    <col min="6148" max="6148" width="16.75" style="76" customWidth="1"/>
    <col min="6149" max="6149" width="12.875" style="76" customWidth="1"/>
    <col min="6150" max="6150" width="7.375" style="76" customWidth="1"/>
    <col min="6151" max="6151" width="11.25" style="76" customWidth="1"/>
    <col min="6152" max="6152" width="14.625" style="76" customWidth="1"/>
    <col min="6153" max="6153" width="19.75" style="76" customWidth="1"/>
    <col min="6154" max="6154" width="14.125" style="76" bestFit="1" customWidth="1"/>
    <col min="6155" max="6398" width="9" style="76"/>
    <col min="6399" max="6399" width="29" style="76" customWidth="1"/>
    <col min="6400" max="6400" width="10.75" style="76" customWidth="1"/>
    <col min="6401" max="6401" width="14.25" style="76" customWidth="1"/>
    <col min="6402" max="6402" width="14.5" style="76" customWidth="1"/>
    <col min="6403" max="6403" width="14.375" style="76" customWidth="1"/>
    <col min="6404" max="6404" width="16.75" style="76" customWidth="1"/>
    <col min="6405" max="6405" width="12.875" style="76" customWidth="1"/>
    <col min="6406" max="6406" width="7.375" style="76" customWidth="1"/>
    <col min="6407" max="6407" width="11.25" style="76" customWidth="1"/>
    <col min="6408" max="6408" width="14.625" style="76" customWidth="1"/>
    <col min="6409" max="6409" width="19.75" style="76" customWidth="1"/>
    <col min="6410" max="6410" width="14.125" style="76" bestFit="1" customWidth="1"/>
    <col min="6411" max="6654" width="9" style="76"/>
    <col min="6655" max="6655" width="29" style="76" customWidth="1"/>
    <col min="6656" max="6656" width="10.75" style="76" customWidth="1"/>
    <col min="6657" max="6657" width="14.25" style="76" customWidth="1"/>
    <col min="6658" max="6658" width="14.5" style="76" customWidth="1"/>
    <col min="6659" max="6659" width="14.375" style="76" customWidth="1"/>
    <col min="6660" max="6660" width="16.75" style="76" customWidth="1"/>
    <col min="6661" max="6661" width="12.875" style="76" customWidth="1"/>
    <col min="6662" max="6662" width="7.375" style="76" customWidth="1"/>
    <col min="6663" max="6663" width="11.25" style="76" customWidth="1"/>
    <col min="6664" max="6664" width="14.625" style="76" customWidth="1"/>
    <col min="6665" max="6665" width="19.75" style="76" customWidth="1"/>
    <col min="6666" max="6666" width="14.125" style="76" bestFit="1" customWidth="1"/>
    <col min="6667" max="6910" width="9" style="76"/>
    <col min="6911" max="6911" width="29" style="76" customWidth="1"/>
    <col min="6912" max="6912" width="10.75" style="76" customWidth="1"/>
    <col min="6913" max="6913" width="14.25" style="76" customWidth="1"/>
    <col min="6914" max="6914" width="14.5" style="76" customWidth="1"/>
    <col min="6915" max="6915" width="14.375" style="76" customWidth="1"/>
    <col min="6916" max="6916" width="16.75" style="76" customWidth="1"/>
    <col min="6917" max="6917" width="12.875" style="76" customWidth="1"/>
    <col min="6918" max="6918" width="7.375" style="76" customWidth="1"/>
    <col min="6919" max="6919" width="11.25" style="76" customWidth="1"/>
    <col min="6920" max="6920" width="14.625" style="76" customWidth="1"/>
    <col min="6921" max="6921" width="19.75" style="76" customWidth="1"/>
    <col min="6922" max="6922" width="14.125" style="76" bestFit="1" customWidth="1"/>
    <col min="6923" max="7166" width="9" style="76"/>
    <col min="7167" max="7167" width="29" style="76" customWidth="1"/>
    <col min="7168" max="7168" width="10.75" style="76" customWidth="1"/>
    <col min="7169" max="7169" width="14.25" style="76" customWidth="1"/>
    <col min="7170" max="7170" width="14.5" style="76" customWidth="1"/>
    <col min="7171" max="7171" width="14.375" style="76" customWidth="1"/>
    <col min="7172" max="7172" width="16.75" style="76" customWidth="1"/>
    <col min="7173" max="7173" width="12.875" style="76" customWidth="1"/>
    <col min="7174" max="7174" width="7.375" style="76" customWidth="1"/>
    <col min="7175" max="7175" width="11.25" style="76" customWidth="1"/>
    <col min="7176" max="7176" width="14.625" style="76" customWidth="1"/>
    <col min="7177" max="7177" width="19.75" style="76" customWidth="1"/>
    <col min="7178" max="7178" width="14.125" style="76" bestFit="1" customWidth="1"/>
    <col min="7179" max="7422" width="9" style="76"/>
    <col min="7423" max="7423" width="29" style="76" customWidth="1"/>
    <col min="7424" max="7424" width="10.75" style="76" customWidth="1"/>
    <col min="7425" max="7425" width="14.25" style="76" customWidth="1"/>
    <col min="7426" max="7426" width="14.5" style="76" customWidth="1"/>
    <col min="7427" max="7427" width="14.375" style="76" customWidth="1"/>
    <col min="7428" max="7428" width="16.75" style="76" customWidth="1"/>
    <col min="7429" max="7429" width="12.875" style="76" customWidth="1"/>
    <col min="7430" max="7430" width="7.375" style="76" customWidth="1"/>
    <col min="7431" max="7431" width="11.25" style="76" customWidth="1"/>
    <col min="7432" max="7432" width="14.625" style="76" customWidth="1"/>
    <col min="7433" max="7433" width="19.75" style="76" customWidth="1"/>
    <col min="7434" max="7434" width="14.125" style="76" bestFit="1" customWidth="1"/>
    <col min="7435" max="7678" width="9" style="76"/>
    <col min="7679" max="7679" width="29" style="76" customWidth="1"/>
    <col min="7680" max="7680" width="10.75" style="76" customWidth="1"/>
    <col min="7681" max="7681" width="14.25" style="76" customWidth="1"/>
    <col min="7682" max="7682" width="14.5" style="76" customWidth="1"/>
    <col min="7683" max="7683" width="14.375" style="76" customWidth="1"/>
    <col min="7684" max="7684" width="16.75" style="76" customWidth="1"/>
    <col min="7685" max="7685" width="12.875" style="76" customWidth="1"/>
    <col min="7686" max="7686" width="7.375" style="76" customWidth="1"/>
    <col min="7687" max="7687" width="11.25" style="76" customWidth="1"/>
    <col min="7688" max="7688" width="14.625" style="76" customWidth="1"/>
    <col min="7689" max="7689" width="19.75" style="76" customWidth="1"/>
    <col min="7690" max="7690" width="14.125" style="76" bestFit="1" customWidth="1"/>
    <col min="7691" max="7934" width="9" style="76"/>
    <col min="7935" max="7935" width="29" style="76" customWidth="1"/>
    <col min="7936" max="7936" width="10.75" style="76" customWidth="1"/>
    <col min="7937" max="7937" width="14.25" style="76" customWidth="1"/>
    <col min="7938" max="7938" width="14.5" style="76" customWidth="1"/>
    <col min="7939" max="7939" width="14.375" style="76" customWidth="1"/>
    <col min="7940" max="7940" width="16.75" style="76" customWidth="1"/>
    <col min="7941" max="7941" width="12.875" style="76" customWidth="1"/>
    <col min="7942" max="7942" width="7.375" style="76" customWidth="1"/>
    <col min="7943" max="7943" width="11.25" style="76" customWidth="1"/>
    <col min="7944" max="7944" width="14.625" style="76" customWidth="1"/>
    <col min="7945" max="7945" width="19.75" style="76" customWidth="1"/>
    <col min="7946" max="7946" width="14.125" style="76" bestFit="1" customWidth="1"/>
    <col min="7947" max="8190" width="9" style="76"/>
    <col min="8191" max="8191" width="29" style="76" customWidth="1"/>
    <col min="8192" max="8192" width="10.75" style="76" customWidth="1"/>
    <col min="8193" max="8193" width="14.25" style="76" customWidth="1"/>
    <col min="8194" max="8194" width="14.5" style="76" customWidth="1"/>
    <col min="8195" max="8195" width="14.375" style="76" customWidth="1"/>
    <col min="8196" max="8196" width="16.75" style="76" customWidth="1"/>
    <col min="8197" max="8197" width="12.875" style="76" customWidth="1"/>
    <col min="8198" max="8198" width="7.375" style="76" customWidth="1"/>
    <col min="8199" max="8199" width="11.25" style="76" customWidth="1"/>
    <col min="8200" max="8200" width="14.625" style="76" customWidth="1"/>
    <col min="8201" max="8201" width="19.75" style="76" customWidth="1"/>
    <col min="8202" max="8202" width="14.125" style="76" bestFit="1" customWidth="1"/>
    <col min="8203" max="8446" width="9" style="76"/>
    <col min="8447" max="8447" width="29" style="76" customWidth="1"/>
    <col min="8448" max="8448" width="10.75" style="76" customWidth="1"/>
    <col min="8449" max="8449" width="14.25" style="76" customWidth="1"/>
    <col min="8450" max="8450" width="14.5" style="76" customWidth="1"/>
    <col min="8451" max="8451" width="14.375" style="76" customWidth="1"/>
    <col min="8452" max="8452" width="16.75" style="76" customWidth="1"/>
    <col min="8453" max="8453" width="12.875" style="76" customWidth="1"/>
    <col min="8454" max="8454" width="7.375" style="76" customWidth="1"/>
    <col min="8455" max="8455" width="11.25" style="76" customWidth="1"/>
    <col min="8456" max="8456" width="14.625" style="76" customWidth="1"/>
    <col min="8457" max="8457" width="19.75" style="76" customWidth="1"/>
    <col min="8458" max="8458" width="14.125" style="76" bestFit="1" customWidth="1"/>
    <col min="8459" max="8702" width="9" style="76"/>
    <col min="8703" max="8703" width="29" style="76" customWidth="1"/>
    <col min="8704" max="8704" width="10.75" style="76" customWidth="1"/>
    <col min="8705" max="8705" width="14.25" style="76" customWidth="1"/>
    <col min="8706" max="8706" width="14.5" style="76" customWidth="1"/>
    <col min="8707" max="8707" width="14.375" style="76" customWidth="1"/>
    <col min="8708" max="8708" width="16.75" style="76" customWidth="1"/>
    <col min="8709" max="8709" width="12.875" style="76" customWidth="1"/>
    <col min="8710" max="8710" width="7.375" style="76" customWidth="1"/>
    <col min="8711" max="8711" width="11.25" style="76" customWidth="1"/>
    <col min="8712" max="8712" width="14.625" style="76" customWidth="1"/>
    <col min="8713" max="8713" width="19.75" style="76" customWidth="1"/>
    <col min="8714" max="8714" width="14.125" style="76" bestFit="1" customWidth="1"/>
    <col min="8715" max="8958" width="9" style="76"/>
    <col min="8959" max="8959" width="29" style="76" customWidth="1"/>
    <col min="8960" max="8960" width="10.75" style="76" customWidth="1"/>
    <col min="8961" max="8961" width="14.25" style="76" customWidth="1"/>
    <col min="8962" max="8962" width="14.5" style="76" customWidth="1"/>
    <col min="8963" max="8963" width="14.375" style="76" customWidth="1"/>
    <col min="8964" max="8964" width="16.75" style="76" customWidth="1"/>
    <col min="8965" max="8965" width="12.875" style="76" customWidth="1"/>
    <col min="8966" max="8966" width="7.375" style="76" customWidth="1"/>
    <col min="8967" max="8967" width="11.25" style="76" customWidth="1"/>
    <col min="8968" max="8968" width="14.625" style="76" customWidth="1"/>
    <col min="8969" max="8969" width="19.75" style="76" customWidth="1"/>
    <col min="8970" max="8970" width="14.125" style="76" bestFit="1" customWidth="1"/>
    <col min="8971" max="9214" width="9" style="76"/>
    <col min="9215" max="9215" width="29" style="76" customWidth="1"/>
    <col min="9216" max="9216" width="10.75" style="76" customWidth="1"/>
    <col min="9217" max="9217" width="14.25" style="76" customWidth="1"/>
    <col min="9218" max="9218" width="14.5" style="76" customWidth="1"/>
    <col min="9219" max="9219" width="14.375" style="76" customWidth="1"/>
    <col min="9220" max="9220" width="16.75" style="76" customWidth="1"/>
    <col min="9221" max="9221" width="12.875" style="76" customWidth="1"/>
    <col min="9222" max="9222" width="7.375" style="76" customWidth="1"/>
    <col min="9223" max="9223" width="11.25" style="76" customWidth="1"/>
    <col min="9224" max="9224" width="14.625" style="76" customWidth="1"/>
    <col min="9225" max="9225" width="19.75" style="76" customWidth="1"/>
    <col min="9226" max="9226" width="14.125" style="76" bestFit="1" customWidth="1"/>
    <col min="9227" max="9470" width="9" style="76"/>
    <col min="9471" max="9471" width="29" style="76" customWidth="1"/>
    <col min="9472" max="9472" width="10.75" style="76" customWidth="1"/>
    <col min="9473" max="9473" width="14.25" style="76" customWidth="1"/>
    <col min="9474" max="9474" width="14.5" style="76" customWidth="1"/>
    <col min="9475" max="9475" width="14.375" style="76" customWidth="1"/>
    <col min="9476" max="9476" width="16.75" style="76" customWidth="1"/>
    <col min="9477" max="9477" width="12.875" style="76" customWidth="1"/>
    <col min="9478" max="9478" width="7.375" style="76" customWidth="1"/>
    <col min="9479" max="9479" width="11.25" style="76" customWidth="1"/>
    <col min="9480" max="9480" width="14.625" style="76" customWidth="1"/>
    <col min="9481" max="9481" width="19.75" style="76" customWidth="1"/>
    <col min="9482" max="9482" width="14.125" style="76" bestFit="1" customWidth="1"/>
    <col min="9483" max="9726" width="9" style="76"/>
    <col min="9727" max="9727" width="29" style="76" customWidth="1"/>
    <col min="9728" max="9728" width="10.75" style="76" customWidth="1"/>
    <col min="9729" max="9729" width="14.25" style="76" customWidth="1"/>
    <col min="9730" max="9730" width="14.5" style="76" customWidth="1"/>
    <col min="9731" max="9731" width="14.375" style="76" customWidth="1"/>
    <col min="9732" max="9732" width="16.75" style="76" customWidth="1"/>
    <col min="9733" max="9733" width="12.875" style="76" customWidth="1"/>
    <col min="9734" max="9734" width="7.375" style="76" customWidth="1"/>
    <col min="9735" max="9735" width="11.25" style="76" customWidth="1"/>
    <col min="9736" max="9736" width="14.625" style="76" customWidth="1"/>
    <col min="9737" max="9737" width="19.75" style="76" customWidth="1"/>
    <col min="9738" max="9738" width="14.125" style="76" bestFit="1" customWidth="1"/>
    <col min="9739" max="9982" width="9" style="76"/>
    <col min="9983" max="9983" width="29" style="76" customWidth="1"/>
    <col min="9984" max="9984" width="10.75" style="76" customWidth="1"/>
    <col min="9985" max="9985" width="14.25" style="76" customWidth="1"/>
    <col min="9986" max="9986" width="14.5" style="76" customWidth="1"/>
    <col min="9987" max="9987" width="14.375" style="76" customWidth="1"/>
    <col min="9988" max="9988" width="16.75" style="76" customWidth="1"/>
    <col min="9989" max="9989" width="12.875" style="76" customWidth="1"/>
    <col min="9990" max="9990" width="7.375" style="76" customWidth="1"/>
    <col min="9991" max="9991" width="11.25" style="76" customWidth="1"/>
    <col min="9992" max="9992" width="14.625" style="76" customWidth="1"/>
    <col min="9993" max="9993" width="19.75" style="76" customWidth="1"/>
    <col min="9994" max="9994" width="14.125" style="76" bestFit="1" customWidth="1"/>
    <col min="9995" max="10238" width="9" style="76"/>
    <col min="10239" max="10239" width="29" style="76" customWidth="1"/>
    <col min="10240" max="10240" width="10.75" style="76" customWidth="1"/>
    <col min="10241" max="10241" width="14.25" style="76" customWidth="1"/>
    <col min="10242" max="10242" width="14.5" style="76" customWidth="1"/>
    <col min="10243" max="10243" width="14.375" style="76" customWidth="1"/>
    <col min="10244" max="10244" width="16.75" style="76" customWidth="1"/>
    <col min="10245" max="10245" width="12.875" style="76" customWidth="1"/>
    <col min="10246" max="10246" width="7.375" style="76" customWidth="1"/>
    <col min="10247" max="10247" width="11.25" style="76" customWidth="1"/>
    <col min="10248" max="10248" width="14.625" style="76" customWidth="1"/>
    <col min="10249" max="10249" width="19.75" style="76" customWidth="1"/>
    <col min="10250" max="10250" width="14.125" style="76" bestFit="1" customWidth="1"/>
    <col min="10251" max="10494" width="9" style="76"/>
    <col min="10495" max="10495" width="29" style="76" customWidth="1"/>
    <col min="10496" max="10496" width="10.75" style="76" customWidth="1"/>
    <col min="10497" max="10497" width="14.25" style="76" customWidth="1"/>
    <col min="10498" max="10498" width="14.5" style="76" customWidth="1"/>
    <col min="10499" max="10499" width="14.375" style="76" customWidth="1"/>
    <col min="10500" max="10500" width="16.75" style="76" customWidth="1"/>
    <col min="10501" max="10501" width="12.875" style="76" customWidth="1"/>
    <col min="10502" max="10502" width="7.375" style="76" customWidth="1"/>
    <col min="10503" max="10503" width="11.25" style="76" customWidth="1"/>
    <col min="10504" max="10504" width="14.625" style="76" customWidth="1"/>
    <col min="10505" max="10505" width="19.75" style="76" customWidth="1"/>
    <col min="10506" max="10506" width="14.125" style="76" bestFit="1" customWidth="1"/>
    <col min="10507" max="10750" width="9" style="76"/>
    <col min="10751" max="10751" width="29" style="76" customWidth="1"/>
    <col min="10752" max="10752" width="10.75" style="76" customWidth="1"/>
    <col min="10753" max="10753" width="14.25" style="76" customWidth="1"/>
    <col min="10754" max="10754" width="14.5" style="76" customWidth="1"/>
    <col min="10755" max="10755" width="14.375" style="76" customWidth="1"/>
    <col min="10756" max="10756" width="16.75" style="76" customWidth="1"/>
    <col min="10757" max="10757" width="12.875" style="76" customWidth="1"/>
    <col min="10758" max="10758" width="7.375" style="76" customWidth="1"/>
    <col min="10759" max="10759" width="11.25" style="76" customWidth="1"/>
    <col min="10760" max="10760" width="14.625" style="76" customWidth="1"/>
    <col min="10761" max="10761" width="19.75" style="76" customWidth="1"/>
    <col min="10762" max="10762" width="14.125" style="76" bestFit="1" customWidth="1"/>
    <col min="10763" max="11006" width="9" style="76"/>
    <col min="11007" max="11007" width="29" style="76" customWidth="1"/>
    <col min="11008" max="11008" width="10.75" style="76" customWidth="1"/>
    <col min="11009" max="11009" width="14.25" style="76" customWidth="1"/>
    <col min="11010" max="11010" width="14.5" style="76" customWidth="1"/>
    <col min="11011" max="11011" width="14.375" style="76" customWidth="1"/>
    <col min="11012" max="11012" width="16.75" style="76" customWidth="1"/>
    <col min="11013" max="11013" width="12.875" style="76" customWidth="1"/>
    <col min="11014" max="11014" width="7.375" style="76" customWidth="1"/>
    <col min="11015" max="11015" width="11.25" style="76" customWidth="1"/>
    <col min="11016" max="11016" width="14.625" style="76" customWidth="1"/>
    <col min="11017" max="11017" width="19.75" style="76" customWidth="1"/>
    <col min="11018" max="11018" width="14.125" style="76" bestFit="1" customWidth="1"/>
    <col min="11019" max="11262" width="9" style="76"/>
    <col min="11263" max="11263" width="29" style="76" customWidth="1"/>
    <col min="11264" max="11264" width="10.75" style="76" customWidth="1"/>
    <col min="11265" max="11265" width="14.25" style="76" customWidth="1"/>
    <col min="11266" max="11266" width="14.5" style="76" customWidth="1"/>
    <col min="11267" max="11267" width="14.375" style="76" customWidth="1"/>
    <col min="11268" max="11268" width="16.75" style="76" customWidth="1"/>
    <col min="11269" max="11269" width="12.875" style="76" customWidth="1"/>
    <col min="11270" max="11270" width="7.375" style="76" customWidth="1"/>
    <col min="11271" max="11271" width="11.25" style="76" customWidth="1"/>
    <col min="11272" max="11272" width="14.625" style="76" customWidth="1"/>
    <col min="11273" max="11273" width="19.75" style="76" customWidth="1"/>
    <col min="11274" max="11274" width="14.125" style="76" bestFit="1" customWidth="1"/>
    <col min="11275" max="11518" width="9" style="76"/>
    <col min="11519" max="11519" width="29" style="76" customWidth="1"/>
    <col min="11520" max="11520" width="10.75" style="76" customWidth="1"/>
    <col min="11521" max="11521" width="14.25" style="76" customWidth="1"/>
    <col min="11522" max="11522" width="14.5" style="76" customWidth="1"/>
    <col min="11523" max="11523" width="14.375" style="76" customWidth="1"/>
    <col min="11524" max="11524" width="16.75" style="76" customWidth="1"/>
    <col min="11525" max="11525" width="12.875" style="76" customWidth="1"/>
    <col min="11526" max="11526" width="7.375" style="76" customWidth="1"/>
    <col min="11527" max="11527" width="11.25" style="76" customWidth="1"/>
    <col min="11528" max="11528" width="14.625" style="76" customWidth="1"/>
    <col min="11529" max="11529" width="19.75" style="76" customWidth="1"/>
    <col min="11530" max="11530" width="14.125" style="76" bestFit="1" customWidth="1"/>
    <col min="11531" max="11774" width="9" style="76"/>
    <col min="11775" max="11775" width="29" style="76" customWidth="1"/>
    <col min="11776" max="11776" width="10.75" style="76" customWidth="1"/>
    <col min="11777" max="11777" width="14.25" style="76" customWidth="1"/>
    <col min="11778" max="11778" width="14.5" style="76" customWidth="1"/>
    <col min="11779" max="11779" width="14.375" style="76" customWidth="1"/>
    <col min="11780" max="11780" width="16.75" style="76" customWidth="1"/>
    <col min="11781" max="11781" width="12.875" style="76" customWidth="1"/>
    <col min="11782" max="11782" width="7.375" style="76" customWidth="1"/>
    <col min="11783" max="11783" width="11.25" style="76" customWidth="1"/>
    <col min="11784" max="11784" width="14.625" style="76" customWidth="1"/>
    <col min="11785" max="11785" width="19.75" style="76" customWidth="1"/>
    <col min="11786" max="11786" width="14.125" style="76" bestFit="1" customWidth="1"/>
    <col min="11787" max="12030" width="9" style="76"/>
    <col min="12031" max="12031" width="29" style="76" customWidth="1"/>
    <col min="12032" max="12032" width="10.75" style="76" customWidth="1"/>
    <col min="12033" max="12033" width="14.25" style="76" customWidth="1"/>
    <col min="12034" max="12034" width="14.5" style="76" customWidth="1"/>
    <col min="12035" max="12035" width="14.375" style="76" customWidth="1"/>
    <col min="12036" max="12036" width="16.75" style="76" customWidth="1"/>
    <col min="12037" max="12037" width="12.875" style="76" customWidth="1"/>
    <col min="12038" max="12038" width="7.375" style="76" customWidth="1"/>
    <col min="12039" max="12039" width="11.25" style="76" customWidth="1"/>
    <col min="12040" max="12040" width="14.625" style="76" customWidth="1"/>
    <col min="12041" max="12041" width="19.75" style="76" customWidth="1"/>
    <col min="12042" max="12042" width="14.125" style="76" bestFit="1" customWidth="1"/>
    <col min="12043" max="12286" width="9" style="76"/>
    <col min="12287" max="12287" width="29" style="76" customWidth="1"/>
    <col min="12288" max="12288" width="10.75" style="76" customWidth="1"/>
    <col min="12289" max="12289" width="14.25" style="76" customWidth="1"/>
    <col min="12290" max="12290" width="14.5" style="76" customWidth="1"/>
    <col min="12291" max="12291" width="14.375" style="76" customWidth="1"/>
    <col min="12292" max="12292" width="16.75" style="76" customWidth="1"/>
    <col min="12293" max="12293" width="12.875" style="76" customWidth="1"/>
    <col min="12294" max="12294" width="7.375" style="76" customWidth="1"/>
    <col min="12295" max="12295" width="11.25" style="76" customWidth="1"/>
    <col min="12296" max="12296" width="14.625" style="76" customWidth="1"/>
    <col min="12297" max="12297" width="19.75" style="76" customWidth="1"/>
    <col min="12298" max="12298" width="14.125" style="76" bestFit="1" customWidth="1"/>
    <col min="12299" max="12542" width="9" style="76"/>
    <col min="12543" max="12543" width="29" style="76" customWidth="1"/>
    <col min="12544" max="12544" width="10.75" style="76" customWidth="1"/>
    <col min="12545" max="12545" width="14.25" style="76" customWidth="1"/>
    <col min="12546" max="12546" width="14.5" style="76" customWidth="1"/>
    <col min="12547" max="12547" width="14.375" style="76" customWidth="1"/>
    <col min="12548" max="12548" width="16.75" style="76" customWidth="1"/>
    <col min="12549" max="12549" width="12.875" style="76" customWidth="1"/>
    <col min="12550" max="12550" width="7.375" style="76" customWidth="1"/>
    <col min="12551" max="12551" width="11.25" style="76" customWidth="1"/>
    <col min="12552" max="12552" width="14.625" style="76" customWidth="1"/>
    <col min="12553" max="12553" width="19.75" style="76" customWidth="1"/>
    <col min="12554" max="12554" width="14.125" style="76" bestFit="1" customWidth="1"/>
    <col min="12555" max="12798" width="9" style="76"/>
    <col min="12799" max="12799" width="29" style="76" customWidth="1"/>
    <col min="12800" max="12800" width="10.75" style="76" customWidth="1"/>
    <col min="12801" max="12801" width="14.25" style="76" customWidth="1"/>
    <col min="12802" max="12802" width="14.5" style="76" customWidth="1"/>
    <col min="12803" max="12803" width="14.375" style="76" customWidth="1"/>
    <col min="12804" max="12804" width="16.75" style="76" customWidth="1"/>
    <col min="12805" max="12805" width="12.875" style="76" customWidth="1"/>
    <col min="12806" max="12806" width="7.375" style="76" customWidth="1"/>
    <col min="12807" max="12807" width="11.25" style="76" customWidth="1"/>
    <col min="12808" max="12808" width="14.625" style="76" customWidth="1"/>
    <col min="12809" max="12809" width="19.75" style="76" customWidth="1"/>
    <col min="12810" max="12810" width="14.125" style="76" bestFit="1" customWidth="1"/>
    <col min="12811" max="13054" width="9" style="76"/>
    <col min="13055" max="13055" width="29" style="76" customWidth="1"/>
    <col min="13056" max="13056" width="10.75" style="76" customWidth="1"/>
    <col min="13057" max="13057" width="14.25" style="76" customWidth="1"/>
    <col min="13058" max="13058" width="14.5" style="76" customWidth="1"/>
    <col min="13059" max="13059" width="14.375" style="76" customWidth="1"/>
    <col min="13060" max="13060" width="16.75" style="76" customWidth="1"/>
    <col min="13061" max="13061" width="12.875" style="76" customWidth="1"/>
    <col min="13062" max="13062" width="7.375" style="76" customWidth="1"/>
    <col min="13063" max="13063" width="11.25" style="76" customWidth="1"/>
    <col min="13064" max="13064" width="14.625" style="76" customWidth="1"/>
    <col min="13065" max="13065" width="19.75" style="76" customWidth="1"/>
    <col min="13066" max="13066" width="14.125" style="76" bestFit="1" customWidth="1"/>
    <col min="13067" max="13310" width="9" style="76"/>
    <col min="13311" max="13311" width="29" style="76" customWidth="1"/>
    <col min="13312" max="13312" width="10.75" style="76" customWidth="1"/>
    <col min="13313" max="13313" width="14.25" style="76" customWidth="1"/>
    <col min="13314" max="13314" width="14.5" style="76" customWidth="1"/>
    <col min="13315" max="13315" width="14.375" style="76" customWidth="1"/>
    <col min="13316" max="13316" width="16.75" style="76" customWidth="1"/>
    <col min="13317" max="13317" width="12.875" style="76" customWidth="1"/>
    <col min="13318" max="13318" width="7.375" style="76" customWidth="1"/>
    <col min="13319" max="13319" width="11.25" style="76" customWidth="1"/>
    <col min="13320" max="13320" width="14.625" style="76" customWidth="1"/>
    <col min="13321" max="13321" width="19.75" style="76" customWidth="1"/>
    <col min="13322" max="13322" width="14.125" style="76" bestFit="1" customWidth="1"/>
    <col min="13323" max="13566" width="9" style="76"/>
    <col min="13567" max="13567" width="29" style="76" customWidth="1"/>
    <col min="13568" max="13568" width="10.75" style="76" customWidth="1"/>
    <col min="13569" max="13569" width="14.25" style="76" customWidth="1"/>
    <col min="13570" max="13570" width="14.5" style="76" customWidth="1"/>
    <col min="13571" max="13571" width="14.375" style="76" customWidth="1"/>
    <col min="13572" max="13572" width="16.75" style="76" customWidth="1"/>
    <col min="13573" max="13573" width="12.875" style="76" customWidth="1"/>
    <col min="13574" max="13574" width="7.375" style="76" customWidth="1"/>
    <col min="13575" max="13575" width="11.25" style="76" customWidth="1"/>
    <col min="13576" max="13576" width="14.625" style="76" customWidth="1"/>
    <col min="13577" max="13577" width="19.75" style="76" customWidth="1"/>
    <col min="13578" max="13578" width="14.125" style="76" bestFit="1" customWidth="1"/>
    <col min="13579" max="13822" width="9" style="76"/>
    <col min="13823" max="13823" width="29" style="76" customWidth="1"/>
    <col min="13824" max="13824" width="10.75" style="76" customWidth="1"/>
    <col min="13825" max="13825" width="14.25" style="76" customWidth="1"/>
    <col min="13826" max="13826" width="14.5" style="76" customWidth="1"/>
    <col min="13827" max="13827" width="14.375" style="76" customWidth="1"/>
    <col min="13828" max="13828" width="16.75" style="76" customWidth="1"/>
    <col min="13829" max="13829" width="12.875" style="76" customWidth="1"/>
    <col min="13830" max="13830" width="7.375" style="76" customWidth="1"/>
    <col min="13831" max="13831" width="11.25" style="76" customWidth="1"/>
    <col min="13832" max="13832" width="14.625" style="76" customWidth="1"/>
    <col min="13833" max="13833" width="19.75" style="76" customWidth="1"/>
    <col min="13834" max="13834" width="14.125" style="76" bestFit="1" customWidth="1"/>
    <col min="13835" max="14078" width="9" style="76"/>
    <col min="14079" max="14079" width="29" style="76" customWidth="1"/>
    <col min="14080" max="14080" width="10.75" style="76" customWidth="1"/>
    <col min="14081" max="14081" width="14.25" style="76" customWidth="1"/>
    <col min="14082" max="14082" width="14.5" style="76" customWidth="1"/>
    <col min="14083" max="14083" width="14.375" style="76" customWidth="1"/>
    <col min="14084" max="14084" width="16.75" style="76" customWidth="1"/>
    <col min="14085" max="14085" width="12.875" style="76" customWidth="1"/>
    <col min="14086" max="14086" width="7.375" style="76" customWidth="1"/>
    <col min="14087" max="14087" width="11.25" style="76" customWidth="1"/>
    <col min="14088" max="14088" width="14.625" style="76" customWidth="1"/>
    <col min="14089" max="14089" width="19.75" style="76" customWidth="1"/>
    <col min="14090" max="14090" width="14.125" style="76" bestFit="1" customWidth="1"/>
    <col min="14091" max="14334" width="9" style="76"/>
    <col min="14335" max="14335" width="29" style="76" customWidth="1"/>
    <col min="14336" max="14336" width="10.75" style="76" customWidth="1"/>
    <col min="14337" max="14337" width="14.25" style="76" customWidth="1"/>
    <col min="14338" max="14338" width="14.5" style="76" customWidth="1"/>
    <col min="14339" max="14339" width="14.375" style="76" customWidth="1"/>
    <col min="14340" max="14340" width="16.75" style="76" customWidth="1"/>
    <col min="14341" max="14341" width="12.875" style="76" customWidth="1"/>
    <col min="14342" max="14342" width="7.375" style="76" customWidth="1"/>
    <col min="14343" max="14343" width="11.25" style="76" customWidth="1"/>
    <col min="14344" max="14344" width="14.625" style="76" customWidth="1"/>
    <col min="14345" max="14345" width="19.75" style="76" customWidth="1"/>
    <col min="14346" max="14346" width="14.125" style="76" bestFit="1" customWidth="1"/>
    <col min="14347" max="14590" width="9" style="76"/>
    <col min="14591" max="14591" width="29" style="76" customWidth="1"/>
    <col min="14592" max="14592" width="10.75" style="76" customWidth="1"/>
    <col min="14593" max="14593" width="14.25" style="76" customWidth="1"/>
    <col min="14594" max="14594" width="14.5" style="76" customWidth="1"/>
    <col min="14595" max="14595" width="14.375" style="76" customWidth="1"/>
    <col min="14596" max="14596" width="16.75" style="76" customWidth="1"/>
    <col min="14597" max="14597" width="12.875" style="76" customWidth="1"/>
    <col min="14598" max="14598" width="7.375" style="76" customWidth="1"/>
    <col min="14599" max="14599" width="11.25" style="76" customWidth="1"/>
    <col min="14600" max="14600" width="14.625" style="76" customWidth="1"/>
    <col min="14601" max="14601" width="19.75" style="76" customWidth="1"/>
    <col min="14602" max="14602" width="14.125" style="76" bestFit="1" customWidth="1"/>
    <col min="14603" max="14846" width="9" style="76"/>
    <col min="14847" max="14847" width="29" style="76" customWidth="1"/>
    <col min="14848" max="14848" width="10.75" style="76" customWidth="1"/>
    <col min="14849" max="14849" width="14.25" style="76" customWidth="1"/>
    <col min="14850" max="14850" width="14.5" style="76" customWidth="1"/>
    <col min="14851" max="14851" width="14.375" style="76" customWidth="1"/>
    <col min="14852" max="14852" width="16.75" style="76" customWidth="1"/>
    <col min="14853" max="14853" width="12.875" style="76" customWidth="1"/>
    <col min="14854" max="14854" width="7.375" style="76" customWidth="1"/>
    <col min="14855" max="14855" width="11.25" style="76" customWidth="1"/>
    <col min="14856" max="14856" width="14.625" style="76" customWidth="1"/>
    <col min="14857" max="14857" width="19.75" style="76" customWidth="1"/>
    <col min="14858" max="14858" width="14.125" style="76" bestFit="1" customWidth="1"/>
    <col min="14859" max="15102" width="9" style="76"/>
    <col min="15103" max="15103" width="29" style="76" customWidth="1"/>
    <col min="15104" max="15104" width="10.75" style="76" customWidth="1"/>
    <col min="15105" max="15105" width="14.25" style="76" customWidth="1"/>
    <col min="15106" max="15106" width="14.5" style="76" customWidth="1"/>
    <col min="15107" max="15107" width="14.375" style="76" customWidth="1"/>
    <col min="15108" max="15108" width="16.75" style="76" customWidth="1"/>
    <col min="15109" max="15109" width="12.875" style="76" customWidth="1"/>
    <col min="15110" max="15110" width="7.375" style="76" customWidth="1"/>
    <col min="15111" max="15111" width="11.25" style="76" customWidth="1"/>
    <col min="15112" max="15112" width="14.625" style="76" customWidth="1"/>
    <col min="15113" max="15113" width="19.75" style="76" customWidth="1"/>
    <col min="15114" max="15114" width="14.125" style="76" bestFit="1" customWidth="1"/>
    <col min="15115" max="15358" width="9" style="76"/>
    <col min="15359" max="15359" width="29" style="76" customWidth="1"/>
    <col min="15360" max="15360" width="10.75" style="76" customWidth="1"/>
    <col min="15361" max="15361" width="14.25" style="76" customWidth="1"/>
    <col min="15362" max="15362" width="14.5" style="76" customWidth="1"/>
    <col min="15363" max="15363" width="14.375" style="76" customWidth="1"/>
    <col min="15364" max="15364" width="16.75" style="76" customWidth="1"/>
    <col min="15365" max="15365" width="12.875" style="76" customWidth="1"/>
    <col min="15366" max="15366" width="7.375" style="76" customWidth="1"/>
    <col min="15367" max="15367" width="11.25" style="76" customWidth="1"/>
    <col min="15368" max="15368" width="14.625" style="76" customWidth="1"/>
    <col min="15369" max="15369" width="19.75" style="76" customWidth="1"/>
    <col min="15370" max="15370" width="14.125" style="76" bestFit="1" customWidth="1"/>
    <col min="15371" max="15614" width="9" style="76"/>
    <col min="15615" max="15615" width="29" style="76" customWidth="1"/>
    <col min="15616" max="15616" width="10.75" style="76" customWidth="1"/>
    <col min="15617" max="15617" width="14.25" style="76" customWidth="1"/>
    <col min="15618" max="15618" width="14.5" style="76" customWidth="1"/>
    <col min="15619" max="15619" width="14.375" style="76" customWidth="1"/>
    <col min="15620" max="15620" width="16.75" style="76" customWidth="1"/>
    <col min="15621" max="15621" width="12.875" style="76" customWidth="1"/>
    <col min="15622" max="15622" width="7.375" style="76" customWidth="1"/>
    <col min="15623" max="15623" width="11.25" style="76" customWidth="1"/>
    <col min="15624" max="15624" width="14.625" style="76" customWidth="1"/>
    <col min="15625" max="15625" width="19.75" style="76" customWidth="1"/>
    <col min="15626" max="15626" width="14.125" style="76" bestFit="1" customWidth="1"/>
    <col min="15627" max="15870" width="9" style="76"/>
    <col min="15871" max="15871" width="29" style="76" customWidth="1"/>
    <col min="15872" max="15872" width="10.75" style="76" customWidth="1"/>
    <col min="15873" max="15873" width="14.25" style="76" customWidth="1"/>
    <col min="15874" max="15874" width="14.5" style="76" customWidth="1"/>
    <col min="15875" max="15875" width="14.375" style="76" customWidth="1"/>
    <col min="15876" max="15876" width="16.75" style="76" customWidth="1"/>
    <col min="15877" max="15877" width="12.875" style="76" customWidth="1"/>
    <col min="15878" max="15878" width="7.375" style="76" customWidth="1"/>
    <col min="15879" max="15879" width="11.25" style="76" customWidth="1"/>
    <col min="15880" max="15880" width="14.625" style="76" customWidth="1"/>
    <col min="15881" max="15881" width="19.75" style="76" customWidth="1"/>
    <col min="15882" max="15882" width="14.125" style="76" bestFit="1" customWidth="1"/>
    <col min="15883" max="16126" width="9" style="76"/>
    <col min="16127" max="16127" width="29" style="76" customWidth="1"/>
    <col min="16128" max="16128" width="10.75" style="76" customWidth="1"/>
    <col min="16129" max="16129" width="14.25" style="76" customWidth="1"/>
    <col min="16130" max="16130" width="14.5" style="76" customWidth="1"/>
    <col min="16131" max="16131" width="14.375" style="76" customWidth="1"/>
    <col min="16132" max="16132" width="16.75" style="76" customWidth="1"/>
    <col min="16133" max="16133" width="12.875" style="76" customWidth="1"/>
    <col min="16134" max="16134" width="7.375" style="76" customWidth="1"/>
    <col min="16135" max="16135" width="11.25" style="76" customWidth="1"/>
    <col min="16136" max="16136" width="14.625" style="76" customWidth="1"/>
    <col min="16137" max="16137" width="19.75" style="76" customWidth="1"/>
    <col min="16138" max="16138" width="14.125" style="76" bestFit="1" customWidth="1"/>
    <col min="16139" max="16384" width="9" style="76"/>
  </cols>
  <sheetData>
    <row r="1" spans="1:14" ht="15">
      <c r="A1" s="1326" t="s">
        <v>1815</v>
      </c>
      <c r="B1" s="1326"/>
      <c r="C1" s="1326"/>
      <c r="D1" s="1326"/>
      <c r="E1" s="1326"/>
      <c r="F1" s="1326"/>
      <c r="G1" s="1326"/>
      <c r="H1" s="1326"/>
      <c r="I1" s="1326"/>
      <c r="J1" s="75"/>
      <c r="K1" s="75"/>
      <c r="L1" s="75"/>
      <c r="M1" s="75"/>
      <c r="N1" s="75"/>
    </row>
    <row r="2" spans="1:14" ht="15">
      <c r="A2" s="776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6"/>
    </row>
    <row r="3" spans="1:14">
      <c r="A3" s="78"/>
      <c r="B3" s="79" t="s">
        <v>747</v>
      </c>
      <c r="C3" s="79" t="s">
        <v>748</v>
      </c>
      <c r="D3" s="79" t="s">
        <v>583</v>
      </c>
      <c r="E3" s="79" t="s">
        <v>1800</v>
      </c>
      <c r="F3" s="79" t="s">
        <v>749</v>
      </c>
      <c r="G3" s="79" t="s">
        <v>750</v>
      </c>
      <c r="H3" s="79" t="s">
        <v>751</v>
      </c>
      <c r="I3" s="80"/>
      <c r="J3" s="80"/>
      <c r="K3" s="80"/>
      <c r="L3" s="76"/>
      <c r="M3" s="76"/>
      <c r="N3" s="76"/>
    </row>
    <row r="4" spans="1:14">
      <c r="A4" s="81" t="s">
        <v>1816</v>
      </c>
      <c r="B4" s="82"/>
      <c r="C4" s="82"/>
      <c r="D4" s="82"/>
      <c r="E4" s="588"/>
      <c r="F4" s="588"/>
      <c r="G4" s="82"/>
      <c r="H4" s="82">
        <f>SUM(B4:G4)</f>
        <v>0</v>
      </c>
      <c r="J4" s="83"/>
      <c r="L4" s="76"/>
      <c r="M4" s="76"/>
      <c r="N4" s="76"/>
    </row>
    <row r="5" spans="1:14" ht="13.5" customHeight="1">
      <c r="A5" s="81" t="s">
        <v>1817</v>
      </c>
      <c r="B5" s="1368">
        <v>0.1</v>
      </c>
      <c r="C5" s="1369"/>
      <c r="D5" s="1369"/>
      <c r="E5" s="1369"/>
      <c r="F5" s="1369"/>
      <c r="G5" s="1369"/>
      <c r="H5" s="1370"/>
      <c r="J5" s="83"/>
      <c r="L5" s="76"/>
      <c r="M5" s="76"/>
      <c r="N5" s="76"/>
    </row>
    <row r="6" spans="1:14">
      <c r="A6" s="81" t="s">
        <v>1818</v>
      </c>
      <c r="B6" s="82">
        <f>B4*(1+B5)</f>
        <v>0</v>
      </c>
      <c r="C6" s="82">
        <f>C4*(1+B5)</f>
        <v>0</v>
      </c>
      <c r="D6" s="82">
        <f>D4*(1+B5)</f>
        <v>0</v>
      </c>
      <c r="E6" s="82">
        <f>E4*(1+B5)</f>
        <v>0</v>
      </c>
      <c r="F6" s="82">
        <f>F4*(1+B5)</f>
        <v>0</v>
      </c>
      <c r="G6" s="82">
        <f>G4*(1+B5)</f>
        <v>0</v>
      </c>
      <c r="H6" s="82">
        <f>H4*(1+B5)</f>
        <v>0</v>
      </c>
      <c r="J6" s="83"/>
      <c r="L6" s="76"/>
      <c r="M6" s="76"/>
      <c r="N6" s="76"/>
    </row>
    <row r="7" spans="1:14" ht="25.5" hidden="1">
      <c r="A7" s="81" t="s">
        <v>1819</v>
      </c>
      <c r="B7" s="82">
        <f>B6-B9</f>
        <v>0</v>
      </c>
      <c r="C7" s="82">
        <f>C6-C9</f>
        <v>0</v>
      </c>
      <c r="D7" s="82">
        <f>D6-D9</f>
        <v>0</v>
      </c>
      <c r="E7" s="82">
        <f>E6-E9</f>
        <v>-555</v>
      </c>
      <c r="F7" s="82">
        <f>F6-F9</f>
        <v>0</v>
      </c>
      <c r="G7" s="82"/>
      <c r="H7" s="82">
        <f>G6-H9</f>
        <v>0</v>
      </c>
      <c r="I7" s="82">
        <f>H6-I9</f>
        <v>-555</v>
      </c>
      <c r="J7" s="83"/>
      <c r="M7" s="76"/>
      <c r="N7" s="76"/>
    </row>
    <row r="8" spans="1:14" ht="13.5" hidden="1" customHeight="1">
      <c r="A8" s="81" t="s">
        <v>1820</v>
      </c>
      <c r="B8" s="1368">
        <v>0.1</v>
      </c>
      <c r="C8" s="1369"/>
      <c r="D8" s="1369"/>
      <c r="E8" s="1369"/>
      <c r="F8" s="1369"/>
      <c r="G8" s="1369"/>
      <c r="H8" s="1369"/>
      <c r="I8" s="1370"/>
      <c r="J8" s="83"/>
      <c r="M8" s="76"/>
      <c r="N8" s="76"/>
    </row>
    <row r="9" spans="1:14" hidden="1">
      <c r="A9" s="81" t="s">
        <v>1821</v>
      </c>
      <c r="B9" s="82">
        <f>B4*(1+B8)</f>
        <v>0</v>
      </c>
      <c r="C9" s="82">
        <f>C4*(1+B8)</f>
        <v>0</v>
      </c>
      <c r="D9" s="82">
        <f>D4*(1+B8)</f>
        <v>0</v>
      </c>
      <c r="E9" s="82">
        <v>555</v>
      </c>
      <c r="F9" s="82">
        <f>F4*(1+B8)</f>
        <v>0</v>
      </c>
      <c r="G9" s="82"/>
      <c r="H9" s="82">
        <f>G4*(1+B8)</f>
        <v>0</v>
      </c>
      <c r="I9" s="82">
        <f>SUM(B9:H9)</f>
        <v>555</v>
      </c>
      <c r="J9" s="83"/>
      <c r="M9" s="76"/>
      <c r="N9" s="76"/>
    </row>
    <row r="10" spans="1:14" hidden="1">
      <c r="A10" s="81" t="s">
        <v>1822</v>
      </c>
      <c r="B10" s="82">
        <f>B9-B4</f>
        <v>0</v>
      </c>
      <c r="C10" s="82">
        <f>C9-C4</f>
        <v>0</v>
      </c>
      <c r="D10" s="82">
        <f>D9-D4</f>
        <v>0</v>
      </c>
      <c r="E10" s="82">
        <f>E9-E4</f>
        <v>555</v>
      </c>
      <c r="F10" s="82">
        <f>F9-F4</f>
        <v>0</v>
      </c>
      <c r="G10" s="82"/>
      <c r="H10" s="82">
        <f>H9-G4</f>
        <v>0</v>
      </c>
      <c r="I10" s="82">
        <f>I9-H4</f>
        <v>555</v>
      </c>
      <c r="J10" s="83"/>
      <c r="M10" s="76"/>
      <c r="N10" s="76"/>
    </row>
    <row r="11" spans="1:14" s="84" customFormat="1">
      <c r="C11" s="85"/>
      <c r="D11" s="86"/>
      <c r="E11" s="86"/>
      <c r="F11" s="86"/>
      <c r="G11" s="86"/>
      <c r="H11" s="86">
        <f>H6-H4</f>
        <v>0</v>
      </c>
      <c r="I11" s="80"/>
      <c r="J11" s="86"/>
      <c r="K11" s="86"/>
      <c r="L11" s="80"/>
      <c r="M11" s="80"/>
      <c r="N11" s="80"/>
    </row>
    <row r="12" spans="1:14" s="84" customFormat="1">
      <c r="C12" s="85"/>
      <c r="E12" s="80"/>
      <c r="F12" s="80"/>
      <c r="G12" s="80"/>
      <c r="H12" s="80"/>
      <c r="I12" s="80"/>
      <c r="J12" s="80"/>
      <c r="K12" s="80"/>
      <c r="L12" s="80"/>
      <c r="M12" s="80"/>
      <c r="N12" s="80"/>
    </row>
    <row r="13" spans="1:14" s="84" customFormat="1">
      <c r="C13" s="85"/>
      <c r="E13" s="80"/>
      <c r="F13" s="80"/>
      <c r="G13" s="80"/>
      <c r="H13" s="80"/>
      <c r="I13" s="80"/>
      <c r="J13" s="80"/>
      <c r="K13" s="80"/>
      <c r="L13" s="80"/>
      <c r="M13" s="80"/>
      <c r="N13" s="80"/>
    </row>
    <row r="14" spans="1:14" s="84" customFormat="1">
      <c r="A14" s="84" t="s">
        <v>1823</v>
      </c>
      <c r="C14" s="85"/>
      <c r="E14" s="80"/>
      <c r="F14" s="80"/>
      <c r="G14" s="80"/>
      <c r="H14" s="80"/>
      <c r="I14" s="80"/>
      <c r="J14" s="80"/>
      <c r="K14" s="80"/>
      <c r="L14" s="80"/>
      <c r="M14" s="80"/>
      <c r="N14" s="80"/>
    </row>
    <row r="15" spans="1:14" s="84" customFormat="1">
      <c r="A15" s="1371" t="s">
        <v>1824</v>
      </c>
      <c r="B15" s="777" t="s">
        <v>1825</v>
      </c>
      <c r="C15" s="87" t="s">
        <v>1826</v>
      </c>
      <c r="D15" s="87" t="s">
        <v>1827</v>
      </c>
      <c r="E15" s="87" t="s">
        <v>1828</v>
      </c>
      <c r="F15" s="1371" t="s">
        <v>1824</v>
      </c>
      <c r="G15" s="777" t="s">
        <v>1825</v>
      </c>
      <c r="H15" s="87" t="s">
        <v>1826</v>
      </c>
      <c r="I15" s="87" t="s">
        <v>1827</v>
      </c>
      <c r="J15" s="87" t="s">
        <v>1828</v>
      </c>
      <c r="K15" s="80"/>
      <c r="L15" s="80"/>
      <c r="M15" s="80"/>
      <c r="N15" s="80"/>
    </row>
    <row r="16" spans="1:14" s="84" customFormat="1">
      <c r="A16" s="1372"/>
      <c r="B16" s="778" t="s">
        <v>1829</v>
      </c>
      <c r="C16" s="88" t="s">
        <v>1830</v>
      </c>
      <c r="D16" s="88" t="s">
        <v>1831</v>
      </c>
      <c r="E16" s="88" t="s">
        <v>1832</v>
      </c>
      <c r="F16" s="1372"/>
      <c r="G16" s="778" t="s">
        <v>1829</v>
      </c>
      <c r="H16" s="88" t="s">
        <v>1830</v>
      </c>
      <c r="I16" s="88" t="s">
        <v>1831</v>
      </c>
      <c r="J16" s="88" t="s">
        <v>1832</v>
      </c>
      <c r="K16" s="80"/>
      <c r="L16" s="80"/>
      <c r="M16" s="80"/>
      <c r="N16" s="80"/>
    </row>
    <row r="17" spans="1:14" s="84" customFormat="1">
      <c r="A17" s="254" t="s">
        <v>1833</v>
      </c>
      <c r="B17" s="588"/>
      <c r="C17" s="588"/>
      <c r="D17" s="82">
        <f>B17-C17</f>
        <v>0</v>
      </c>
      <c r="E17" s="90" t="e">
        <f t="shared" ref="E17:E23" si="0">D17/B17</f>
        <v>#DIV/0!</v>
      </c>
      <c r="F17" s="89" t="s">
        <v>1834</v>
      </c>
      <c r="G17" s="82" t="e">
        <f>2296+100+'[21]媒体大厦物业费 能源费'!#REF!</f>
        <v>#REF!</v>
      </c>
      <c r="H17" s="82">
        <v>2046</v>
      </c>
      <c r="I17" s="82" t="e">
        <f>G17-H17</f>
        <v>#REF!</v>
      </c>
      <c r="J17" s="90" t="e">
        <f>I17/G17</f>
        <v>#REF!</v>
      </c>
      <c r="K17" s="80"/>
      <c r="L17" s="80"/>
      <c r="M17" s="80"/>
      <c r="N17" s="80"/>
    </row>
    <row r="18" spans="1:14" s="84" customFormat="1">
      <c r="A18" s="89" t="s">
        <v>1835</v>
      </c>
      <c r="B18" s="82"/>
      <c r="C18" s="82"/>
      <c r="D18" s="82">
        <f t="shared" ref="D18:D23" si="1">B18-C18</f>
        <v>0</v>
      </c>
      <c r="E18" s="90" t="e">
        <f t="shared" si="0"/>
        <v>#DIV/0!</v>
      </c>
      <c r="F18" s="91"/>
      <c r="G18" s="80"/>
      <c r="H18" s="80"/>
      <c r="I18" s="80"/>
      <c r="J18" s="80"/>
      <c r="K18" s="80"/>
      <c r="L18" s="80"/>
      <c r="M18" s="80"/>
      <c r="N18" s="80"/>
    </row>
    <row r="19" spans="1:14" s="84" customFormat="1">
      <c r="A19" s="89" t="s">
        <v>1836</v>
      </c>
      <c r="B19" s="82"/>
      <c r="C19" s="82"/>
      <c r="D19" s="82">
        <f t="shared" si="1"/>
        <v>0</v>
      </c>
      <c r="E19" s="90" t="e">
        <f t="shared" si="0"/>
        <v>#DIV/0!</v>
      </c>
      <c r="F19" s="91"/>
      <c r="G19" s="80"/>
      <c r="H19" s="80"/>
      <c r="I19" s="80"/>
      <c r="J19" s="80"/>
      <c r="K19" s="80"/>
      <c r="L19" s="80"/>
      <c r="M19" s="80"/>
      <c r="N19" s="80"/>
    </row>
    <row r="20" spans="1:14" s="84" customFormat="1">
      <c r="A20" s="589" t="s">
        <v>1837</v>
      </c>
      <c r="B20" s="588"/>
      <c r="C20" s="588"/>
      <c r="D20" s="588">
        <f t="shared" si="1"/>
        <v>0</v>
      </c>
      <c r="E20" s="590" t="e">
        <f>D20/B20</f>
        <v>#DIV/0!</v>
      </c>
      <c r="F20" s="92"/>
      <c r="G20" s="80"/>
      <c r="H20" s="80"/>
      <c r="I20" s="80"/>
      <c r="J20" s="80"/>
      <c r="K20" s="80"/>
      <c r="L20" s="80"/>
      <c r="M20" s="80"/>
      <c r="N20" s="80"/>
    </row>
    <row r="21" spans="1:14" s="84" customFormat="1">
      <c r="A21" s="89" t="s">
        <v>1838</v>
      </c>
      <c r="B21" s="82"/>
      <c r="C21" s="588"/>
      <c r="D21" s="82">
        <f t="shared" si="1"/>
        <v>0</v>
      </c>
      <c r="E21" s="90" t="e">
        <f t="shared" si="0"/>
        <v>#DIV/0!</v>
      </c>
      <c r="F21" s="92"/>
      <c r="G21" s="80"/>
      <c r="H21" s="80"/>
      <c r="I21" s="80"/>
      <c r="J21" s="80"/>
      <c r="K21" s="80"/>
      <c r="L21" s="80"/>
      <c r="M21" s="80"/>
      <c r="N21" s="80"/>
    </row>
    <row r="22" spans="1:14" s="84" customFormat="1">
      <c r="A22" s="1175" t="s">
        <v>1839</v>
      </c>
      <c r="B22" s="539"/>
      <c r="C22" s="539"/>
      <c r="D22" s="539">
        <f t="shared" si="1"/>
        <v>0</v>
      </c>
      <c r="E22" s="1176" t="e">
        <f t="shared" si="0"/>
        <v>#DIV/0!</v>
      </c>
      <c r="F22" s="1373" t="s">
        <v>1840</v>
      </c>
      <c r="G22" s="1374"/>
      <c r="H22" s="80"/>
      <c r="I22" s="80"/>
      <c r="J22" s="80"/>
      <c r="K22" s="80"/>
      <c r="L22" s="80"/>
      <c r="M22" s="80"/>
      <c r="N22" s="80"/>
    </row>
    <row r="23" spans="1:14" s="80" customFormat="1">
      <c r="A23" s="89" t="s">
        <v>1841</v>
      </c>
      <c r="B23" s="82"/>
      <c r="C23" s="82"/>
      <c r="D23" s="82">
        <f t="shared" si="1"/>
        <v>0</v>
      </c>
      <c r="E23" s="90" t="e">
        <f t="shared" si="0"/>
        <v>#DIV/0!</v>
      </c>
      <c r="F23" s="91"/>
    </row>
    <row r="24" spans="1:14" s="80" customFormat="1">
      <c r="A24" s="181" t="s">
        <v>1842</v>
      </c>
      <c r="B24" s="82">
        <f>SUM(B17:B23)</f>
        <v>0</v>
      </c>
      <c r="C24" s="82">
        <f>SUM(C17:C23)</f>
        <v>0</v>
      </c>
      <c r="D24" s="82">
        <f>SUM(D17:D23)</f>
        <v>0</v>
      </c>
      <c r="E24" s="1177"/>
      <c r="F24" s="91"/>
    </row>
    <row r="25" spans="1:14" s="84" customFormat="1">
      <c r="C25" s="85"/>
      <c r="E25" s="80"/>
      <c r="F25" s="80"/>
      <c r="G25" s="80"/>
      <c r="H25" s="80"/>
      <c r="I25" s="80"/>
      <c r="J25" s="80"/>
      <c r="K25" s="80"/>
      <c r="L25" s="80"/>
      <c r="M25" s="80"/>
      <c r="N25" s="80"/>
    </row>
    <row r="26" spans="1:14" s="84" customFormat="1" ht="12.75" customHeight="1">
      <c r="C26" s="85"/>
      <c r="E26" s="80"/>
      <c r="F26" s="80"/>
      <c r="G26" s="80"/>
      <c r="H26" s="80"/>
      <c r="I26" s="80"/>
      <c r="J26" s="80"/>
      <c r="K26" s="80"/>
      <c r="L26" s="80"/>
      <c r="M26" s="80"/>
      <c r="N26" s="80"/>
    </row>
    <row r="27" spans="1:14" s="84" customFormat="1" ht="12.75" customHeight="1">
      <c r="C27" s="85"/>
      <c r="E27" s="80"/>
      <c r="F27" s="80"/>
      <c r="G27" s="80"/>
      <c r="H27" s="80"/>
      <c r="I27" s="80"/>
      <c r="J27" s="80"/>
      <c r="K27" s="80"/>
      <c r="L27" s="80"/>
      <c r="M27" s="80"/>
      <c r="N27" s="80"/>
    </row>
    <row r="28" spans="1:14" s="84" customFormat="1" ht="12.75" hidden="1" customHeight="1">
      <c r="B28" s="1365" t="s">
        <v>1843</v>
      </c>
      <c r="C28" s="1366"/>
      <c r="D28" s="1366"/>
      <c r="E28" s="1366"/>
      <c r="F28" s="1366"/>
      <c r="G28" s="1367"/>
      <c r="H28" s="1365" t="s">
        <v>1843</v>
      </c>
      <c r="I28" s="1366"/>
      <c r="J28" s="1366"/>
      <c r="K28" s="1366"/>
      <c r="L28" s="1366"/>
      <c r="M28" s="1367"/>
      <c r="N28" s="80"/>
    </row>
    <row r="29" spans="1:14" s="84" customFormat="1" ht="12.75" hidden="1" customHeight="1">
      <c r="A29" s="181"/>
      <c r="B29" s="802" t="s">
        <v>1844</v>
      </c>
      <c r="C29" s="78" t="s">
        <v>1845</v>
      </c>
      <c r="D29" s="802" t="s">
        <v>1846</v>
      </c>
      <c r="E29" s="79" t="s">
        <v>1847</v>
      </c>
      <c r="F29" s="79" t="s">
        <v>1848</v>
      </c>
      <c r="G29" s="79" t="s">
        <v>1849</v>
      </c>
      <c r="H29" s="802" t="s">
        <v>1844</v>
      </c>
      <c r="I29" s="78" t="s">
        <v>1845</v>
      </c>
      <c r="J29" s="802" t="s">
        <v>1846</v>
      </c>
      <c r="K29" s="79" t="s">
        <v>1847</v>
      </c>
      <c r="L29" s="79" t="s">
        <v>1848</v>
      </c>
      <c r="M29" s="79" t="s">
        <v>1849</v>
      </c>
      <c r="N29" s="80"/>
    </row>
    <row r="30" spans="1:14" s="84" customFormat="1" ht="12.75" hidden="1" customHeight="1">
      <c r="A30" s="181" t="s">
        <v>1850</v>
      </c>
      <c r="B30" s="82">
        <v>5</v>
      </c>
      <c r="C30" s="82">
        <v>0</v>
      </c>
      <c r="D30" s="82">
        <v>0</v>
      </c>
      <c r="E30" s="82">
        <v>0</v>
      </c>
      <c r="F30" s="82">
        <v>0</v>
      </c>
      <c r="G30" s="82">
        <v>5</v>
      </c>
      <c r="H30" s="82">
        <v>5</v>
      </c>
      <c r="I30" s="82">
        <v>0</v>
      </c>
      <c r="J30" s="82">
        <v>0</v>
      </c>
      <c r="K30" s="82">
        <v>0</v>
      </c>
      <c r="L30" s="82">
        <v>0</v>
      </c>
      <c r="M30" s="82">
        <v>5</v>
      </c>
      <c r="N30" s="80"/>
    </row>
    <row r="31" spans="1:14" s="84" customFormat="1" ht="12.75" hidden="1" customHeight="1">
      <c r="A31" s="181" t="s">
        <v>1851</v>
      </c>
      <c r="B31" s="82">
        <v>82</v>
      </c>
      <c r="C31" s="82">
        <v>0</v>
      </c>
      <c r="D31" s="82">
        <v>5</v>
      </c>
      <c r="E31" s="82">
        <v>18</v>
      </c>
      <c r="F31" s="82">
        <v>5</v>
      </c>
      <c r="G31" s="82">
        <v>110</v>
      </c>
      <c r="H31" s="82">
        <v>74</v>
      </c>
      <c r="I31" s="82">
        <v>0</v>
      </c>
      <c r="J31" s="82">
        <v>5</v>
      </c>
      <c r="K31" s="82">
        <v>18</v>
      </c>
      <c r="L31" s="82">
        <v>5</v>
      </c>
      <c r="M31" s="82">
        <v>102</v>
      </c>
      <c r="N31" s="80"/>
    </row>
    <row r="32" spans="1:14" s="84" customFormat="1" ht="12.75" hidden="1" customHeight="1">
      <c r="A32" s="181" t="s">
        <v>1852</v>
      </c>
      <c r="B32" s="82">
        <v>13</v>
      </c>
      <c r="C32" s="82">
        <v>0</v>
      </c>
      <c r="D32" s="82">
        <v>0</v>
      </c>
      <c r="E32" s="82">
        <v>4</v>
      </c>
      <c r="F32" s="82">
        <v>0</v>
      </c>
      <c r="G32" s="82">
        <v>17</v>
      </c>
      <c r="H32" s="82">
        <v>8</v>
      </c>
      <c r="I32" s="82">
        <v>0</v>
      </c>
      <c r="J32" s="82">
        <v>0</v>
      </c>
      <c r="K32" s="82">
        <v>4</v>
      </c>
      <c r="L32" s="82">
        <v>0</v>
      </c>
      <c r="M32" s="82">
        <v>12</v>
      </c>
      <c r="N32" s="80"/>
    </row>
    <row r="33" spans="1:14" s="84" customFormat="1" ht="12.75" hidden="1" customHeight="1">
      <c r="A33" s="181" t="s">
        <v>1853</v>
      </c>
      <c r="B33" s="82">
        <v>0</v>
      </c>
      <c r="C33" s="82">
        <v>0</v>
      </c>
      <c r="D33" s="82">
        <v>0</v>
      </c>
      <c r="E33" s="82">
        <v>0</v>
      </c>
      <c r="F33" s="82">
        <v>0</v>
      </c>
      <c r="G33" s="82">
        <v>0</v>
      </c>
      <c r="H33" s="82">
        <v>0</v>
      </c>
      <c r="I33" s="82">
        <v>0</v>
      </c>
      <c r="J33" s="82">
        <v>0</v>
      </c>
      <c r="K33" s="82">
        <v>0</v>
      </c>
      <c r="L33" s="82">
        <v>0</v>
      </c>
      <c r="M33" s="82">
        <v>0</v>
      </c>
      <c r="N33" s="80"/>
    </row>
    <row r="34" spans="1:14" s="84" customFormat="1" ht="12.75" hidden="1" customHeight="1">
      <c r="A34" s="181" t="s">
        <v>1854</v>
      </c>
      <c r="B34" s="82">
        <v>9</v>
      </c>
      <c r="C34" s="82">
        <v>0</v>
      </c>
      <c r="D34" s="82">
        <v>0</v>
      </c>
      <c r="E34" s="82">
        <v>0</v>
      </c>
      <c r="F34" s="82">
        <v>0</v>
      </c>
      <c r="G34" s="82">
        <v>9</v>
      </c>
      <c r="H34" s="82">
        <v>8</v>
      </c>
      <c r="I34" s="82">
        <v>0</v>
      </c>
      <c r="J34" s="82">
        <v>0</v>
      </c>
      <c r="K34" s="82">
        <v>0</v>
      </c>
      <c r="L34" s="82">
        <v>0</v>
      </c>
      <c r="M34" s="82">
        <v>8</v>
      </c>
      <c r="N34" s="80"/>
    </row>
    <row r="35" spans="1:14" s="84" customFormat="1" ht="12.75" hidden="1" customHeight="1">
      <c r="A35" s="181" t="s">
        <v>1855</v>
      </c>
      <c r="B35" s="82">
        <v>47</v>
      </c>
      <c r="C35" s="82">
        <v>0</v>
      </c>
      <c r="D35" s="82">
        <v>5</v>
      </c>
      <c r="E35" s="82">
        <v>10</v>
      </c>
      <c r="F35" s="82">
        <v>2</v>
      </c>
      <c r="G35" s="82">
        <v>64</v>
      </c>
      <c r="H35" s="82">
        <v>55</v>
      </c>
      <c r="I35" s="82">
        <v>0</v>
      </c>
      <c r="J35" s="82">
        <v>7</v>
      </c>
      <c r="K35" s="82">
        <v>13</v>
      </c>
      <c r="L35" s="82">
        <v>2</v>
      </c>
      <c r="M35" s="82">
        <v>77</v>
      </c>
      <c r="N35" s="80"/>
    </row>
    <row r="36" spans="1:14" s="84" customFormat="1" ht="12.75" hidden="1" customHeight="1">
      <c r="A36" s="181" t="s">
        <v>1856</v>
      </c>
      <c r="B36" s="82">
        <v>45</v>
      </c>
      <c r="C36" s="82">
        <v>0</v>
      </c>
      <c r="D36" s="82">
        <v>0</v>
      </c>
      <c r="E36" s="82">
        <v>0</v>
      </c>
      <c r="F36" s="82">
        <v>0</v>
      </c>
      <c r="G36" s="82">
        <v>45</v>
      </c>
      <c r="H36" s="82">
        <v>51</v>
      </c>
      <c r="I36" s="82">
        <v>0</v>
      </c>
      <c r="J36" s="82">
        <v>0</v>
      </c>
      <c r="K36" s="82">
        <v>0</v>
      </c>
      <c r="L36" s="82">
        <v>0</v>
      </c>
      <c r="M36" s="82">
        <v>51</v>
      </c>
      <c r="N36" s="80"/>
    </row>
    <row r="37" spans="1:14" s="84" customFormat="1" ht="12.75" hidden="1" customHeight="1">
      <c r="A37" s="181" t="s">
        <v>1857</v>
      </c>
      <c r="B37" s="82">
        <v>6</v>
      </c>
      <c r="C37" s="82">
        <v>0</v>
      </c>
      <c r="D37" s="82">
        <v>0</v>
      </c>
      <c r="E37" s="82">
        <v>0</v>
      </c>
      <c r="F37" s="82">
        <v>0</v>
      </c>
      <c r="G37" s="82">
        <v>6</v>
      </c>
      <c r="H37" s="82">
        <v>6</v>
      </c>
      <c r="I37" s="82">
        <v>0</v>
      </c>
      <c r="J37" s="82">
        <v>0</v>
      </c>
      <c r="K37" s="82">
        <v>0</v>
      </c>
      <c r="L37" s="82">
        <v>0</v>
      </c>
      <c r="M37" s="82">
        <v>6</v>
      </c>
      <c r="N37" s="80"/>
    </row>
    <row r="38" spans="1:14" s="84" customFormat="1" ht="12.75" hidden="1" customHeight="1">
      <c r="A38" s="181" t="s">
        <v>1858</v>
      </c>
      <c r="B38" s="82">
        <v>5</v>
      </c>
      <c r="C38" s="82">
        <v>0</v>
      </c>
      <c r="D38" s="82">
        <v>0</v>
      </c>
      <c r="E38" s="82">
        <v>0</v>
      </c>
      <c r="F38" s="82">
        <v>0</v>
      </c>
      <c r="G38" s="82">
        <v>5</v>
      </c>
      <c r="H38" s="82">
        <v>4</v>
      </c>
      <c r="I38" s="82">
        <v>0</v>
      </c>
      <c r="J38" s="82">
        <v>0</v>
      </c>
      <c r="K38" s="82">
        <v>0</v>
      </c>
      <c r="L38" s="82">
        <v>0</v>
      </c>
      <c r="M38" s="82">
        <v>4</v>
      </c>
      <c r="N38" s="80"/>
    </row>
    <row r="39" spans="1:14" s="84" customFormat="1" ht="12.75" hidden="1" customHeight="1">
      <c r="A39" s="181" t="s">
        <v>1859</v>
      </c>
      <c r="B39" s="82">
        <v>35</v>
      </c>
      <c r="C39" s="82">
        <v>40</v>
      </c>
      <c r="D39" s="82">
        <v>0</v>
      </c>
      <c r="E39" s="82">
        <v>0</v>
      </c>
      <c r="F39" s="82">
        <v>0</v>
      </c>
      <c r="G39" s="82">
        <v>75</v>
      </c>
      <c r="H39" s="82">
        <v>40</v>
      </c>
      <c r="I39" s="82">
        <v>40</v>
      </c>
      <c r="J39" s="82">
        <v>0</v>
      </c>
      <c r="K39" s="82">
        <v>0</v>
      </c>
      <c r="L39" s="82">
        <v>0</v>
      </c>
      <c r="M39" s="82">
        <v>80</v>
      </c>
      <c r="N39" s="80"/>
    </row>
    <row r="40" spans="1:14" s="84" customFormat="1" ht="12.75" hidden="1" customHeight="1">
      <c r="A40" s="181" t="s">
        <v>1860</v>
      </c>
      <c r="B40" s="82">
        <v>31</v>
      </c>
      <c r="C40" s="82">
        <f>1+3</f>
        <v>4</v>
      </c>
      <c r="D40" s="82">
        <f>1+1</f>
        <v>2</v>
      </c>
      <c r="E40" s="82">
        <v>0</v>
      </c>
      <c r="F40" s="82">
        <f>1+2</f>
        <v>3</v>
      </c>
      <c r="G40" s="82">
        <v>40</v>
      </c>
      <c r="H40" s="82">
        <v>38</v>
      </c>
      <c r="I40" s="82">
        <f>1+3</f>
        <v>4</v>
      </c>
      <c r="J40" s="82">
        <f>1+1</f>
        <v>2</v>
      </c>
      <c r="K40" s="82">
        <v>0</v>
      </c>
      <c r="L40" s="82">
        <f>1+2</f>
        <v>3</v>
      </c>
      <c r="M40" s="82">
        <v>47</v>
      </c>
      <c r="N40" s="80"/>
    </row>
    <row r="41" spans="1:14" s="84" customFormat="1" ht="12.75" hidden="1" customHeight="1">
      <c r="A41" s="181" t="s">
        <v>1861</v>
      </c>
      <c r="B41" s="82">
        <v>42</v>
      </c>
      <c r="C41" s="82">
        <f>1+59+12</f>
        <v>72</v>
      </c>
      <c r="D41" s="82">
        <v>1</v>
      </c>
      <c r="E41" s="82">
        <v>1</v>
      </c>
      <c r="F41" s="82">
        <v>1</v>
      </c>
      <c r="G41" s="82">
        <v>117</v>
      </c>
      <c r="H41" s="82">
        <v>40</v>
      </c>
      <c r="I41" s="82">
        <f>1+60+12</f>
        <v>73</v>
      </c>
      <c r="J41" s="82">
        <v>1</v>
      </c>
      <c r="K41" s="82">
        <v>1</v>
      </c>
      <c r="L41" s="82">
        <v>1</v>
      </c>
      <c r="M41" s="82">
        <v>116</v>
      </c>
      <c r="N41" s="80"/>
    </row>
    <row r="42" spans="1:14" s="84" customFormat="1" ht="12.75" hidden="1" customHeight="1">
      <c r="A42" s="181" t="s">
        <v>1862</v>
      </c>
      <c r="B42" s="82">
        <v>533</v>
      </c>
      <c r="C42" s="82">
        <v>11</v>
      </c>
      <c r="D42" s="82">
        <v>0</v>
      </c>
      <c r="E42" s="82">
        <v>0</v>
      </c>
      <c r="F42" s="82">
        <v>0</v>
      </c>
      <c r="G42" s="82">
        <v>544</v>
      </c>
      <c r="H42" s="82">
        <v>601</v>
      </c>
      <c r="I42" s="82">
        <v>11</v>
      </c>
      <c r="J42" s="82">
        <v>0</v>
      </c>
      <c r="K42" s="82">
        <v>0</v>
      </c>
      <c r="L42" s="82">
        <v>0</v>
      </c>
      <c r="M42" s="82">
        <v>612</v>
      </c>
      <c r="N42" s="80"/>
    </row>
    <row r="43" spans="1:14" s="84" customFormat="1" ht="12.75" hidden="1" customHeight="1">
      <c r="A43" s="181" t="s">
        <v>1863</v>
      </c>
      <c r="B43" s="82">
        <v>0</v>
      </c>
      <c r="C43" s="82">
        <v>88</v>
      </c>
      <c r="D43" s="82">
        <v>0</v>
      </c>
      <c r="E43" s="82">
        <v>0</v>
      </c>
      <c r="F43" s="82">
        <v>0</v>
      </c>
      <c r="G43" s="82">
        <v>88</v>
      </c>
      <c r="H43" s="82">
        <v>0</v>
      </c>
      <c r="I43" s="82">
        <v>90</v>
      </c>
      <c r="J43" s="82">
        <v>0</v>
      </c>
      <c r="K43" s="82">
        <v>0</v>
      </c>
      <c r="L43" s="82">
        <v>0</v>
      </c>
      <c r="M43" s="82">
        <v>90</v>
      </c>
      <c r="N43" s="80"/>
    </row>
    <row r="44" spans="1:14" s="84" customFormat="1" ht="12.75" hidden="1" customHeight="1">
      <c r="A44" s="181" t="s">
        <v>1864</v>
      </c>
      <c r="B44" s="82">
        <v>158</v>
      </c>
      <c r="C44" s="82">
        <f>16+32+27</f>
        <v>75</v>
      </c>
      <c r="D44" s="82">
        <v>0</v>
      </c>
      <c r="E44" s="82">
        <v>0</v>
      </c>
      <c r="F44" s="82">
        <v>0</v>
      </c>
      <c r="G44" s="82">
        <v>233</v>
      </c>
      <c r="H44" s="82">
        <f>45+98+13+9</f>
        <v>165</v>
      </c>
      <c r="I44" s="82">
        <f>16+27+32</f>
        <v>75</v>
      </c>
      <c r="J44" s="82">
        <v>0</v>
      </c>
      <c r="K44" s="82">
        <v>0</v>
      </c>
      <c r="L44" s="82">
        <v>0</v>
      </c>
      <c r="M44" s="82">
        <v>240</v>
      </c>
      <c r="N44" s="80"/>
    </row>
    <row r="45" spans="1:14" s="84" customFormat="1" ht="12.75" hidden="1" customHeight="1">
      <c r="A45" s="181" t="s">
        <v>1865</v>
      </c>
      <c r="B45" s="82">
        <v>149</v>
      </c>
      <c r="C45" s="82">
        <v>0</v>
      </c>
      <c r="D45" s="82">
        <v>0</v>
      </c>
      <c r="E45" s="82">
        <v>0</v>
      </c>
      <c r="F45" s="82">
        <v>0</v>
      </c>
      <c r="G45" s="82">
        <v>149</v>
      </c>
      <c r="H45" s="82">
        <v>186</v>
      </c>
      <c r="I45" s="82">
        <v>0</v>
      </c>
      <c r="J45" s="82">
        <v>0</v>
      </c>
      <c r="K45" s="82">
        <v>0</v>
      </c>
      <c r="L45" s="82">
        <v>0</v>
      </c>
      <c r="M45" s="82">
        <v>186</v>
      </c>
      <c r="N45" s="80"/>
    </row>
    <row r="46" spans="1:14" s="84" customFormat="1" ht="12.75" hidden="1" customHeight="1">
      <c r="A46" s="181" t="s">
        <v>1866</v>
      </c>
      <c r="B46" s="82">
        <v>71</v>
      </c>
      <c r="C46" s="82">
        <v>0</v>
      </c>
      <c r="D46" s="82">
        <v>0</v>
      </c>
      <c r="E46" s="82">
        <v>0</v>
      </c>
      <c r="F46" s="82">
        <v>0</v>
      </c>
      <c r="G46" s="82">
        <v>71</v>
      </c>
      <c r="H46" s="82">
        <v>72</v>
      </c>
      <c r="I46" s="82">
        <v>0</v>
      </c>
      <c r="J46" s="82">
        <v>0</v>
      </c>
      <c r="K46" s="82">
        <v>0</v>
      </c>
      <c r="L46" s="82">
        <v>0</v>
      </c>
      <c r="M46" s="82">
        <v>72</v>
      </c>
      <c r="N46" s="80"/>
    </row>
    <row r="47" spans="1:14" s="84" customFormat="1" ht="12.75" hidden="1" customHeight="1">
      <c r="A47" s="181" t="s">
        <v>1867</v>
      </c>
      <c r="B47" s="82">
        <v>0</v>
      </c>
      <c r="C47" s="82">
        <v>0</v>
      </c>
      <c r="D47" s="82">
        <v>0</v>
      </c>
      <c r="E47" s="82">
        <v>0</v>
      </c>
      <c r="F47" s="82">
        <v>257</v>
      </c>
      <c r="G47" s="82">
        <v>257</v>
      </c>
      <c r="H47" s="82">
        <v>0</v>
      </c>
      <c r="I47" s="82">
        <v>0</v>
      </c>
      <c r="J47" s="82">
        <v>0</v>
      </c>
      <c r="K47" s="82">
        <v>0</v>
      </c>
      <c r="L47" s="82">
        <v>311</v>
      </c>
      <c r="M47" s="82">
        <f>351-40</f>
        <v>311</v>
      </c>
      <c r="N47" s="80"/>
    </row>
    <row r="48" spans="1:14" s="84" customFormat="1" ht="12.75" hidden="1" customHeight="1">
      <c r="A48" s="181" t="s">
        <v>1868</v>
      </c>
      <c r="B48" s="82">
        <v>0</v>
      </c>
      <c r="C48" s="82">
        <v>0</v>
      </c>
      <c r="D48" s="82">
        <v>0</v>
      </c>
      <c r="E48" s="82">
        <v>0</v>
      </c>
      <c r="F48" s="82">
        <v>41</v>
      </c>
      <c r="G48" s="82">
        <v>41</v>
      </c>
      <c r="H48" s="82">
        <v>0</v>
      </c>
      <c r="I48" s="82">
        <v>0</v>
      </c>
      <c r="J48" s="82">
        <v>0</v>
      </c>
      <c r="K48" s="82">
        <v>0</v>
      </c>
      <c r="L48" s="82">
        <v>45</v>
      </c>
      <c r="M48" s="82">
        <v>45</v>
      </c>
      <c r="N48" s="80"/>
    </row>
    <row r="49" spans="1:14" s="84" customFormat="1" ht="12.75" hidden="1" customHeight="1">
      <c r="A49" s="181" t="s">
        <v>1869</v>
      </c>
      <c r="B49" s="82">
        <v>0</v>
      </c>
      <c r="C49" s="82">
        <v>0</v>
      </c>
      <c r="D49" s="82">
        <v>0</v>
      </c>
      <c r="E49" s="82">
        <v>0</v>
      </c>
      <c r="F49" s="82">
        <v>119</v>
      </c>
      <c r="G49" s="82">
        <v>119</v>
      </c>
      <c r="H49" s="82">
        <v>0</v>
      </c>
      <c r="I49" s="82">
        <v>0</v>
      </c>
      <c r="J49" s="82">
        <v>0</v>
      </c>
      <c r="K49" s="82">
        <v>0</v>
      </c>
      <c r="L49" s="82">
        <v>115</v>
      </c>
      <c r="M49" s="82">
        <v>115</v>
      </c>
      <c r="N49" s="80"/>
    </row>
    <row r="50" spans="1:14" s="84" customFormat="1" ht="12.75" hidden="1" customHeight="1">
      <c r="A50" s="181" t="s">
        <v>1870</v>
      </c>
      <c r="B50" s="82">
        <v>0</v>
      </c>
      <c r="C50" s="82">
        <v>0</v>
      </c>
      <c r="D50" s="82">
        <v>0</v>
      </c>
      <c r="E50" s="82">
        <v>0</v>
      </c>
      <c r="F50" s="82">
        <v>58</v>
      </c>
      <c r="G50" s="82">
        <v>58</v>
      </c>
      <c r="H50" s="82">
        <v>0</v>
      </c>
      <c r="I50" s="82">
        <v>0</v>
      </c>
      <c r="J50" s="82">
        <v>0</v>
      </c>
      <c r="K50" s="82">
        <v>0</v>
      </c>
      <c r="L50" s="82">
        <v>100</v>
      </c>
      <c r="M50" s="82">
        <v>100</v>
      </c>
      <c r="N50" s="80"/>
    </row>
    <row r="51" spans="1:14" s="84" customFormat="1" ht="12.75" hidden="1" customHeight="1">
      <c r="A51" s="181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0"/>
    </row>
    <row r="52" spans="1:14" s="84" customFormat="1" ht="12.75" hidden="1" customHeight="1">
      <c r="A52" s="181" t="s">
        <v>1871</v>
      </c>
      <c r="B52" s="82">
        <v>0</v>
      </c>
      <c r="C52" s="82">
        <v>0</v>
      </c>
      <c r="D52" s="82">
        <v>0</v>
      </c>
      <c r="E52" s="82">
        <v>591</v>
      </c>
      <c r="F52" s="82">
        <v>0</v>
      </c>
      <c r="G52" s="82">
        <v>591</v>
      </c>
      <c r="H52" s="82">
        <v>0</v>
      </c>
      <c r="I52" s="82">
        <v>0</v>
      </c>
      <c r="J52" s="82">
        <v>0</v>
      </c>
      <c r="K52" s="539"/>
      <c r="L52" s="82">
        <v>0</v>
      </c>
      <c r="M52" s="539"/>
      <c r="N52" s="80"/>
    </row>
    <row r="53" spans="1:14" s="84" customFormat="1" ht="12.75" hidden="1" customHeight="1">
      <c r="A53" s="181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0"/>
    </row>
    <row r="54" spans="1:14" s="84" customFormat="1" ht="12.75" hidden="1" customHeight="1">
      <c r="A54" s="181" t="s">
        <v>1872</v>
      </c>
      <c r="B54" s="82">
        <v>0</v>
      </c>
      <c r="C54" s="82">
        <v>137</v>
      </c>
      <c r="D54" s="82">
        <v>228</v>
      </c>
      <c r="E54" s="82">
        <v>0</v>
      </c>
      <c r="F54" s="82">
        <v>0</v>
      </c>
      <c r="G54" s="82">
        <v>365</v>
      </c>
      <c r="H54" s="82">
        <v>0</v>
      </c>
      <c r="I54" s="82">
        <v>153</v>
      </c>
      <c r="J54" s="82">
        <v>311</v>
      </c>
      <c r="K54" s="82">
        <v>0</v>
      </c>
      <c r="L54" s="82">
        <v>0</v>
      </c>
      <c r="M54" s="82">
        <v>464</v>
      </c>
      <c r="N54" s="80"/>
    </row>
    <row r="55" spans="1:14" s="84" customFormat="1" ht="12.75" hidden="1" customHeight="1">
      <c r="A55" s="181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0"/>
    </row>
    <row r="56" spans="1:14" s="84" customFormat="1" ht="12.75" hidden="1" customHeight="1">
      <c r="A56" s="181" t="s">
        <v>1873</v>
      </c>
      <c r="B56" s="82">
        <v>700</v>
      </c>
      <c r="C56" s="82">
        <v>0</v>
      </c>
      <c r="D56" s="82">
        <v>0</v>
      </c>
      <c r="E56" s="82">
        <v>0</v>
      </c>
      <c r="F56" s="82">
        <v>0</v>
      </c>
      <c r="G56" s="82">
        <v>700</v>
      </c>
      <c r="H56" s="82">
        <v>730</v>
      </c>
      <c r="I56" s="82">
        <v>0</v>
      </c>
      <c r="J56" s="82">
        <v>0</v>
      </c>
      <c r="K56" s="82">
        <v>0</v>
      </c>
      <c r="L56" s="82">
        <v>0</v>
      </c>
      <c r="M56" s="82">
        <v>730</v>
      </c>
      <c r="N56" s="80"/>
    </row>
    <row r="57" spans="1:14" s="84" customFormat="1" ht="12.75" hidden="1" customHeight="1">
      <c r="A57" s="181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0"/>
    </row>
    <row r="58" spans="1:14" s="84" customFormat="1" ht="12.75" hidden="1" customHeight="1">
      <c r="A58" s="540"/>
      <c r="B58" s="541">
        <f>SUM(B30:B56)</f>
        <v>1931</v>
      </c>
      <c r="C58" s="541">
        <f>SUM(C30:C56)</f>
        <v>427</v>
      </c>
      <c r="D58" s="541">
        <f t="shared" ref="D58:M58" si="2">SUM(D30:D56)</f>
        <v>241</v>
      </c>
      <c r="E58" s="541">
        <f t="shared" si="2"/>
        <v>624</v>
      </c>
      <c r="F58" s="541">
        <f t="shared" si="2"/>
        <v>486</v>
      </c>
      <c r="G58" s="541">
        <f t="shared" si="2"/>
        <v>3709</v>
      </c>
      <c r="H58" s="541">
        <f t="shared" si="2"/>
        <v>2083</v>
      </c>
      <c r="I58" s="541">
        <f t="shared" si="2"/>
        <v>446</v>
      </c>
      <c r="J58" s="541">
        <f t="shared" si="2"/>
        <v>326</v>
      </c>
      <c r="K58" s="541">
        <f t="shared" si="2"/>
        <v>36</v>
      </c>
      <c r="L58" s="541">
        <f t="shared" si="2"/>
        <v>582</v>
      </c>
      <c r="M58" s="541">
        <f t="shared" si="2"/>
        <v>3473</v>
      </c>
      <c r="N58" s="80"/>
    </row>
    <row r="59" spans="1:14" s="84" customFormat="1" hidden="1">
      <c r="C59" s="85"/>
      <c r="E59" s="80"/>
      <c r="F59" s="80"/>
      <c r="G59" s="80"/>
      <c r="H59" s="80"/>
      <c r="I59" s="80"/>
      <c r="J59" s="80"/>
      <c r="K59" s="80"/>
      <c r="L59" s="80"/>
      <c r="M59" s="80"/>
      <c r="N59" s="80"/>
    </row>
    <row r="60" spans="1:14" s="84" customFormat="1">
      <c r="C60" s="85"/>
      <c r="E60" s="80"/>
      <c r="F60" s="80"/>
      <c r="G60" s="80"/>
      <c r="H60" s="80"/>
      <c r="I60" s="80"/>
      <c r="J60" s="80"/>
      <c r="K60" s="80"/>
      <c r="L60" s="80"/>
      <c r="M60" s="80"/>
      <c r="N60" s="80"/>
    </row>
    <row r="61" spans="1:14" s="84" customFormat="1">
      <c r="C61" s="85"/>
      <c r="E61" s="80"/>
      <c r="F61" s="80"/>
      <c r="G61" s="80"/>
      <c r="H61" s="80"/>
      <c r="I61" s="80"/>
      <c r="J61" s="80"/>
      <c r="K61" s="80"/>
      <c r="L61" s="80"/>
      <c r="M61" s="80"/>
      <c r="N61" s="80"/>
    </row>
    <row r="62" spans="1:14" s="84" customFormat="1">
      <c r="C62" s="85"/>
      <c r="E62" s="80"/>
      <c r="F62" s="80"/>
      <c r="G62" s="80"/>
      <c r="H62" s="80"/>
      <c r="I62" s="80"/>
      <c r="J62" s="80"/>
      <c r="K62" s="80"/>
      <c r="L62" s="80"/>
      <c r="M62" s="80"/>
      <c r="N62" s="80"/>
    </row>
    <row r="63" spans="1:14" s="84" customFormat="1">
      <c r="C63" s="85"/>
      <c r="E63" s="80"/>
      <c r="F63" s="80"/>
      <c r="G63" s="80"/>
      <c r="H63" s="80"/>
      <c r="I63" s="80"/>
      <c r="J63" s="80"/>
      <c r="K63" s="80"/>
      <c r="L63" s="80"/>
      <c r="M63" s="80"/>
      <c r="N63" s="80"/>
    </row>
    <row r="64" spans="1:14" s="84" customFormat="1">
      <c r="C64" s="85"/>
      <c r="E64" s="80"/>
      <c r="F64" s="80"/>
      <c r="G64" s="80"/>
      <c r="H64" s="80"/>
      <c r="I64" s="80"/>
      <c r="J64" s="80"/>
      <c r="K64" s="80"/>
      <c r="L64" s="80"/>
      <c r="M64" s="80"/>
      <c r="N64" s="80"/>
    </row>
    <row r="65" spans="3:14" s="84" customFormat="1">
      <c r="C65" s="85"/>
      <c r="E65" s="80"/>
      <c r="F65" s="80"/>
      <c r="G65" s="80"/>
      <c r="H65" s="80"/>
      <c r="I65" s="80"/>
      <c r="J65" s="80"/>
      <c r="K65" s="80"/>
      <c r="L65" s="80"/>
      <c r="M65" s="80"/>
      <c r="N65" s="80"/>
    </row>
    <row r="66" spans="3:14" s="84" customFormat="1">
      <c r="C66" s="85"/>
      <c r="E66" s="80"/>
      <c r="F66" s="80"/>
      <c r="G66" s="80"/>
      <c r="H66" s="80"/>
      <c r="I66" s="80"/>
      <c r="J66" s="80"/>
      <c r="K66" s="80"/>
      <c r="L66" s="80"/>
      <c r="M66" s="80"/>
      <c r="N66" s="80"/>
    </row>
    <row r="67" spans="3:14" s="84" customFormat="1">
      <c r="C67" s="85"/>
      <c r="E67" s="80"/>
      <c r="F67" s="80"/>
      <c r="G67" s="80"/>
      <c r="H67" s="80"/>
      <c r="I67" s="80"/>
      <c r="J67" s="80"/>
      <c r="K67" s="80"/>
      <c r="L67" s="80"/>
      <c r="M67" s="80"/>
      <c r="N67" s="80"/>
    </row>
    <row r="68" spans="3:14" s="84" customFormat="1">
      <c r="C68" s="85"/>
      <c r="E68" s="80"/>
      <c r="F68" s="80"/>
      <c r="G68" s="80"/>
      <c r="H68" s="80"/>
      <c r="I68" s="80"/>
      <c r="J68" s="80"/>
      <c r="K68" s="80"/>
      <c r="L68" s="80"/>
      <c r="M68" s="80"/>
      <c r="N68" s="80"/>
    </row>
    <row r="69" spans="3:14" s="84" customFormat="1">
      <c r="C69" s="85"/>
      <c r="E69" s="80"/>
      <c r="F69" s="80"/>
      <c r="G69" s="80"/>
      <c r="H69" s="80"/>
      <c r="I69" s="80"/>
      <c r="J69" s="80"/>
      <c r="K69" s="80"/>
      <c r="L69" s="80"/>
      <c r="M69" s="80"/>
      <c r="N69" s="80"/>
    </row>
    <row r="70" spans="3:14" s="84" customFormat="1">
      <c r="C70" s="85"/>
      <c r="E70" s="80"/>
      <c r="F70" s="80"/>
      <c r="G70" s="80"/>
      <c r="H70" s="80"/>
      <c r="I70" s="80"/>
      <c r="J70" s="80"/>
      <c r="K70" s="80"/>
      <c r="L70" s="80"/>
      <c r="M70" s="80"/>
      <c r="N70" s="80"/>
    </row>
    <row r="71" spans="3:14" s="84" customFormat="1">
      <c r="C71" s="85"/>
      <c r="E71" s="80"/>
      <c r="F71" s="80"/>
      <c r="G71" s="80"/>
      <c r="H71" s="80"/>
      <c r="I71" s="80"/>
      <c r="J71" s="80"/>
      <c r="K71" s="80"/>
      <c r="L71" s="80"/>
      <c r="M71" s="80"/>
      <c r="N71" s="80"/>
    </row>
    <row r="72" spans="3:14" s="84" customFormat="1">
      <c r="C72" s="85"/>
      <c r="E72" s="80"/>
      <c r="F72" s="80"/>
      <c r="G72" s="80"/>
      <c r="H72" s="80"/>
      <c r="I72" s="80"/>
      <c r="J72" s="80"/>
      <c r="K72" s="80"/>
      <c r="L72" s="80"/>
      <c r="M72" s="80"/>
      <c r="N72" s="80"/>
    </row>
    <row r="73" spans="3:14" s="84" customFormat="1">
      <c r="C73" s="85"/>
      <c r="E73" s="80"/>
      <c r="F73" s="80"/>
      <c r="G73" s="80"/>
      <c r="H73" s="80"/>
      <c r="I73" s="80"/>
      <c r="J73" s="80"/>
      <c r="K73" s="80"/>
      <c r="L73" s="80"/>
      <c r="M73" s="80"/>
      <c r="N73" s="80"/>
    </row>
    <row r="74" spans="3:14" s="84" customFormat="1">
      <c r="C74" s="85"/>
      <c r="E74" s="80"/>
      <c r="F74" s="80"/>
      <c r="G74" s="80"/>
      <c r="H74" s="80"/>
      <c r="I74" s="80"/>
      <c r="J74" s="80"/>
      <c r="K74" s="80"/>
      <c r="L74" s="80"/>
      <c r="M74" s="80"/>
      <c r="N74" s="80"/>
    </row>
    <row r="75" spans="3:14" s="84" customFormat="1">
      <c r="C75" s="85"/>
      <c r="E75" s="80"/>
      <c r="F75" s="80"/>
      <c r="G75" s="80"/>
      <c r="H75" s="80"/>
      <c r="I75" s="80"/>
      <c r="J75" s="80"/>
      <c r="K75" s="80"/>
      <c r="L75" s="80"/>
      <c r="M75" s="80"/>
      <c r="N75" s="80"/>
    </row>
    <row r="76" spans="3:14" s="84" customFormat="1">
      <c r="C76" s="85"/>
      <c r="E76" s="80"/>
      <c r="F76" s="80"/>
      <c r="G76" s="80"/>
      <c r="H76" s="80"/>
      <c r="I76" s="80"/>
      <c r="J76" s="80"/>
      <c r="K76" s="80"/>
      <c r="L76" s="80"/>
      <c r="M76" s="80"/>
      <c r="N76" s="80"/>
    </row>
    <row r="77" spans="3:14" s="84" customFormat="1">
      <c r="C77" s="85"/>
      <c r="E77" s="80"/>
      <c r="F77" s="80"/>
      <c r="G77" s="80"/>
      <c r="H77" s="80"/>
      <c r="I77" s="80"/>
      <c r="J77" s="80"/>
      <c r="K77" s="80"/>
      <c r="L77" s="80"/>
      <c r="M77" s="80"/>
      <c r="N77" s="80"/>
    </row>
    <row r="78" spans="3:14" s="84" customFormat="1">
      <c r="C78" s="85"/>
      <c r="E78" s="80"/>
      <c r="F78" s="80"/>
      <c r="G78" s="80"/>
      <c r="H78" s="80"/>
      <c r="I78" s="80"/>
      <c r="J78" s="80"/>
      <c r="K78" s="80"/>
      <c r="L78" s="80"/>
      <c r="M78" s="80"/>
      <c r="N78" s="80"/>
    </row>
    <row r="79" spans="3:14" s="84" customFormat="1">
      <c r="C79" s="85"/>
      <c r="E79" s="80"/>
      <c r="F79" s="80"/>
      <c r="G79" s="80"/>
      <c r="H79" s="80"/>
      <c r="I79" s="80"/>
      <c r="J79" s="80"/>
      <c r="K79" s="80"/>
      <c r="L79" s="80"/>
      <c r="M79" s="80"/>
      <c r="N79" s="80"/>
    </row>
    <row r="80" spans="3:14" s="84" customFormat="1">
      <c r="C80" s="85"/>
      <c r="E80" s="80"/>
      <c r="F80" s="80"/>
      <c r="G80" s="80"/>
      <c r="H80" s="80"/>
      <c r="I80" s="80"/>
      <c r="J80" s="80"/>
      <c r="K80" s="80"/>
      <c r="L80" s="80"/>
      <c r="M80" s="80"/>
      <c r="N80" s="80"/>
    </row>
    <row r="81" spans="3:14" s="84" customFormat="1">
      <c r="C81" s="85"/>
      <c r="E81" s="80"/>
      <c r="F81" s="80"/>
      <c r="G81" s="80"/>
      <c r="H81" s="80"/>
      <c r="I81" s="80"/>
      <c r="J81" s="80"/>
      <c r="K81" s="80"/>
      <c r="L81" s="80"/>
      <c r="M81" s="80"/>
      <c r="N81" s="80"/>
    </row>
    <row r="82" spans="3:14" s="84" customFormat="1">
      <c r="C82" s="85"/>
      <c r="E82" s="80"/>
      <c r="F82" s="80"/>
      <c r="G82" s="80"/>
      <c r="H82" s="80"/>
      <c r="I82" s="80"/>
      <c r="J82" s="80"/>
      <c r="K82" s="80"/>
      <c r="L82" s="80"/>
      <c r="M82" s="80"/>
      <c r="N82" s="80"/>
    </row>
    <row r="83" spans="3:14" s="84" customFormat="1">
      <c r="C83" s="85"/>
      <c r="E83" s="80"/>
      <c r="F83" s="80"/>
      <c r="G83" s="80"/>
      <c r="H83" s="80"/>
      <c r="I83" s="80"/>
      <c r="J83" s="80"/>
      <c r="K83" s="80"/>
      <c r="L83" s="80"/>
      <c r="M83" s="80"/>
      <c r="N83" s="80"/>
    </row>
    <row r="84" spans="3:14" s="84" customFormat="1">
      <c r="C84" s="85"/>
      <c r="E84" s="80"/>
      <c r="F84" s="80"/>
      <c r="G84" s="80"/>
      <c r="H84" s="80"/>
      <c r="I84" s="80"/>
      <c r="J84" s="80"/>
      <c r="K84" s="80"/>
      <c r="L84" s="80"/>
      <c r="M84" s="80"/>
      <c r="N84" s="80"/>
    </row>
    <row r="85" spans="3:14" s="84" customFormat="1">
      <c r="C85" s="85"/>
      <c r="E85" s="80"/>
      <c r="F85" s="80"/>
      <c r="G85" s="80"/>
      <c r="H85" s="80"/>
      <c r="I85" s="80"/>
      <c r="J85" s="80"/>
      <c r="K85" s="80"/>
      <c r="L85" s="80"/>
      <c r="M85" s="80"/>
      <c r="N85" s="80"/>
    </row>
    <row r="86" spans="3:14" s="84" customFormat="1">
      <c r="C86" s="85"/>
      <c r="E86" s="80"/>
      <c r="F86" s="80"/>
      <c r="G86" s="80"/>
      <c r="H86" s="80"/>
      <c r="I86" s="80"/>
      <c r="J86" s="80"/>
      <c r="K86" s="80"/>
      <c r="L86" s="80"/>
      <c r="M86" s="80"/>
      <c r="N86" s="80"/>
    </row>
    <row r="87" spans="3:14" s="84" customFormat="1">
      <c r="C87" s="85"/>
      <c r="E87" s="80"/>
      <c r="F87" s="80"/>
      <c r="G87" s="80"/>
      <c r="H87" s="80"/>
      <c r="I87" s="80"/>
      <c r="J87" s="80"/>
      <c r="K87" s="80"/>
      <c r="L87" s="80"/>
      <c r="M87" s="80"/>
      <c r="N87" s="80"/>
    </row>
    <row r="88" spans="3:14" s="84" customFormat="1">
      <c r="C88" s="85"/>
      <c r="E88" s="80"/>
      <c r="F88" s="80"/>
      <c r="G88" s="80"/>
      <c r="H88" s="80"/>
      <c r="I88" s="80"/>
      <c r="J88" s="80"/>
      <c r="K88" s="80"/>
      <c r="L88" s="80"/>
      <c r="M88" s="80"/>
      <c r="N88" s="80"/>
    </row>
    <row r="89" spans="3:14" s="84" customFormat="1">
      <c r="C89" s="85"/>
      <c r="E89" s="80"/>
      <c r="F89" s="80"/>
      <c r="G89" s="80"/>
      <c r="H89" s="80"/>
      <c r="I89" s="80"/>
      <c r="J89" s="80"/>
      <c r="K89" s="80"/>
      <c r="L89" s="80"/>
      <c r="M89" s="80"/>
      <c r="N89" s="80"/>
    </row>
    <row r="90" spans="3:14" s="84" customFormat="1">
      <c r="C90" s="85"/>
      <c r="E90" s="80"/>
      <c r="F90" s="80"/>
      <c r="G90" s="80"/>
      <c r="H90" s="80"/>
      <c r="I90" s="80"/>
      <c r="J90" s="80"/>
      <c r="K90" s="80"/>
      <c r="L90" s="80"/>
      <c r="M90" s="80"/>
      <c r="N90" s="80"/>
    </row>
    <row r="91" spans="3:14" s="84" customFormat="1">
      <c r="C91" s="85"/>
      <c r="E91" s="80"/>
      <c r="F91" s="80"/>
      <c r="G91" s="80"/>
      <c r="H91" s="80"/>
      <c r="I91" s="80"/>
      <c r="J91" s="80"/>
      <c r="K91" s="80"/>
      <c r="L91" s="80"/>
      <c r="M91" s="80"/>
      <c r="N91" s="80"/>
    </row>
    <row r="92" spans="3:14" s="84" customFormat="1">
      <c r="C92" s="85"/>
      <c r="E92" s="80"/>
      <c r="F92" s="80"/>
      <c r="G92" s="80"/>
      <c r="H92" s="80"/>
      <c r="I92" s="80"/>
      <c r="J92" s="80"/>
      <c r="K92" s="80"/>
      <c r="L92" s="80"/>
      <c r="M92" s="80"/>
      <c r="N92" s="80"/>
    </row>
    <row r="93" spans="3:14" s="84" customFormat="1">
      <c r="C93" s="85"/>
      <c r="E93" s="80"/>
      <c r="F93" s="80"/>
      <c r="G93" s="80"/>
      <c r="H93" s="80"/>
      <c r="I93" s="80"/>
      <c r="J93" s="80"/>
      <c r="K93" s="80"/>
      <c r="L93" s="80"/>
      <c r="M93" s="80"/>
      <c r="N93" s="80"/>
    </row>
    <row r="94" spans="3:14" s="84" customFormat="1">
      <c r="C94" s="85"/>
      <c r="E94" s="80"/>
      <c r="F94" s="80"/>
      <c r="G94" s="80"/>
      <c r="H94" s="80"/>
      <c r="I94" s="80"/>
      <c r="J94" s="80"/>
      <c r="K94" s="80"/>
      <c r="L94" s="80"/>
      <c r="M94" s="80"/>
      <c r="N94" s="80"/>
    </row>
    <row r="95" spans="3:14" s="84" customFormat="1">
      <c r="C95" s="85"/>
      <c r="E95" s="80"/>
      <c r="F95" s="80"/>
      <c r="G95" s="80"/>
      <c r="H95" s="80"/>
      <c r="I95" s="80"/>
      <c r="J95" s="80"/>
      <c r="K95" s="80"/>
      <c r="L95" s="80"/>
      <c r="M95" s="80"/>
      <c r="N95" s="80"/>
    </row>
    <row r="96" spans="3:14" s="84" customFormat="1">
      <c r="C96" s="85"/>
      <c r="E96" s="80"/>
      <c r="F96" s="80"/>
      <c r="G96" s="80"/>
      <c r="H96" s="80"/>
      <c r="I96" s="80"/>
      <c r="J96" s="80"/>
      <c r="K96" s="80"/>
      <c r="L96" s="80"/>
      <c r="M96" s="80"/>
      <c r="N96" s="80"/>
    </row>
    <row r="97" spans="3:14" s="84" customFormat="1">
      <c r="C97" s="85"/>
      <c r="E97" s="80"/>
      <c r="F97" s="80"/>
      <c r="G97" s="80"/>
      <c r="H97" s="80"/>
      <c r="I97" s="80"/>
      <c r="J97" s="80"/>
      <c r="K97" s="80"/>
      <c r="L97" s="80"/>
      <c r="M97" s="80"/>
      <c r="N97" s="80"/>
    </row>
    <row r="98" spans="3:14" s="84" customFormat="1">
      <c r="C98" s="85"/>
      <c r="E98" s="80"/>
      <c r="F98" s="80"/>
      <c r="G98" s="80"/>
      <c r="H98" s="80"/>
      <c r="I98" s="80"/>
      <c r="J98" s="80"/>
      <c r="K98" s="80"/>
      <c r="L98" s="80"/>
      <c r="M98" s="80"/>
      <c r="N98" s="80"/>
    </row>
    <row r="99" spans="3:14" s="84" customFormat="1">
      <c r="C99" s="85"/>
      <c r="E99" s="80"/>
      <c r="F99" s="80"/>
      <c r="G99" s="80"/>
      <c r="H99" s="80"/>
      <c r="I99" s="80"/>
      <c r="J99" s="80"/>
      <c r="K99" s="80"/>
      <c r="L99" s="80"/>
      <c r="M99" s="80"/>
      <c r="N99" s="80"/>
    </row>
    <row r="100" spans="3:14" s="84" customFormat="1">
      <c r="C100" s="85"/>
      <c r="E100" s="80"/>
      <c r="F100" s="80"/>
      <c r="G100" s="80"/>
      <c r="H100" s="80"/>
      <c r="I100" s="80"/>
      <c r="J100" s="80"/>
      <c r="K100" s="80"/>
      <c r="L100" s="80"/>
      <c r="M100" s="80"/>
      <c r="N100" s="80"/>
    </row>
    <row r="101" spans="3:14" s="84" customFormat="1">
      <c r="C101" s="85"/>
      <c r="E101" s="80"/>
      <c r="F101" s="80"/>
      <c r="G101" s="80"/>
      <c r="H101" s="80"/>
      <c r="I101" s="80"/>
      <c r="J101" s="80"/>
      <c r="K101" s="80"/>
      <c r="L101" s="80"/>
      <c r="M101" s="80"/>
      <c r="N101" s="80"/>
    </row>
    <row r="102" spans="3:14" s="84" customFormat="1">
      <c r="C102" s="85"/>
      <c r="E102" s="80"/>
      <c r="F102" s="80"/>
      <c r="G102" s="80"/>
      <c r="H102" s="80"/>
      <c r="I102" s="80"/>
      <c r="J102" s="80"/>
      <c r="K102" s="80"/>
      <c r="L102" s="80"/>
      <c r="M102" s="80"/>
      <c r="N102" s="80"/>
    </row>
    <row r="103" spans="3:14" s="84" customFormat="1">
      <c r="C103" s="85"/>
      <c r="E103" s="80"/>
      <c r="F103" s="80"/>
      <c r="G103" s="80"/>
      <c r="H103" s="80"/>
      <c r="I103" s="80"/>
      <c r="J103" s="80"/>
      <c r="K103" s="80"/>
      <c r="L103" s="80"/>
      <c r="M103" s="80"/>
      <c r="N103" s="80"/>
    </row>
    <row r="104" spans="3:14" s="84" customFormat="1">
      <c r="C104" s="85"/>
      <c r="E104" s="80"/>
      <c r="F104" s="80"/>
      <c r="G104" s="80"/>
      <c r="H104" s="80"/>
      <c r="I104" s="80"/>
      <c r="J104" s="80"/>
      <c r="K104" s="80"/>
      <c r="L104" s="80"/>
      <c r="M104" s="80"/>
      <c r="N104" s="80"/>
    </row>
    <row r="105" spans="3:14" s="84" customFormat="1">
      <c r="C105" s="85"/>
      <c r="E105" s="80"/>
      <c r="F105" s="80"/>
      <c r="G105" s="80"/>
      <c r="H105" s="80"/>
      <c r="I105" s="80"/>
      <c r="J105" s="80"/>
      <c r="K105" s="80"/>
      <c r="L105" s="80"/>
      <c r="M105" s="80"/>
      <c r="N105" s="80"/>
    </row>
    <row r="106" spans="3:14" s="84" customFormat="1">
      <c r="C106" s="85"/>
      <c r="E106" s="80"/>
      <c r="F106" s="80"/>
      <c r="G106" s="80"/>
      <c r="H106" s="80"/>
      <c r="I106" s="80"/>
      <c r="J106" s="80"/>
      <c r="K106" s="80"/>
      <c r="L106" s="80"/>
      <c r="M106" s="80"/>
      <c r="N106" s="80"/>
    </row>
    <row r="107" spans="3:14" s="84" customFormat="1">
      <c r="C107" s="85"/>
      <c r="E107" s="80"/>
      <c r="F107" s="80"/>
      <c r="G107" s="80"/>
      <c r="H107" s="80"/>
      <c r="I107" s="80"/>
      <c r="J107" s="80"/>
      <c r="K107" s="80"/>
      <c r="L107" s="80"/>
      <c r="M107" s="80"/>
      <c r="N107" s="80"/>
    </row>
    <row r="108" spans="3:14" s="84" customFormat="1">
      <c r="C108" s="85"/>
      <c r="E108" s="80"/>
      <c r="F108" s="80"/>
      <c r="G108" s="80"/>
      <c r="H108" s="80"/>
      <c r="I108" s="80"/>
      <c r="J108" s="80"/>
      <c r="K108" s="80"/>
      <c r="L108" s="80"/>
      <c r="M108" s="80"/>
      <c r="N108" s="80"/>
    </row>
    <row r="109" spans="3:14" s="84" customFormat="1">
      <c r="C109" s="85"/>
      <c r="E109" s="80"/>
      <c r="F109" s="80"/>
      <c r="G109" s="80"/>
      <c r="H109" s="80"/>
      <c r="I109" s="80"/>
      <c r="J109" s="80"/>
      <c r="K109" s="80"/>
      <c r="L109" s="80"/>
      <c r="M109" s="80"/>
      <c r="N109" s="80"/>
    </row>
    <row r="110" spans="3:14" s="84" customFormat="1">
      <c r="C110" s="85"/>
      <c r="E110" s="80"/>
      <c r="F110" s="80"/>
      <c r="G110" s="80"/>
      <c r="H110" s="80"/>
      <c r="I110" s="80"/>
      <c r="J110" s="80"/>
      <c r="K110" s="80"/>
      <c r="L110" s="80"/>
      <c r="M110" s="80"/>
      <c r="N110" s="80"/>
    </row>
    <row r="111" spans="3:14" s="84" customFormat="1">
      <c r="C111" s="85"/>
      <c r="E111" s="80"/>
      <c r="F111" s="80"/>
      <c r="G111" s="80"/>
      <c r="H111" s="80"/>
      <c r="I111" s="80"/>
      <c r="J111" s="80"/>
      <c r="K111" s="80"/>
      <c r="L111" s="80"/>
      <c r="M111" s="80"/>
      <c r="N111" s="80"/>
    </row>
    <row r="112" spans="3:14" s="84" customFormat="1">
      <c r="C112" s="85"/>
      <c r="E112" s="80"/>
      <c r="F112" s="80"/>
      <c r="G112" s="80"/>
      <c r="H112" s="80"/>
      <c r="I112" s="80"/>
      <c r="J112" s="80"/>
      <c r="K112" s="80"/>
      <c r="L112" s="80"/>
      <c r="M112" s="80"/>
      <c r="N112" s="80"/>
    </row>
    <row r="113" spans="3:14" s="84" customFormat="1">
      <c r="C113" s="85"/>
      <c r="E113" s="80"/>
      <c r="F113" s="80"/>
      <c r="G113" s="80"/>
      <c r="H113" s="80"/>
      <c r="I113" s="80"/>
      <c r="J113" s="80"/>
      <c r="K113" s="80"/>
      <c r="L113" s="80"/>
      <c r="M113" s="80"/>
      <c r="N113" s="80"/>
    </row>
    <row r="114" spans="3:14" s="84" customFormat="1">
      <c r="C114" s="85"/>
      <c r="E114" s="80"/>
      <c r="F114" s="80"/>
      <c r="G114" s="80"/>
      <c r="H114" s="80"/>
      <c r="I114" s="80"/>
      <c r="J114" s="80"/>
      <c r="K114" s="80"/>
      <c r="L114" s="80"/>
      <c r="M114" s="80"/>
      <c r="N114" s="80"/>
    </row>
    <row r="115" spans="3:14" s="84" customFormat="1">
      <c r="C115" s="85"/>
      <c r="E115" s="80"/>
      <c r="F115" s="80"/>
      <c r="G115" s="80"/>
      <c r="H115" s="80"/>
      <c r="I115" s="80"/>
      <c r="J115" s="80"/>
      <c r="K115" s="80"/>
      <c r="L115" s="80"/>
      <c r="M115" s="80"/>
      <c r="N115" s="80"/>
    </row>
    <row r="116" spans="3:14" s="84" customFormat="1">
      <c r="C116" s="85"/>
      <c r="E116" s="80"/>
      <c r="F116" s="80"/>
      <c r="G116" s="80"/>
      <c r="H116" s="80"/>
      <c r="I116" s="80"/>
      <c r="J116" s="80"/>
      <c r="K116" s="80"/>
      <c r="L116" s="80"/>
      <c r="M116" s="80"/>
      <c r="N116" s="80"/>
    </row>
    <row r="117" spans="3:14" s="84" customFormat="1">
      <c r="C117" s="85"/>
      <c r="E117" s="80"/>
      <c r="F117" s="80"/>
      <c r="G117" s="80"/>
      <c r="H117" s="80"/>
      <c r="I117" s="80"/>
      <c r="J117" s="80"/>
      <c r="K117" s="80"/>
      <c r="L117" s="80"/>
      <c r="M117" s="80"/>
      <c r="N117" s="80"/>
    </row>
    <row r="118" spans="3:14" s="84" customFormat="1">
      <c r="C118" s="85"/>
      <c r="E118" s="80"/>
      <c r="F118" s="80"/>
      <c r="G118" s="80"/>
      <c r="H118" s="80"/>
      <c r="I118" s="80"/>
      <c r="J118" s="80"/>
      <c r="K118" s="80"/>
      <c r="L118" s="80"/>
      <c r="M118" s="80"/>
      <c r="N118" s="80"/>
    </row>
    <row r="119" spans="3:14" s="84" customFormat="1">
      <c r="C119" s="85"/>
      <c r="E119" s="80"/>
      <c r="F119" s="80"/>
      <c r="G119" s="80"/>
      <c r="H119" s="80"/>
      <c r="I119" s="80"/>
      <c r="J119" s="80"/>
      <c r="K119" s="80"/>
      <c r="L119" s="80"/>
      <c r="M119" s="80"/>
      <c r="N119" s="80"/>
    </row>
    <row r="120" spans="3:14" s="84" customFormat="1">
      <c r="C120" s="85"/>
      <c r="E120" s="80"/>
      <c r="F120" s="80"/>
      <c r="G120" s="80"/>
      <c r="H120" s="80"/>
      <c r="I120" s="80"/>
      <c r="J120" s="80"/>
      <c r="K120" s="80"/>
      <c r="L120" s="80"/>
      <c r="M120" s="80"/>
      <c r="N120" s="80"/>
    </row>
    <row r="121" spans="3:14" s="84" customFormat="1">
      <c r="C121" s="85"/>
      <c r="E121" s="80"/>
      <c r="F121" s="80"/>
      <c r="G121" s="80"/>
      <c r="H121" s="80"/>
      <c r="I121" s="80"/>
      <c r="J121" s="80"/>
      <c r="K121" s="80"/>
      <c r="L121" s="80"/>
      <c r="M121" s="80"/>
      <c r="N121" s="80"/>
    </row>
    <row r="122" spans="3:14" s="84" customFormat="1">
      <c r="C122" s="85"/>
      <c r="E122" s="80"/>
      <c r="F122" s="80"/>
      <c r="G122" s="80"/>
      <c r="H122" s="80"/>
      <c r="I122" s="80"/>
      <c r="J122" s="80"/>
      <c r="K122" s="80"/>
      <c r="L122" s="80"/>
      <c r="M122" s="80"/>
      <c r="N122" s="80"/>
    </row>
    <row r="123" spans="3:14" s="84" customFormat="1">
      <c r="C123" s="85"/>
      <c r="E123" s="80"/>
      <c r="F123" s="80"/>
      <c r="G123" s="80"/>
      <c r="H123" s="80"/>
      <c r="I123" s="80"/>
      <c r="J123" s="80"/>
      <c r="K123" s="80"/>
      <c r="L123" s="80"/>
      <c r="M123" s="80"/>
      <c r="N123" s="80"/>
    </row>
    <row r="124" spans="3:14" s="84" customFormat="1">
      <c r="C124" s="85"/>
      <c r="E124" s="80"/>
      <c r="F124" s="80"/>
      <c r="G124" s="80"/>
      <c r="H124" s="80"/>
      <c r="I124" s="80"/>
      <c r="J124" s="80"/>
      <c r="K124" s="80"/>
      <c r="L124" s="80"/>
      <c r="M124" s="80"/>
      <c r="N124" s="80"/>
    </row>
    <row r="125" spans="3:14" s="84" customFormat="1">
      <c r="C125" s="85"/>
      <c r="E125" s="80"/>
      <c r="F125" s="80"/>
      <c r="G125" s="80"/>
      <c r="H125" s="80"/>
      <c r="I125" s="80"/>
      <c r="J125" s="80"/>
      <c r="K125" s="80"/>
      <c r="L125" s="80"/>
      <c r="M125" s="80"/>
      <c r="N125" s="80"/>
    </row>
    <row r="126" spans="3:14" s="84" customFormat="1">
      <c r="C126" s="85"/>
      <c r="E126" s="80"/>
      <c r="F126" s="80"/>
      <c r="G126" s="80"/>
      <c r="H126" s="80"/>
      <c r="I126" s="80"/>
      <c r="J126" s="80"/>
      <c r="K126" s="80"/>
      <c r="L126" s="80"/>
      <c r="M126" s="80"/>
      <c r="N126" s="80"/>
    </row>
    <row r="127" spans="3:14" s="84" customFormat="1">
      <c r="C127" s="85"/>
      <c r="E127" s="80"/>
      <c r="F127" s="80"/>
      <c r="G127" s="80"/>
      <c r="H127" s="80"/>
      <c r="I127" s="80"/>
      <c r="J127" s="80"/>
      <c r="K127" s="80"/>
      <c r="L127" s="80"/>
      <c r="M127" s="80"/>
      <c r="N127" s="80"/>
    </row>
    <row r="128" spans="3:14" s="84" customFormat="1">
      <c r="C128" s="85"/>
      <c r="E128" s="80"/>
      <c r="F128" s="80"/>
      <c r="G128" s="80"/>
      <c r="H128" s="80"/>
      <c r="I128" s="80"/>
      <c r="J128" s="80"/>
      <c r="K128" s="80"/>
      <c r="L128" s="80"/>
      <c r="M128" s="80"/>
      <c r="N128" s="80"/>
    </row>
    <row r="129" spans="3:14" s="84" customFormat="1">
      <c r="C129" s="85"/>
      <c r="E129" s="80"/>
      <c r="F129" s="80"/>
      <c r="G129" s="80"/>
      <c r="H129" s="80"/>
      <c r="I129" s="80"/>
      <c r="J129" s="80"/>
      <c r="K129" s="80"/>
      <c r="L129" s="80"/>
      <c r="M129" s="80"/>
      <c r="N129" s="80"/>
    </row>
    <row r="130" spans="3:14" s="84" customFormat="1">
      <c r="C130" s="85"/>
      <c r="E130" s="80"/>
      <c r="F130" s="80"/>
      <c r="G130" s="80"/>
      <c r="H130" s="80"/>
      <c r="I130" s="80"/>
      <c r="J130" s="80"/>
      <c r="K130" s="80"/>
      <c r="L130" s="80"/>
      <c r="M130" s="80"/>
      <c r="N130" s="80"/>
    </row>
    <row r="131" spans="3:14" s="84" customFormat="1">
      <c r="C131" s="85"/>
      <c r="E131" s="80"/>
      <c r="F131" s="80"/>
      <c r="G131" s="80"/>
      <c r="H131" s="80"/>
      <c r="I131" s="80"/>
      <c r="J131" s="80"/>
      <c r="K131" s="80"/>
      <c r="L131" s="80"/>
      <c r="M131" s="80"/>
      <c r="N131" s="80"/>
    </row>
    <row r="132" spans="3:14" s="84" customFormat="1">
      <c r="C132" s="85"/>
      <c r="E132" s="80"/>
      <c r="F132" s="80"/>
      <c r="G132" s="80"/>
      <c r="H132" s="80"/>
      <c r="I132" s="80"/>
      <c r="J132" s="80"/>
      <c r="K132" s="80"/>
      <c r="L132" s="80"/>
      <c r="M132" s="80"/>
      <c r="N132" s="80"/>
    </row>
    <row r="133" spans="3:14" s="84" customFormat="1">
      <c r="C133" s="85"/>
      <c r="E133" s="80"/>
      <c r="F133" s="80"/>
      <c r="G133" s="80"/>
      <c r="H133" s="80"/>
      <c r="I133" s="80"/>
      <c r="J133" s="80"/>
      <c r="K133" s="80"/>
      <c r="L133" s="80"/>
      <c r="M133" s="80"/>
      <c r="N133" s="80"/>
    </row>
    <row r="134" spans="3:14" s="84" customFormat="1">
      <c r="C134" s="85"/>
      <c r="E134" s="80"/>
      <c r="F134" s="80"/>
      <c r="G134" s="80"/>
      <c r="H134" s="80"/>
      <c r="I134" s="80"/>
      <c r="J134" s="80"/>
      <c r="K134" s="80"/>
      <c r="L134" s="80"/>
      <c r="M134" s="80"/>
      <c r="N134" s="80"/>
    </row>
    <row r="135" spans="3:14" s="84" customFormat="1">
      <c r="C135" s="85"/>
      <c r="E135" s="80"/>
      <c r="F135" s="80"/>
      <c r="G135" s="80"/>
      <c r="H135" s="80"/>
      <c r="I135" s="80"/>
      <c r="J135" s="80"/>
      <c r="K135" s="80"/>
      <c r="L135" s="80"/>
      <c r="M135" s="80"/>
      <c r="N135" s="80"/>
    </row>
    <row r="136" spans="3:14" s="84" customFormat="1">
      <c r="C136" s="85"/>
      <c r="E136" s="80"/>
      <c r="F136" s="80"/>
      <c r="G136" s="80"/>
      <c r="H136" s="80"/>
      <c r="I136" s="80"/>
      <c r="J136" s="80"/>
      <c r="K136" s="80"/>
      <c r="L136" s="80"/>
      <c r="M136" s="80"/>
      <c r="N136" s="80"/>
    </row>
    <row r="137" spans="3:14" s="84" customFormat="1">
      <c r="C137" s="85"/>
      <c r="E137" s="80"/>
      <c r="F137" s="80"/>
      <c r="G137" s="80"/>
      <c r="H137" s="80"/>
      <c r="I137" s="80"/>
      <c r="J137" s="80"/>
      <c r="K137" s="80"/>
      <c r="L137" s="80"/>
      <c r="M137" s="80"/>
      <c r="N137" s="80"/>
    </row>
    <row r="138" spans="3:14" s="84" customFormat="1">
      <c r="C138" s="85"/>
      <c r="E138" s="80"/>
      <c r="F138" s="80"/>
      <c r="G138" s="80"/>
      <c r="H138" s="80"/>
      <c r="I138" s="80"/>
      <c r="J138" s="80"/>
      <c r="K138" s="80"/>
      <c r="L138" s="80"/>
      <c r="M138" s="80"/>
      <c r="N138" s="80"/>
    </row>
    <row r="139" spans="3:14" s="84" customFormat="1">
      <c r="C139" s="85"/>
      <c r="E139" s="80"/>
      <c r="F139" s="80"/>
      <c r="G139" s="80"/>
      <c r="H139" s="80"/>
      <c r="I139" s="80"/>
      <c r="J139" s="80"/>
      <c r="K139" s="80"/>
      <c r="L139" s="80"/>
      <c r="M139" s="80"/>
      <c r="N139" s="80"/>
    </row>
    <row r="140" spans="3:14" s="84" customFormat="1">
      <c r="C140" s="85"/>
      <c r="E140" s="80"/>
      <c r="F140" s="80"/>
      <c r="G140" s="80"/>
      <c r="H140" s="80"/>
      <c r="I140" s="80"/>
      <c r="J140" s="80"/>
      <c r="K140" s="80"/>
      <c r="L140" s="80"/>
      <c r="M140" s="80"/>
      <c r="N140" s="80"/>
    </row>
    <row r="141" spans="3:14" s="84" customFormat="1">
      <c r="C141" s="85"/>
      <c r="E141" s="80"/>
      <c r="F141" s="80"/>
      <c r="G141" s="80"/>
      <c r="H141" s="80"/>
      <c r="I141" s="80"/>
      <c r="J141" s="80"/>
      <c r="K141" s="80"/>
      <c r="L141" s="80"/>
      <c r="M141" s="80"/>
      <c r="N141" s="80"/>
    </row>
    <row r="142" spans="3:14" s="84" customFormat="1">
      <c r="C142" s="85"/>
      <c r="E142" s="80"/>
      <c r="F142" s="80"/>
      <c r="G142" s="80"/>
      <c r="H142" s="80"/>
      <c r="I142" s="80"/>
      <c r="J142" s="80"/>
      <c r="K142" s="80"/>
      <c r="L142" s="80"/>
      <c r="M142" s="80"/>
      <c r="N142" s="80"/>
    </row>
    <row r="143" spans="3:14" s="84" customFormat="1">
      <c r="C143" s="85"/>
      <c r="E143" s="80"/>
      <c r="F143" s="80"/>
      <c r="G143" s="80"/>
      <c r="H143" s="80"/>
      <c r="I143" s="80"/>
      <c r="J143" s="80"/>
      <c r="K143" s="80"/>
      <c r="L143" s="80"/>
      <c r="M143" s="80"/>
      <c r="N143" s="80"/>
    </row>
    <row r="144" spans="3:14" s="84" customFormat="1">
      <c r="C144" s="85"/>
      <c r="E144" s="80"/>
      <c r="F144" s="80"/>
      <c r="G144" s="80"/>
      <c r="H144" s="80"/>
      <c r="I144" s="80"/>
      <c r="J144" s="80"/>
      <c r="K144" s="80"/>
      <c r="L144" s="80"/>
      <c r="M144" s="80"/>
      <c r="N144" s="80"/>
    </row>
    <row r="145" spans="3:14" s="84" customFormat="1">
      <c r="C145" s="85"/>
      <c r="E145" s="80"/>
      <c r="F145" s="80"/>
      <c r="G145" s="80"/>
      <c r="H145" s="80"/>
      <c r="I145" s="80"/>
      <c r="J145" s="80"/>
      <c r="K145" s="80"/>
      <c r="L145" s="80"/>
      <c r="M145" s="80"/>
      <c r="N145" s="80"/>
    </row>
    <row r="146" spans="3:14" s="84" customFormat="1">
      <c r="C146" s="85"/>
      <c r="E146" s="80"/>
      <c r="F146" s="80"/>
      <c r="G146" s="80"/>
      <c r="H146" s="80"/>
      <c r="I146" s="80"/>
      <c r="J146" s="80"/>
      <c r="K146" s="80"/>
      <c r="L146" s="80"/>
      <c r="M146" s="80"/>
      <c r="N146" s="80"/>
    </row>
    <row r="147" spans="3:14" s="84" customFormat="1">
      <c r="C147" s="85"/>
      <c r="E147" s="80"/>
      <c r="F147" s="80"/>
      <c r="G147" s="80"/>
      <c r="H147" s="80"/>
      <c r="I147" s="80"/>
      <c r="J147" s="80"/>
      <c r="K147" s="80"/>
      <c r="L147" s="80"/>
      <c r="M147" s="80"/>
      <c r="N147" s="80"/>
    </row>
    <row r="148" spans="3:14" s="84" customFormat="1">
      <c r="C148" s="85"/>
      <c r="E148" s="80"/>
      <c r="F148" s="80"/>
      <c r="G148" s="80"/>
      <c r="H148" s="80"/>
      <c r="I148" s="80"/>
      <c r="J148" s="80"/>
      <c r="K148" s="80"/>
      <c r="L148" s="80"/>
      <c r="M148" s="80"/>
      <c r="N148" s="80"/>
    </row>
    <row r="149" spans="3:14" s="84" customFormat="1">
      <c r="C149" s="85"/>
      <c r="E149" s="80"/>
      <c r="F149" s="80"/>
      <c r="G149" s="80"/>
      <c r="H149" s="80"/>
      <c r="I149" s="80"/>
      <c r="J149" s="80"/>
      <c r="K149" s="80"/>
      <c r="L149" s="80"/>
      <c r="M149" s="80"/>
      <c r="N149" s="80"/>
    </row>
    <row r="150" spans="3:14" s="84" customFormat="1">
      <c r="C150" s="85"/>
      <c r="E150" s="80"/>
      <c r="F150" s="80"/>
      <c r="G150" s="80"/>
      <c r="H150" s="80"/>
      <c r="I150" s="80"/>
      <c r="J150" s="80"/>
      <c r="K150" s="80"/>
      <c r="L150" s="80"/>
      <c r="M150" s="80"/>
      <c r="N150" s="80"/>
    </row>
    <row r="151" spans="3:14" s="84" customFormat="1">
      <c r="C151" s="85"/>
      <c r="E151" s="80"/>
      <c r="F151" s="80"/>
      <c r="G151" s="80"/>
      <c r="H151" s="80"/>
      <c r="I151" s="80"/>
      <c r="J151" s="80"/>
      <c r="K151" s="80"/>
      <c r="L151" s="80"/>
      <c r="M151" s="80"/>
      <c r="N151" s="80"/>
    </row>
    <row r="152" spans="3:14" s="84" customFormat="1">
      <c r="C152" s="85"/>
      <c r="E152" s="80"/>
      <c r="F152" s="80"/>
      <c r="G152" s="80"/>
      <c r="H152" s="80"/>
      <c r="I152" s="80"/>
      <c r="J152" s="80"/>
      <c r="K152" s="80"/>
      <c r="L152" s="80"/>
      <c r="M152" s="80"/>
      <c r="N152" s="80"/>
    </row>
    <row r="153" spans="3:14" s="84" customFormat="1">
      <c r="C153" s="85"/>
      <c r="E153" s="80"/>
      <c r="F153" s="80"/>
      <c r="G153" s="80"/>
      <c r="H153" s="80"/>
      <c r="I153" s="80"/>
      <c r="J153" s="80"/>
      <c r="K153" s="80"/>
      <c r="L153" s="80"/>
      <c r="M153" s="80"/>
      <c r="N153" s="80"/>
    </row>
    <row r="154" spans="3:14" s="84" customFormat="1">
      <c r="C154" s="85"/>
      <c r="E154" s="80"/>
      <c r="F154" s="80"/>
      <c r="G154" s="80"/>
      <c r="H154" s="80"/>
      <c r="I154" s="80"/>
      <c r="J154" s="80"/>
      <c r="K154" s="80"/>
      <c r="L154" s="80"/>
      <c r="M154" s="80"/>
      <c r="N154" s="80"/>
    </row>
    <row r="155" spans="3:14" s="84" customFormat="1">
      <c r="C155" s="85"/>
      <c r="E155" s="80"/>
      <c r="F155" s="80"/>
      <c r="G155" s="80"/>
      <c r="H155" s="80"/>
      <c r="I155" s="80"/>
      <c r="J155" s="80"/>
      <c r="K155" s="80"/>
      <c r="L155" s="80"/>
      <c r="M155" s="80"/>
      <c r="N155" s="80"/>
    </row>
    <row r="156" spans="3:14" s="84" customFormat="1">
      <c r="C156" s="85"/>
      <c r="E156" s="80"/>
      <c r="F156" s="80"/>
      <c r="G156" s="80"/>
      <c r="H156" s="80"/>
      <c r="I156" s="80"/>
      <c r="J156" s="80"/>
      <c r="K156" s="80"/>
      <c r="L156" s="80"/>
      <c r="M156" s="80"/>
      <c r="N156" s="80"/>
    </row>
    <row r="157" spans="3:14" s="84" customFormat="1">
      <c r="C157" s="85"/>
      <c r="E157" s="80"/>
      <c r="F157" s="80"/>
      <c r="G157" s="80"/>
      <c r="H157" s="80"/>
      <c r="I157" s="80"/>
      <c r="J157" s="80"/>
      <c r="K157" s="80"/>
      <c r="L157" s="80"/>
      <c r="M157" s="80"/>
      <c r="N157" s="80"/>
    </row>
    <row r="158" spans="3:14" s="84" customFormat="1">
      <c r="C158" s="85"/>
      <c r="E158" s="80"/>
      <c r="F158" s="80"/>
      <c r="G158" s="80"/>
      <c r="H158" s="80"/>
      <c r="I158" s="80"/>
      <c r="J158" s="80"/>
      <c r="K158" s="80"/>
      <c r="L158" s="80"/>
      <c r="M158" s="80"/>
      <c r="N158" s="80"/>
    </row>
    <row r="159" spans="3:14" s="84" customFormat="1">
      <c r="C159" s="85"/>
      <c r="E159" s="80"/>
      <c r="F159" s="80"/>
      <c r="G159" s="80"/>
      <c r="H159" s="80"/>
      <c r="I159" s="80"/>
      <c r="J159" s="80"/>
      <c r="K159" s="80"/>
      <c r="L159" s="80"/>
      <c r="M159" s="80"/>
      <c r="N159" s="80"/>
    </row>
    <row r="160" spans="3:14" s="84" customFormat="1">
      <c r="C160" s="85"/>
      <c r="E160" s="80"/>
      <c r="F160" s="80"/>
      <c r="G160" s="80"/>
      <c r="H160" s="80"/>
      <c r="I160" s="80"/>
      <c r="J160" s="80"/>
      <c r="K160" s="80"/>
      <c r="L160" s="80"/>
      <c r="M160" s="80"/>
      <c r="N160" s="80"/>
    </row>
    <row r="161" spans="3:14" s="84" customFormat="1">
      <c r="C161" s="85"/>
      <c r="E161" s="80"/>
      <c r="F161" s="80"/>
      <c r="G161" s="80"/>
      <c r="H161" s="80"/>
      <c r="I161" s="80"/>
      <c r="J161" s="80"/>
      <c r="K161" s="80"/>
      <c r="L161" s="80"/>
      <c r="M161" s="80"/>
      <c r="N161" s="80"/>
    </row>
  </sheetData>
  <mergeCells count="8">
    <mergeCell ref="B28:G28"/>
    <mergeCell ref="H28:M28"/>
    <mergeCell ref="A1:I1"/>
    <mergeCell ref="B5:H5"/>
    <mergeCell ref="B8:I8"/>
    <mergeCell ref="A15:A16"/>
    <mergeCell ref="F15:F16"/>
    <mergeCell ref="F22:G22"/>
  </mergeCells>
  <phoneticPr fontId="1" type="noConversion"/>
  <printOptions horizontalCentered="1"/>
  <pageMargins left="0.23622047244094491" right="0.23622047244094491" top="0.74803149606299213" bottom="0.27559055118110237" header="0.31496062992125984" footer="0.15748031496062992"/>
  <pageSetup paperSize="9" scale="8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78"/>
  <sheetViews>
    <sheetView showGridLines="0" zoomScale="90" zoomScaleNormal="90" workbookViewId="0">
      <selection activeCell="I11" sqref="I11"/>
    </sheetView>
  </sheetViews>
  <sheetFormatPr defaultRowHeight="12.75"/>
  <cols>
    <col min="1" max="1" width="12.75" style="206" customWidth="1"/>
    <col min="2" max="2" width="31" style="229" customWidth="1"/>
    <col min="3" max="3" width="10.125" style="229" customWidth="1"/>
    <col min="4" max="5" width="10.125" style="206" customWidth="1"/>
    <col min="6" max="6" width="14.625" style="206" customWidth="1"/>
    <col min="7" max="7" width="19.25" style="206" customWidth="1"/>
    <col min="8" max="8" width="17.5" style="206" customWidth="1"/>
    <col min="9" max="248" width="9" style="206"/>
    <col min="249" max="249" width="25.375" style="206" customWidth="1"/>
    <col min="250" max="251" width="9" style="206"/>
    <col min="252" max="252" width="7.375" style="206" customWidth="1"/>
    <col min="253" max="253" width="12.75" style="206" customWidth="1"/>
    <col min="254" max="254" width="13" style="206" customWidth="1"/>
    <col min="255" max="255" width="25.875" style="206" customWidth="1"/>
    <col min="256" max="504" width="9" style="206"/>
    <col min="505" max="505" width="25.375" style="206" customWidth="1"/>
    <col min="506" max="507" width="9" style="206"/>
    <col min="508" max="508" width="7.375" style="206" customWidth="1"/>
    <col min="509" max="509" width="12.75" style="206" customWidth="1"/>
    <col min="510" max="510" width="13" style="206" customWidth="1"/>
    <col min="511" max="511" width="25.875" style="206" customWidth="1"/>
    <col min="512" max="760" width="9" style="206"/>
    <col min="761" max="761" width="25.375" style="206" customWidth="1"/>
    <col min="762" max="763" width="9" style="206"/>
    <col min="764" max="764" width="7.375" style="206" customWidth="1"/>
    <col min="765" max="765" width="12.75" style="206" customWidth="1"/>
    <col min="766" max="766" width="13" style="206" customWidth="1"/>
    <col min="767" max="767" width="25.875" style="206" customWidth="1"/>
    <col min="768" max="1016" width="9" style="206"/>
    <col min="1017" max="1017" width="25.375" style="206" customWidth="1"/>
    <col min="1018" max="1019" width="9" style="206"/>
    <col min="1020" max="1020" width="7.375" style="206" customWidth="1"/>
    <col min="1021" max="1021" width="12.75" style="206" customWidth="1"/>
    <col min="1022" max="1022" width="13" style="206" customWidth="1"/>
    <col min="1023" max="1023" width="25.875" style="206" customWidth="1"/>
    <col min="1024" max="1272" width="9" style="206"/>
    <col min="1273" max="1273" width="25.375" style="206" customWidth="1"/>
    <col min="1274" max="1275" width="9" style="206"/>
    <col min="1276" max="1276" width="7.375" style="206" customWidth="1"/>
    <col min="1277" max="1277" width="12.75" style="206" customWidth="1"/>
    <col min="1278" max="1278" width="13" style="206" customWidth="1"/>
    <col min="1279" max="1279" width="25.875" style="206" customWidth="1"/>
    <col min="1280" max="1528" width="9" style="206"/>
    <col min="1529" max="1529" width="25.375" style="206" customWidth="1"/>
    <col min="1530" max="1531" width="9" style="206"/>
    <col min="1532" max="1532" width="7.375" style="206" customWidth="1"/>
    <col min="1533" max="1533" width="12.75" style="206" customWidth="1"/>
    <col min="1534" max="1534" width="13" style="206" customWidth="1"/>
    <col min="1535" max="1535" width="25.875" style="206" customWidth="1"/>
    <col min="1536" max="1784" width="9" style="206"/>
    <col min="1785" max="1785" width="25.375" style="206" customWidth="1"/>
    <col min="1786" max="1787" width="9" style="206"/>
    <col min="1788" max="1788" width="7.375" style="206" customWidth="1"/>
    <col min="1789" max="1789" width="12.75" style="206" customWidth="1"/>
    <col min="1790" max="1790" width="13" style="206" customWidth="1"/>
    <col min="1791" max="1791" width="25.875" style="206" customWidth="1"/>
    <col min="1792" max="2040" width="9" style="206"/>
    <col min="2041" max="2041" width="25.375" style="206" customWidth="1"/>
    <col min="2042" max="2043" width="9" style="206"/>
    <col min="2044" max="2044" width="7.375" style="206" customWidth="1"/>
    <col min="2045" max="2045" width="12.75" style="206" customWidth="1"/>
    <col min="2046" max="2046" width="13" style="206" customWidth="1"/>
    <col min="2047" max="2047" width="25.875" style="206" customWidth="1"/>
    <col min="2048" max="2296" width="9" style="206"/>
    <col min="2297" max="2297" width="25.375" style="206" customWidth="1"/>
    <col min="2298" max="2299" width="9" style="206"/>
    <col min="2300" max="2300" width="7.375" style="206" customWidth="1"/>
    <col min="2301" max="2301" width="12.75" style="206" customWidth="1"/>
    <col min="2302" max="2302" width="13" style="206" customWidth="1"/>
    <col min="2303" max="2303" width="25.875" style="206" customWidth="1"/>
    <col min="2304" max="2552" width="9" style="206"/>
    <col min="2553" max="2553" width="25.375" style="206" customWidth="1"/>
    <col min="2554" max="2555" width="9" style="206"/>
    <col min="2556" max="2556" width="7.375" style="206" customWidth="1"/>
    <col min="2557" max="2557" width="12.75" style="206" customWidth="1"/>
    <col min="2558" max="2558" width="13" style="206" customWidth="1"/>
    <col min="2559" max="2559" width="25.875" style="206" customWidth="1"/>
    <col min="2560" max="2808" width="9" style="206"/>
    <col min="2809" max="2809" width="25.375" style="206" customWidth="1"/>
    <col min="2810" max="2811" width="9" style="206"/>
    <col min="2812" max="2812" width="7.375" style="206" customWidth="1"/>
    <col min="2813" max="2813" width="12.75" style="206" customWidth="1"/>
    <col min="2814" max="2814" width="13" style="206" customWidth="1"/>
    <col min="2815" max="2815" width="25.875" style="206" customWidth="1"/>
    <col min="2816" max="3064" width="9" style="206"/>
    <col min="3065" max="3065" width="25.375" style="206" customWidth="1"/>
    <col min="3066" max="3067" width="9" style="206"/>
    <col min="3068" max="3068" width="7.375" style="206" customWidth="1"/>
    <col min="3069" max="3069" width="12.75" style="206" customWidth="1"/>
    <col min="3070" max="3070" width="13" style="206" customWidth="1"/>
    <col min="3071" max="3071" width="25.875" style="206" customWidth="1"/>
    <col min="3072" max="3320" width="9" style="206"/>
    <col min="3321" max="3321" width="25.375" style="206" customWidth="1"/>
    <col min="3322" max="3323" width="9" style="206"/>
    <col min="3324" max="3324" width="7.375" style="206" customWidth="1"/>
    <col min="3325" max="3325" width="12.75" style="206" customWidth="1"/>
    <col min="3326" max="3326" width="13" style="206" customWidth="1"/>
    <col min="3327" max="3327" width="25.875" style="206" customWidth="1"/>
    <col min="3328" max="3576" width="9" style="206"/>
    <col min="3577" max="3577" width="25.375" style="206" customWidth="1"/>
    <col min="3578" max="3579" width="9" style="206"/>
    <col min="3580" max="3580" width="7.375" style="206" customWidth="1"/>
    <col min="3581" max="3581" width="12.75" style="206" customWidth="1"/>
    <col min="3582" max="3582" width="13" style="206" customWidth="1"/>
    <col min="3583" max="3583" width="25.875" style="206" customWidth="1"/>
    <col min="3584" max="3832" width="9" style="206"/>
    <col min="3833" max="3833" width="25.375" style="206" customWidth="1"/>
    <col min="3834" max="3835" width="9" style="206"/>
    <col min="3836" max="3836" width="7.375" style="206" customWidth="1"/>
    <col min="3837" max="3837" width="12.75" style="206" customWidth="1"/>
    <col min="3838" max="3838" width="13" style="206" customWidth="1"/>
    <col min="3839" max="3839" width="25.875" style="206" customWidth="1"/>
    <col min="3840" max="4088" width="9" style="206"/>
    <col min="4089" max="4089" width="25.375" style="206" customWidth="1"/>
    <col min="4090" max="4091" width="9" style="206"/>
    <col min="4092" max="4092" width="7.375" style="206" customWidth="1"/>
    <col min="4093" max="4093" width="12.75" style="206" customWidth="1"/>
    <col min="4094" max="4094" width="13" style="206" customWidth="1"/>
    <col min="4095" max="4095" width="25.875" style="206" customWidth="1"/>
    <col min="4096" max="4344" width="9" style="206"/>
    <col min="4345" max="4345" width="25.375" style="206" customWidth="1"/>
    <col min="4346" max="4347" width="9" style="206"/>
    <col min="4348" max="4348" width="7.375" style="206" customWidth="1"/>
    <col min="4349" max="4349" width="12.75" style="206" customWidth="1"/>
    <col min="4350" max="4350" width="13" style="206" customWidth="1"/>
    <col min="4351" max="4351" width="25.875" style="206" customWidth="1"/>
    <col min="4352" max="4600" width="9" style="206"/>
    <col min="4601" max="4601" width="25.375" style="206" customWidth="1"/>
    <col min="4602" max="4603" width="9" style="206"/>
    <col min="4604" max="4604" width="7.375" style="206" customWidth="1"/>
    <col min="4605" max="4605" width="12.75" style="206" customWidth="1"/>
    <col min="4606" max="4606" width="13" style="206" customWidth="1"/>
    <col min="4607" max="4607" width="25.875" style="206" customWidth="1"/>
    <col min="4608" max="4856" width="9" style="206"/>
    <col min="4857" max="4857" width="25.375" style="206" customWidth="1"/>
    <col min="4858" max="4859" width="9" style="206"/>
    <col min="4860" max="4860" width="7.375" style="206" customWidth="1"/>
    <col min="4861" max="4861" width="12.75" style="206" customWidth="1"/>
    <col min="4862" max="4862" width="13" style="206" customWidth="1"/>
    <col min="4863" max="4863" width="25.875" style="206" customWidth="1"/>
    <col min="4864" max="5112" width="9" style="206"/>
    <col min="5113" max="5113" width="25.375" style="206" customWidth="1"/>
    <col min="5114" max="5115" width="9" style="206"/>
    <col min="5116" max="5116" width="7.375" style="206" customWidth="1"/>
    <col min="5117" max="5117" width="12.75" style="206" customWidth="1"/>
    <col min="5118" max="5118" width="13" style="206" customWidth="1"/>
    <col min="5119" max="5119" width="25.875" style="206" customWidth="1"/>
    <col min="5120" max="5368" width="9" style="206"/>
    <col min="5369" max="5369" width="25.375" style="206" customWidth="1"/>
    <col min="5370" max="5371" width="9" style="206"/>
    <col min="5372" max="5372" width="7.375" style="206" customWidth="1"/>
    <col min="5373" max="5373" width="12.75" style="206" customWidth="1"/>
    <col min="5374" max="5374" width="13" style="206" customWidth="1"/>
    <col min="5375" max="5375" width="25.875" style="206" customWidth="1"/>
    <col min="5376" max="5624" width="9" style="206"/>
    <col min="5625" max="5625" width="25.375" style="206" customWidth="1"/>
    <col min="5626" max="5627" width="9" style="206"/>
    <col min="5628" max="5628" width="7.375" style="206" customWidth="1"/>
    <col min="5629" max="5629" width="12.75" style="206" customWidth="1"/>
    <col min="5630" max="5630" width="13" style="206" customWidth="1"/>
    <col min="5631" max="5631" width="25.875" style="206" customWidth="1"/>
    <col min="5632" max="5880" width="9" style="206"/>
    <col min="5881" max="5881" width="25.375" style="206" customWidth="1"/>
    <col min="5882" max="5883" width="9" style="206"/>
    <col min="5884" max="5884" width="7.375" style="206" customWidth="1"/>
    <col min="5885" max="5885" width="12.75" style="206" customWidth="1"/>
    <col min="5886" max="5886" width="13" style="206" customWidth="1"/>
    <col min="5887" max="5887" width="25.875" style="206" customWidth="1"/>
    <col min="5888" max="6136" width="9" style="206"/>
    <col min="6137" max="6137" width="25.375" style="206" customWidth="1"/>
    <col min="6138" max="6139" width="9" style="206"/>
    <col min="6140" max="6140" width="7.375" style="206" customWidth="1"/>
    <col min="6141" max="6141" width="12.75" style="206" customWidth="1"/>
    <col min="6142" max="6142" width="13" style="206" customWidth="1"/>
    <col min="6143" max="6143" width="25.875" style="206" customWidth="1"/>
    <col min="6144" max="6392" width="9" style="206"/>
    <col min="6393" max="6393" width="25.375" style="206" customWidth="1"/>
    <col min="6394" max="6395" width="9" style="206"/>
    <col min="6396" max="6396" width="7.375" style="206" customWidth="1"/>
    <col min="6397" max="6397" width="12.75" style="206" customWidth="1"/>
    <col min="6398" max="6398" width="13" style="206" customWidth="1"/>
    <col min="6399" max="6399" width="25.875" style="206" customWidth="1"/>
    <col min="6400" max="6648" width="9" style="206"/>
    <col min="6649" max="6649" width="25.375" style="206" customWidth="1"/>
    <col min="6650" max="6651" width="9" style="206"/>
    <col min="6652" max="6652" width="7.375" style="206" customWidth="1"/>
    <col min="6653" max="6653" width="12.75" style="206" customWidth="1"/>
    <col min="6654" max="6654" width="13" style="206" customWidth="1"/>
    <col min="6655" max="6655" width="25.875" style="206" customWidth="1"/>
    <col min="6656" max="6904" width="9" style="206"/>
    <col min="6905" max="6905" width="25.375" style="206" customWidth="1"/>
    <col min="6906" max="6907" width="9" style="206"/>
    <col min="6908" max="6908" width="7.375" style="206" customWidth="1"/>
    <col min="6909" max="6909" width="12.75" style="206" customWidth="1"/>
    <col min="6910" max="6910" width="13" style="206" customWidth="1"/>
    <col min="6911" max="6911" width="25.875" style="206" customWidth="1"/>
    <col min="6912" max="7160" width="9" style="206"/>
    <col min="7161" max="7161" width="25.375" style="206" customWidth="1"/>
    <col min="7162" max="7163" width="9" style="206"/>
    <col min="7164" max="7164" width="7.375" style="206" customWidth="1"/>
    <col min="7165" max="7165" width="12.75" style="206" customWidth="1"/>
    <col min="7166" max="7166" width="13" style="206" customWidth="1"/>
    <col min="7167" max="7167" width="25.875" style="206" customWidth="1"/>
    <col min="7168" max="7416" width="9" style="206"/>
    <col min="7417" max="7417" width="25.375" style="206" customWidth="1"/>
    <col min="7418" max="7419" width="9" style="206"/>
    <col min="7420" max="7420" width="7.375" style="206" customWidth="1"/>
    <col min="7421" max="7421" width="12.75" style="206" customWidth="1"/>
    <col min="7422" max="7422" width="13" style="206" customWidth="1"/>
    <col min="7423" max="7423" width="25.875" style="206" customWidth="1"/>
    <col min="7424" max="7672" width="9" style="206"/>
    <col min="7673" max="7673" width="25.375" style="206" customWidth="1"/>
    <col min="7674" max="7675" width="9" style="206"/>
    <col min="7676" max="7676" width="7.375" style="206" customWidth="1"/>
    <col min="7677" max="7677" width="12.75" style="206" customWidth="1"/>
    <col min="7678" max="7678" width="13" style="206" customWidth="1"/>
    <col min="7679" max="7679" width="25.875" style="206" customWidth="1"/>
    <col min="7680" max="7928" width="9" style="206"/>
    <col min="7929" max="7929" width="25.375" style="206" customWidth="1"/>
    <col min="7930" max="7931" width="9" style="206"/>
    <col min="7932" max="7932" width="7.375" style="206" customWidth="1"/>
    <col min="7933" max="7933" width="12.75" style="206" customWidth="1"/>
    <col min="7934" max="7934" width="13" style="206" customWidth="1"/>
    <col min="7935" max="7935" width="25.875" style="206" customWidth="1"/>
    <col min="7936" max="8184" width="9" style="206"/>
    <col min="8185" max="8185" width="25.375" style="206" customWidth="1"/>
    <col min="8186" max="8187" width="9" style="206"/>
    <col min="8188" max="8188" width="7.375" style="206" customWidth="1"/>
    <col min="8189" max="8189" width="12.75" style="206" customWidth="1"/>
    <col min="8190" max="8190" width="13" style="206" customWidth="1"/>
    <col min="8191" max="8191" width="25.875" style="206" customWidth="1"/>
    <col min="8192" max="8440" width="9" style="206"/>
    <col min="8441" max="8441" width="25.375" style="206" customWidth="1"/>
    <col min="8442" max="8443" width="9" style="206"/>
    <col min="8444" max="8444" width="7.375" style="206" customWidth="1"/>
    <col min="8445" max="8445" width="12.75" style="206" customWidth="1"/>
    <col min="8446" max="8446" width="13" style="206" customWidth="1"/>
    <col min="8447" max="8447" width="25.875" style="206" customWidth="1"/>
    <col min="8448" max="8696" width="9" style="206"/>
    <col min="8697" max="8697" width="25.375" style="206" customWidth="1"/>
    <col min="8698" max="8699" width="9" style="206"/>
    <col min="8700" max="8700" width="7.375" style="206" customWidth="1"/>
    <col min="8701" max="8701" width="12.75" style="206" customWidth="1"/>
    <col min="8702" max="8702" width="13" style="206" customWidth="1"/>
    <col min="8703" max="8703" width="25.875" style="206" customWidth="1"/>
    <col min="8704" max="8952" width="9" style="206"/>
    <col min="8953" max="8953" width="25.375" style="206" customWidth="1"/>
    <col min="8954" max="8955" width="9" style="206"/>
    <col min="8956" max="8956" width="7.375" style="206" customWidth="1"/>
    <col min="8957" max="8957" width="12.75" style="206" customWidth="1"/>
    <col min="8958" max="8958" width="13" style="206" customWidth="1"/>
    <col min="8959" max="8959" width="25.875" style="206" customWidth="1"/>
    <col min="8960" max="9208" width="9" style="206"/>
    <col min="9209" max="9209" width="25.375" style="206" customWidth="1"/>
    <col min="9210" max="9211" width="9" style="206"/>
    <col min="9212" max="9212" width="7.375" style="206" customWidth="1"/>
    <col min="9213" max="9213" width="12.75" style="206" customWidth="1"/>
    <col min="9214" max="9214" width="13" style="206" customWidth="1"/>
    <col min="9215" max="9215" width="25.875" style="206" customWidth="1"/>
    <col min="9216" max="9464" width="9" style="206"/>
    <col min="9465" max="9465" width="25.375" style="206" customWidth="1"/>
    <col min="9466" max="9467" width="9" style="206"/>
    <col min="9468" max="9468" width="7.375" style="206" customWidth="1"/>
    <col min="9469" max="9469" width="12.75" style="206" customWidth="1"/>
    <col min="9470" max="9470" width="13" style="206" customWidth="1"/>
    <col min="9471" max="9471" width="25.875" style="206" customWidth="1"/>
    <col min="9472" max="9720" width="9" style="206"/>
    <col min="9721" max="9721" width="25.375" style="206" customWidth="1"/>
    <col min="9722" max="9723" width="9" style="206"/>
    <col min="9724" max="9724" width="7.375" style="206" customWidth="1"/>
    <col min="9725" max="9725" width="12.75" style="206" customWidth="1"/>
    <col min="9726" max="9726" width="13" style="206" customWidth="1"/>
    <col min="9727" max="9727" width="25.875" style="206" customWidth="1"/>
    <col min="9728" max="9976" width="9" style="206"/>
    <col min="9977" max="9977" width="25.375" style="206" customWidth="1"/>
    <col min="9978" max="9979" width="9" style="206"/>
    <col min="9980" max="9980" width="7.375" style="206" customWidth="1"/>
    <col min="9981" max="9981" width="12.75" style="206" customWidth="1"/>
    <col min="9982" max="9982" width="13" style="206" customWidth="1"/>
    <col min="9983" max="9983" width="25.875" style="206" customWidth="1"/>
    <col min="9984" max="10232" width="9" style="206"/>
    <col min="10233" max="10233" width="25.375" style="206" customWidth="1"/>
    <col min="10234" max="10235" width="9" style="206"/>
    <col min="10236" max="10236" width="7.375" style="206" customWidth="1"/>
    <col min="10237" max="10237" width="12.75" style="206" customWidth="1"/>
    <col min="10238" max="10238" width="13" style="206" customWidth="1"/>
    <col min="10239" max="10239" width="25.875" style="206" customWidth="1"/>
    <col min="10240" max="10488" width="9" style="206"/>
    <col min="10489" max="10489" width="25.375" style="206" customWidth="1"/>
    <col min="10490" max="10491" width="9" style="206"/>
    <col min="10492" max="10492" width="7.375" style="206" customWidth="1"/>
    <col min="10493" max="10493" width="12.75" style="206" customWidth="1"/>
    <col min="10494" max="10494" width="13" style="206" customWidth="1"/>
    <col min="10495" max="10495" width="25.875" style="206" customWidth="1"/>
    <col min="10496" max="10744" width="9" style="206"/>
    <col min="10745" max="10745" width="25.375" style="206" customWidth="1"/>
    <col min="10746" max="10747" width="9" style="206"/>
    <col min="10748" max="10748" width="7.375" style="206" customWidth="1"/>
    <col min="10749" max="10749" width="12.75" style="206" customWidth="1"/>
    <col min="10750" max="10750" width="13" style="206" customWidth="1"/>
    <col min="10751" max="10751" width="25.875" style="206" customWidth="1"/>
    <col min="10752" max="11000" width="9" style="206"/>
    <col min="11001" max="11001" width="25.375" style="206" customWidth="1"/>
    <col min="11002" max="11003" width="9" style="206"/>
    <col min="11004" max="11004" width="7.375" style="206" customWidth="1"/>
    <col min="11005" max="11005" width="12.75" style="206" customWidth="1"/>
    <col min="11006" max="11006" width="13" style="206" customWidth="1"/>
    <col min="11007" max="11007" width="25.875" style="206" customWidth="1"/>
    <col min="11008" max="11256" width="9" style="206"/>
    <col min="11257" max="11257" width="25.375" style="206" customWidth="1"/>
    <col min="11258" max="11259" width="9" style="206"/>
    <col min="11260" max="11260" width="7.375" style="206" customWidth="1"/>
    <col min="11261" max="11261" width="12.75" style="206" customWidth="1"/>
    <col min="11262" max="11262" width="13" style="206" customWidth="1"/>
    <col min="11263" max="11263" width="25.875" style="206" customWidth="1"/>
    <col min="11264" max="11512" width="9" style="206"/>
    <col min="11513" max="11513" width="25.375" style="206" customWidth="1"/>
    <col min="11514" max="11515" width="9" style="206"/>
    <col min="11516" max="11516" width="7.375" style="206" customWidth="1"/>
    <col min="11517" max="11517" width="12.75" style="206" customWidth="1"/>
    <col min="11518" max="11518" width="13" style="206" customWidth="1"/>
    <col min="11519" max="11519" width="25.875" style="206" customWidth="1"/>
    <col min="11520" max="11768" width="9" style="206"/>
    <col min="11769" max="11769" width="25.375" style="206" customWidth="1"/>
    <col min="11770" max="11771" width="9" style="206"/>
    <col min="11772" max="11772" width="7.375" style="206" customWidth="1"/>
    <col min="11773" max="11773" width="12.75" style="206" customWidth="1"/>
    <col min="11774" max="11774" width="13" style="206" customWidth="1"/>
    <col min="11775" max="11775" width="25.875" style="206" customWidth="1"/>
    <col min="11776" max="12024" width="9" style="206"/>
    <col min="12025" max="12025" width="25.375" style="206" customWidth="1"/>
    <col min="12026" max="12027" width="9" style="206"/>
    <col min="12028" max="12028" width="7.375" style="206" customWidth="1"/>
    <col min="12029" max="12029" width="12.75" style="206" customWidth="1"/>
    <col min="12030" max="12030" width="13" style="206" customWidth="1"/>
    <col min="12031" max="12031" width="25.875" style="206" customWidth="1"/>
    <col min="12032" max="12280" width="9" style="206"/>
    <col min="12281" max="12281" width="25.375" style="206" customWidth="1"/>
    <col min="12282" max="12283" width="9" style="206"/>
    <col min="12284" max="12284" width="7.375" style="206" customWidth="1"/>
    <col min="12285" max="12285" width="12.75" style="206" customWidth="1"/>
    <col min="12286" max="12286" width="13" style="206" customWidth="1"/>
    <col min="12287" max="12287" width="25.875" style="206" customWidth="1"/>
    <col min="12288" max="12536" width="9" style="206"/>
    <col min="12537" max="12537" width="25.375" style="206" customWidth="1"/>
    <col min="12538" max="12539" width="9" style="206"/>
    <col min="12540" max="12540" width="7.375" style="206" customWidth="1"/>
    <col min="12541" max="12541" width="12.75" style="206" customWidth="1"/>
    <col min="12542" max="12542" width="13" style="206" customWidth="1"/>
    <col min="12543" max="12543" width="25.875" style="206" customWidth="1"/>
    <col min="12544" max="12792" width="9" style="206"/>
    <col min="12793" max="12793" width="25.375" style="206" customWidth="1"/>
    <col min="12794" max="12795" width="9" style="206"/>
    <col min="12796" max="12796" width="7.375" style="206" customWidth="1"/>
    <col min="12797" max="12797" width="12.75" style="206" customWidth="1"/>
    <col min="12798" max="12798" width="13" style="206" customWidth="1"/>
    <col min="12799" max="12799" width="25.875" style="206" customWidth="1"/>
    <col min="12800" max="13048" width="9" style="206"/>
    <col min="13049" max="13049" width="25.375" style="206" customWidth="1"/>
    <col min="13050" max="13051" width="9" style="206"/>
    <col min="13052" max="13052" width="7.375" style="206" customWidth="1"/>
    <col min="13053" max="13053" width="12.75" style="206" customWidth="1"/>
    <col min="13054" max="13054" width="13" style="206" customWidth="1"/>
    <col min="13055" max="13055" width="25.875" style="206" customWidth="1"/>
    <col min="13056" max="13304" width="9" style="206"/>
    <col min="13305" max="13305" width="25.375" style="206" customWidth="1"/>
    <col min="13306" max="13307" width="9" style="206"/>
    <col min="13308" max="13308" width="7.375" style="206" customWidth="1"/>
    <col min="13309" max="13309" width="12.75" style="206" customWidth="1"/>
    <col min="13310" max="13310" width="13" style="206" customWidth="1"/>
    <col min="13311" max="13311" width="25.875" style="206" customWidth="1"/>
    <col min="13312" max="13560" width="9" style="206"/>
    <col min="13561" max="13561" width="25.375" style="206" customWidth="1"/>
    <col min="13562" max="13563" width="9" style="206"/>
    <col min="13564" max="13564" width="7.375" style="206" customWidth="1"/>
    <col min="13565" max="13565" width="12.75" style="206" customWidth="1"/>
    <col min="13566" max="13566" width="13" style="206" customWidth="1"/>
    <col min="13567" max="13567" width="25.875" style="206" customWidth="1"/>
    <col min="13568" max="13816" width="9" style="206"/>
    <col min="13817" max="13817" width="25.375" style="206" customWidth="1"/>
    <col min="13818" max="13819" width="9" style="206"/>
    <col min="13820" max="13820" width="7.375" style="206" customWidth="1"/>
    <col min="13821" max="13821" width="12.75" style="206" customWidth="1"/>
    <col min="13822" max="13822" width="13" style="206" customWidth="1"/>
    <col min="13823" max="13823" width="25.875" style="206" customWidth="1"/>
    <col min="13824" max="14072" width="9" style="206"/>
    <col min="14073" max="14073" width="25.375" style="206" customWidth="1"/>
    <col min="14074" max="14075" width="9" style="206"/>
    <col min="14076" max="14076" width="7.375" style="206" customWidth="1"/>
    <col min="14077" max="14077" width="12.75" style="206" customWidth="1"/>
    <col min="14078" max="14078" width="13" style="206" customWidth="1"/>
    <col min="14079" max="14079" width="25.875" style="206" customWidth="1"/>
    <col min="14080" max="14328" width="9" style="206"/>
    <col min="14329" max="14329" width="25.375" style="206" customWidth="1"/>
    <col min="14330" max="14331" width="9" style="206"/>
    <col min="14332" max="14332" width="7.375" style="206" customWidth="1"/>
    <col min="14333" max="14333" width="12.75" style="206" customWidth="1"/>
    <col min="14334" max="14334" width="13" style="206" customWidth="1"/>
    <col min="14335" max="14335" width="25.875" style="206" customWidth="1"/>
    <col min="14336" max="14584" width="9" style="206"/>
    <col min="14585" max="14585" width="25.375" style="206" customWidth="1"/>
    <col min="14586" max="14587" width="9" style="206"/>
    <col min="14588" max="14588" width="7.375" style="206" customWidth="1"/>
    <col min="14589" max="14589" width="12.75" style="206" customWidth="1"/>
    <col min="14590" max="14590" width="13" style="206" customWidth="1"/>
    <col min="14591" max="14591" width="25.875" style="206" customWidth="1"/>
    <col min="14592" max="14840" width="9" style="206"/>
    <col min="14841" max="14841" width="25.375" style="206" customWidth="1"/>
    <col min="14842" max="14843" width="9" style="206"/>
    <col min="14844" max="14844" width="7.375" style="206" customWidth="1"/>
    <col min="14845" max="14845" width="12.75" style="206" customWidth="1"/>
    <col min="14846" max="14846" width="13" style="206" customWidth="1"/>
    <col min="14847" max="14847" width="25.875" style="206" customWidth="1"/>
    <col min="14848" max="15096" width="9" style="206"/>
    <col min="15097" max="15097" width="25.375" style="206" customWidth="1"/>
    <col min="15098" max="15099" width="9" style="206"/>
    <col min="15100" max="15100" width="7.375" style="206" customWidth="1"/>
    <col min="15101" max="15101" width="12.75" style="206" customWidth="1"/>
    <col min="15102" max="15102" width="13" style="206" customWidth="1"/>
    <col min="15103" max="15103" width="25.875" style="206" customWidth="1"/>
    <col min="15104" max="15352" width="9" style="206"/>
    <col min="15353" max="15353" width="25.375" style="206" customWidth="1"/>
    <col min="15354" max="15355" width="9" style="206"/>
    <col min="15356" max="15356" width="7.375" style="206" customWidth="1"/>
    <col min="15357" max="15357" width="12.75" style="206" customWidth="1"/>
    <col min="15358" max="15358" width="13" style="206" customWidth="1"/>
    <col min="15359" max="15359" width="25.875" style="206" customWidth="1"/>
    <col min="15360" max="15608" width="9" style="206"/>
    <col min="15609" max="15609" width="25.375" style="206" customWidth="1"/>
    <col min="15610" max="15611" width="9" style="206"/>
    <col min="15612" max="15612" width="7.375" style="206" customWidth="1"/>
    <col min="15613" max="15613" width="12.75" style="206" customWidth="1"/>
    <col min="15614" max="15614" width="13" style="206" customWidth="1"/>
    <col min="15615" max="15615" width="25.875" style="206" customWidth="1"/>
    <col min="15616" max="15864" width="9" style="206"/>
    <col min="15865" max="15865" width="25.375" style="206" customWidth="1"/>
    <col min="15866" max="15867" width="9" style="206"/>
    <col min="15868" max="15868" width="7.375" style="206" customWidth="1"/>
    <col min="15869" max="15869" width="12.75" style="206" customWidth="1"/>
    <col min="15870" max="15870" width="13" style="206" customWidth="1"/>
    <col min="15871" max="15871" width="25.875" style="206" customWidth="1"/>
    <col min="15872" max="16120" width="9" style="206"/>
    <col min="16121" max="16121" width="25.375" style="206" customWidth="1"/>
    <col min="16122" max="16123" width="9" style="206"/>
    <col min="16124" max="16124" width="7.375" style="206" customWidth="1"/>
    <col min="16125" max="16125" width="12.75" style="206" customWidth="1"/>
    <col min="16126" max="16126" width="13" style="206" customWidth="1"/>
    <col min="16127" max="16127" width="25.875" style="206" customWidth="1"/>
    <col min="16128" max="16384" width="9" style="206"/>
  </cols>
  <sheetData>
    <row r="1" spans="1:8">
      <c r="A1" s="1375" t="s">
        <v>1717</v>
      </c>
      <c r="B1" s="1375"/>
      <c r="C1" s="1375"/>
      <c r="D1" s="1375"/>
      <c r="E1" s="1375"/>
      <c r="F1" s="1375"/>
      <c r="G1" s="1375"/>
      <c r="H1" s="1375"/>
    </row>
    <row r="2" spans="1:8">
      <c r="A2" s="207"/>
      <c r="B2" s="206"/>
      <c r="C2" s="206"/>
    </row>
    <row r="3" spans="1:8" ht="12.75" customHeight="1">
      <c r="A3" s="1376" t="s">
        <v>1718</v>
      </c>
      <c r="B3" s="1376" t="s">
        <v>1719</v>
      </c>
      <c r="C3" s="1376" t="s">
        <v>42</v>
      </c>
      <c r="D3" s="1379" t="s">
        <v>1720</v>
      </c>
      <c r="E3" s="1380"/>
      <c r="F3" s="1376" t="s">
        <v>1721</v>
      </c>
      <c r="G3" s="1376" t="s">
        <v>1722</v>
      </c>
      <c r="H3" s="1376" t="s">
        <v>1723</v>
      </c>
    </row>
    <row r="4" spans="1:8">
      <c r="A4" s="1377"/>
      <c r="B4" s="1377"/>
      <c r="C4" s="1377"/>
      <c r="D4" s="789" t="s">
        <v>43</v>
      </c>
      <c r="E4" s="789" t="s">
        <v>1724</v>
      </c>
      <c r="F4" s="1377"/>
      <c r="G4" s="1377"/>
      <c r="H4" s="1377"/>
    </row>
    <row r="5" spans="1:8">
      <c r="A5" s="1378"/>
      <c r="B5" s="1378"/>
      <c r="C5" s="790" t="s">
        <v>1725</v>
      </c>
      <c r="D5" s="790" t="s">
        <v>1726</v>
      </c>
      <c r="E5" s="790" t="s">
        <v>1727</v>
      </c>
      <c r="F5" s="790" t="s">
        <v>1728</v>
      </c>
      <c r="G5" s="208" t="s">
        <v>1729</v>
      </c>
      <c r="H5" s="790" t="s">
        <v>1730</v>
      </c>
    </row>
    <row r="6" spans="1:8">
      <c r="A6" s="209"/>
      <c r="B6" s="210"/>
      <c r="C6" s="211"/>
      <c r="D6" s="212"/>
      <c r="E6" s="212"/>
      <c r="F6" s="212" t="e">
        <f>C6*D6/E6</f>
        <v>#DIV/0!</v>
      </c>
      <c r="G6" s="213"/>
      <c r="H6" s="214" t="e">
        <f>F6*G6</f>
        <v>#DIV/0!</v>
      </c>
    </row>
    <row r="7" spans="1:8">
      <c r="A7" s="209"/>
      <c r="B7" s="210"/>
      <c r="C7" s="211"/>
      <c r="D7" s="212"/>
      <c r="E7" s="212"/>
      <c r="F7" s="212" t="e">
        <f>C7*D7/E7</f>
        <v>#DIV/0!</v>
      </c>
      <c r="G7" s="213"/>
      <c r="H7" s="214" t="e">
        <f>F7*G7</f>
        <v>#DIV/0!</v>
      </c>
    </row>
    <row r="8" spans="1:8">
      <c r="A8" s="209"/>
      <c r="B8" s="210"/>
      <c r="C8" s="211"/>
      <c r="D8" s="215"/>
      <c r="E8" s="215"/>
      <c r="F8" s="215" t="e">
        <f>C8*D8/E8</f>
        <v>#DIV/0!</v>
      </c>
      <c r="G8" s="213"/>
      <c r="H8" s="216" t="e">
        <f>F8*G8</f>
        <v>#DIV/0!</v>
      </c>
    </row>
    <row r="9" spans="1:8">
      <c r="A9" s="209"/>
      <c r="B9" s="230"/>
      <c r="C9" s="211"/>
      <c r="D9" s="231"/>
      <c r="E9" s="231"/>
      <c r="F9" s="231" t="e">
        <f>C9*D9/E9</f>
        <v>#DIV/0!</v>
      </c>
      <c r="G9" s="213"/>
      <c r="H9" s="216" t="e">
        <f>F9*G9</f>
        <v>#DIV/0!</v>
      </c>
    </row>
    <row r="10" spans="1:8">
      <c r="A10" s="209"/>
      <c r="B10" s="210"/>
      <c r="C10" s="211"/>
      <c r="D10" s="231"/>
      <c r="E10" s="215"/>
      <c r="F10" s="215" t="e">
        <f>C10*D10/E10</f>
        <v>#DIV/0!</v>
      </c>
      <c r="G10" s="213"/>
      <c r="H10" s="216" t="e">
        <f>F10*G10</f>
        <v>#DIV/0!</v>
      </c>
    </row>
    <row r="11" spans="1:8">
      <c r="A11" s="225" t="s">
        <v>1731</v>
      </c>
      <c r="B11" s="217"/>
      <c r="C11" s="218"/>
      <c r="D11" s="219"/>
      <c r="E11" s="219"/>
      <c r="F11" s="218" t="e">
        <f>SUM(F7:F10)</f>
        <v>#DIV/0!</v>
      </c>
      <c r="G11" s="220"/>
      <c r="H11" s="220" t="e">
        <f>SUM(H7:H10)*11%+H6</f>
        <v>#DIV/0!</v>
      </c>
    </row>
    <row r="12" spans="1:8">
      <c r="A12" s="221"/>
      <c r="B12" s="222"/>
      <c r="C12" s="223"/>
      <c r="D12" s="224"/>
      <c r="E12" s="224"/>
      <c r="F12" s="223">
        <v>2</v>
      </c>
      <c r="G12" s="216"/>
      <c r="H12" s="216">
        <f>G12*F12</f>
        <v>0</v>
      </c>
    </row>
    <row r="13" spans="1:8">
      <c r="A13" s="225" t="s">
        <v>1732</v>
      </c>
      <c r="B13" s="226"/>
      <c r="C13" s="218"/>
      <c r="D13" s="219"/>
      <c r="E13" s="219"/>
      <c r="F13" s="218"/>
      <c r="G13" s="220"/>
      <c r="H13" s="220" t="e">
        <f>SUM(H11:H12)</f>
        <v>#DIV/0!</v>
      </c>
    </row>
    <row r="14" spans="1:8">
      <c r="A14" s="207"/>
      <c r="B14" s="206"/>
      <c r="C14" s="206"/>
    </row>
    <row r="15" spans="1:8">
      <c r="A15" s="207"/>
      <c r="B15" s="206"/>
      <c r="C15" s="206"/>
    </row>
    <row r="16" spans="1:8">
      <c r="A16" s="1375" t="s">
        <v>1733</v>
      </c>
      <c r="B16" s="1375"/>
      <c r="C16" s="1375"/>
      <c r="D16" s="1375"/>
      <c r="E16" s="1375"/>
      <c r="F16" s="1375"/>
      <c r="G16" s="1375"/>
      <c r="H16" s="1375"/>
    </row>
    <row r="17" spans="1:8">
      <c r="A17" s="227"/>
      <c r="B17" s="227"/>
      <c r="C17" s="227"/>
      <c r="D17" s="227"/>
      <c r="E17" s="227"/>
      <c r="F17" s="227"/>
      <c r="G17" s="227"/>
      <c r="H17" s="227"/>
    </row>
    <row r="18" spans="1:8" ht="28.5" customHeight="1">
      <c r="A18" s="1376"/>
      <c r="B18" s="1376" t="s">
        <v>41</v>
      </c>
      <c r="C18" s="1376" t="s">
        <v>42</v>
      </c>
      <c r="D18" s="1379" t="s">
        <v>1720</v>
      </c>
      <c r="E18" s="1380"/>
      <c r="F18" s="1376" t="s">
        <v>1721</v>
      </c>
      <c r="G18" s="1376" t="s">
        <v>1722</v>
      </c>
      <c r="H18" s="1376" t="s">
        <v>1723</v>
      </c>
    </row>
    <row r="19" spans="1:8">
      <c r="A19" s="1377"/>
      <c r="B19" s="1377"/>
      <c r="C19" s="1377"/>
      <c r="D19" s="789" t="s">
        <v>43</v>
      </c>
      <c r="E19" s="789" t="s">
        <v>1724</v>
      </c>
      <c r="F19" s="1377"/>
      <c r="G19" s="1377"/>
      <c r="H19" s="1377"/>
    </row>
    <row r="20" spans="1:8">
      <c r="A20" s="1378"/>
      <c r="B20" s="1378"/>
      <c r="C20" s="790" t="s">
        <v>1725</v>
      </c>
      <c r="D20" s="790" t="s">
        <v>1726</v>
      </c>
      <c r="E20" s="790" t="s">
        <v>1727</v>
      </c>
      <c r="F20" s="790" t="s">
        <v>1728</v>
      </c>
      <c r="G20" s="208" t="s">
        <v>1729</v>
      </c>
      <c r="H20" s="790" t="s">
        <v>1730</v>
      </c>
    </row>
    <row r="21" spans="1:8">
      <c r="A21" s="209"/>
      <c r="B21" s="210"/>
      <c r="C21" s="211"/>
      <c r="D21" s="212"/>
      <c r="E21" s="212"/>
      <c r="F21" s="212" t="e">
        <f>C21*D21/E21</f>
        <v>#DIV/0!</v>
      </c>
      <c r="G21" s="213"/>
      <c r="H21" s="213" t="e">
        <f>F21*G21</f>
        <v>#DIV/0!</v>
      </c>
    </row>
    <row r="22" spans="1:8">
      <c r="A22" s="209"/>
      <c r="B22" s="210"/>
      <c r="C22" s="211"/>
      <c r="D22" s="212"/>
      <c r="E22" s="212"/>
      <c r="F22" s="212" t="e">
        <f>C22*D22/E22</f>
        <v>#DIV/0!</v>
      </c>
      <c r="G22" s="213"/>
      <c r="H22" s="213" t="e">
        <f>F22*G22</f>
        <v>#DIV/0!</v>
      </c>
    </row>
    <row r="23" spans="1:8">
      <c r="A23" s="209"/>
      <c r="B23" s="210"/>
      <c r="C23" s="211"/>
      <c r="D23" s="212"/>
      <c r="E23" s="212"/>
      <c r="F23" s="212" t="e">
        <f>C23*D23/E23</f>
        <v>#DIV/0!</v>
      </c>
      <c r="G23" s="213"/>
      <c r="H23" s="213" t="e">
        <f>F23*G23</f>
        <v>#DIV/0!</v>
      </c>
    </row>
    <row r="24" spans="1:8">
      <c r="A24" s="225" t="s">
        <v>1731</v>
      </c>
      <c r="B24" s="217"/>
      <c r="C24" s="218"/>
      <c r="D24" s="219"/>
      <c r="E24" s="219"/>
      <c r="F24" s="218" t="e">
        <f>SUM(F21:F23)</f>
        <v>#DIV/0!</v>
      </c>
      <c r="G24" s="220"/>
      <c r="H24" s="220" t="e">
        <f>SUM(H21:H23)</f>
        <v>#DIV/0!</v>
      </c>
    </row>
    <row r="25" spans="1:8">
      <c r="A25" s="221"/>
      <c r="B25" s="222"/>
      <c r="C25" s="223"/>
      <c r="D25" s="224"/>
      <c r="E25" s="224"/>
      <c r="F25" s="223">
        <v>1</v>
      </c>
      <c r="G25" s="216"/>
      <c r="H25" s="216">
        <f>G25*F25</f>
        <v>0</v>
      </c>
    </row>
    <row r="26" spans="1:8">
      <c r="A26" s="225" t="s">
        <v>1732</v>
      </c>
      <c r="B26" s="226"/>
      <c r="C26" s="218"/>
      <c r="D26" s="219"/>
      <c r="E26" s="219"/>
      <c r="F26" s="218"/>
      <c r="G26" s="220"/>
      <c r="H26" s="220" t="e">
        <f>SUM(H24:H25)</f>
        <v>#DIV/0!</v>
      </c>
    </row>
    <row r="27" spans="1:8">
      <c r="A27" s="207"/>
      <c r="B27" s="206"/>
      <c r="C27" s="206"/>
    </row>
    <row r="28" spans="1:8">
      <c r="A28" s="207"/>
      <c r="B28" s="206"/>
      <c r="C28" s="206"/>
    </row>
    <row r="29" spans="1:8">
      <c r="A29" s="1375" t="s">
        <v>1734</v>
      </c>
      <c r="B29" s="1375"/>
      <c r="C29" s="1375"/>
      <c r="D29" s="1375"/>
      <c r="E29" s="1375"/>
      <c r="F29" s="1375"/>
      <c r="G29" s="1375"/>
      <c r="H29" s="1375"/>
    </row>
    <row r="30" spans="1:8">
      <c r="A30" s="207"/>
      <c r="B30" s="206"/>
      <c r="C30" s="206"/>
    </row>
    <row r="31" spans="1:8" ht="12.75" customHeight="1">
      <c r="A31" s="1376"/>
      <c r="B31" s="1376" t="s">
        <v>41</v>
      </c>
      <c r="C31" s="1376" t="s">
        <v>42</v>
      </c>
      <c r="D31" s="1379" t="s">
        <v>1720</v>
      </c>
      <c r="E31" s="1380"/>
      <c r="F31" s="1376" t="s">
        <v>1721</v>
      </c>
      <c r="G31" s="1376" t="s">
        <v>1722</v>
      </c>
      <c r="H31" s="1376" t="s">
        <v>1723</v>
      </c>
    </row>
    <row r="32" spans="1:8">
      <c r="A32" s="1377"/>
      <c r="B32" s="1377"/>
      <c r="C32" s="1377"/>
      <c r="D32" s="789" t="s">
        <v>43</v>
      </c>
      <c r="E32" s="789" t="s">
        <v>1724</v>
      </c>
      <c r="F32" s="1377"/>
      <c r="G32" s="1377"/>
      <c r="H32" s="1377"/>
    </row>
    <row r="33" spans="1:8">
      <c r="A33" s="1378"/>
      <c r="B33" s="1378"/>
      <c r="C33" s="790" t="s">
        <v>1725</v>
      </c>
      <c r="D33" s="790" t="s">
        <v>1726</v>
      </c>
      <c r="E33" s="790" t="s">
        <v>1727</v>
      </c>
      <c r="F33" s="790" t="s">
        <v>1728</v>
      </c>
      <c r="G33" s="208" t="s">
        <v>1729</v>
      </c>
      <c r="H33" s="790" t="s">
        <v>1730</v>
      </c>
    </row>
    <row r="34" spans="1:8">
      <c r="A34" s="209"/>
      <c r="B34" s="210"/>
      <c r="C34" s="211"/>
      <c r="D34" s="212"/>
      <c r="E34" s="212"/>
      <c r="F34" s="212" t="e">
        <f>C34*D34/E34</f>
        <v>#DIV/0!</v>
      </c>
      <c r="G34" s="213"/>
      <c r="H34" s="214" t="e">
        <f>F34*G34</f>
        <v>#DIV/0!</v>
      </c>
    </row>
    <row r="35" spans="1:8">
      <c r="A35" s="209"/>
      <c r="B35" s="210"/>
      <c r="C35" s="211"/>
      <c r="D35" s="212"/>
      <c r="E35" s="212"/>
      <c r="F35" s="212" t="e">
        <f>C35*D35/E35</f>
        <v>#DIV/0!</v>
      </c>
      <c r="G35" s="213"/>
      <c r="H35" s="214" t="e">
        <f>F35*G35</f>
        <v>#DIV/0!</v>
      </c>
    </row>
    <row r="36" spans="1:8">
      <c r="A36" s="209"/>
      <c r="B36" s="210"/>
      <c r="C36" s="211"/>
      <c r="D36" s="215"/>
      <c r="E36" s="215"/>
      <c r="F36" s="215" t="e">
        <f>C36*D36/E36</f>
        <v>#DIV/0!</v>
      </c>
      <c r="G36" s="213"/>
      <c r="H36" s="216" t="e">
        <f>F36*G36</f>
        <v>#DIV/0!</v>
      </c>
    </row>
    <row r="37" spans="1:8">
      <c r="A37" s="225" t="s">
        <v>1731</v>
      </c>
      <c r="B37" s="217"/>
      <c r="C37" s="228"/>
      <c r="D37" s="219"/>
      <c r="E37" s="219"/>
      <c r="F37" s="218" t="e">
        <f>SUM(F34:F36)</f>
        <v>#DIV/0!</v>
      </c>
      <c r="G37" s="220"/>
      <c r="H37" s="220" t="e">
        <f>SUM(H34:H36)</f>
        <v>#DIV/0!</v>
      </c>
    </row>
    <row r="38" spans="1:8">
      <c r="A38" s="221"/>
      <c r="B38" s="222"/>
      <c r="C38" s="223"/>
      <c r="D38" s="224"/>
      <c r="E38" s="224"/>
      <c r="F38" s="223">
        <v>2</v>
      </c>
      <c r="G38" s="216"/>
      <c r="H38" s="216">
        <f>G38*F38</f>
        <v>0</v>
      </c>
    </row>
    <row r="39" spans="1:8">
      <c r="A39" s="225" t="s">
        <v>1732</v>
      </c>
      <c r="B39" s="226"/>
      <c r="C39" s="218"/>
      <c r="D39" s="219"/>
      <c r="E39" s="219"/>
      <c r="F39" s="218"/>
      <c r="G39" s="220"/>
      <c r="H39" s="220" t="e">
        <f>SUM(H37:H38)</f>
        <v>#DIV/0!</v>
      </c>
    </row>
    <row r="40" spans="1:8">
      <c r="A40" s="207"/>
      <c r="B40" s="206"/>
      <c r="C40" s="206"/>
    </row>
    <row r="41" spans="1:8">
      <c r="A41" s="207"/>
      <c r="B41" s="206"/>
      <c r="C41" s="206"/>
    </row>
    <row r="42" spans="1:8">
      <c r="A42" s="1381" t="s">
        <v>1735</v>
      </c>
      <c r="B42" s="1381"/>
      <c r="C42" s="1381"/>
      <c r="D42" s="1381"/>
      <c r="E42" s="1381"/>
      <c r="F42" s="1381"/>
      <c r="G42" s="1381"/>
      <c r="H42" s="1381"/>
    </row>
    <row r="43" spans="1:8">
      <c r="A43" s="1162"/>
      <c r="B43" s="1162"/>
      <c r="C43" s="1162"/>
      <c r="D43" s="1162"/>
      <c r="E43" s="1162"/>
      <c r="F43" s="1162"/>
      <c r="G43" s="1162"/>
      <c r="H43" s="1162"/>
    </row>
    <row r="44" spans="1:8" ht="12.75" customHeight="1">
      <c r="A44" s="1382"/>
      <c r="B44" s="1382" t="s">
        <v>41</v>
      </c>
      <c r="C44" s="1382" t="s">
        <v>42</v>
      </c>
      <c r="D44" s="1385" t="s">
        <v>1720</v>
      </c>
      <c r="E44" s="1386"/>
      <c r="F44" s="1382" t="s">
        <v>1721</v>
      </c>
      <c r="G44" s="1382" t="s">
        <v>1722</v>
      </c>
      <c r="H44" s="1382" t="s">
        <v>1723</v>
      </c>
    </row>
    <row r="45" spans="1:8">
      <c r="A45" s="1383"/>
      <c r="B45" s="1383"/>
      <c r="C45" s="1383"/>
      <c r="D45" s="1163" t="s">
        <v>43</v>
      </c>
      <c r="E45" s="1163" t="s">
        <v>1724</v>
      </c>
      <c r="F45" s="1383"/>
      <c r="G45" s="1383"/>
      <c r="H45" s="1383"/>
    </row>
    <row r="46" spans="1:8">
      <c r="A46" s="1384"/>
      <c r="B46" s="1384"/>
      <c r="C46" s="1164" t="s">
        <v>1725</v>
      </c>
      <c r="D46" s="1164" t="s">
        <v>1726</v>
      </c>
      <c r="E46" s="1164" t="s">
        <v>1727</v>
      </c>
      <c r="F46" s="1164" t="s">
        <v>1728</v>
      </c>
      <c r="G46" s="1165" t="s">
        <v>1729</v>
      </c>
      <c r="H46" s="1164" t="s">
        <v>1730</v>
      </c>
    </row>
    <row r="47" spans="1:8">
      <c r="A47" s="1156"/>
      <c r="B47" s="1157"/>
      <c r="C47" s="1158"/>
      <c r="D47" s="1166"/>
      <c r="E47" s="1166"/>
      <c r="F47" s="1166" t="e">
        <f>C47*D47/E47</f>
        <v>#DIV/0!</v>
      </c>
      <c r="G47" s="1160"/>
      <c r="H47" s="1160" t="e">
        <f>F47*G47</f>
        <v>#DIV/0!</v>
      </c>
    </row>
    <row r="48" spans="1:8">
      <c r="A48" s="1156"/>
      <c r="B48" s="1157"/>
      <c r="C48" s="1158"/>
      <c r="D48" s="1166"/>
      <c r="E48" s="1166"/>
      <c r="F48" s="1166" t="e">
        <f>C48*D48/E48</f>
        <v>#DIV/0!</v>
      </c>
      <c r="G48" s="1160"/>
      <c r="H48" s="1160" t="e">
        <f>F48*G48</f>
        <v>#DIV/0!</v>
      </c>
    </row>
    <row r="49" spans="1:8">
      <c r="A49" s="1156"/>
      <c r="B49" s="1157"/>
      <c r="C49" s="1158"/>
      <c r="D49" s="1166"/>
      <c r="E49" s="1166"/>
      <c r="F49" s="1166" t="e">
        <f>C49*D49/E49</f>
        <v>#DIV/0!</v>
      </c>
      <c r="G49" s="1160"/>
      <c r="H49" s="1160" t="e">
        <f>F49*G49</f>
        <v>#DIV/0!</v>
      </c>
    </row>
    <row r="50" spans="1:8">
      <c r="A50" s="1167" t="s">
        <v>1731</v>
      </c>
      <c r="B50" s="1156"/>
      <c r="C50" s="1168"/>
      <c r="D50" s="1159"/>
      <c r="E50" s="1159"/>
      <c r="F50" s="1168" t="e">
        <f>SUM(F47:F49)</f>
        <v>#DIV/0!</v>
      </c>
      <c r="G50" s="1161"/>
      <c r="H50" s="1161" t="e">
        <f>SUM(H47:H49)</f>
        <v>#DIV/0!</v>
      </c>
    </row>
    <row r="51" spans="1:8">
      <c r="A51" s="1167"/>
      <c r="B51" s="1169"/>
      <c r="C51" s="1168"/>
      <c r="D51" s="1159"/>
      <c r="E51" s="1159"/>
      <c r="F51" s="1168" t="e">
        <f>F50/2</f>
        <v>#DIV/0!</v>
      </c>
      <c r="G51" s="1161"/>
      <c r="H51" s="1161" t="e">
        <f>G51*F51</f>
        <v>#DIV/0!</v>
      </c>
    </row>
    <row r="52" spans="1:8">
      <c r="A52" s="1167"/>
      <c r="B52" s="1170"/>
      <c r="C52" s="1168"/>
      <c r="D52" s="1159"/>
      <c r="E52" s="1159"/>
      <c r="F52" s="1168"/>
      <c r="G52" s="1161"/>
      <c r="H52" s="1161" t="e">
        <f>SUM(H50:H51)</f>
        <v>#DIV/0!</v>
      </c>
    </row>
    <row r="53" spans="1:8">
      <c r="A53" s="207"/>
      <c r="B53" s="206"/>
      <c r="C53" s="206"/>
    </row>
    <row r="54" spans="1:8">
      <c r="A54" s="207"/>
      <c r="B54" s="206"/>
      <c r="C54" s="206"/>
    </row>
    <row r="55" spans="1:8">
      <c r="A55" s="1375" t="s">
        <v>1736</v>
      </c>
      <c r="B55" s="1375"/>
      <c r="C55" s="1375"/>
      <c r="D55" s="1375"/>
      <c r="E55" s="1375"/>
      <c r="F55" s="1375"/>
      <c r="G55" s="1375"/>
      <c r="H55" s="1375"/>
    </row>
    <row r="56" spans="1:8">
      <c r="A56" s="227"/>
      <c r="B56" s="227"/>
      <c r="C56" s="227"/>
      <c r="D56" s="227"/>
      <c r="E56" s="227"/>
      <c r="F56" s="227"/>
      <c r="G56" s="227"/>
      <c r="H56" s="227"/>
    </row>
    <row r="57" spans="1:8" ht="12.75" customHeight="1">
      <c r="A57" s="1376"/>
      <c r="B57" s="1376" t="s">
        <v>41</v>
      </c>
      <c r="C57" s="1376" t="s">
        <v>42</v>
      </c>
      <c r="D57" s="1379" t="s">
        <v>1720</v>
      </c>
      <c r="E57" s="1380"/>
      <c r="F57" s="1376" t="s">
        <v>1721</v>
      </c>
      <c r="G57" s="1376" t="s">
        <v>1722</v>
      </c>
      <c r="H57" s="1376" t="s">
        <v>1723</v>
      </c>
    </row>
    <row r="58" spans="1:8">
      <c r="A58" s="1377"/>
      <c r="B58" s="1377"/>
      <c r="C58" s="1377"/>
      <c r="D58" s="789" t="s">
        <v>43</v>
      </c>
      <c r="E58" s="789" t="s">
        <v>1724</v>
      </c>
      <c r="F58" s="1377"/>
      <c r="G58" s="1377"/>
      <c r="H58" s="1377"/>
    </row>
    <row r="59" spans="1:8">
      <c r="A59" s="1378"/>
      <c r="B59" s="1378"/>
      <c r="C59" s="790" t="s">
        <v>1725</v>
      </c>
      <c r="D59" s="790" t="s">
        <v>1726</v>
      </c>
      <c r="E59" s="790" t="s">
        <v>1727</v>
      </c>
      <c r="F59" s="790" t="s">
        <v>1728</v>
      </c>
      <c r="G59" s="208" t="s">
        <v>1729</v>
      </c>
      <c r="H59" s="790" t="s">
        <v>1730</v>
      </c>
    </row>
    <row r="60" spans="1:8">
      <c r="A60" s="209"/>
      <c r="B60" s="210"/>
      <c r="C60" s="211"/>
      <c r="D60" s="212"/>
      <c r="E60" s="212"/>
      <c r="F60" s="212" t="e">
        <f>C60*D60/E60</f>
        <v>#DIV/0!</v>
      </c>
      <c r="G60" s="213"/>
      <c r="H60" s="213" t="e">
        <f>F60*G60</f>
        <v>#DIV/0!</v>
      </c>
    </row>
    <row r="61" spans="1:8">
      <c r="A61" s="209"/>
      <c r="B61" s="210"/>
      <c r="C61" s="211"/>
      <c r="D61" s="212"/>
      <c r="E61" s="212"/>
      <c r="F61" s="212" t="e">
        <f>C61*D61/E61</f>
        <v>#DIV/0!</v>
      </c>
      <c r="G61" s="213"/>
      <c r="H61" s="213" t="e">
        <f>F61*G61</f>
        <v>#DIV/0!</v>
      </c>
    </row>
    <row r="62" spans="1:8">
      <c r="A62" s="209"/>
      <c r="B62" s="1171"/>
      <c r="C62" s="211"/>
      <c r="D62" s="212"/>
      <c r="E62" s="212"/>
      <c r="F62" s="212" t="e">
        <f>C62*D62/E62</f>
        <v>#DIV/0!</v>
      </c>
      <c r="G62" s="213"/>
      <c r="H62" s="213" t="e">
        <f>F62*G62</f>
        <v>#DIV/0!</v>
      </c>
    </row>
    <row r="63" spans="1:8">
      <c r="A63" s="225" t="s">
        <v>1731</v>
      </c>
      <c r="B63" s="217"/>
      <c r="C63" s="218"/>
      <c r="D63" s="219"/>
      <c r="E63" s="219"/>
      <c r="F63" s="218" t="e">
        <f>SUM(F60:F62)</f>
        <v>#DIV/0!</v>
      </c>
      <c r="G63" s="220"/>
      <c r="H63" s="220" t="e">
        <f>SUM(H60:H62)</f>
        <v>#DIV/0!</v>
      </c>
    </row>
    <row r="64" spans="1:8">
      <c r="A64" s="221"/>
      <c r="B64" s="222"/>
      <c r="C64" s="223"/>
      <c r="D64" s="224"/>
      <c r="E64" s="224"/>
      <c r="F64" s="223">
        <v>1</v>
      </c>
      <c r="G64" s="216"/>
      <c r="H64" s="216">
        <f>G64*F64</f>
        <v>0</v>
      </c>
    </row>
    <row r="65" spans="1:8">
      <c r="A65" s="225" t="s">
        <v>1732</v>
      </c>
      <c r="B65" s="226"/>
      <c r="C65" s="218"/>
      <c r="D65" s="219"/>
      <c r="E65" s="219"/>
      <c r="F65" s="218"/>
      <c r="G65" s="220"/>
      <c r="H65" s="220" t="e">
        <f>SUM(H63:H64)</f>
        <v>#DIV/0!</v>
      </c>
    </row>
    <row r="67" spans="1:8" ht="12.75" customHeight="1"/>
    <row r="68" spans="1:8">
      <c r="A68" s="1375" t="s">
        <v>1737</v>
      </c>
      <c r="B68" s="1375"/>
      <c r="C68" s="1375"/>
      <c r="D68" s="1375"/>
      <c r="E68" s="1375"/>
      <c r="F68" s="1375"/>
      <c r="G68" s="1375"/>
      <c r="H68" s="1375"/>
    </row>
    <row r="69" spans="1:8">
      <c r="A69" s="227"/>
      <c r="B69" s="227"/>
      <c r="C69" s="227"/>
      <c r="D69" s="227"/>
      <c r="E69" s="227"/>
      <c r="F69" s="227"/>
      <c r="G69" s="227"/>
      <c r="H69" s="227"/>
    </row>
    <row r="70" spans="1:8" ht="12.75" customHeight="1">
      <c r="A70" s="1376"/>
      <c r="B70" s="1376" t="s">
        <v>41</v>
      </c>
      <c r="C70" s="1376" t="s">
        <v>42</v>
      </c>
      <c r="D70" s="1379" t="s">
        <v>1720</v>
      </c>
      <c r="E70" s="1380"/>
      <c r="F70" s="1376" t="s">
        <v>1721</v>
      </c>
      <c r="G70" s="1376" t="s">
        <v>1722</v>
      </c>
      <c r="H70" s="1376" t="s">
        <v>1723</v>
      </c>
    </row>
    <row r="71" spans="1:8">
      <c r="A71" s="1377"/>
      <c r="B71" s="1377"/>
      <c r="C71" s="1377"/>
      <c r="D71" s="789" t="s">
        <v>43</v>
      </c>
      <c r="E71" s="789" t="s">
        <v>1724</v>
      </c>
      <c r="F71" s="1377"/>
      <c r="G71" s="1377"/>
      <c r="H71" s="1377"/>
    </row>
    <row r="72" spans="1:8">
      <c r="A72" s="1378"/>
      <c r="B72" s="1378"/>
      <c r="C72" s="790" t="s">
        <v>1725</v>
      </c>
      <c r="D72" s="790" t="s">
        <v>1726</v>
      </c>
      <c r="E72" s="790" t="s">
        <v>1727</v>
      </c>
      <c r="F72" s="790" t="s">
        <v>1728</v>
      </c>
      <c r="G72" s="208" t="s">
        <v>1729</v>
      </c>
      <c r="H72" s="790" t="s">
        <v>1730</v>
      </c>
    </row>
    <row r="73" spans="1:8">
      <c r="A73" s="209"/>
      <c r="B73" s="210"/>
      <c r="C73" s="211"/>
      <c r="D73" s="212"/>
      <c r="E73" s="212"/>
      <c r="F73" s="212" t="e">
        <f>C73*D73/E73</f>
        <v>#DIV/0!</v>
      </c>
      <c r="G73" s="213"/>
      <c r="H73" s="213" t="e">
        <f>F73*G73</f>
        <v>#DIV/0!</v>
      </c>
    </row>
    <row r="74" spans="1:8">
      <c r="A74" s="209"/>
      <c r="B74" s="210"/>
      <c r="C74" s="211"/>
      <c r="D74" s="212"/>
      <c r="E74" s="212"/>
      <c r="F74" s="212" t="e">
        <f>C74*D74/E74</f>
        <v>#DIV/0!</v>
      </c>
      <c r="G74" s="213"/>
      <c r="H74" s="213" t="e">
        <f>F74*G74</f>
        <v>#DIV/0!</v>
      </c>
    </row>
    <row r="75" spans="1:8">
      <c r="A75" s="209"/>
      <c r="B75" s="210"/>
      <c r="C75" s="211"/>
      <c r="D75" s="212"/>
      <c r="E75" s="212"/>
      <c r="F75" s="212" t="e">
        <f>C75*D75/E75</f>
        <v>#DIV/0!</v>
      </c>
      <c r="G75" s="213"/>
      <c r="H75" s="213" t="e">
        <f>F75*G75</f>
        <v>#DIV/0!</v>
      </c>
    </row>
    <row r="76" spans="1:8">
      <c r="A76" s="225" t="s">
        <v>1731</v>
      </c>
      <c r="B76" s="217"/>
      <c r="C76" s="218"/>
      <c r="D76" s="219"/>
      <c r="E76" s="219"/>
      <c r="F76" s="218" t="e">
        <f>SUM(F73:F75)</f>
        <v>#DIV/0!</v>
      </c>
      <c r="G76" s="220"/>
      <c r="H76" s="220" t="e">
        <f>SUM(H73:H75)</f>
        <v>#DIV/0!</v>
      </c>
    </row>
    <row r="77" spans="1:8">
      <c r="A77" s="221"/>
      <c r="B77" s="222"/>
      <c r="C77" s="223"/>
      <c r="D77" s="224"/>
      <c r="E77" s="224"/>
      <c r="F77" s="223">
        <v>1</v>
      </c>
      <c r="G77" s="216">
        <v>500</v>
      </c>
      <c r="H77" s="216">
        <f>G77*F77</f>
        <v>500</v>
      </c>
    </row>
    <row r="78" spans="1:8">
      <c r="A78" s="225" t="s">
        <v>1738</v>
      </c>
      <c r="B78" s="226"/>
      <c r="C78" s="218"/>
      <c r="D78" s="219"/>
      <c r="E78" s="219"/>
      <c r="F78" s="218"/>
      <c r="G78" s="220"/>
      <c r="H78" s="220" t="e">
        <f>SUM(H76:H77)</f>
        <v>#DIV/0!</v>
      </c>
    </row>
  </sheetData>
  <mergeCells count="48">
    <mergeCell ref="A68:H68"/>
    <mergeCell ref="A70:A72"/>
    <mergeCell ref="B70:B72"/>
    <mergeCell ref="C70:C71"/>
    <mergeCell ref="D70:E70"/>
    <mergeCell ref="F70:F71"/>
    <mergeCell ref="G70:G71"/>
    <mergeCell ref="H70:H71"/>
    <mergeCell ref="A55:H55"/>
    <mergeCell ref="A57:A59"/>
    <mergeCell ref="B57:B59"/>
    <mergeCell ref="C57:C58"/>
    <mergeCell ref="D57:E57"/>
    <mergeCell ref="F57:F58"/>
    <mergeCell ref="G57:G58"/>
    <mergeCell ref="H57:H58"/>
    <mergeCell ref="A42:H42"/>
    <mergeCell ref="A44:A46"/>
    <mergeCell ref="B44:B46"/>
    <mergeCell ref="C44:C45"/>
    <mergeCell ref="D44:E44"/>
    <mergeCell ref="F44:F45"/>
    <mergeCell ref="G44:G45"/>
    <mergeCell ref="H44:H45"/>
    <mergeCell ref="A29:H29"/>
    <mergeCell ref="A31:A33"/>
    <mergeCell ref="B31:B33"/>
    <mergeCell ref="C31:C32"/>
    <mergeCell ref="D31:E31"/>
    <mergeCell ref="F31:F32"/>
    <mergeCell ref="G31:G32"/>
    <mergeCell ref="H31:H32"/>
    <mergeCell ref="A16:H16"/>
    <mergeCell ref="A18:A20"/>
    <mergeCell ref="B18:B20"/>
    <mergeCell ref="C18:C19"/>
    <mergeCell ref="D18:E18"/>
    <mergeCell ref="F18:F19"/>
    <mergeCell ref="G18:G19"/>
    <mergeCell ref="H18:H19"/>
    <mergeCell ref="A1:H1"/>
    <mergeCell ref="A3:A5"/>
    <mergeCell ref="B3:B5"/>
    <mergeCell ref="C3:C4"/>
    <mergeCell ref="D3:E3"/>
    <mergeCell ref="F3:F4"/>
    <mergeCell ref="G3:G4"/>
    <mergeCell ref="H3:H4"/>
  </mergeCells>
  <phoneticPr fontId="1" type="noConversion"/>
  <printOptions horizontalCentered="1"/>
  <pageMargins left="0.31496062992125984" right="0.31496062992125984" top="0.39370078740157483" bottom="0.43307086614173229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E73"/>
  <sheetViews>
    <sheetView showGridLines="0" topLeftCell="A61" zoomScale="90" zoomScaleNormal="90" workbookViewId="0">
      <selection activeCell="A4" sqref="A4:A10"/>
    </sheetView>
  </sheetViews>
  <sheetFormatPr defaultRowHeight="12.75"/>
  <cols>
    <col min="1" max="1" width="24.375" style="241" customWidth="1"/>
    <col min="2" max="2" width="15" style="241" customWidth="1"/>
    <col min="3" max="3" width="10.375" style="232" customWidth="1"/>
    <col min="4" max="4" width="17.625" style="232" customWidth="1"/>
    <col min="5" max="5" width="81.5" style="232" customWidth="1"/>
    <col min="6" max="238" width="9" style="232"/>
    <col min="239" max="239" width="25.375" style="232" customWidth="1"/>
    <col min="240" max="241" width="9" style="232"/>
    <col min="242" max="242" width="7.375" style="232" customWidth="1"/>
    <col min="243" max="243" width="12.75" style="232" customWidth="1"/>
    <col min="244" max="244" width="13" style="232" customWidth="1"/>
    <col min="245" max="245" width="25.875" style="232" customWidth="1"/>
    <col min="246" max="494" width="9" style="232"/>
    <col min="495" max="495" width="25.375" style="232" customWidth="1"/>
    <col min="496" max="497" width="9" style="232"/>
    <col min="498" max="498" width="7.375" style="232" customWidth="1"/>
    <col min="499" max="499" width="12.75" style="232" customWidth="1"/>
    <col min="500" max="500" width="13" style="232" customWidth="1"/>
    <col min="501" max="501" width="25.875" style="232" customWidth="1"/>
    <col min="502" max="750" width="9" style="232"/>
    <col min="751" max="751" width="25.375" style="232" customWidth="1"/>
    <col min="752" max="753" width="9" style="232"/>
    <col min="754" max="754" width="7.375" style="232" customWidth="1"/>
    <col min="755" max="755" width="12.75" style="232" customWidth="1"/>
    <col min="756" max="756" width="13" style="232" customWidth="1"/>
    <col min="757" max="757" width="25.875" style="232" customWidth="1"/>
    <col min="758" max="1006" width="9" style="232"/>
    <col min="1007" max="1007" width="25.375" style="232" customWidth="1"/>
    <col min="1008" max="1009" width="9" style="232"/>
    <col min="1010" max="1010" width="7.375" style="232" customWidth="1"/>
    <col min="1011" max="1011" width="12.75" style="232" customWidth="1"/>
    <col min="1012" max="1012" width="13" style="232" customWidth="1"/>
    <col min="1013" max="1013" width="25.875" style="232" customWidth="1"/>
    <col min="1014" max="1262" width="9" style="232"/>
    <col min="1263" max="1263" width="25.375" style="232" customWidth="1"/>
    <col min="1264" max="1265" width="9" style="232"/>
    <col min="1266" max="1266" width="7.375" style="232" customWidth="1"/>
    <col min="1267" max="1267" width="12.75" style="232" customWidth="1"/>
    <col min="1268" max="1268" width="13" style="232" customWidth="1"/>
    <col min="1269" max="1269" width="25.875" style="232" customWidth="1"/>
    <col min="1270" max="1518" width="9" style="232"/>
    <col min="1519" max="1519" width="25.375" style="232" customWidth="1"/>
    <col min="1520" max="1521" width="9" style="232"/>
    <col min="1522" max="1522" width="7.375" style="232" customWidth="1"/>
    <col min="1523" max="1523" width="12.75" style="232" customWidth="1"/>
    <col min="1524" max="1524" width="13" style="232" customWidth="1"/>
    <col min="1525" max="1525" width="25.875" style="232" customWidth="1"/>
    <col min="1526" max="1774" width="9" style="232"/>
    <col min="1775" max="1775" width="25.375" style="232" customWidth="1"/>
    <col min="1776" max="1777" width="9" style="232"/>
    <col min="1778" max="1778" width="7.375" style="232" customWidth="1"/>
    <col min="1779" max="1779" width="12.75" style="232" customWidth="1"/>
    <col min="1780" max="1780" width="13" style="232" customWidth="1"/>
    <col min="1781" max="1781" width="25.875" style="232" customWidth="1"/>
    <col min="1782" max="2030" width="9" style="232"/>
    <col min="2031" max="2031" width="25.375" style="232" customWidth="1"/>
    <col min="2032" max="2033" width="9" style="232"/>
    <col min="2034" max="2034" width="7.375" style="232" customWidth="1"/>
    <col min="2035" max="2035" width="12.75" style="232" customWidth="1"/>
    <col min="2036" max="2036" width="13" style="232" customWidth="1"/>
    <col min="2037" max="2037" width="25.875" style="232" customWidth="1"/>
    <col min="2038" max="2286" width="9" style="232"/>
    <col min="2287" max="2287" width="25.375" style="232" customWidth="1"/>
    <col min="2288" max="2289" width="9" style="232"/>
    <col min="2290" max="2290" width="7.375" style="232" customWidth="1"/>
    <col min="2291" max="2291" width="12.75" style="232" customWidth="1"/>
    <col min="2292" max="2292" width="13" style="232" customWidth="1"/>
    <col min="2293" max="2293" width="25.875" style="232" customWidth="1"/>
    <col min="2294" max="2542" width="9" style="232"/>
    <col min="2543" max="2543" width="25.375" style="232" customWidth="1"/>
    <col min="2544" max="2545" width="9" style="232"/>
    <col min="2546" max="2546" width="7.375" style="232" customWidth="1"/>
    <col min="2547" max="2547" width="12.75" style="232" customWidth="1"/>
    <col min="2548" max="2548" width="13" style="232" customWidth="1"/>
    <col min="2549" max="2549" width="25.875" style="232" customWidth="1"/>
    <col min="2550" max="2798" width="9" style="232"/>
    <col min="2799" max="2799" width="25.375" style="232" customWidth="1"/>
    <col min="2800" max="2801" width="9" style="232"/>
    <col min="2802" max="2802" width="7.375" style="232" customWidth="1"/>
    <col min="2803" max="2803" width="12.75" style="232" customWidth="1"/>
    <col min="2804" max="2804" width="13" style="232" customWidth="1"/>
    <col min="2805" max="2805" width="25.875" style="232" customWidth="1"/>
    <col min="2806" max="3054" width="9" style="232"/>
    <col min="3055" max="3055" width="25.375" style="232" customWidth="1"/>
    <col min="3056" max="3057" width="9" style="232"/>
    <col min="3058" max="3058" width="7.375" style="232" customWidth="1"/>
    <col min="3059" max="3059" width="12.75" style="232" customWidth="1"/>
    <col min="3060" max="3060" width="13" style="232" customWidth="1"/>
    <col min="3061" max="3061" width="25.875" style="232" customWidth="1"/>
    <col min="3062" max="3310" width="9" style="232"/>
    <col min="3311" max="3311" width="25.375" style="232" customWidth="1"/>
    <col min="3312" max="3313" width="9" style="232"/>
    <col min="3314" max="3314" width="7.375" style="232" customWidth="1"/>
    <col min="3315" max="3315" width="12.75" style="232" customWidth="1"/>
    <col min="3316" max="3316" width="13" style="232" customWidth="1"/>
    <col min="3317" max="3317" width="25.875" style="232" customWidth="1"/>
    <col min="3318" max="3566" width="9" style="232"/>
    <col min="3567" max="3567" width="25.375" style="232" customWidth="1"/>
    <col min="3568" max="3569" width="9" style="232"/>
    <col min="3570" max="3570" width="7.375" style="232" customWidth="1"/>
    <col min="3571" max="3571" width="12.75" style="232" customWidth="1"/>
    <col min="3572" max="3572" width="13" style="232" customWidth="1"/>
    <col min="3573" max="3573" width="25.875" style="232" customWidth="1"/>
    <col min="3574" max="3822" width="9" style="232"/>
    <col min="3823" max="3823" width="25.375" style="232" customWidth="1"/>
    <col min="3824" max="3825" width="9" style="232"/>
    <col min="3826" max="3826" width="7.375" style="232" customWidth="1"/>
    <col min="3827" max="3827" width="12.75" style="232" customWidth="1"/>
    <col min="3828" max="3828" width="13" style="232" customWidth="1"/>
    <col min="3829" max="3829" width="25.875" style="232" customWidth="1"/>
    <col min="3830" max="4078" width="9" style="232"/>
    <col min="4079" max="4079" width="25.375" style="232" customWidth="1"/>
    <col min="4080" max="4081" width="9" style="232"/>
    <col min="4082" max="4082" width="7.375" style="232" customWidth="1"/>
    <col min="4083" max="4083" width="12.75" style="232" customWidth="1"/>
    <col min="4084" max="4084" width="13" style="232" customWidth="1"/>
    <col min="4085" max="4085" width="25.875" style="232" customWidth="1"/>
    <col min="4086" max="4334" width="9" style="232"/>
    <col min="4335" max="4335" width="25.375" style="232" customWidth="1"/>
    <col min="4336" max="4337" width="9" style="232"/>
    <col min="4338" max="4338" width="7.375" style="232" customWidth="1"/>
    <col min="4339" max="4339" width="12.75" style="232" customWidth="1"/>
    <col min="4340" max="4340" width="13" style="232" customWidth="1"/>
    <col min="4341" max="4341" width="25.875" style="232" customWidth="1"/>
    <col min="4342" max="4590" width="9" style="232"/>
    <col min="4591" max="4591" width="25.375" style="232" customWidth="1"/>
    <col min="4592" max="4593" width="9" style="232"/>
    <col min="4594" max="4594" width="7.375" style="232" customWidth="1"/>
    <col min="4595" max="4595" width="12.75" style="232" customWidth="1"/>
    <col min="4596" max="4596" width="13" style="232" customWidth="1"/>
    <col min="4597" max="4597" width="25.875" style="232" customWidth="1"/>
    <col min="4598" max="4846" width="9" style="232"/>
    <col min="4847" max="4847" width="25.375" style="232" customWidth="1"/>
    <col min="4848" max="4849" width="9" style="232"/>
    <col min="4850" max="4850" width="7.375" style="232" customWidth="1"/>
    <col min="4851" max="4851" width="12.75" style="232" customWidth="1"/>
    <col min="4852" max="4852" width="13" style="232" customWidth="1"/>
    <col min="4853" max="4853" width="25.875" style="232" customWidth="1"/>
    <col min="4854" max="5102" width="9" style="232"/>
    <col min="5103" max="5103" width="25.375" style="232" customWidth="1"/>
    <col min="5104" max="5105" width="9" style="232"/>
    <col min="5106" max="5106" width="7.375" style="232" customWidth="1"/>
    <col min="5107" max="5107" width="12.75" style="232" customWidth="1"/>
    <col min="5108" max="5108" width="13" style="232" customWidth="1"/>
    <col min="5109" max="5109" width="25.875" style="232" customWidth="1"/>
    <col min="5110" max="5358" width="9" style="232"/>
    <col min="5359" max="5359" width="25.375" style="232" customWidth="1"/>
    <col min="5360" max="5361" width="9" style="232"/>
    <col min="5362" max="5362" width="7.375" style="232" customWidth="1"/>
    <col min="5363" max="5363" width="12.75" style="232" customWidth="1"/>
    <col min="5364" max="5364" width="13" style="232" customWidth="1"/>
    <col min="5365" max="5365" width="25.875" style="232" customWidth="1"/>
    <col min="5366" max="5614" width="9" style="232"/>
    <col min="5615" max="5615" width="25.375" style="232" customWidth="1"/>
    <col min="5616" max="5617" width="9" style="232"/>
    <col min="5618" max="5618" width="7.375" style="232" customWidth="1"/>
    <col min="5619" max="5619" width="12.75" style="232" customWidth="1"/>
    <col min="5620" max="5620" width="13" style="232" customWidth="1"/>
    <col min="5621" max="5621" width="25.875" style="232" customWidth="1"/>
    <col min="5622" max="5870" width="9" style="232"/>
    <col min="5871" max="5871" width="25.375" style="232" customWidth="1"/>
    <col min="5872" max="5873" width="9" style="232"/>
    <col min="5874" max="5874" width="7.375" style="232" customWidth="1"/>
    <col min="5875" max="5875" width="12.75" style="232" customWidth="1"/>
    <col min="5876" max="5876" width="13" style="232" customWidth="1"/>
    <col min="5877" max="5877" width="25.875" style="232" customWidth="1"/>
    <col min="5878" max="6126" width="9" style="232"/>
    <col min="6127" max="6127" width="25.375" style="232" customWidth="1"/>
    <col min="6128" max="6129" width="9" style="232"/>
    <col min="6130" max="6130" width="7.375" style="232" customWidth="1"/>
    <col min="6131" max="6131" width="12.75" style="232" customWidth="1"/>
    <col min="6132" max="6132" width="13" style="232" customWidth="1"/>
    <col min="6133" max="6133" width="25.875" style="232" customWidth="1"/>
    <col min="6134" max="6382" width="9" style="232"/>
    <col min="6383" max="6383" width="25.375" style="232" customWidth="1"/>
    <col min="6384" max="6385" width="9" style="232"/>
    <col min="6386" max="6386" width="7.375" style="232" customWidth="1"/>
    <col min="6387" max="6387" width="12.75" style="232" customWidth="1"/>
    <col min="6388" max="6388" width="13" style="232" customWidth="1"/>
    <col min="6389" max="6389" width="25.875" style="232" customWidth="1"/>
    <col min="6390" max="6638" width="9" style="232"/>
    <col min="6639" max="6639" width="25.375" style="232" customWidth="1"/>
    <col min="6640" max="6641" width="9" style="232"/>
    <col min="6642" max="6642" width="7.375" style="232" customWidth="1"/>
    <col min="6643" max="6643" width="12.75" style="232" customWidth="1"/>
    <col min="6644" max="6644" width="13" style="232" customWidth="1"/>
    <col min="6645" max="6645" width="25.875" style="232" customWidth="1"/>
    <col min="6646" max="6894" width="9" style="232"/>
    <col min="6895" max="6895" width="25.375" style="232" customWidth="1"/>
    <col min="6896" max="6897" width="9" style="232"/>
    <col min="6898" max="6898" width="7.375" style="232" customWidth="1"/>
    <col min="6899" max="6899" width="12.75" style="232" customWidth="1"/>
    <col min="6900" max="6900" width="13" style="232" customWidth="1"/>
    <col min="6901" max="6901" width="25.875" style="232" customWidth="1"/>
    <col min="6902" max="7150" width="9" style="232"/>
    <col min="7151" max="7151" width="25.375" style="232" customWidth="1"/>
    <col min="7152" max="7153" width="9" style="232"/>
    <col min="7154" max="7154" width="7.375" style="232" customWidth="1"/>
    <col min="7155" max="7155" width="12.75" style="232" customWidth="1"/>
    <col min="7156" max="7156" width="13" style="232" customWidth="1"/>
    <col min="7157" max="7157" width="25.875" style="232" customWidth="1"/>
    <col min="7158" max="7406" width="9" style="232"/>
    <col min="7407" max="7407" width="25.375" style="232" customWidth="1"/>
    <col min="7408" max="7409" width="9" style="232"/>
    <col min="7410" max="7410" width="7.375" style="232" customWidth="1"/>
    <col min="7411" max="7411" width="12.75" style="232" customWidth="1"/>
    <col min="7412" max="7412" width="13" style="232" customWidth="1"/>
    <col min="7413" max="7413" width="25.875" style="232" customWidth="1"/>
    <col min="7414" max="7662" width="9" style="232"/>
    <col min="7663" max="7663" width="25.375" style="232" customWidth="1"/>
    <col min="7664" max="7665" width="9" style="232"/>
    <col min="7666" max="7666" width="7.375" style="232" customWidth="1"/>
    <col min="7667" max="7667" width="12.75" style="232" customWidth="1"/>
    <col min="7668" max="7668" width="13" style="232" customWidth="1"/>
    <col min="7669" max="7669" width="25.875" style="232" customWidth="1"/>
    <col min="7670" max="7918" width="9" style="232"/>
    <col min="7919" max="7919" width="25.375" style="232" customWidth="1"/>
    <col min="7920" max="7921" width="9" style="232"/>
    <col min="7922" max="7922" width="7.375" style="232" customWidth="1"/>
    <col min="7923" max="7923" width="12.75" style="232" customWidth="1"/>
    <col min="7924" max="7924" width="13" style="232" customWidth="1"/>
    <col min="7925" max="7925" width="25.875" style="232" customWidth="1"/>
    <col min="7926" max="8174" width="9" style="232"/>
    <col min="8175" max="8175" width="25.375" style="232" customWidth="1"/>
    <col min="8176" max="8177" width="9" style="232"/>
    <col min="8178" max="8178" width="7.375" style="232" customWidth="1"/>
    <col min="8179" max="8179" width="12.75" style="232" customWidth="1"/>
    <col min="8180" max="8180" width="13" style="232" customWidth="1"/>
    <col min="8181" max="8181" width="25.875" style="232" customWidth="1"/>
    <col min="8182" max="8430" width="9" style="232"/>
    <col min="8431" max="8431" width="25.375" style="232" customWidth="1"/>
    <col min="8432" max="8433" width="9" style="232"/>
    <col min="8434" max="8434" width="7.375" style="232" customWidth="1"/>
    <col min="8435" max="8435" width="12.75" style="232" customWidth="1"/>
    <col min="8436" max="8436" width="13" style="232" customWidth="1"/>
    <col min="8437" max="8437" width="25.875" style="232" customWidth="1"/>
    <col min="8438" max="8686" width="9" style="232"/>
    <col min="8687" max="8687" width="25.375" style="232" customWidth="1"/>
    <col min="8688" max="8689" width="9" style="232"/>
    <col min="8690" max="8690" width="7.375" style="232" customWidth="1"/>
    <col min="8691" max="8691" width="12.75" style="232" customWidth="1"/>
    <col min="8692" max="8692" width="13" style="232" customWidth="1"/>
    <col min="8693" max="8693" width="25.875" style="232" customWidth="1"/>
    <col min="8694" max="8942" width="9" style="232"/>
    <col min="8943" max="8943" width="25.375" style="232" customWidth="1"/>
    <col min="8944" max="8945" width="9" style="232"/>
    <col min="8946" max="8946" width="7.375" style="232" customWidth="1"/>
    <col min="8947" max="8947" width="12.75" style="232" customWidth="1"/>
    <col min="8948" max="8948" width="13" style="232" customWidth="1"/>
    <col min="8949" max="8949" width="25.875" style="232" customWidth="1"/>
    <col min="8950" max="9198" width="9" style="232"/>
    <col min="9199" max="9199" width="25.375" style="232" customWidth="1"/>
    <col min="9200" max="9201" width="9" style="232"/>
    <col min="9202" max="9202" width="7.375" style="232" customWidth="1"/>
    <col min="9203" max="9203" width="12.75" style="232" customWidth="1"/>
    <col min="9204" max="9204" width="13" style="232" customWidth="1"/>
    <col min="9205" max="9205" width="25.875" style="232" customWidth="1"/>
    <col min="9206" max="9454" width="9" style="232"/>
    <col min="9455" max="9455" width="25.375" style="232" customWidth="1"/>
    <col min="9456" max="9457" width="9" style="232"/>
    <col min="9458" max="9458" width="7.375" style="232" customWidth="1"/>
    <col min="9459" max="9459" width="12.75" style="232" customWidth="1"/>
    <col min="9460" max="9460" width="13" style="232" customWidth="1"/>
    <col min="9461" max="9461" width="25.875" style="232" customWidth="1"/>
    <col min="9462" max="9710" width="9" style="232"/>
    <col min="9711" max="9711" width="25.375" style="232" customWidth="1"/>
    <col min="9712" max="9713" width="9" style="232"/>
    <col min="9714" max="9714" width="7.375" style="232" customWidth="1"/>
    <col min="9715" max="9715" width="12.75" style="232" customWidth="1"/>
    <col min="9716" max="9716" width="13" style="232" customWidth="1"/>
    <col min="9717" max="9717" width="25.875" style="232" customWidth="1"/>
    <col min="9718" max="9966" width="9" style="232"/>
    <col min="9967" max="9967" width="25.375" style="232" customWidth="1"/>
    <col min="9968" max="9969" width="9" style="232"/>
    <col min="9970" max="9970" width="7.375" style="232" customWidth="1"/>
    <col min="9971" max="9971" width="12.75" style="232" customWidth="1"/>
    <col min="9972" max="9972" width="13" style="232" customWidth="1"/>
    <col min="9973" max="9973" width="25.875" style="232" customWidth="1"/>
    <col min="9974" max="10222" width="9" style="232"/>
    <col min="10223" max="10223" width="25.375" style="232" customWidth="1"/>
    <col min="10224" max="10225" width="9" style="232"/>
    <col min="10226" max="10226" width="7.375" style="232" customWidth="1"/>
    <col min="10227" max="10227" width="12.75" style="232" customWidth="1"/>
    <col min="10228" max="10228" width="13" style="232" customWidth="1"/>
    <col min="10229" max="10229" width="25.875" style="232" customWidth="1"/>
    <col min="10230" max="10478" width="9" style="232"/>
    <col min="10479" max="10479" width="25.375" style="232" customWidth="1"/>
    <col min="10480" max="10481" width="9" style="232"/>
    <col min="10482" max="10482" width="7.375" style="232" customWidth="1"/>
    <col min="10483" max="10483" width="12.75" style="232" customWidth="1"/>
    <col min="10484" max="10484" width="13" style="232" customWidth="1"/>
    <col min="10485" max="10485" width="25.875" style="232" customWidth="1"/>
    <col min="10486" max="10734" width="9" style="232"/>
    <col min="10735" max="10735" width="25.375" style="232" customWidth="1"/>
    <col min="10736" max="10737" width="9" style="232"/>
    <col min="10738" max="10738" width="7.375" style="232" customWidth="1"/>
    <col min="10739" max="10739" width="12.75" style="232" customWidth="1"/>
    <col min="10740" max="10740" width="13" style="232" customWidth="1"/>
    <col min="10741" max="10741" width="25.875" style="232" customWidth="1"/>
    <col min="10742" max="10990" width="9" style="232"/>
    <col min="10991" max="10991" width="25.375" style="232" customWidth="1"/>
    <col min="10992" max="10993" width="9" style="232"/>
    <col min="10994" max="10994" width="7.375" style="232" customWidth="1"/>
    <col min="10995" max="10995" width="12.75" style="232" customWidth="1"/>
    <col min="10996" max="10996" width="13" style="232" customWidth="1"/>
    <col min="10997" max="10997" width="25.875" style="232" customWidth="1"/>
    <col min="10998" max="11246" width="9" style="232"/>
    <col min="11247" max="11247" width="25.375" style="232" customWidth="1"/>
    <col min="11248" max="11249" width="9" style="232"/>
    <col min="11250" max="11250" width="7.375" style="232" customWidth="1"/>
    <col min="11251" max="11251" width="12.75" style="232" customWidth="1"/>
    <col min="11252" max="11252" width="13" style="232" customWidth="1"/>
    <col min="11253" max="11253" width="25.875" style="232" customWidth="1"/>
    <col min="11254" max="11502" width="9" style="232"/>
    <col min="11503" max="11503" width="25.375" style="232" customWidth="1"/>
    <col min="11504" max="11505" width="9" style="232"/>
    <col min="11506" max="11506" width="7.375" style="232" customWidth="1"/>
    <col min="11507" max="11507" width="12.75" style="232" customWidth="1"/>
    <col min="11508" max="11508" width="13" style="232" customWidth="1"/>
    <col min="11509" max="11509" width="25.875" style="232" customWidth="1"/>
    <col min="11510" max="11758" width="9" style="232"/>
    <col min="11759" max="11759" width="25.375" style="232" customWidth="1"/>
    <col min="11760" max="11761" width="9" style="232"/>
    <col min="11762" max="11762" width="7.375" style="232" customWidth="1"/>
    <col min="11763" max="11763" width="12.75" style="232" customWidth="1"/>
    <col min="11764" max="11764" width="13" style="232" customWidth="1"/>
    <col min="11765" max="11765" width="25.875" style="232" customWidth="1"/>
    <col min="11766" max="12014" width="9" style="232"/>
    <col min="12015" max="12015" width="25.375" style="232" customWidth="1"/>
    <col min="12016" max="12017" width="9" style="232"/>
    <col min="12018" max="12018" width="7.375" style="232" customWidth="1"/>
    <col min="12019" max="12019" width="12.75" style="232" customWidth="1"/>
    <col min="12020" max="12020" width="13" style="232" customWidth="1"/>
    <col min="12021" max="12021" width="25.875" style="232" customWidth="1"/>
    <col min="12022" max="12270" width="9" style="232"/>
    <col min="12271" max="12271" width="25.375" style="232" customWidth="1"/>
    <col min="12272" max="12273" width="9" style="232"/>
    <col min="12274" max="12274" width="7.375" style="232" customWidth="1"/>
    <col min="12275" max="12275" width="12.75" style="232" customWidth="1"/>
    <col min="12276" max="12276" width="13" style="232" customWidth="1"/>
    <col min="12277" max="12277" width="25.875" style="232" customWidth="1"/>
    <col min="12278" max="12526" width="9" style="232"/>
    <col min="12527" max="12527" width="25.375" style="232" customWidth="1"/>
    <col min="12528" max="12529" width="9" style="232"/>
    <col min="12530" max="12530" width="7.375" style="232" customWidth="1"/>
    <col min="12531" max="12531" width="12.75" style="232" customWidth="1"/>
    <col min="12532" max="12532" width="13" style="232" customWidth="1"/>
    <col min="12533" max="12533" width="25.875" style="232" customWidth="1"/>
    <col min="12534" max="12782" width="9" style="232"/>
    <col min="12783" max="12783" width="25.375" style="232" customWidth="1"/>
    <col min="12784" max="12785" width="9" style="232"/>
    <col min="12786" max="12786" width="7.375" style="232" customWidth="1"/>
    <col min="12787" max="12787" width="12.75" style="232" customWidth="1"/>
    <col min="12788" max="12788" width="13" style="232" customWidth="1"/>
    <col min="12789" max="12789" width="25.875" style="232" customWidth="1"/>
    <col min="12790" max="13038" width="9" style="232"/>
    <col min="13039" max="13039" width="25.375" style="232" customWidth="1"/>
    <col min="13040" max="13041" width="9" style="232"/>
    <col min="13042" max="13042" width="7.375" style="232" customWidth="1"/>
    <col min="13043" max="13043" width="12.75" style="232" customWidth="1"/>
    <col min="13044" max="13044" width="13" style="232" customWidth="1"/>
    <col min="13045" max="13045" width="25.875" style="232" customWidth="1"/>
    <col min="13046" max="13294" width="9" style="232"/>
    <col min="13295" max="13295" width="25.375" style="232" customWidth="1"/>
    <col min="13296" max="13297" width="9" style="232"/>
    <col min="13298" max="13298" width="7.375" style="232" customWidth="1"/>
    <col min="13299" max="13299" width="12.75" style="232" customWidth="1"/>
    <col min="13300" max="13300" width="13" style="232" customWidth="1"/>
    <col min="13301" max="13301" width="25.875" style="232" customWidth="1"/>
    <col min="13302" max="13550" width="9" style="232"/>
    <col min="13551" max="13551" width="25.375" style="232" customWidth="1"/>
    <col min="13552" max="13553" width="9" style="232"/>
    <col min="13554" max="13554" width="7.375" style="232" customWidth="1"/>
    <col min="13555" max="13555" width="12.75" style="232" customWidth="1"/>
    <col min="13556" max="13556" width="13" style="232" customWidth="1"/>
    <col min="13557" max="13557" width="25.875" style="232" customWidth="1"/>
    <col min="13558" max="13806" width="9" style="232"/>
    <col min="13807" max="13807" width="25.375" style="232" customWidth="1"/>
    <col min="13808" max="13809" width="9" style="232"/>
    <col min="13810" max="13810" width="7.375" style="232" customWidth="1"/>
    <col min="13811" max="13811" width="12.75" style="232" customWidth="1"/>
    <col min="13812" max="13812" width="13" style="232" customWidth="1"/>
    <col min="13813" max="13813" width="25.875" style="232" customWidth="1"/>
    <col min="13814" max="14062" width="9" style="232"/>
    <col min="14063" max="14063" width="25.375" style="232" customWidth="1"/>
    <col min="14064" max="14065" width="9" style="232"/>
    <col min="14066" max="14066" width="7.375" style="232" customWidth="1"/>
    <col min="14067" max="14067" width="12.75" style="232" customWidth="1"/>
    <col min="14068" max="14068" width="13" style="232" customWidth="1"/>
    <col min="14069" max="14069" width="25.875" style="232" customWidth="1"/>
    <col min="14070" max="14318" width="9" style="232"/>
    <col min="14319" max="14319" width="25.375" style="232" customWidth="1"/>
    <col min="14320" max="14321" width="9" style="232"/>
    <col min="14322" max="14322" width="7.375" style="232" customWidth="1"/>
    <col min="14323" max="14323" width="12.75" style="232" customWidth="1"/>
    <col min="14324" max="14324" width="13" style="232" customWidth="1"/>
    <col min="14325" max="14325" width="25.875" style="232" customWidth="1"/>
    <col min="14326" max="14574" width="9" style="232"/>
    <col min="14575" max="14575" width="25.375" style="232" customWidth="1"/>
    <col min="14576" max="14577" width="9" style="232"/>
    <col min="14578" max="14578" width="7.375" style="232" customWidth="1"/>
    <col min="14579" max="14579" width="12.75" style="232" customWidth="1"/>
    <col min="14580" max="14580" width="13" style="232" customWidth="1"/>
    <col min="14581" max="14581" width="25.875" style="232" customWidth="1"/>
    <col min="14582" max="14830" width="9" style="232"/>
    <col min="14831" max="14831" width="25.375" style="232" customWidth="1"/>
    <col min="14832" max="14833" width="9" style="232"/>
    <col min="14834" max="14834" width="7.375" style="232" customWidth="1"/>
    <col min="14835" max="14835" width="12.75" style="232" customWidth="1"/>
    <col min="14836" max="14836" width="13" style="232" customWidth="1"/>
    <col min="14837" max="14837" width="25.875" style="232" customWidth="1"/>
    <col min="14838" max="15086" width="9" style="232"/>
    <col min="15087" max="15087" width="25.375" style="232" customWidth="1"/>
    <col min="15088" max="15089" width="9" style="232"/>
    <col min="15090" max="15090" width="7.375" style="232" customWidth="1"/>
    <col min="15091" max="15091" width="12.75" style="232" customWidth="1"/>
    <col min="15092" max="15092" width="13" style="232" customWidth="1"/>
    <col min="15093" max="15093" width="25.875" style="232" customWidth="1"/>
    <col min="15094" max="15342" width="9" style="232"/>
    <col min="15343" max="15343" width="25.375" style="232" customWidth="1"/>
    <col min="15344" max="15345" width="9" style="232"/>
    <col min="15346" max="15346" width="7.375" style="232" customWidth="1"/>
    <col min="15347" max="15347" width="12.75" style="232" customWidth="1"/>
    <col min="15348" max="15348" width="13" style="232" customWidth="1"/>
    <col min="15349" max="15349" width="25.875" style="232" customWidth="1"/>
    <col min="15350" max="15598" width="9" style="232"/>
    <col min="15599" max="15599" width="25.375" style="232" customWidth="1"/>
    <col min="15600" max="15601" width="9" style="232"/>
    <col min="15602" max="15602" width="7.375" style="232" customWidth="1"/>
    <col min="15603" max="15603" width="12.75" style="232" customWidth="1"/>
    <col min="15604" max="15604" width="13" style="232" customWidth="1"/>
    <col min="15605" max="15605" width="25.875" style="232" customWidth="1"/>
    <col min="15606" max="15854" width="9" style="232"/>
    <col min="15855" max="15855" width="25.375" style="232" customWidth="1"/>
    <col min="15856" max="15857" width="9" style="232"/>
    <col min="15858" max="15858" width="7.375" style="232" customWidth="1"/>
    <col min="15859" max="15859" width="12.75" style="232" customWidth="1"/>
    <col min="15860" max="15860" width="13" style="232" customWidth="1"/>
    <col min="15861" max="15861" width="25.875" style="232" customWidth="1"/>
    <col min="15862" max="16110" width="9" style="232"/>
    <col min="16111" max="16111" width="25.375" style="232" customWidth="1"/>
    <col min="16112" max="16113" width="9" style="232"/>
    <col min="16114" max="16114" width="7.375" style="232" customWidth="1"/>
    <col min="16115" max="16115" width="12.75" style="232" customWidth="1"/>
    <col min="16116" max="16116" width="13" style="232" customWidth="1"/>
    <col min="16117" max="16117" width="25.875" style="232" customWidth="1"/>
    <col min="16118" max="16384" width="9" style="232"/>
  </cols>
  <sheetData>
    <row r="1" spans="1:5">
      <c r="A1" s="1387" t="s">
        <v>1675</v>
      </c>
      <c r="B1" s="1387"/>
      <c r="C1" s="1387"/>
      <c r="D1" s="1387"/>
      <c r="E1" s="1387"/>
    </row>
    <row r="2" spans="1:5">
      <c r="A2" s="232"/>
      <c r="B2" s="232"/>
    </row>
    <row r="3" spans="1:5">
      <c r="A3" s="233" t="s">
        <v>1676</v>
      </c>
      <c r="B3" s="233" t="s">
        <v>1677</v>
      </c>
      <c r="C3" s="233" t="s">
        <v>1678</v>
      </c>
      <c r="D3" s="233" t="s">
        <v>1679</v>
      </c>
      <c r="E3" s="233" t="s">
        <v>1680</v>
      </c>
    </row>
    <row r="4" spans="1:5" s="161" customFormat="1">
      <c r="A4" s="234" t="s">
        <v>1681</v>
      </c>
      <c r="B4" s="235"/>
      <c r="C4" s="236"/>
      <c r="D4" s="235">
        <f t="shared" ref="D4:D8" si="0">B4*C4</f>
        <v>0</v>
      </c>
      <c r="E4" s="237"/>
    </row>
    <row r="5" spans="1:5" s="161" customFormat="1">
      <c r="A5" s="603" t="s">
        <v>1682</v>
      </c>
      <c r="B5" s="604"/>
      <c r="C5" s="605"/>
      <c r="D5" s="235">
        <f t="shared" si="0"/>
        <v>0</v>
      </c>
      <c r="E5" s="237"/>
    </row>
    <row r="6" spans="1:5" s="161" customFormat="1">
      <c r="A6" s="603" t="s">
        <v>1683</v>
      </c>
      <c r="B6" s="235"/>
      <c r="C6" s="236"/>
      <c r="D6" s="235">
        <f t="shared" si="0"/>
        <v>0</v>
      </c>
      <c r="E6" s="237"/>
    </row>
    <row r="7" spans="1:5" s="161" customFormat="1">
      <c r="A7" s="234" t="s">
        <v>1684</v>
      </c>
      <c r="B7" s="235"/>
      <c r="C7" s="236"/>
      <c r="D7" s="235">
        <f t="shared" si="0"/>
        <v>0</v>
      </c>
      <c r="E7" s="237"/>
    </row>
    <row r="8" spans="1:5" s="161" customFormat="1">
      <c r="A8" s="234" t="s">
        <v>1685</v>
      </c>
      <c r="B8" s="235"/>
      <c r="C8" s="236"/>
      <c r="D8" s="235">
        <f t="shared" si="0"/>
        <v>0</v>
      </c>
      <c r="E8" s="237"/>
    </row>
    <row r="9" spans="1:5" s="161" customFormat="1">
      <c r="A9" s="234" t="s">
        <v>1686</v>
      </c>
      <c r="B9" s="235"/>
      <c r="C9" s="236"/>
      <c r="D9" s="235">
        <f>B9*C9</f>
        <v>0</v>
      </c>
      <c r="E9" s="237"/>
    </row>
    <row r="10" spans="1:5" s="161" customFormat="1">
      <c r="A10" s="155" t="s">
        <v>1687</v>
      </c>
      <c r="B10" s="238"/>
      <c r="C10" s="236"/>
      <c r="D10" s="235">
        <f>SUM(D4:D9)*11%</f>
        <v>0</v>
      </c>
      <c r="E10" s="237"/>
    </row>
    <row r="11" spans="1:5" s="161" customFormat="1">
      <c r="A11" s="234" t="s">
        <v>1688</v>
      </c>
      <c r="B11" s="238"/>
      <c r="C11" s="236"/>
      <c r="D11" s="235">
        <f>B11*C11*3*11%</f>
        <v>0</v>
      </c>
      <c r="E11" s="237"/>
    </row>
    <row r="12" spans="1:5" s="161" customFormat="1">
      <c r="B12" s="163"/>
      <c r="C12" s="163"/>
      <c r="D12" s="163"/>
      <c r="E12" s="239"/>
    </row>
    <row r="13" spans="1:5" s="161" customFormat="1">
      <c r="B13" s="163"/>
      <c r="C13" s="163"/>
      <c r="D13" s="163"/>
      <c r="E13" s="239"/>
    </row>
    <row r="14" spans="1:5">
      <c r="A14" s="1387" t="s">
        <v>1689</v>
      </c>
      <c r="B14" s="1387"/>
      <c r="C14" s="1387"/>
      <c r="D14" s="1387"/>
      <c r="E14" s="1387"/>
    </row>
    <row r="15" spans="1:5">
      <c r="A15" s="232"/>
      <c r="B15" s="232"/>
    </row>
    <row r="16" spans="1:5">
      <c r="A16" s="233" t="s">
        <v>1676</v>
      </c>
      <c r="B16" s="233" t="s">
        <v>1677</v>
      </c>
      <c r="C16" s="233" t="s">
        <v>1678</v>
      </c>
      <c r="D16" s="233" t="s">
        <v>1679</v>
      </c>
      <c r="E16" s="233" t="s">
        <v>1680</v>
      </c>
    </row>
    <row r="17" spans="1:5" s="161" customFormat="1">
      <c r="A17" s="234" t="s">
        <v>1690</v>
      </c>
      <c r="B17" s="235"/>
      <c r="C17" s="236"/>
      <c r="D17" s="235">
        <f>B17*C17</f>
        <v>0</v>
      </c>
      <c r="E17" s="237"/>
    </row>
    <row r="18" spans="1:5" s="161" customFormat="1">
      <c r="B18" s="162"/>
      <c r="C18" s="164"/>
      <c r="D18" s="163"/>
      <c r="E18" s="239"/>
    </row>
    <row r="19" spans="1:5" s="161" customFormat="1">
      <c r="B19" s="163"/>
      <c r="C19" s="163"/>
      <c r="D19" s="163"/>
      <c r="E19" s="239"/>
    </row>
    <row r="20" spans="1:5">
      <c r="A20" s="1387" t="s">
        <v>1691</v>
      </c>
      <c r="B20" s="1387"/>
      <c r="C20" s="1387"/>
      <c r="D20" s="1387"/>
      <c r="E20" s="1387"/>
    </row>
    <row r="21" spans="1:5">
      <c r="A21" s="232"/>
      <c r="B21" s="232"/>
    </row>
    <row r="22" spans="1:5">
      <c r="A22" s="233" t="s">
        <v>1676</v>
      </c>
      <c r="B22" s="233" t="s">
        <v>1677</v>
      </c>
      <c r="C22" s="233" t="s">
        <v>1678</v>
      </c>
      <c r="D22" s="233" t="s">
        <v>1679</v>
      </c>
      <c r="E22" s="233" t="s">
        <v>1680</v>
      </c>
    </row>
    <row r="23" spans="1:5" s="161" customFormat="1">
      <c r="A23" s="234" t="s">
        <v>1692</v>
      </c>
      <c r="B23" s="235"/>
      <c r="C23" s="236"/>
      <c r="D23" s="235">
        <f>B23*C23</f>
        <v>0</v>
      </c>
      <c r="E23" s="237"/>
    </row>
    <row r="24" spans="1:5" s="161" customFormat="1">
      <c r="A24" s="234" t="s">
        <v>1693</v>
      </c>
      <c r="B24" s="235"/>
      <c r="C24" s="236"/>
      <c r="D24" s="235">
        <f>B24*C24</f>
        <v>0</v>
      </c>
      <c r="E24" s="237"/>
    </row>
    <row r="25" spans="1:5" s="161" customFormat="1">
      <c r="A25" s="155" t="s">
        <v>1687</v>
      </c>
      <c r="B25" s="238"/>
      <c r="C25" s="236"/>
      <c r="D25" s="235">
        <f>SUM(D23:D24)</f>
        <v>0</v>
      </c>
      <c r="E25" s="237"/>
    </row>
    <row r="26" spans="1:5" s="161" customFormat="1">
      <c r="A26" s="234" t="s">
        <v>1694</v>
      </c>
      <c r="B26" s="238"/>
      <c r="C26" s="236"/>
      <c r="D26" s="235">
        <f>B26*C26*3</f>
        <v>0</v>
      </c>
      <c r="E26" s="237"/>
    </row>
    <row r="27" spans="1:5" s="161" customFormat="1">
      <c r="B27" s="162"/>
      <c r="C27" s="164"/>
      <c r="D27" s="163"/>
      <c r="E27" s="239"/>
    </row>
    <row r="28" spans="1:5" s="161" customFormat="1">
      <c r="B28" s="163"/>
      <c r="C28" s="163"/>
      <c r="D28" s="163"/>
      <c r="E28" s="239"/>
    </row>
    <row r="29" spans="1:5">
      <c r="A29" s="1387" t="s">
        <v>1695</v>
      </c>
      <c r="B29" s="1387"/>
      <c r="C29" s="1387"/>
      <c r="D29" s="1387"/>
      <c r="E29" s="1387"/>
    </row>
    <row r="30" spans="1:5">
      <c r="A30" s="232"/>
      <c r="B30" s="232"/>
    </row>
    <row r="31" spans="1:5">
      <c r="A31" s="233" t="s">
        <v>1676</v>
      </c>
      <c r="B31" s="233" t="s">
        <v>1677</v>
      </c>
      <c r="C31" s="233" t="s">
        <v>1678</v>
      </c>
      <c r="D31" s="233" t="s">
        <v>1679</v>
      </c>
      <c r="E31" s="233" t="s">
        <v>1680</v>
      </c>
    </row>
    <row r="32" spans="1:5" s="161" customFormat="1">
      <c r="A32" s="234" t="s">
        <v>1696</v>
      </c>
      <c r="B32" s="235"/>
      <c r="C32" s="236"/>
      <c r="D32" s="235">
        <f>B32*C32</f>
        <v>0</v>
      </c>
      <c r="E32" s="237"/>
    </row>
    <row r="33" spans="1:5" s="161" customFormat="1">
      <c r="A33" s="234" t="s">
        <v>1697</v>
      </c>
      <c r="B33" s="235"/>
      <c r="C33" s="236"/>
      <c r="D33" s="235">
        <f>B33*C33</f>
        <v>0</v>
      </c>
      <c r="E33" s="237"/>
    </row>
    <row r="34" spans="1:5" s="161" customFormat="1">
      <c r="A34" s="603" t="s">
        <v>1698</v>
      </c>
      <c r="B34" s="235"/>
      <c r="C34" s="236"/>
      <c r="D34" s="235">
        <f>B34*C34</f>
        <v>0</v>
      </c>
      <c r="E34" s="237"/>
    </row>
    <row r="35" spans="1:5" s="161" customFormat="1">
      <c r="A35" s="658" t="s">
        <v>1699</v>
      </c>
      <c r="B35" s="238"/>
      <c r="C35" s="236"/>
      <c r="D35" s="235">
        <f>B35*C35</f>
        <v>0</v>
      </c>
      <c r="E35" s="237"/>
    </row>
    <row r="36" spans="1:5" s="161" customFormat="1">
      <c r="A36" s="155" t="s">
        <v>1687</v>
      </c>
      <c r="B36" s="238"/>
      <c r="C36" s="236"/>
      <c r="D36" s="235">
        <f>SUM(D32:D35)</f>
        <v>0</v>
      </c>
      <c r="E36" s="237"/>
    </row>
    <row r="37" spans="1:5" s="161" customFormat="1">
      <c r="A37" s="234" t="s">
        <v>1700</v>
      </c>
      <c r="B37" s="238"/>
      <c r="C37" s="236"/>
      <c r="D37" s="235">
        <f>B37*C37*3</f>
        <v>0</v>
      </c>
      <c r="E37" s="237"/>
    </row>
    <row r="38" spans="1:5" s="161" customFormat="1">
      <c r="A38" s="234" t="s">
        <v>1701</v>
      </c>
      <c r="B38" s="238"/>
      <c r="C38" s="236"/>
      <c r="D38" s="235">
        <f>B38*C38*3</f>
        <v>0</v>
      </c>
      <c r="E38" s="237"/>
    </row>
    <row r="39" spans="1:5" s="161" customFormat="1">
      <c r="A39" s="155" t="s">
        <v>1702</v>
      </c>
      <c r="B39" s="238"/>
      <c r="C39" s="236">
        <f>SUM(C37:C38)</f>
        <v>0</v>
      </c>
      <c r="D39" s="235">
        <f>SUM(D37:D38)</f>
        <v>0</v>
      </c>
      <c r="E39" s="237"/>
    </row>
    <row r="40" spans="1:5" s="161" customFormat="1">
      <c r="A40" s="796"/>
      <c r="B40" s="162"/>
      <c r="C40" s="164"/>
      <c r="D40" s="163"/>
      <c r="E40" s="239"/>
    </row>
    <row r="41" spans="1:5" s="161" customFormat="1">
      <c r="B41" s="163"/>
      <c r="C41" s="163"/>
      <c r="D41" s="163"/>
      <c r="E41" s="239"/>
    </row>
    <row r="42" spans="1:5">
      <c r="A42" s="1388" t="s">
        <v>1703</v>
      </c>
      <c r="B42" s="1388"/>
      <c r="C42" s="1388"/>
      <c r="D42" s="1388"/>
      <c r="E42" s="1388"/>
    </row>
    <row r="43" spans="1:5">
      <c r="A43" s="232"/>
      <c r="B43" s="232"/>
    </row>
    <row r="44" spans="1:5">
      <c r="A44" s="233" t="s">
        <v>1676</v>
      </c>
      <c r="B44" s="233" t="s">
        <v>1677</v>
      </c>
      <c r="C44" s="233" t="s">
        <v>1678</v>
      </c>
      <c r="D44" s="233" t="s">
        <v>1679</v>
      </c>
      <c r="E44" s="233" t="s">
        <v>1680</v>
      </c>
    </row>
    <row r="45" spans="1:5" s="161" customFormat="1">
      <c r="A45" s="234" t="s">
        <v>1704</v>
      </c>
      <c r="B45" s="235"/>
      <c r="C45" s="236"/>
      <c r="D45" s="235">
        <f>B45*C45</f>
        <v>0</v>
      </c>
      <c r="E45" s="237"/>
    </row>
    <row r="46" spans="1:5" s="161" customFormat="1">
      <c r="A46" s="234" t="s">
        <v>1705</v>
      </c>
      <c r="B46" s="235"/>
      <c r="C46" s="236"/>
      <c r="D46" s="235">
        <f>B46*C46</f>
        <v>0</v>
      </c>
      <c r="E46" s="237"/>
    </row>
    <row r="47" spans="1:5" s="161" customFormat="1">
      <c r="A47" s="155" t="s">
        <v>1687</v>
      </c>
      <c r="B47" s="238"/>
      <c r="C47" s="236"/>
      <c r="D47" s="235">
        <f>SUM(D45:D46)</f>
        <v>0</v>
      </c>
      <c r="E47" s="237"/>
    </row>
    <row r="48" spans="1:5" s="161" customFormat="1">
      <c r="A48" s="234" t="s">
        <v>1706</v>
      </c>
      <c r="B48" s="238"/>
      <c r="C48" s="236"/>
      <c r="D48" s="235">
        <f>B48*C48*3</f>
        <v>0</v>
      </c>
      <c r="E48" s="237"/>
    </row>
    <row r="49" spans="1:5" s="161" customFormat="1">
      <c r="B49" s="162"/>
      <c r="C49" s="164"/>
      <c r="D49" s="163"/>
      <c r="E49" s="239"/>
    </row>
    <row r="50" spans="1:5" s="161" customFormat="1">
      <c r="B50" s="162"/>
      <c r="C50" s="164"/>
      <c r="D50" s="163"/>
      <c r="E50" s="239"/>
    </row>
    <row r="51" spans="1:5" s="161" customFormat="1">
      <c r="B51" s="163"/>
      <c r="C51" s="163"/>
      <c r="D51" s="163"/>
      <c r="E51" s="239"/>
    </row>
    <row r="52" spans="1:5">
      <c r="A52" s="1387" t="s">
        <v>1707</v>
      </c>
      <c r="B52" s="1387"/>
      <c r="C52" s="1387"/>
      <c r="D52" s="1387"/>
      <c r="E52" s="1387"/>
    </row>
    <row r="53" spans="1:5">
      <c r="A53" s="232"/>
      <c r="B53" s="232"/>
    </row>
    <row r="54" spans="1:5">
      <c r="A54" s="233" t="s">
        <v>1676</v>
      </c>
      <c r="B54" s="233" t="s">
        <v>1677</v>
      </c>
      <c r="C54" s="233" t="s">
        <v>1678</v>
      </c>
      <c r="D54" s="233" t="s">
        <v>1679</v>
      </c>
      <c r="E54" s="233" t="s">
        <v>1680</v>
      </c>
    </row>
    <row r="55" spans="1:5" s="161" customFormat="1">
      <c r="A55" s="234" t="s">
        <v>1708</v>
      </c>
      <c r="B55" s="235"/>
      <c r="C55" s="236"/>
      <c r="D55" s="235">
        <f>B55*C55</f>
        <v>0</v>
      </c>
      <c r="E55" s="237"/>
    </row>
    <row r="56" spans="1:5" s="161" customFormat="1">
      <c r="A56" s="234" t="s">
        <v>1709</v>
      </c>
      <c r="B56" s="235"/>
      <c r="C56" s="236"/>
      <c r="D56" s="235">
        <f>B56*C56</f>
        <v>0</v>
      </c>
      <c r="E56" s="237"/>
    </row>
    <row r="57" spans="1:5" s="161" customFormat="1">
      <c r="A57" s="234" t="s">
        <v>1710</v>
      </c>
      <c r="B57" s="235"/>
      <c r="C57" s="236"/>
      <c r="D57" s="235">
        <f>B57*C57</f>
        <v>0</v>
      </c>
      <c r="E57" s="237"/>
    </row>
    <row r="58" spans="1:5" s="161" customFormat="1">
      <c r="A58" s="155" t="s">
        <v>1687</v>
      </c>
      <c r="B58" s="238"/>
      <c r="C58" s="236"/>
      <c r="D58" s="235">
        <f>SUM(D55:D57)</f>
        <v>0</v>
      </c>
      <c r="E58" s="237"/>
    </row>
    <row r="59" spans="1:5" s="161" customFormat="1">
      <c r="A59" s="234" t="s">
        <v>1711</v>
      </c>
      <c r="B59" s="238"/>
      <c r="C59" s="236"/>
      <c r="D59" s="235">
        <f>B59*C59*3</f>
        <v>0</v>
      </c>
      <c r="E59" s="237"/>
    </row>
    <row r="60" spans="1:5">
      <c r="B60" s="232"/>
      <c r="D60" s="163"/>
      <c r="E60" s="240"/>
    </row>
    <row r="61" spans="1:5">
      <c r="B61" s="232"/>
      <c r="D61" s="163"/>
      <c r="E61" s="240"/>
    </row>
    <row r="62" spans="1:5">
      <c r="A62" s="1387" t="s">
        <v>1712</v>
      </c>
      <c r="B62" s="1387"/>
      <c r="C62" s="1387"/>
      <c r="D62" s="1387"/>
      <c r="E62" s="1387"/>
    </row>
    <row r="63" spans="1:5">
      <c r="A63" s="232"/>
      <c r="B63" s="232"/>
    </row>
    <row r="64" spans="1:5">
      <c r="A64" s="233" t="s">
        <v>1676</v>
      </c>
      <c r="B64" s="233" t="s">
        <v>1677</v>
      </c>
      <c r="C64" s="233" t="s">
        <v>1678</v>
      </c>
      <c r="D64" s="233" t="s">
        <v>1679</v>
      </c>
      <c r="E64" s="233" t="s">
        <v>1680</v>
      </c>
    </row>
    <row r="65" spans="1:5">
      <c r="A65" s="234" t="s">
        <v>1713</v>
      </c>
      <c r="B65" s="235"/>
      <c r="C65" s="236"/>
      <c r="D65" s="235">
        <f>B65*C65</f>
        <v>0</v>
      </c>
      <c r="E65" s="237"/>
    </row>
    <row r="66" spans="1:5">
      <c r="A66" s="234" t="s">
        <v>1714</v>
      </c>
      <c r="B66" s="235"/>
      <c r="C66" s="236"/>
      <c r="D66" s="235">
        <f>B66*C66</f>
        <v>0</v>
      </c>
      <c r="E66" s="237"/>
    </row>
    <row r="67" spans="1:5">
      <c r="A67" s="155" t="s">
        <v>1687</v>
      </c>
      <c r="B67" s="238"/>
      <c r="C67" s="236"/>
      <c r="D67" s="235">
        <f>SUM(D65:D66)</f>
        <v>0</v>
      </c>
      <c r="E67" s="237"/>
    </row>
    <row r="68" spans="1:5">
      <c r="A68" s="234" t="s">
        <v>1715</v>
      </c>
      <c r="B68" s="238"/>
      <c r="C68" s="236"/>
      <c r="D68" s="235">
        <f>B68*C68*3</f>
        <v>0</v>
      </c>
      <c r="E68" s="237"/>
    </row>
    <row r="69" spans="1:5">
      <c r="B69" s="232"/>
      <c r="D69" s="163"/>
    </row>
    <row r="70" spans="1:5">
      <c r="B70" s="232"/>
      <c r="D70" s="163"/>
    </row>
    <row r="73" spans="1:5">
      <c r="A73" s="659" t="s">
        <v>1716</v>
      </c>
    </row>
  </sheetData>
  <mergeCells count="7">
    <mergeCell ref="A62:E62"/>
    <mergeCell ref="A1:E1"/>
    <mergeCell ref="A14:E14"/>
    <mergeCell ref="A20:E20"/>
    <mergeCell ref="A29:E29"/>
    <mergeCell ref="A42:E42"/>
    <mergeCell ref="A52:E52"/>
  </mergeCells>
  <phoneticPr fontId="1" type="noConversion"/>
  <printOptions horizontalCentered="1"/>
  <pageMargins left="0.31496062992125984" right="0.31496062992125984" top="0.39370078740157483" bottom="0.43307086614173229" header="0.31496062992125984" footer="0.31496062992125984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22</vt:i4>
      </vt:variant>
      <vt:variant>
        <vt:lpstr>命名范围</vt:lpstr>
      </vt:variant>
      <vt:variant>
        <vt:i4>2</vt:i4>
      </vt:variant>
    </vt:vector>
  </HeadingPairs>
  <TitlesOfParts>
    <vt:vector size="24" baseType="lpstr">
      <vt:lpstr>预算包含范围2015与2014</vt:lpstr>
      <vt:lpstr>2015预算稿 </vt:lpstr>
      <vt:lpstr>2014预算稿 </vt:lpstr>
      <vt:lpstr>武汉研发中心</vt:lpstr>
      <vt:lpstr>物业房租车位费</vt:lpstr>
      <vt:lpstr>媒体大厦日常和工程费用</vt:lpstr>
      <vt:lpstr>基础数据</vt:lpstr>
      <vt:lpstr>保安服务费</vt:lpstr>
      <vt:lpstr>保洁服务费</vt:lpstr>
      <vt:lpstr>媒体大厦物业费 能源费</vt:lpstr>
      <vt:lpstr>部分费用明细（水电植物耗材茶歇）</vt:lpstr>
      <vt:lpstr>阿姨工资奖金</vt:lpstr>
      <vt:lpstr>capex</vt:lpstr>
      <vt:lpstr>财产险</vt:lpstr>
      <vt:lpstr>2015年公司车险及ES车辆养护</vt:lpstr>
      <vt:lpstr>班车费用</vt:lpstr>
      <vt:lpstr>装饰门禁电视空调维护2015</vt:lpstr>
      <vt:lpstr>搜狐媒体大厦工位</vt:lpstr>
      <vt:lpstr>2013预算稿</vt:lpstr>
      <vt:lpstr>与2011年预算对比帮助</vt:lpstr>
      <vt:lpstr>与2012年预算对比</vt:lpstr>
      <vt:lpstr>2012预算稿</vt:lpstr>
      <vt:lpstr>'2014预算稿 '!Print_Titles</vt:lpstr>
      <vt:lpstr>'2015预算稿 '!Print_Titles</vt:lpstr>
    </vt:vector>
  </TitlesOfParts>
  <Company>sohu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wennyliang</dc:creator>
  <cp:lastModifiedBy>boxu</cp:lastModifiedBy>
  <cp:lastPrinted>2013-11-28T12:51:20Z</cp:lastPrinted>
  <dcterms:created xsi:type="dcterms:W3CDTF">2010-11-11T06:33:20Z</dcterms:created>
  <dcterms:modified xsi:type="dcterms:W3CDTF">2015-03-13T07:58:23Z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