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duraliang\Desktop\"/>
    </mc:Choice>
  </mc:AlternateContent>
  <bookViews>
    <workbookView xWindow="240" yWindow="315" windowWidth="15150" windowHeight="6435" tabRatio="867"/>
  </bookViews>
  <sheets>
    <sheet name="系统规则" sheetId="28" r:id="rId1"/>
    <sheet name="2016预算稿 " sheetId="1" r:id="rId2"/>
    <sheet name="2015年ES实际花费数据" sheetId="26" r:id="rId3"/>
    <sheet name="2015预算稿 " sheetId="18" r:id="rId4"/>
    <sheet name="基础数据" sheetId="3" r:id="rId5"/>
    <sheet name="阿姨工资奖金" sheetId="5" r:id="rId6"/>
    <sheet name="保洁服务费" sheetId="6" r:id="rId7"/>
    <sheet name="保安服务费" sheetId="7" r:id="rId8"/>
    <sheet name="部分费用明细（水电植物耗材茶歇）" sheetId="8" r:id="rId9"/>
    <sheet name="物业房租车位费" sheetId="9" r:id="rId10"/>
    <sheet name="媒体大厦物业费 能源费" sheetId="10" r:id="rId11"/>
    <sheet name="2016年媒体大厦物业费预算" sheetId="23" r:id="rId12"/>
    <sheet name="搜狐媒体大厦工位" sheetId="12" r:id="rId13"/>
    <sheet name="媒体大厦物业费测算" sheetId="14" r:id="rId14"/>
    <sheet name="装饰门禁电视空调维护2016" sheetId="22" r:id="rId15"/>
    <sheet name="Capex" sheetId="27" r:id="rId16"/>
    <sheet name="财产险" sheetId="24" r:id="rId17"/>
    <sheet name="武汉研发中心" sheetId="17" r:id="rId18"/>
    <sheet name="2016年公司车险及ES车辆养护" sheetId="21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P" localSheetId="2">#REF!</definedName>
    <definedName name="\P" localSheetId="3">#REF!</definedName>
    <definedName name="\P" localSheetId="18">#REF!</definedName>
    <definedName name="\P" localSheetId="1">#REF!</definedName>
    <definedName name="\P" localSheetId="15">#REF!</definedName>
    <definedName name="\P" localSheetId="5">#REF!</definedName>
    <definedName name="\P" localSheetId="7">#REF!</definedName>
    <definedName name="\P" localSheetId="6">#REF!</definedName>
    <definedName name="\P" localSheetId="8">#REF!</definedName>
    <definedName name="\P" localSheetId="16">#REF!</definedName>
    <definedName name="\P" localSheetId="4">#REF!</definedName>
    <definedName name="\P" localSheetId="10">#REF!</definedName>
    <definedName name="\P" localSheetId="12">#REF!</definedName>
    <definedName name="\P" localSheetId="17">#REF!</definedName>
    <definedName name="\P" localSheetId="9">#REF!</definedName>
    <definedName name="\P" localSheetId="0">#REF!</definedName>
    <definedName name="\P" localSheetId="14">#REF!</definedName>
    <definedName name="\P">#REF!</definedName>
    <definedName name="_c" localSheetId="2">#REF!</definedName>
    <definedName name="_c" localSheetId="3">#REF!</definedName>
    <definedName name="_c" localSheetId="18">#REF!</definedName>
    <definedName name="_c" localSheetId="1">#REF!</definedName>
    <definedName name="_c" localSheetId="15">#REF!</definedName>
    <definedName name="_c" localSheetId="5">#REF!</definedName>
    <definedName name="_c" localSheetId="7">#REF!</definedName>
    <definedName name="_c" localSheetId="6">#REF!</definedName>
    <definedName name="_c" localSheetId="8">#REF!</definedName>
    <definedName name="_c" localSheetId="16">#REF!</definedName>
    <definedName name="_c" localSheetId="4">#REF!</definedName>
    <definedName name="_c" localSheetId="10">#REF!</definedName>
    <definedName name="_c" localSheetId="12">#REF!</definedName>
    <definedName name="_c" localSheetId="17">#REF!</definedName>
    <definedName name="_c" localSheetId="9">#REF!</definedName>
    <definedName name="_c" localSheetId="0">#REF!</definedName>
    <definedName name="_c">#REF!</definedName>
    <definedName name="_Fill" localSheetId="2" hidden="1">[1]eqpmad2!#REF!</definedName>
    <definedName name="_Fill" localSheetId="3" hidden="1">[1]eqpmad2!#REF!</definedName>
    <definedName name="_Fill" localSheetId="18" hidden="1">[1]eqpmad2!#REF!</definedName>
    <definedName name="_Fill" localSheetId="1" hidden="1">[1]eqpmad2!#REF!</definedName>
    <definedName name="_Fill" localSheetId="15" hidden="1">[1]eqpmad2!#REF!</definedName>
    <definedName name="_Fill" localSheetId="5" hidden="1">[1]eqpmad2!#REF!</definedName>
    <definedName name="_Fill" localSheetId="7" hidden="1">[1]eqpmad2!#REF!</definedName>
    <definedName name="_Fill" localSheetId="6" hidden="1">[1]eqpmad2!#REF!</definedName>
    <definedName name="_Fill" localSheetId="8" hidden="1">[1]eqpmad2!#REF!</definedName>
    <definedName name="_Fill" localSheetId="16" hidden="1">[1]eqpmad2!#REF!</definedName>
    <definedName name="_Fill" localSheetId="4" hidden="1">[1]eqpmad2!#REF!</definedName>
    <definedName name="_Fill" localSheetId="10" hidden="1">[1]eqpmad2!#REF!</definedName>
    <definedName name="_Fill" localSheetId="12" hidden="1">[1]eqpmad2!#REF!</definedName>
    <definedName name="_Fill" localSheetId="17" hidden="1">[1]eqpmad2!#REF!</definedName>
    <definedName name="_Fill" localSheetId="9" hidden="1">[1]eqpmad2!#REF!</definedName>
    <definedName name="_Fill" localSheetId="0" hidden="1">[1]eqpmad2!#REF!</definedName>
    <definedName name="_Fill" localSheetId="14" hidden="1">[1]eqpmad2!#REF!</definedName>
    <definedName name="_Fill" hidden="1">[1]eqpmad2!#REF!</definedName>
    <definedName name="_xlnm._FilterDatabase" localSheetId="2" hidden="1">'2015年ES实际花费数据'!$D$3:$F$126</definedName>
    <definedName name="_xlnm._FilterDatabase" localSheetId="3" hidden="1">'2015预算稿 '!$A$5:$O$136</definedName>
    <definedName name="_xlnm._FilterDatabase" localSheetId="1" hidden="1">'2016预算稿 '!$A$5:$S$143</definedName>
    <definedName name="_xlnm._FilterDatabase" localSheetId="16" hidden="1">财产险!$B$47:$Q$75</definedName>
    <definedName name="_Order1" hidden="1">255</definedName>
    <definedName name="_PA7" localSheetId="2">'[2]SW-TEO'!#REF!</definedName>
    <definedName name="_PA7" localSheetId="18">'[2]SW-TEO'!#REF!</definedName>
    <definedName name="_PA7" localSheetId="15">'[2]SW-TEO'!#REF!</definedName>
    <definedName name="_PA7" localSheetId="5">'[2]SW-TEO'!#REF!</definedName>
    <definedName name="_PA7" localSheetId="7">'[2]SW-TEO'!#REF!</definedName>
    <definedName name="_PA7" localSheetId="6">'[2]SW-TEO'!#REF!</definedName>
    <definedName name="_PA7" localSheetId="8">'[2]SW-TEO'!#REF!</definedName>
    <definedName name="_PA7" localSheetId="16">'[2]SW-TEO'!#REF!</definedName>
    <definedName name="_PA7" localSheetId="4">'[2]SW-TEO'!#REF!</definedName>
    <definedName name="_PA7" localSheetId="10">'[2]SW-TEO'!#REF!</definedName>
    <definedName name="_PA7" localSheetId="12">'[2]SW-TEO'!#REF!</definedName>
    <definedName name="_PA7" localSheetId="17">'[2]SW-TEO'!#REF!</definedName>
    <definedName name="_PA7" localSheetId="9">'[2]SW-TEO'!#REF!</definedName>
    <definedName name="_PA7" localSheetId="0">'[2]SW-TEO'!#REF!</definedName>
    <definedName name="_PA7" localSheetId="14">'[2]SW-TEO'!#REF!</definedName>
    <definedName name="_PA7">'[2]SW-TEO'!#REF!</definedName>
    <definedName name="_PA8" localSheetId="2">'[2]SW-TEO'!#REF!</definedName>
    <definedName name="_PA8" localSheetId="18">'[2]SW-TEO'!#REF!</definedName>
    <definedName name="_PA8" localSheetId="15">'[2]SW-TEO'!#REF!</definedName>
    <definedName name="_PA8" localSheetId="5">'[2]SW-TEO'!#REF!</definedName>
    <definedName name="_PA8" localSheetId="7">'[2]SW-TEO'!#REF!</definedName>
    <definedName name="_PA8" localSheetId="6">'[2]SW-TEO'!#REF!</definedName>
    <definedName name="_PA8" localSheetId="8">'[2]SW-TEO'!#REF!</definedName>
    <definedName name="_PA8" localSheetId="16">'[2]SW-TEO'!#REF!</definedName>
    <definedName name="_PA8" localSheetId="4">'[2]SW-TEO'!#REF!</definedName>
    <definedName name="_PA8" localSheetId="10">'[2]SW-TEO'!#REF!</definedName>
    <definedName name="_PA8" localSheetId="12">'[2]SW-TEO'!#REF!</definedName>
    <definedName name="_PA8" localSheetId="17">'[2]SW-TEO'!#REF!</definedName>
    <definedName name="_PA8" localSheetId="9">'[2]SW-TEO'!#REF!</definedName>
    <definedName name="_PA8" localSheetId="0">'[2]SW-TEO'!#REF!</definedName>
    <definedName name="_PA8" localSheetId="14">'[2]SW-TEO'!#REF!</definedName>
    <definedName name="_PA8">'[2]SW-TEO'!#REF!</definedName>
    <definedName name="_PD1" localSheetId="2">'[2]SW-TEO'!#REF!</definedName>
    <definedName name="_PD1" localSheetId="18">'[2]SW-TEO'!#REF!</definedName>
    <definedName name="_PD1" localSheetId="15">'[2]SW-TEO'!#REF!</definedName>
    <definedName name="_PD1" localSheetId="5">'[2]SW-TEO'!#REF!</definedName>
    <definedName name="_PD1" localSheetId="7">'[2]SW-TEO'!#REF!</definedName>
    <definedName name="_PD1" localSheetId="6">'[2]SW-TEO'!#REF!</definedName>
    <definedName name="_PD1" localSheetId="8">'[2]SW-TEO'!#REF!</definedName>
    <definedName name="_PD1" localSheetId="16">'[2]SW-TEO'!#REF!</definedName>
    <definedName name="_PD1" localSheetId="4">'[2]SW-TEO'!#REF!</definedName>
    <definedName name="_PD1" localSheetId="10">'[2]SW-TEO'!#REF!</definedName>
    <definedName name="_PD1" localSheetId="12">'[2]SW-TEO'!#REF!</definedName>
    <definedName name="_PD1" localSheetId="17">'[2]SW-TEO'!#REF!</definedName>
    <definedName name="_PD1" localSheetId="9">'[2]SW-TEO'!#REF!</definedName>
    <definedName name="_PD1" localSheetId="0">'[2]SW-TEO'!#REF!</definedName>
    <definedName name="_PD1" localSheetId="14">'[2]SW-TEO'!#REF!</definedName>
    <definedName name="_PD1">'[2]SW-TEO'!#REF!</definedName>
    <definedName name="_PE12" localSheetId="2">'[2]SW-TEO'!#REF!</definedName>
    <definedName name="_PE12" localSheetId="18">'[2]SW-TEO'!#REF!</definedName>
    <definedName name="_PE12" localSheetId="15">'[2]SW-TEO'!#REF!</definedName>
    <definedName name="_PE12" localSheetId="5">'[2]SW-TEO'!#REF!</definedName>
    <definedName name="_PE12" localSheetId="7">'[2]SW-TEO'!#REF!</definedName>
    <definedName name="_PE12" localSheetId="6">'[2]SW-TEO'!#REF!</definedName>
    <definedName name="_PE12" localSheetId="8">'[2]SW-TEO'!#REF!</definedName>
    <definedName name="_PE12" localSheetId="16">'[2]SW-TEO'!#REF!</definedName>
    <definedName name="_PE12" localSheetId="4">'[2]SW-TEO'!#REF!</definedName>
    <definedName name="_PE12" localSheetId="10">'[2]SW-TEO'!#REF!</definedName>
    <definedName name="_PE12" localSheetId="12">'[2]SW-TEO'!#REF!</definedName>
    <definedName name="_PE12" localSheetId="17">'[2]SW-TEO'!#REF!</definedName>
    <definedName name="_PE12" localSheetId="9">'[2]SW-TEO'!#REF!</definedName>
    <definedName name="_PE12" localSheetId="0">'[2]SW-TEO'!#REF!</definedName>
    <definedName name="_PE12" localSheetId="14">'[2]SW-TEO'!#REF!</definedName>
    <definedName name="_PE12">'[2]SW-TEO'!#REF!</definedName>
    <definedName name="_PE13" localSheetId="18">'[2]SW-TEO'!#REF!</definedName>
    <definedName name="_PE13" localSheetId="15">'[2]SW-TEO'!#REF!</definedName>
    <definedName name="_PE13" localSheetId="5">'[2]SW-TEO'!#REF!</definedName>
    <definedName name="_PE13" localSheetId="7">'[2]SW-TEO'!#REF!</definedName>
    <definedName name="_PE13" localSheetId="6">'[2]SW-TEO'!#REF!</definedName>
    <definedName name="_PE13" localSheetId="8">'[2]SW-TEO'!#REF!</definedName>
    <definedName name="_PE13" localSheetId="16">'[2]SW-TEO'!#REF!</definedName>
    <definedName name="_PE13" localSheetId="4">'[2]SW-TEO'!#REF!</definedName>
    <definedName name="_PE13" localSheetId="10">'[2]SW-TEO'!#REF!</definedName>
    <definedName name="_PE13" localSheetId="12">'[2]SW-TEO'!#REF!</definedName>
    <definedName name="_PE13" localSheetId="17">'[2]SW-TEO'!#REF!</definedName>
    <definedName name="_PE13" localSheetId="9">'[2]SW-TEO'!#REF!</definedName>
    <definedName name="_PE13" localSheetId="0">'[2]SW-TEO'!#REF!</definedName>
    <definedName name="_PE13">'[2]SW-TEO'!#REF!</definedName>
    <definedName name="_PE6" localSheetId="18">'[2]SW-TEO'!#REF!</definedName>
    <definedName name="_PE6" localSheetId="15">'[2]SW-TEO'!#REF!</definedName>
    <definedName name="_PE6" localSheetId="5">'[2]SW-TEO'!#REF!</definedName>
    <definedName name="_PE6" localSheetId="7">'[2]SW-TEO'!#REF!</definedName>
    <definedName name="_PE6" localSheetId="6">'[2]SW-TEO'!#REF!</definedName>
    <definedName name="_PE6" localSheetId="8">'[2]SW-TEO'!#REF!</definedName>
    <definedName name="_PE6" localSheetId="16">'[2]SW-TEO'!#REF!</definedName>
    <definedName name="_PE6" localSheetId="4">'[2]SW-TEO'!#REF!</definedName>
    <definedName name="_PE6" localSheetId="10">'[2]SW-TEO'!#REF!</definedName>
    <definedName name="_PE6" localSheetId="12">'[2]SW-TEO'!#REF!</definedName>
    <definedName name="_PE6" localSheetId="17">'[2]SW-TEO'!#REF!</definedName>
    <definedName name="_PE6" localSheetId="9">'[2]SW-TEO'!#REF!</definedName>
    <definedName name="_PE6" localSheetId="0">'[2]SW-TEO'!#REF!</definedName>
    <definedName name="_PE6">'[2]SW-TEO'!#REF!</definedName>
    <definedName name="_PE7" localSheetId="18">'[2]SW-TEO'!#REF!</definedName>
    <definedName name="_PE7" localSheetId="15">'[2]SW-TEO'!#REF!</definedName>
    <definedName name="_PE7" localSheetId="5">'[2]SW-TEO'!#REF!</definedName>
    <definedName name="_PE7" localSheetId="7">'[2]SW-TEO'!#REF!</definedName>
    <definedName name="_PE7" localSheetId="6">'[2]SW-TEO'!#REF!</definedName>
    <definedName name="_PE7" localSheetId="8">'[2]SW-TEO'!#REF!</definedName>
    <definedName name="_PE7" localSheetId="16">'[2]SW-TEO'!#REF!</definedName>
    <definedName name="_PE7" localSheetId="4">'[2]SW-TEO'!#REF!</definedName>
    <definedName name="_PE7" localSheetId="10">'[2]SW-TEO'!#REF!</definedName>
    <definedName name="_PE7" localSheetId="12">'[2]SW-TEO'!#REF!</definedName>
    <definedName name="_PE7" localSheetId="17">'[2]SW-TEO'!#REF!</definedName>
    <definedName name="_PE7" localSheetId="9">'[2]SW-TEO'!#REF!</definedName>
    <definedName name="_PE7" localSheetId="0">'[2]SW-TEO'!#REF!</definedName>
    <definedName name="_PE7">'[2]SW-TEO'!#REF!</definedName>
    <definedName name="_PE8" localSheetId="18">'[2]SW-TEO'!#REF!</definedName>
    <definedName name="_PE8" localSheetId="15">'[2]SW-TEO'!#REF!</definedName>
    <definedName name="_PE8" localSheetId="5">'[2]SW-TEO'!#REF!</definedName>
    <definedName name="_PE8" localSheetId="7">'[2]SW-TEO'!#REF!</definedName>
    <definedName name="_PE8" localSheetId="6">'[2]SW-TEO'!#REF!</definedName>
    <definedName name="_PE8" localSheetId="8">'[2]SW-TEO'!#REF!</definedName>
    <definedName name="_PE8" localSheetId="16">'[2]SW-TEO'!#REF!</definedName>
    <definedName name="_PE8" localSheetId="4">'[2]SW-TEO'!#REF!</definedName>
    <definedName name="_PE8" localSheetId="10">'[2]SW-TEO'!#REF!</definedName>
    <definedName name="_PE8" localSheetId="12">'[2]SW-TEO'!#REF!</definedName>
    <definedName name="_PE8" localSheetId="17">'[2]SW-TEO'!#REF!</definedName>
    <definedName name="_PE8" localSheetId="9">'[2]SW-TEO'!#REF!</definedName>
    <definedName name="_PE8" localSheetId="0">'[2]SW-TEO'!#REF!</definedName>
    <definedName name="_PE8">'[2]SW-TEO'!#REF!</definedName>
    <definedName name="_PE9" localSheetId="18">'[2]SW-TEO'!#REF!</definedName>
    <definedName name="_PE9" localSheetId="15">'[2]SW-TEO'!#REF!</definedName>
    <definedName name="_PE9" localSheetId="5">'[2]SW-TEO'!#REF!</definedName>
    <definedName name="_PE9" localSheetId="7">'[2]SW-TEO'!#REF!</definedName>
    <definedName name="_PE9" localSheetId="6">'[2]SW-TEO'!#REF!</definedName>
    <definedName name="_PE9" localSheetId="8">'[2]SW-TEO'!#REF!</definedName>
    <definedName name="_PE9" localSheetId="16">'[2]SW-TEO'!#REF!</definedName>
    <definedName name="_PE9" localSheetId="4">'[2]SW-TEO'!#REF!</definedName>
    <definedName name="_PE9" localSheetId="10">'[2]SW-TEO'!#REF!</definedName>
    <definedName name="_PE9" localSheetId="12">'[2]SW-TEO'!#REF!</definedName>
    <definedName name="_PE9" localSheetId="17">'[2]SW-TEO'!#REF!</definedName>
    <definedName name="_PE9" localSheetId="9">'[2]SW-TEO'!#REF!</definedName>
    <definedName name="_PE9" localSheetId="0">'[2]SW-TEO'!#REF!</definedName>
    <definedName name="_PE9">'[2]SW-TEO'!#REF!</definedName>
    <definedName name="_PH1" localSheetId="18">'[2]SW-TEO'!#REF!</definedName>
    <definedName name="_PH1" localSheetId="15">'[2]SW-TEO'!#REF!</definedName>
    <definedName name="_PH1" localSheetId="5">'[2]SW-TEO'!#REF!</definedName>
    <definedName name="_PH1" localSheetId="7">'[2]SW-TEO'!#REF!</definedName>
    <definedName name="_PH1" localSheetId="6">'[2]SW-TEO'!#REF!</definedName>
    <definedName name="_PH1" localSheetId="8">'[2]SW-TEO'!#REF!</definedName>
    <definedName name="_PH1" localSheetId="16">'[2]SW-TEO'!#REF!</definedName>
    <definedName name="_PH1" localSheetId="4">'[2]SW-TEO'!#REF!</definedName>
    <definedName name="_PH1" localSheetId="10">'[2]SW-TEO'!#REF!</definedName>
    <definedName name="_PH1" localSheetId="12">'[2]SW-TEO'!#REF!</definedName>
    <definedName name="_PH1" localSheetId="17">'[2]SW-TEO'!#REF!</definedName>
    <definedName name="_PH1" localSheetId="9">'[2]SW-TEO'!#REF!</definedName>
    <definedName name="_PH1" localSheetId="0">'[2]SW-TEO'!#REF!</definedName>
    <definedName name="_PH1">'[2]SW-TEO'!#REF!</definedName>
    <definedName name="_PI1" localSheetId="18">'[2]SW-TEO'!#REF!</definedName>
    <definedName name="_PI1" localSheetId="15">'[2]SW-TEO'!#REF!</definedName>
    <definedName name="_PI1" localSheetId="5">'[2]SW-TEO'!#REF!</definedName>
    <definedName name="_PI1" localSheetId="7">'[2]SW-TEO'!#REF!</definedName>
    <definedName name="_PI1" localSheetId="6">'[2]SW-TEO'!#REF!</definedName>
    <definedName name="_PI1" localSheetId="8">'[2]SW-TEO'!#REF!</definedName>
    <definedName name="_PI1" localSheetId="16">'[2]SW-TEO'!#REF!</definedName>
    <definedName name="_PI1" localSheetId="4">'[2]SW-TEO'!#REF!</definedName>
    <definedName name="_PI1" localSheetId="10">'[2]SW-TEO'!#REF!</definedName>
    <definedName name="_PI1" localSheetId="12">'[2]SW-TEO'!#REF!</definedName>
    <definedName name="_PI1" localSheetId="17">'[2]SW-TEO'!#REF!</definedName>
    <definedName name="_PI1" localSheetId="9">'[2]SW-TEO'!#REF!</definedName>
    <definedName name="_PI1" localSheetId="0">'[2]SW-TEO'!#REF!</definedName>
    <definedName name="_PI1">'[2]SW-TEO'!#REF!</definedName>
    <definedName name="_PK1" localSheetId="18">'[2]SW-TEO'!#REF!</definedName>
    <definedName name="_PK1" localSheetId="15">'[2]SW-TEO'!#REF!</definedName>
    <definedName name="_PK1" localSheetId="5">'[2]SW-TEO'!#REF!</definedName>
    <definedName name="_PK1" localSheetId="7">'[2]SW-TEO'!#REF!</definedName>
    <definedName name="_PK1" localSheetId="6">'[2]SW-TEO'!#REF!</definedName>
    <definedName name="_PK1" localSheetId="8">'[2]SW-TEO'!#REF!</definedName>
    <definedName name="_PK1" localSheetId="16">'[2]SW-TEO'!#REF!</definedName>
    <definedName name="_PK1" localSheetId="4">'[2]SW-TEO'!#REF!</definedName>
    <definedName name="_PK1" localSheetId="10">'[2]SW-TEO'!#REF!</definedName>
    <definedName name="_PK1" localSheetId="12">'[2]SW-TEO'!#REF!</definedName>
    <definedName name="_PK1" localSheetId="17">'[2]SW-TEO'!#REF!</definedName>
    <definedName name="_PK1" localSheetId="9">'[2]SW-TEO'!#REF!</definedName>
    <definedName name="_PK1" localSheetId="0">'[2]SW-TEO'!#REF!</definedName>
    <definedName name="_PK1">'[2]SW-TEO'!#REF!</definedName>
    <definedName name="_PK3" localSheetId="18">'[2]SW-TEO'!#REF!</definedName>
    <definedName name="_PK3" localSheetId="15">'[2]SW-TEO'!#REF!</definedName>
    <definedName name="_PK3" localSheetId="5">'[2]SW-TEO'!#REF!</definedName>
    <definedName name="_PK3" localSheetId="7">'[2]SW-TEO'!#REF!</definedName>
    <definedName name="_PK3" localSheetId="6">'[2]SW-TEO'!#REF!</definedName>
    <definedName name="_PK3" localSheetId="8">'[2]SW-TEO'!#REF!</definedName>
    <definedName name="_PK3" localSheetId="16">'[2]SW-TEO'!#REF!</definedName>
    <definedName name="_PK3" localSheetId="4">'[2]SW-TEO'!#REF!</definedName>
    <definedName name="_PK3" localSheetId="10">'[2]SW-TEO'!#REF!</definedName>
    <definedName name="_PK3" localSheetId="12">'[2]SW-TEO'!#REF!</definedName>
    <definedName name="_PK3" localSheetId="17">'[2]SW-TEO'!#REF!</definedName>
    <definedName name="_PK3" localSheetId="9">'[2]SW-TEO'!#REF!</definedName>
    <definedName name="_PK3" localSheetId="0">'[2]SW-TEO'!#REF!</definedName>
    <definedName name="_PK3">'[2]SW-TEO'!#REF!</definedName>
    <definedName name="_sun2" localSheetId="2">#REF!</definedName>
    <definedName name="_sun2" localSheetId="18">#REF!</definedName>
    <definedName name="_sun2" localSheetId="15">#REF!</definedName>
    <definedName name="_sun2" localSheetId="5">#REF!</definedName>
    <definedName name="_sun2" localSheetId="7">#REF!</definedName>
    <definedName name="_sun2" localSheetId="6">#REF!</definedName>
    <definedName name="_sun2" localSheetId="8">#REF!</definedName>
    <definedName name="_sun2" localSheetId="16">#REF!</definedName>
    <definedName name="_sun2" localSheetId="4">#REF!</definedName>
    <definedName name="_sun2" localSheetId="10">#REF!</definedName>
    <definedName name="_sun2" localSheetId="12">#REF!</definedName>
    <definedName name="_sun2" localSheetId="17">#REF!</definedName>
    <definedName name="_sun2" localSheetId="9">#REF!</definedName>
    <definedName name="_sun2" localSheetId="0">#REF!</definedName>
    <definedName name="_sun2" localSheetId="14">#REF!</definedName>
    <definedName name="_sun2">#REF!</definedName>
    <definedName name="_SW1">[3]系数516!$C$2</definedName>
    <definedName name="_SW2">[3]系数516!$C$3</definedName>
    <definedName name="_SW3">[3]系数516!$C$4</definedName>
    <definedName name="_SW4">[3]系数516!$C$5</definedName>
    <definedName name="_SW8">[3]系数516!$C$9</definedName>
    <definedName name="_ZE16384" localSheetId="2">[4]报价单!#REF!</definedName>
    <definedName name="_ZE16384" localSheetId="18">[4]报价单!#REF!</definedName>
    <definedName name="_ZE16384" localSheetId="15">[4]报价单!#REF!</definedName>
    <definedName name="_ZE16384" localSheetId="5">[4]报价单!#REF!</definedName>
    <definedName name="_ZE16384" localSheetId="7">[4]报价单!#REF!</definedName>
    <definedName name="_ZE16384" localSheetId="6">[4]报价单!#REF!</definedName>
    <definedName name="_ZE16384" localSheetId="8">[4]报价单!#REF!</definedName>
    <definedName name="_ZE16384" localSheetId="16">[4]报价单!#REF!</definedName>
    <definedName name="_ZE16384" localSheetId="4">[4]报价单!#REF!</definedName>
    <definedName name="_ZE16384" localSheetId="10">[4]报价单!#REF!</definedName>
    <definedName name="_ZE16384" localSheetId="12">[4]报价单!#REF!</definedName>
    <definedName name="_ZE16384" localSheetId="17">[4]报价单!#REF!</definedName>
    <definedName name="_ZE16384" localSheetId="9">[4]报价单!#REF!</definedName>
    <definedName name="_ZE16384" localSheetId="0">[4]报价单!#REF!</definedName>
    <definedName name="_ZE16384" localSheetId="14">[4]报价单!#REF!</definedName>
    <definedName name="_ZE16384">[4]报价单!#REF!</definedName>
    <definedName name="aiu_bottom" localSheetId="2">'[5]Financ. Overview'!#REF!</definedName>
    <definedName name="aiu_bottom" localSheetId="18">'[5]Financ. Overview'!#REF!</definedName>
    <definedName name="aiu_bottom" localSheetId="15">'[5]Financ. Overview'!#REF!</definedName>
    <definedName name="aiu_bottom" localSheetId="5">'[5]Financ. Overview'!#REF!</definedName>
    <definedName name="aiu_bottom" localSheetId="7">'[5]Financ. Overview'!#REF!</definedName>
    <definedName name="aiu_bottom" localSheetId="6">'[5]Financ. Overview'!#REF!</definedName>
    <definedName name="aiu_bottom" localSheetId="8">'[5]Financ. Overview'!#REF!</definedName>
    <definedName name="aiu_bottom" localSheetId="16">'[5]Financ. Overview'!#REF!</definedName>
    <definedName name="aiu_bottom" localSheetId="4">'[5]Financ. Overview'!#REF!</definedName>
    <definedName name="aiu_bottom" localSheetId="10">'[5]Financ. Overview'!#REF!</definedName>
    <definedName name="aiu_bottom" localSheetId="12">'[5]Financ. Overview'!#REF!</definedName>
    <definedName name="aiu_bottom" localSheetId="17">'[5]Financ. Overview'!#REF!</definedName>
    <definedName name="aiu_bottom" localSheetId="9">'[5]Financ. Overview'!#REF!</definedName>
    <definedName name="aiu_bottom" localSheetId="0">'[5]Financ. Overview'!#REF!</definedName>
    <definedName name="aiu_bottom" localSheetId="14">'[5]Financ. Overview'!#REF!</definedName>
    <definedName name="aiu_bottom">'[5]Financ. Overview'!#REF!</definedName>
    <definedName name="bg_charge">[6]Sheet9!$I$58</definedName>
    <definedName name="bo_num">[6]Sheet9!$C$17</definedName>
    <definedName name="Bust">[7]XL4Poppy!$C$31</definedName>
    <definedName name="B空调" localSheetId="2">'2015年ES实际花费数据'!B空调</definedName>
    <definedName name="B空调" localSheetId="3">'2015预算稿 '!B空调</definedName>
    <definedName name="B空调" localSheetId="18">'2016年公司车险及ES车辆养护'!B空调</definedName>
    <definedName name="B空调" localSheetId="1">'2016预算稿 '!B空调</definedName>
    <definedName name="B空调" localSheetId="15">Capex!B空调</definedName>
    <definedName name="B空调" localSheetId="5">阿姨工资奖金!B空调</definedName>
    <definedName name="B空调" localSheetId="7">保安服务费!B空调</definedName>
    <definedName name="B空调" localSheetId="6">保洁服务费!B空调</definedName>
    <definedName name="B空调" localSheetId="8">'部分费用明细（水电植物耗材茶歇）'!B空调</definedName>
    <definedName name="B空调" localSheetId="16">财产险!B空调</definedName>
    <definedName name="B空调" localSheetId="4">基础数据!B空调</definedName>
    <definedName name="B空调" localSheetId="10">'媒体大厦物业费 能源费'!B空调</definedName>
    <definedName name="B空调" localSheetId="12">搜狐媒体大厦工位!B空调</definedName>
    <definedName name="B空调" localSheetId="17">#N/A</definedName>
    <definedName name="B空调" localSheetId="9">物业房租车位费!B空调</definedName>
    <definedName name="B空调" localSheetId="14">#N/A</definedName>
    <definedName name="B空调">#N/A</definedName>
    <definedName name="cctv">'[8]99CCTV'!$A$6:$C$800</definedName>
    <definedName name="CO" localSheetId="2">#REF!</definedName>
    <definedName name="CO" localSheetId="18">#REF!</definedName>
    <definedName name="CO" localSheetId="15">#REF!</definedName>
    <definedName name="CO" localSheetId="5">#REF!</definedName>
    <definedName name="CO" localSheetId="7">#REF!</definedName>
    <definedName name="CO" localSheetId="6">#REF!</definedName>
    <definedName name="CO" localSheetId="8">#REF!</definedName>
    <definedName name="CO" localSheetId="16">#REF!</definedName>
    <definedName name="CO" localSheetId="4">#REF!</definedName>
    <definedName name="CO" localSheetId="10">#REF!</definedName>
    <definedName name="CO" localSheetId="12">#REF!</definedName>
    <definedName name="CO" localSheetId="17">#REF!</definedName>
    <definedName name="CO" localSheetId="9">#REF!</definedName>
    <definedName name="CO" localSheetId="0">#REF!</definedName>
    <definedName name="CO" localSheetId="14">#REF!</definedName>
    <definedName name="CO">#REF!</definedName>
    <definedName name="Continue">[7]XL4Poppy!$C$9</definedName>
    <definedName name="d" localSheetId="2">#REF!</definedName>
    <definedName name="d" localSheetId="18">#REF!</definedName>
    <definedName name="d" localSheetId="15">#REF!</definedName>
    <definedName name="d" localSheetId="5">#REF!</definedName>
    <definedName name="d" localSheetId="7">#REF!</definedName>
    <definedName name="d" localSheetId="6">#REF!</definedName>
    <definedName name="d" localSheetId="8">#REF!</definedName>
    <definedName name="d" localSheetId="16">#REF!</definedName>
    <definedName name="d" localSheetId="4">#REF!</definedName>
    <definedName name="d" localSheetId="10">#REF!</definedName>
    <definedName name="d" localSheetId="12">#REF!</definedName>
    <definedName name="d" localSheetId="17">#REF!</definedName>
    <definedName name="d" localSheetId="9">#REF!</definedName>
    <definedName name="d" localSheetId="0">#REF!</definedName>
    <definedName name="d" localSheetId="14">#REF!</definedName>
    <definedName name="d">#REF!</definedName>
    <definedName name="doc_cost" localSheetId="2">[6]Sheet9!#REF!</definedName>
    <definedName name="doc_cost" localSheetId="18">[6]Sheet9!#REF!</definedName>
    <definedName name="doc_cost" localSheetId="15">[6]Sheet9!#REF!</definedName>
    <definedName name="doc_cost" localSheetId="5">[6]Sheet9!#REF!</definedName>
    <definedName name="doc_cost" localSheetId="7">[6]Sheet9!#REF!</definedName>
    <definedName name="doc_cost" localSheetId="6">[6]Sheet9!#REF!</definedName>
    <definedName name="doc_cost" localSheetId="8">[6]Sheet9!#REF!</definedName>
    <definedName name="doc_cost" localSheetId="16">[6]Sheet9!#REF!</definedName>
    <definedName name="doc_cost" localSheetId="4">[6]Sheet9!#REF!</definedName>
    <definedName name="doc_cost" localSheetId="10">[6]Sheet9!#REF!</definedName>
    <definedName name="doc_cost" localSheetId="12">[6]Sheet9!#REF!</definedName>
    <definedName name="doc_cost" localSheetId="17">[6]Sheet9!#REF!</definedName>
    <definedName name="doc_cost" localSheetId="9">[6]Sheet9!#REF!</definedName>
    <definedName name="doc_cost" localSheetId="0">[6]Sheet9!#REF!</definedName>
    <definedName name="doc_cost" localSheetId="14">[6]Sheet9!#REF!</definedName>
    <definedName name="doc_cost">[6]Sheet9!#REF!</definedName>
    <definedName name="Documents_array">[7]XL4Poppy!$B$1:$B$16</definedName>
    <definedName name="e" localSheetId="2">#REF!</definedName>
    <definedName name="e" localSheetId="18">#REF!</definedName>
    <definedName name="e" localSheetId="15">#REF!</definedName>
    <definedName name="e" localSheetId="5">#REF!</definedName>
    <definedName name="e" localSheetId="7">#REF!</definedName>
    <definedName name="e" localSheetId="6">#REF!</definedName>
    <definedName name="e" localSheetId="8">#REF!</definedName>
    <definedName name="e" localSheetId="16">#REF!</definedName>
    <definedName name="e" localSheetId="4">#REF!</definedName>
    <definedName name="e" localSheetId="10">#REF!</definedName>
    <definedName name="e" localSheetId="12">#REF!</definedName>
    <definedName name="e" localSheetId="17">#REF!</definedName>
    <definedName name="e" localSheetId="9">#REF!</definedName>
    <definedName name="e" localSheetId="0">#REF!</definedName>
    <definedName name="e" localSheetId="14">#REF!</definedName>
    <definedName name="e">#REF!</definedName>
    <definedName name="f" localSheetId="2">#REF!</definedName>
    <definedName name="f" localSheetId="18">#REF!</definedName>
    <definedName name="f" localSheetId="15">#REF!</definedName>
    <definedName name="f" localSheetId="5">#REF!</definedName>
    <definedName name="f" localSheetId="7">#REF!</definedName>
    <definedName name="f" localSheetId="6">#REF!</definedName>
    <definedName name="f" localSheetId="8">#REF!</definedName>
    <definedName name="f" localSheetId="16">#REF!</definedName>
    <definedName name="f" localSheetId="4">#REF!</definedName>
    <definedName name="f" localSheetId="10">#REF!</definedName>
    <definedName name="f" localSheetId="12">#REF!</definedName>
    <definedName name="f" localSheetId="17">#REF!</definedName>
    <definedName name="f" localSheetId="9">#REF!</definedName>
    <definedName name="f" localSheetId="0">#REF!</definedName>
    <definedName name="f" localSheetId="14">#REF!</definedName>
    <definedName name="f">#REF!</definedName>
    <definedName name="FRC">[9]Main!$C$9</definedName>
    <definedName name="fret_cost" localSheetId="2">[6]Sheet9!#REF!</definedName>
    <definedName name="fret_cost" localSheetId="18">[6]Sheet9!#REF!</definedName>
    <definedName name="fret_cost" localSheetId="15">[6]Sheet9!#REF!</definedName>
    <definedName name="fret_cost" localSheetId="5">[6]Sheet9!#REF!</definedName>
    <definedName name="fret_cost" localSheetId="7">[6]Sheet9!#REF!</definedName>
    <definedName name="fret_cost" localSheetId="6">[6]Sheet9!#REF!</definedName>
    <definedName name="fret_cost" localSheetId="8">[6]Sheet9!#REF!</definedName>
    <definedName name="fret_cost" localSheetId="16">[6]Sheet9!#REF!</definedName>
    <definedName name="fret_cost" localSheetId="4">[6]Sheet9!#REF!</definedName>
    <definedName name="fret_cost" localSheetId="10">[6]Sheet9!#REF!</definedName>
    <definedName name="fret_cost" localSheetId="12">[6]Sheet9!#REF!</definedName>
    <definedName name="fret_cost" localSheetId="17">[6]Sheet9!#REF!</definedName>
    <definedName name="fret_cost" localSheetId="9">[6]Sheet9!#REF!</definedName>
    <definedName name="fret_cost" localSheetId="0">[6]Sheet9!#REF!</definedName>
    <definedName name="fret_cost" localSheetId="14">[6]Sheet9!#REF!</definedName>
    <definedName name="fret_cost">[6]Sheet9!#REF!</definedName>
    <definedName name="G" localSheetId="2">#REF!</definedName>
    <definedName name="G" localSheetId="18">#REF!</definedName>
    <definedName name="G" localSheetId="15">#REF!</definedName>
    <definedName name="G" localSheetId="5">#REF!</definedName>
    <definedName name="G" localSheetId="7">#REF!</definedName>
    <definedName name="G" localSheetId="6">#REF!</definedName>
    <definedName name="G" localSheetId="8">#REF!</definedName>
    <definedName name="G" localSheetId="16">#REF!</definedName>
    <definedName name="G" localSheetId="4">#REF!</definedName>
    <definedName name="G" localSheetId="10">#REF!</definedName>
    <definedName name="G" localSheetId="12">#REF!</definedName>
    <definedName name="G" localSheetId="17">#REF!</definedName>
    <definedName name="G" localSheetId="9">#REF!</definedName>
    <definedName name="G" localSheetId="0">#REF!</definedName>
    <definedName name="G" localSheetId="14">#REF!</definedName>
    <definedName name="G">#REF!</definedName>
    <definedName name="Hello">[7]XL4Poppy!$A$15</definedName>
    <definedName name="hhh" localSheetId="18">'[10]Mp-team 1'!#REF!</definedName>
    <definedName name="hhh" localSheetId="15">'[10]Mp-team 1'!#REF!</definedName>
    <definedName name="hhh" localSheetId="5">'[10]Mp-team 1'!#REF!</definedName>
    <definedName name="hhh" localSheetId="7">'[10]Mp-team 1'!#REF!</definedName>
    <definedName name="hhh" localSheetId="6">'[10]Mp-team 1'!#REF!</definedName>
    <definedName name="hhh" localSheetId="8">'[10]Mp-team 1'!#REF!</definedName>
    <definedName name="hhh" localSheetId="16">'[10]Mp-team 1'!#REF!</definedName>
    <definedName name="hhh" localSheetId="4">'[10]Mp-team 1'!#REF!</definedName>
    <definedName name="hhh" localSheetId="10">'[10]Mp-team 1'!#REF!</definedName>
    <definedName name="hhh" localSheetId="12">'[10]Mp-team 1'!#REF!</definedName>
    <definedName name="hhh" localSheetId="17">'[10]Mp-team 1'!#REF!</definedName>
    <definedName name="hhh" localSheetId="9">'[10]Mp-team 1'!#REF!</definedName>
    <definedName name="hhh" localSheetId="0">'[10]Mp-team 1'!#REF!</definedName>
    <definedName name="hhh">'[10]Mp-team 1'!#REF!</definedName>
    <definedName name="hostfee">'[5]Financ. Overview'!$H$12</definedName>
    <definedName name="hraiu_bottom" localSheetId="2">'[5]Financ. Overview'!#REF!</definedName>
    <definedName name="hraiu_bottom" localSheetId="18">'[5]Financ. Overview'!#REF!</definedName>
    <definedName name="hraiu_bottom" localSheetId="15">'[5]Financ. Overview'!#REF!</definedName>
    <definedName name="hraiu_bottom" localSheetId="5">'[5]Financ. Overview'!#REF!</definedName>
    <definedName name="hraiu_bottom" localSheetId="7">'[5]Financ. Overview'!#REF!</definedName>
    <definedName name="hraiu_bottom" localSheetId="6">'[5]Financ. Overview'!#REF!</definedName>
    <definedName name="hraiu_bottom" localSheetId="8">'[5]Financ. Overview'!#REF!</definedName>
    <definedName name="hraiu_bottom" localSheetId="16">'[5]Financ. Overview'!#REF!</definedName>
    <definedName name="hraiu_bottom" localSheetId="4">'[5]Financ. Overview'!#REF!</definedName>
    <definedName name="hraiu_bottom" localSheetId="10">'[5]Financ. Overview'!#REF!</definedName>
    <definedName name="hraiu_bottom" localSheetId="12">'[5]Financ. Overview'!#REF!</definedName>
    <definedName name="hraiu_bottom" localSheetId="17">'[5]Financ. Overview'!#REF!</definedName>
    <definedName name="hraiu_bottom" localSheetId="9">'[5]Financ. Overview'!#REF!</definedName>
    <definedName name="hraiu_bottom" localSheetId="0">'[5]Financ. Overview'!#REF!</definedName>
    <definedName name="hraiu_bottom" localSheetId="14">'[5]Financ. Overview'!#REF!</definedName>
    <definedName name="hraiu_bottom">'[5]Financ. Overview'!#REF!</definedName>
    <definedName name="hvac" localSheetId="2">'[5]Financ. Overview'!#REF!</definedName>
    <definedName name="hvac" localSheetId="18">'[5]Financ. Overview'!#REF!</definedName>
    <definedName name="hvac" localSheetId="15">'[5]Financ. Overview'!#REF!</definedName>
    <definedName name="hvac" localSheetId="5">'[5]Financ. Overview'!#REF!</definedName>
    <definedName name="hvac" localSheetId="7">'[5]Financ. Overview'!#REF!</definedName>
    <definedName name="hvac" localSheetId="6">'[5]Financ. Overview'!#REF!</definedName>
    <definedName name="hvac" localSheetId="8">'[5]Financ. Overview'!#REF!</definedName>
    <definedName name="hvac" localSheetId="16">'[5]Financ. Overview'!#REF!</definedName>
    <definedName name="hvac" localSheetId="4">'[5]Financ. Overview'!#REF!</definedName>
    <definedName name="hvac" localSheetId="10">'[5]Financ. Overview'!#REF!</definedName>
    <definedName name="hvac" localSheetId="12">'[5]Financ. Overview'!#REF!</definedName>
    <definedName name="hvac" localSheetId="17">'[5]Financ. Overview'!#REF!</definedName>
    <definedName name="hvac" localSheetId="9">'[5]Financ. Overview'!#REF!</definedName>
    <definedName name="hvac" localSheetId="0">'[5]Financ. Overview'!#REF!</definedName>
    <definedName name="hvac" localSheetId="14">'[5]Financ. Overview'!#REF!</definedName>
    <definedName name="hvac">'[5]Financ. Overview'!#REF!</definedName>
    <definedName name="HWSheet">1</definedName>
    <definedName name="install_cost" localSheetId="2">[6]Sheet9!#REF!</definedName>
    <definedName name="install_cost" localSheetId="18">[6]Sheet9!#REF!</definedName>
    <definedName name="install_cost" localSheetId="15">[6]Sheet9!#REF!</definedName>
    <definedName name="install_cost" localSheetId="5">[6]Sheet9!#REF!</definedName>
    <definedName name="install_cost" localSheetId="7">[6]Sheet9!#REF!</definedName>
    <definedName name="install_cost" localSheetId="6">[6]Sheet9!#REF!</definedName>
    <definedName name="install_cost" localSheetId="8">[6]Sheet9!#REF!</definedName>
    <definedName name="install_cost" localSheetId="16">[6]Sheet9!#REF!</definedName>
    <definedName name="install_cost" localSheetId="4">[6]Sheet9!#REF!</definedName>
    <definedName name="install_cost" localSheetId="10">[6]Sheet9!#REF!</definedName>
    <definedName name="install_cost" localSheetId="12">[6]Sheet9!#REF!</definedName>
    <definedName name="install_cost" localSheetId="17">[6]Sheet9!#REF!</definedName>
    <definedName name="install_cost" localSheetId="9">[6]Sheet9!#REF!</definedName>
    <definedName name="install_cost" localSheetId="0">[6]Sheet9!#REF!</definedName>
    <definedName name="install_cost" localSheetId="14">[6]Sheet9!#REF!</definedName>
    <definedName name="install_cost">[6]Sheet9!#REF!</definedName>
    <definedName name="Insurance" localSheetId="2">[6]Sheet9!#REF!</definedName>
    <definedName name="Insurance" localSheetId="18">[6]Sheet9!#REF!</definedName>
    <definedName name="Insurance" localSheetId="15">[6]Sheet9!#REF!</definedName>
    <definedName name="Insurance" localSheetId="5">[6]Sheet9!#REF!</definedName>
    <definedName name="Insurance" localSheetId="7">[6]Sheet9!#REF!</definedName>
    <definedName name="Insurance" localSheetId="6">[6]Sheet9!#REF!</definedName>
    <definedName name="Insurance" localSheetId="8">[6]Sheet9!#REF!</definedName>
    <definedName name="Insurance" localSheetId="16">[6]Sheet9!#REF!</definedName>
    <definedName name="Insurance" localSheetId="4">[6]Sheet9!#REF!</definedName>
    <definedName name="Insurance" localSheetId="10">[6]Sheet9!#REF!</definedName>
    <definedName name="Insurance" localSheetId="12">[6]Sheet9!#REF!</definedName>
    <definedName name="Insurance" localSheetId="17">[6]Sheet9!#REF!</definedName>
    <definedName name="Insurance" localSheetId="9">[6]Sheet9!#REF!</definedName>
    <definedName name="Insurance" localSheetId="0">[6]Sheet9!#REF!</definedName>
    <definedName name="Insurance" localSheetId="14">[6]Sheet9!#REF!</definedName>
    <definedName name="Insurance">[6]Sheet9!#REF!</definedName>
    <definedName name="J" localSheetId="2">#REF!</definedName>
    <definedName name="J" localSheetId="18">#REF!</definedName>
    <definedName name="J" localSheetId="15">#REF!</definedName>
    <definedName name="J" localSheetId="5">#REF!</definedName>
    <definedName name="J" localSheetId="7">#REF!</definedName>
    <definedName name="J" localSheetId="6">#REF!</definedName>
    <definedName name="J" localSheetId="8">#REF!</definedName>
    <definedName name="J" localSheetId="16">#REF!</definedName>
    <definedName name="J" localSheetId="4">#REF!</definedName>
    <definedName name="J" localSheetId="10">#REF!</definedName>
    <definedName name="J" localSheetId="12">#REF!</definedName>
    <definedName name="J" localSheetId="17">#REF!</definedName>
    <definedName name="J" localSheetId="9">#REF!</definedName>
    <definedName name="J" localSheetId="0">#REF!</definedName>
    <definedName name="J" localSheetId="14">#REF!</definedName>
    <definedName name="J">#REF!</definedName>
    <definedName name="MakeIt">[7]XL4Poppy!$A$26</definedName>
    <definedName name="manpower_site" localSheetId="18">[6]Sheet9!#REF!</definedName>
    <definedName name="manpower_site" localSheetId="15">[6]Sheet9!#REF!</definedName>
    <definedName name="manpower_site" localSheetId="5">[6]Sheet9!#REF!</definedName>
    <definedName name="manpower_site" localSheetId="7">[6]Sheet9!#REF!</definedName>
    <definedName name="manpower_site" localSheetId="6">[6]Sheet9!#REF!</definedName>
    <definedName name="manpower_site" localSheetId="8">[6]Sheet9!#REF!</definedName>
    <definedName name="manpower_site" localSheetId="16">[6]Sheet9!#REF!</definedName>
    <definedName name="manpower_site" localSheetId="4">[6]Sheet9!#REF!</definedName>
    <definedName name="manpower_site" localSheetId="10">[6]Sheet9!#REF!</definedName>
    <definedName name="manpower_site" localSheetId="12">[6]Sheet9!#REF!</definedName>
    <definedName name="manpower_site" localSheetId="17">[6]Sheet9!#REF!</definedName>
    <definedName name="manpower_site" localSheetId="9">[6]Sheet9!#REF!</definedName>
    <definedName name="manpower_site" localSheetId="0">[6]Sheet9!#REF!</definedName>
    <definedName name="manpower_site">[6]Sheet9!#REF!</definedName>
    <definedName name="Module.Prix_SMC" localSheetId="2">'2015年ES实际花费数据'!Module.Prix_SMC</definedName>
    <definedName name="Module.Prix_SMC" localSheetId="3">'2015预算稿 '!Module.Prix_SMC</definedName>
    <definedName name="Module.Prix_SMC" localSheetId="18">'2016年公司车险及ES车辆养护'!Module.Prix_SMC</definedName>
    <definedName name="Module.Prix_SMC" localSheetId="1">'2016预算稿 '!Module.Prix_SMC</definedName>
    <definedName name="Module.Prix_SMC" localSheetId="15">Capex!Module.Prix_SMC</definedName>
    <definedName name="Module.Prix_SMC" localSheetId="5">阿姨工资奖金!Module.Prix_SMC</definedName>
    <definedName name="Module.Prix_SMC" localSheetId="7">保安服务费!Module.Prix_SMC</definedName>
    <definedName name="Module.Prix_SMC" localSheetId="6">保洁服务费!Module.Prix_SMC</definedName>
    <definedName name="Module.Prix_SMC" localSheetId="8">'部分费用明细（水电植物耗材茶歇）'!Module.Prix_SMC</definedName>
    <definedName name="Module.Prix_SMC" localSheetId="16">财产险!Module.Prix_SMC</definedName>
    <definedName name="Module.Prix_SMC" localSheetId="4">基础数据!Module.Prix_SMC</definedName>
    <definedName name="Module.Prix_SMC" localSheetId="10">'媒体大厦物业费 能源费'!Module.Prix_SMC</definedName>
    <definedName name="Module.Prix_SMC" localSheetId="12">搜狐媒体大厦工位!Module.Prix_SMC</definedName>
    <definedName name="Module.Prix_SMC" localSheetId="17">#N/A</definedName>
    <definedName name="Module.Prix_SMC" localSheetId="9">物业房租车位费!Module.Prix_SMC</definedName>
    <definedName name="Module.Prix_SMC" localSheetId="14">#N/A</definedName>
    <definedName name="Module.Prix_SMC">#N/A</definedName>
    <definedName name="Morning">[7]XL4Poppy!$C$39</definedName>
    <definedName name="office_exp" localSheetId="2">[6]Sheet9!#REF!</definedName>
    <definedName name="office_exp" localSheetId="18">[6]Sheet9!#REF!</definedName>
    <definedName name="office_exp" localSheetId="15">[6]Sheet9!#REF!</definedName>
    <definedName name="office_exp" localSheetId="5">[6]Sheet9!#REF!</definedName>
    <definedName name="office_exp" localSheetId="7">[6]Sheet9!#REF!</definedName>
    <definedName name="office_exp" localSheetId="6">[6]Sheet9!#REF!</definedName>
    <definedName name="office_exp" localSheetId="8">[6]Sheet9!#REF!</definedName>
    <definedName name="office_exp" localSheetId="16">[6]Sheet9!#REF!</definedName>
    <definedName name="office_exp" localSheetId="4">[6]Sheet9!#REF!</definedName>
    <definedName name="office_exp" localSheetId="10">[6]Sheet9!#REF!</definedName>
    <definedName name="office_exp" localSheetId="12">[6]Sheet9!#REF!</definedName>
    <definedName name="office_exp" localSheetId="17">[6]Sheet9!#REF!</definedName>
    <definedName name="office_exp" localSheetId="9">[6]Sheet9!#REF!</definedName>
    <definedName name="office_exp" localSheetId="0">[6]Sheet9!#REF!</definedName>
    <definedName name="office_exp" localSheetId="14">[6]Sheet9!#REF!</definedName>
    <definedName name="office_exp">[6]Sheet9!#REF!</definedName>
    <definedName name="OS" localSheetId="2">[11]Open!#REF!</definedName>
    <definedName name="OS" localSheetId="18">[11]Open!#REF!</definedName>
    <definedName name="OS" localSheetId="15">[11]Open!#REF!</definedName>
    <definedName name="OS" localSheetId="5">[11]Open!#REF!</definedName>
    <definedName name="OS" localSheetId="7">[11]Open!#REF!</definedName>
    <definedName name="OS" localSheetId="6">[11]Open!#REF!</definedName>
    <definedName name="OS" localSheetId="8">[11]Open!#REF!</definedName>
    <definedName name="OS" localSheetId="16">[11]Open!#REF!</definedName>
    <definedName name="OS" localSheetId="4">[11]Open!#REF!</definedName>
    <definedName name="OS" localSheetId="10">[11]Open!#REF!</definedName>
    <definedName name="OS" localSheetId="12">[11]Open!#REF!</definedName>
    <definedName name="OS" localSheetId="17">[11]Open!#REF!</definedName>
    <definedName name="OS" localSheetId="9">[11]Open!#REF!</definedName>
    <definedName name="OS" localSheetId="0">[11]Open!#REF!</definedName>
    <definedName name="OS" localSheetId="14">[11]Open!#REF!</definedName>
    <definedName name="OS">[11]Open!#REF!</definedName>
    <definedName name="P" localSheetId="2">#REF!</definedName>
    <definedName name="P" localSheetId="18">#REF!</definedName>
    <definedName name="P" localSheetId="15">#REF!</definedName>
    <definedName name="P" localSheetId="5">#REF!</definedName>
    <definedName name="P" localSheetId="7">#REF!</definedName>
    <definedName name="P" localSheetId="6">#REF!</definedName>
    <definedName name="P" localSheetId="8">#REF!</definedName>
    <definedName name="P" localSheetId="16">#REF!</definedName>
    <definedName name="P" localSheetId="4">#REF!</definedName>
    <definedName name="P" localSheetId="10">#REF!</definedName>
    <definedName name="P" localSheetId="12">#REF!</definedName>
    <definedName name="P" localSheetId="17">#REF!</definedName>
    <definedName name="P" localSheetId="9">#REF!</definedName>
    <definedName name="P" localSheetId="0">#REF!</definedName>
    <definedName name="P" localSheetId="14">#REF!</definedName>
    <definedName name="P">#REF!</definedName>
    <definedName name="pa">'[8]99PA'!$A$4:$C$488</definedName>
    <definedName name="Poppy">[7]XL4Poppy!$C$27</definedName>
    <definedName name="pr_toolbox">[5]Toolbox!$A$3:$I$80</definedName>
    <definedName name="_xlnm.Print_Area" localSheetId="18">'2016年公司车险及ES车辆养护'!#REF!</definedName>
    <definedName name="_xlnm.Print_Titles" localSheetId="2">'2015年ES实际花费数据'!$1:$5</definedName>
    <definedName name="_xlnm.Print_Titles" localSheetId="3">'2015预算稿 '!$1:$5</definedName>
    <definedName name="_xlnm.Print_Titles" localSheetId="1">'2016预算稿 '!$1:$5</definedName>
    <definedName name="Prix_SMC" localSheetId="2">'2015年ES实际花费数据'!Prix_SMC</definedName>
    <definedName name="Prix_SMC" localSheetId="3">'2015预算稿 '!Prix_SMC</definedName>
    <definedName name="Prix_SMC" localSheetId="18">'2016年公司车险及ES车辆养护'!Prix_SMC</definedName>
    <definedName name="Prix_SMC" localSheetId="1">'2016预算稿 '!Prix_SMC</definedName>
    <definedName name="Prix_SMC" localSheetId="15">Capex!Prix_SMC</definedName>
    <definedName name="Prix_SMC" localSheetId="5">阿姨工资奖金!Prix_SMC</definedName>
    <definedName name="Prix_SMC" localSheetId="7">保安服务费!Prix_SMC</definedName>
    <definedName name="Prix_SMC" localSheetId="6">保洁服务费!Prix_SMC</definedName>
    <definedName name="Prix_SMC" localSheetId="8">'部分费用明细（水电植物耗材茶歇）'!Prix_SMC</definedName>
    <definedName name="Prix_SMC" localSheetId="16">财产险!Prix_SMC</definedName>
    <definedName name="Prix_SMC" localSheetId="4">基础数据!Prix_SMC</definedName>
    <definedName name="Prix_SMC" localSheetId="10">'媒体大厦物业费 能源费'!Prix_SMC</definedName>
    <definedName name="Prix_SMC" localSheetId="12">搜狐媒体大厦工位!Prix_SMC</definedName>
    <definedName name="Prix_SMC" localSheetId="17">#N/A</definedName>
    <definedName name="Prix_SMC" localSheetId="9">物业房租车位费!Prix_SMC</definedName>
    <definedName name="Prix_SMC" localSheetId="14">#N/A</definedName>
    <definedName name="Prix_SMC">#N/A</definedName>
    <definedName name="S" localSheetId="2">#REF!</definedName>
    <definedName name="S" localSheetId="3">#REF!</definedName>
    <definedName name="S" localSheetId="18">#REF!</definedName>
    <definedName name="S" localSheetId="1">#REF!</definedName>
    <definedName name="S" localSheetId="15">#REF!</definedName>
    <definedName name="S" localSheetId="5">#REF!</definedName>
    <definedName name="S" localSheetId="7">#REF!</definedName>
    <definedName name="S" localSheetId="6">#REF!</definedName>
    <definedName name="S" localSheetId="8">#REF!</definedName>
    <definedName name="S" localSheetId="16">#REF!</definedName>
    <definedName name="S" localSheetId="4">#REF!</definedName>
    <definedName name="S" localSheetId="10">#REF!</definedName>
    <definedName name="S" localSheetId="12">#REF!</definedName>
    <definedName name="S" localSheetId="17">#REF!</definedName>
    <definedName name="S" localSheetId="9">#REF!</definedName>
    <definedName name="S" localSheetId="0">#REF!</definedName>
    <definedName name="S" localSheetId="14">#REF!</definedName>
    <definedName name="S">#REF!</definedName>
    <definedName name="s_c_list">[12]Toolbox!$A$7:$H$969</definedName>
    <definedName name="SCG" localSheetId="2">'[13]G.1R-Shou COP Gf'!#REF!</definedName>
    <definedName name="SCG" localSheetId="18">'[13]G.1R-Shou COP Gf'!#REF!</definedName>
    <definedName name="SCG" localSheetId="15">'[13]G.1R-Shou COP Gf'!#REF!</definedName>
    <definedName name="SCG" localSheetId="5">'[13]G.1R-Shou COP Gf'!#REF!</definedName>
    <definedName name="SCG" localSheetId="7">'[13]G.1R-Shou COP Gf'!#REF!</definedName>
    <definedName name="SCG" localSheetId="6">'[13]G.1R-Shou COP Gf'!#REF!</definedName>
    <definedName name="SCG" localSheetId="8">'[13]G.1R-Shou COP Gf'!#REF!</definedName>
    <definedName name="SCG" localSheetId="16">'[13]G.1R-Shou COP Gf'!#REF!</definedName>
    <definedName name="SCG" localSheetId="4">'[13]G.1R-Shou COP Gf'!#REF!</definedName>
    <definedName name="SCG" localSheetId="10">'[13]G.1R-Shou COP Gf'!#REF!</definedName>
    <definedName name="SCG" localSheetId="12">'[13]G.1R-Shou COP Gf'!#REF!</definedName>
    <definedName name="SCG" localSheetId="17">'[13]G.1R-Shou COP Gf'!#REF!</definedName>
    <definedName name="SCG" localSheetId="9">'[13]G.1R-Shou COP Gf'!#REF!</definedName>
    <definedName name="SCG" localSheetId="0">'[13]G.1R-Shou COP Gf'!#REF!</definedName>
    <definedName name="SCG" localSheetId="14">'[13]G.1R-Shou COP Gf'!#REF!</definedName>
    <definedName name="SCG">'[13]G.1R-Shou COP Gf'!#REF!</definedName>
    <definedName name="sdlfee">'[5]Financ. Overview'!$H$13</definedName>
    <definedName name="solar_ratio">'[14]POWER ASSUMPTIONS'!$H$7</definedName>
    <definedName name="SS" localSheetId="2">'2015年ES实际花费数据'!SS</definedName>
    <definedName name="SS" localSheetId="3">'2015预算稿 '!SS</definedName>
    <definedName name="SS" localSheetId="18">'2016年公司车险及ES车辆养护'!SS</definedName>
    <definedName name="SS" localSheetId="1">'2016预算稿 '!SS</definedName>
    <definedName name="SS" localSheetId="15">Capex!SS</definedName>
    <definedName name="SS" localSheetId="5">阿姨工资奖金!SS</definedName>
    <definedName name="SS" localSheetId="7">保安服务费!SS</definedName>
    <definedName name="SS" localSheetId="6">保洁服务费!SS</definedName>
    <definedName name="SS" localSheetId="8">'部分费用明细（水电植物耗材茶歇）'!SS</definedName>
    <definedName name="SS" localSheetId="16">财产险!SS</definedName>
    <definedName name="SS" localSheetId="4">基础数据!SS</definedName>
    <definedName name="SS" localSheetId="10">'媒体大厦物业费 能源费'!SS</definedName>
    <definedName name="SS" localSheetId="12">搜狐媒体大厦工位!SS</definedName>
    <definedName name="SS" localSheetId="17">#N/A</definedName>
    <definedName name="SS" localSheetId="9">物业房租车位费!SS</definedName>
    <definedName name="SS" localSheetId="14">#N/A</definedName>
    <definedName name="SS">#N/A</definedName>
    <definedName name="ss7fee">'[5]Financ. Overview'!$H$18</definedName>
    <definedName name="st">[8]预算200326!$A$49065</definedName>
    <definedName name="subsfee">'[5]Financ. Overview'!$H$14</definedName>
    <definedName name="SUN" localSheetId="2">#REF!</definedName>
    <definedName name="SUN" localSheetId="18">#REF!</definedName>
    <definedName name="SUN" localSheetId="15">#REF!</definedName>
    <definedName name="SUN" localSheetId="5">#REF!</definedName>
    <definedName name="SUN" localSheetId="7">#REF!</definedName>
    <definedName name="SUN" localSheetId="6">#REF!</definedName>
    <definedName name="SUN" localSheetId="8">#REF!</definedName>
    <definedName name="SUN" localSheetId="16">#REF!</definedName>
    <definedName name="SUN" localSheetId="4">#REF!</definedName>
    <definedName name="SUN" localSheetId="10">#REF!</definedName>
    <definedName name="SUN" localSheetId="12">#REF!</definedName>
    <definedName name="SUN" localSheetId="17">#REF!</definedName>
    <definedName name="SUN" localSheetId="9">#REF!</definedName>
    <definedName name="SUN" localSheetId="0">#REF!</definedName>
    <definedName name="SUN" localSheetId="14">#REF!</definedName>
    <definedName name="SUN">#REF!</definedName>
    <definedName name="sys_num">[6]Sheet9!$C$15</definedName>
    <definedName name="T" localSheetId="2">#REF!</definedName>
    <definedName name="T" localSheetId="18">#REF!</definedName>
    <definedName name="T" localSheetId="15">#REF!</definedName>
    <definedName name="T" localSheetId="5">#REF!</definedName>
    <definedName name="T" localSheetId="7">#REF!</definedName>
    <definedName name="T" localSheetId="6">#REF!</definedName>
    <definedName name="T" localSheetId="8">#REF!</definedName>
    <definedName name="T" localSheetId="16">#REF!</definedName>
    <definedName name="T" localSheetId="4">#REF!</definedName>
    <definedName name="T" localSheetId="10">#REF!</definedName>
    <definedName name="T" localSheetId="12">#REF!</definedName>
    <definedName name="T" localSheetId="17">#REF!</definedName>
    <definedName name="T" localSheetId="9">#REF!</definedName>
    <definedName name="T" localSheetId="0">#REF!</definedName>
    <definedName name="T" localSheetId="14">#REF!</definedName>
    <definedName name="T">#REF!</definedName>
    <definedName name="toolbox">[15]Toolbox!$C$5:$T$1578</definedName>
    <definedName name="total_de">[6]Sheet9!$F$34</definedName>
    <definedName name="total_pack" localSheetId="2">[6]Sheet9!#REF!</definedName>
    <definedName name="total_pack" localSheetId="18">[6]Sheet9!#REF!</definedName>
    <definedName name="total_pack" localSheetId="15">[6]Sheet9!#REF!</definedName>
    <definedName name="total_pack" localSheetId="5">[6]Sheet9!#REF!</definedName>
    <definedName name="total_pack" localSheetId="7">[6]Sheet9!#REF!</definedName>
    <definedName name="total_pack" localSheetId="6">[6]Sheet9!#REF!</definedName>
    <definedName name="total_pack" localSheetId="8">[6]Sheet9!#REF!</definedName>
    <definedName name="total_pack" localSheetId="16">[6]Sheet9!#REF!</definedName>
    <definedName name="total_pack" localSheetId="4">[6]Sheet9!#REF!</definedName>
    <definedName name="total_pack" localSheetId="10">[6]Sheet9!#REF!</definedName>
    <definedName name="total_pack" localSheetId="12">[6]Sheet9!#REF!</definedName>
    <definedName name="total_pack" localSheetId="17">[6]Sheet9!#REF!</definedName>
    <definedName name="total_pack" localSheetId="9">[6]Sheet9!#REF!</definedName>
    <definedName name="total_pack" localSheetId="0">[6]Sheet9!#REF!</definedName>
    <definedName name="total_pack" localSheetId="14">[6]Sheet9!#REF!</definedName>
    <definedName name="total_pack">[6]Sheet9!#REF!</definedName>
    <definedName name="V" localSheetId="2">#REF!</definedName>
    <definedName name="V" localSheetId="18">#REF!</definedName>
    <definedName name="V" localSheetId="15">#REF!</definedName>
    <definedName name="V" localSheetId="5">#REF!</definedName>
    <definedName name="V" localSheetId="7">#REF!</definedName>
    <definedName name="V" localSheetId="6">#REF!</definedName>
    <definedName name="V" localSheetId="8">#REF!</definedName>
    <definedName name="V" localSheetId="16">#REF!</definedName>
    <definedName name="V" localSheetId="4">#REF!</definedName>
    <definedName name="V" localSheetId="10">#REF!</definedName>
    <definedName name="V" localSheetId="12">#REF!</definedName>
    <definedName name="V" localSheetId="17">#REF!</definedName>
    <definedName name="V" localSheetId="9">#REF!</definedName>
    <definedName name="V" localSheetId="0">#REF!</definedName>
    <definedName name="V" localSheetId="14">#REF!</definedName>
    <definedName name="V">#REF!</definedName>
    <definedName name="V5.1Fee">'[5]Financ. Overview'!$H$15</definedName>
    <definedName name="W" localSheetId="2">#REF!</definedName>
    <definedName name="W" localSheetId="18">#REF!</definedName>
    <definedName name="W" localSheetId="15">#REF!</definedName>
    <definedName name="W" localSheetId="5">#REF!</definedName>
    <definedName name="W" localSheetId="7">#REF!</definedName>
    <definedName name="W" localSheetId="6">#REF!</definedName>
    <definedName name="W" localSheetId="8">#REF!</definedName>
    <definedName name="W" localSheetId="16">#REF!</definedName>
    <definedName name="W" localSheetId="4">#REF!</definedName>
    <definedName name="W" localSheetId="10">#REF!</definedName>
    <definedName name="W" localSheetId="12">#REF!</definedName>
    <definedName name="W" localSheetId="17">#REF!</definedName>
    <definedName name="W" localSheetId="9">#REF!</definedName>
    <definedName name="W" localSheetId="0">#REF!</definedName>
    <definedName name="W" localSheetId="14">#REF!</definedName>
    <definedName name="W">#REF!</definedName>
    <definedName name="x" localSheetId="2">[16]清单1!#REF!</definedName>
    <definedName name="x" localSheetId="18">[16]清单1!#REF!</definedName>
    <definedName name="x" localSheetId="15">[16]清单1!#REF!</definedName>
    <definedName name="x" localSheetId="5">[16]清单1!#REF!</definedName>
    <definedName name="x" localSheetId="7">[16]清单1!#REF!</definedName>
    <definedName name="x" localSheetId="6">[16]清单1!#REF!</definedName>
    <definedName name="x" localSheetId="8">[16]清单1!#REF!</definedName>
    <definedName name="x" localSheetId="16">[16]清单1!#REF!</definedName>
    <definedName name="x" localSheetId="4">[16]清单1!#REF!</definedName>
    <definedName name="x" localSheetId="10">[16]清单1!#REF!</definedName>
    <definedName name="x" localSheetId="12">[16]清单1!#REF!</definedName>
    <definedName name="x" localSheetId="17">[16]清单1!#REF!</definedName>
    <definedName name="x" localSheetId="9">[16]清单1!#REF!</definedName>
    <definedName name="x" localSheetId="0">[16]清单1!#REF!</definedName>
    <definedName name="x" localSheetId="14">[16]清单1!#REF!</definedName>
    <definedName name="x">[16]清单1!#REF!</definedName>
    <definedName name="y" localSheetId="2">[16]清单1!#REF!</definedName>
    <definedName name="y" localSheetId="18">[16]清单1!#REF!</definedName>
    <definedName name="y" localSheetId="15">[16]清单1!#REF!</definedName>
    <definedName name="y" localSheetId="5">[16]清单1!#REF!</definedName>
    <definedName name="y" localSheetId="7">[16]清单1!#REF!</definedName>
    <definedName name="y" localSheetId="6">[16]清单1!#REF!</definedName>
    <definedName name="y" localSheetId="8">[16]清单1!#REF!</definedName>
    <definedName name="y" localSheetId="16">[16]清单1!#REF!</definedName>
    <definedName name="y" localSheetId="4">[16]清单1!#REF!</definedName>
    <definedName name="y" localSheetId="10">[16]清单1!#REF!</definedName>
    <definedName name="y" localSheetId="12">[16]清单1!#REF!</definedName>
    <definedName name="y" localSheetId="17">[16]清单1!#REF!</definedName>
    <definedName name="y" localSheetId="9">[16]清单1!#REF!</definedName>
    <definedName name="y" localSheetId="0">[16]清单1!#REF!</definedName>
    <definedName name="y" localSheetId="14">[16]清单1!#REF!</definedName>
    <definedName name="y">[16]清单1!#REF!</definedName>
    <definedName name="yy">[17]预算200326!$A$49065</definedName>
    <definedName name="z" localSheetId="2">[16]清单1!#REF!</definedName>
    <definedName name="z" localSheetId="18">[16]清单1!#REF!</definedName>
    <definedName name="z" localSheetId="15">[16]清单1!#REF!</definedName>
    <definedName name="z" localSheetId="5">[16]清单1!#REF!</definedName>
    <definedName name="z" localSheetId="7">[16]清单1!#REF!</definedName>
    <definedName name="z" localSheetId="6">[16]清单1!#REF!</definedName>
    <definedName name="z" localSheetId="8">[16]清单1!#REF!</definedName>
    <definedName name="z" localSheetId="16">[16]清单1!#REF!</definedName>
    <definedName name="z" localSheetId="4">[16]清单1!#REF!</definedName>
    <definedName name="z" localSheetId="10">[16]清单1!#REF!</definedName>
    <definedName name="z" localSheetId="12">[16]清单1!#REF!</definedName>
    <definedName name="z" localSheetId="17">[16]清单1!#REF!</definedName>
    <definedName name="z" localSheetId="9">[16]清单1!#REF!</definedName>
    <definedName name="z" localSheetId="0">[16]清单1!#REF!</definedName>
    <definedName name="z" localSheetId="14">[16]清单1!#REF!</definedName>
    <definedName name="z">[16]清单1!#REF!</definedName>
    <definedName name="Z32_Cost_red" localSheetId="18">'[5]Financ. Overview'!#REF!</definedName>
    <definedName name="Z32_Cost_red" localSheetId="15">'[5]Financ. Overview'!#REF!</definedName>
    <definedName name="Z32_Cost_red" localSheetId="5">'[5]Financ. Overview'!#REF!</definedName>
    <definedName name="Z32_Cost_red" localSheetId="7">'[5]Financ. Overview'!#REF!</definedName>
    <definedName name="Z32_Cost_red" localSheetId="6">'[5]Financ. Overview'!#REF!</definedName>
    <definedName name="Z32_Cost_red" localSheetId="8">'[5]Financ. Overview'!#REF!</definedName>
    <definedName name="Z32_Cost_red" localSheetId="16">'[5]Financ. Overview'!#REF!</definedName>
    <definedName name="Z32_Cost_red" localSheetId="4">'[5]Financ. Overview'!#REF!</definedName>
    <definedName name="Z32_Cost_red" localSheetId="10">'[5]Financ. Overview'!#REF!</definedName>
    <definedName name="Z32_Cost_red" localSheetId="12">'[5]Financ. Overview'!#REF!</definedName>
    <definedName name="Z32_Cost_red" localSheetId="17">'[5]Financ. Overview'!#REF!</definedName>
    <definedName name="Z32_Cost_red" localSheetId="9">'[5]Financ. Overview'!#REF!</definedName>
    <definedName name="Z32_Cost_red" localSheetId="0">'[5]Financ. Overview'!#REF!</definedName>
    <definedName name="Z32_Cost_red">'[5]Financ. Overview'!#REF!</definedName>
    <definedName name="报价日期">[18]基本设置!$D$7</definedName>
    <definedName name="车厢" localSheetId="0">#REF!</definedName>
    <definedName name="车厢">#REF!</definedName>
    <definedName name="承接单位">[18]基本设置!$D$6</definedName>
    <definedName name="当地" localSheetId="2">#REF!</definedName>
    <definedName name="当地" localSheetId="18">#REF!</definedName>
    <definedName name="当地" localSheetId="15">#REF!</definedName>
    <definedName name="当地" localSheetId="5">#REF!</definedName>
    <definedName name="当地" localSheetId="7">#REF!</definedName>
    <definedName name="当地" localSheetId="6">#REF!</definedName>
    <definedName name="当地" localSheetId="8">#REF!</definedName>
    <definedName name="当地" localSheetId="16">#REF!</definedName>
    <definedName name="当地" localSheetId="10">#REF!</definedName>
    <definedName name="当地" localSheetId="12">#REF!</definedName>
    <definedName name="当地" localSheetId="9">#REF!</definedName>
    <definedName name="当地" localSheetId="0">#REF!</definedName>
    <definedName name="当地" localSheetId="14">#REF!</definedName>
    <definedName name="当地">#REF!</definedName>
    <definedName name="电" localSheetId="2">'2015年ES实际花费数据'!电</definedName>
    <definedName name="电" localSheetId="3">'2015预算稿 '!电</definedName>
    <definedName name="电" localSheetId="18">'2016年公司车险及ES车辆养护'!电</definedName>
    <definedName name="电" localSheetId="1">'2016预算稿 '!电</definedName>
    <definedName name="电" localSheetId="15">Capex!电</definedName>
    <definedName name="电" localSheetId="5">阿姨工资奖金!电</definedName>
    <definedName name="电" localSheetId="7">保安服务费!电</definedName>
    <definedName name="电" localSheetId="6">保洁服务费!电</definedName>
    <definedName name="电" localSheetId="8">'部分费用明细（水电植物耗材茶歇）'!电</definedName>
    <definedName name="电" localSheetId="16">财产险!电</definedName>
    <definedName name="电" localSheetId="4">基础数据!电</definedName>
    <definedName name="电" localSheetId="10">'媒体大厦物业费 能源费'!电</definedName>
    <definedName name="电" localSheetId="12">搜狐媒体大厦工位!电</definedName>
    <definedName name="电" localSheetId="17">#N/A</definedName>
    <definedName name="电" localSheetId="9">物业房租车位费!电</definedName>
    <definedName name="电" localSheetId="14">#N/A</definedName>
    <definedName name="电">#N/A</definedName>
    <definedName name="二层平面图" localSheetId="2">#REF!</definedName>
    <definedName name="二层平面图" localSheetId="3">#REF!</definedName>
    <definedName name="二层平面图" localSheetId="18">#REF!</definedName>
    <definedName name="二层平面图" localSheetId="1">#REF!</definedName>
    <definedName name="二层平面图" localSheetId="15">#REF!</definedName>
    <definedName name="二层平面图" localSheetId="5">#REF!</definedName>
    <definedName name="二层平面图" localSheetId="7">#REF!</definedName>
    <definedName name="二层平面图" localSheetId="6">#REF!</definedName>
    <definedName name="二层平面图" localSheetId="8">#REF!</definedName>
    <definedName name="二层平面图" localSheetId="16">#REF!</definedName>
    <definedName name="二层平面图" localSheetId="4">#REF!</definedName>
    <definedName name="二层平面图" localSheetId="10">#REF!</definedName>
    <definedName name="二层平面图" localSheetId="12">#REF!</definedName>
    <definedName name="二层平面图" localSheetId="17">#REF!</definedName>
    <definedName name="二层平面图" localSheetId="9">#REF!</definedName>
    <definedName name="二层平面图" localSheetId="0">#REF!</definedName>
    <definedName name="二层平面图" localSheetId="14">#REF!</definedName>
    <definedName name="二层平面图">#REF!</definedName>
    <definedName name="方法">#N/A</definedName>
    <definedName name="工程单位">[18]基本设置!$D$5</definedName>
    <definedName name="门厅处的装饰" localSheetId="2">'2015年ES实际花费数据'!门厅处的装饰</definedName>
    <definedName name="门厅处的装饰" localSheetId="3">'2015预算稿 '!门厅处的装饰</definedName>
    <definedName name="门厅处的装饰" localSheetId="18">'2016年公司车险及ES车辆养护'!门厅处的装饰</definedName>
    <definedName name="门厅处的装饰" localSheetId="1">'2016预算稿 '!门厅处的装饰</definedName>
    <definedName name="门厅处的装饰" localSheetId="15">Capex!门厅处的装饰</definedName>
    <definedName name="门厅处的装饰" localSheetId="5">阿姨工资奖金!门厅处的装饰</definedName>
    <definedName name="门厅处的装饰" localSheetId="7">保安服务费!门厅处的装饰</definedName>
    <definedName name="门厅处的装饰" localSheetId="6">保洁服务费!门厅处的装饰</definedName>
    <definedName name="门厅处的装饰" localSheetId="8">'部分费用明细（水电植物耗材茶歇）'!门厅处的装饰</definedName>
    <definedName name="门厅处的装饰" localSheetId="16">财产险!门厅处的装饰</definedName>
    <definedName name="门厅处的装饰" localSheetId="4">基础数据!门厅处的装饰</definedName>
    <definedName name="门厅处的装饰" localSheetId="10">'媒体大厦物业费 能源费'!门厅处的装饰</definedName>
    <definedName name="门厅处的装饰" localSheetId="12">搜狐媒体大厦工位!门厅处的装饰</definedName>
    <definedName name="门厅处的装饰" localSheetId="17">#N/A</definedName>
    <definedName name="门厅处的装饰" localSheetId="9">物业房租车位费!门厅处的装饰</definedName>
    <definedName name="门厅处的装饰" localSheetId="14">#N/A</definedName>
    <definedName name="门厅处的装饰">#N/A</definedName>
    <definedName name="设备一览表8.13" localSheetId="2">'2015年ES实际花费数据'!设备一览表8.13</definedName>
    <definedName name="设备一览表8.13" localSheetId="3">'2015预算稿 '!设备一览表8.13</definedName>
    <definedName name="设备一览表8.13" localSheetId="18">'2016年公司车险及ES车辆养护'!设备一览表8.13</definedName>
    <definedName name="设备一览表8.13" localSheetId="1">'2016预算稿 '!设备一览表8.13</definedName>
    <definedName name="设备一览表8.13" localSheetId="15">Capex!设备一览表8.13</definedName>
    <definedName name="设备一览表8.13" localSheetId="5">阿姨工资奖金!设备一览表8.13</definedName>
    <definedName name="设备一览表8.13" localSheetId="7">保安服务费!设备一览表8.13</definedName>
    <definedName name="设备一览表8.13" localSheetId="6">保洁服务费!设备一览表8.13</definedName>
    <definedName name="设备一览表8.13" localSheetId="8">'部分费用明细（水电植物耗材茶歇）'!设备一览表8.13</definedName>
    <definedName name="设备一览表8.13" localSheetId="16">财产险!设备一览表8.13</definedName>
    <definedName name="设备一览表8.13" localSheetId="4">基础数据!设备一览表8.13</definedName>
    <definedName name="设备一览表8.13" localSheetId="10">'媒体大厦物业费 能源费'!设备一览表8.13</definedName>
    <definedName name="设备一览表8.13" localSheetId="12">搜狐媒体大厦工位!设备一览表8.13</definedName>
    <definedName name="设备一览表8.13" localSheetId="17">#N/A</definedName>
    <definedName name="设备一览表8.13" localSheetId="9">物业房租车位费!设备一览表8.13</definedName>
    <definedName name="设备一览表8.13" localSheetId="14">#N/A</definedName>
    <definedName name="设备一览表8.13">#N/A</definedName>
    <definedName name="预" localSheetId="2">[19]报价单!#REF!</definedName>
    <definedName name="预" localSheetId="3">[19]报价单!#REF!</definedName>
    <definedName name="预" localSheetId="18">[19]报价单!#REF!</definedName>
    <definedName name="预" localSheetId="1">[19]报价单!#REF!</definedName>
    <definedName name="预" localSheetId="15">[19]报价单!#REF!</definedName>
    <definedName name="预" localSheetId="5">[19]报价单!#REF!</definedName>
    <definedName name="预" localSheetId="7">[19]报价单!#REF!</definedName>
    <definedName name="预" localSheetId="6">[19]报价单!#REF!</definedName>
    <definedName name="预" localSheetId="8">[19]报价单!#REF!</definedName>
    <definedName name="预" localSheetId="16">[19]报价单!#REF!</definedName>
    <definedName name="预" localSheetId="4">[19]报价单!#REF!</definedName>
    <definedName name="预" localSheetId="10">[19]报价单!#REF!</definedName>
    <definedName name="预" localSheetId="12">[19]报价单!#REF!</definedName>
    <definedName name="预" localSheetId="17">[19]报价单!#REF!</definedName>
    <definedName name="预" localSheetId="9">[19]报价单!#REF!</definedName>
    <definedName name="预" localSheetId="0">[19]报价单!#REF!</definedName>
    <definedName name="预" localSheetId="14">[19]报价单!#REF!</definedName>
    <definedName name="预">[19]报价单!#REF!</definedName>
    <definedName name="预算稿" localSheetId="2" hidden="1">[1]eqpmad2!#REF!</definedName>
    <definedName name="预算稿" localSheetId="18" hidden="1">[1]eqpmad2!#REF!</definedName>
    <definedName name="预算稿" localSheetId="15" hidden="1">[1]eqpmad2!#REF!</definedName>
    <definedName name="预算稿" localSheetId="5" hidden="1">[1]eqpmad2!#REF!</definedName>
    <definedName name="预算稿" localSheetId="7" hidden="1">[1]eqpmad2!#REF!</definedName>
    <definedName name="预算稿" localSheetId="6" hidden="1">[1]eqpmad2!#REF!</definedName>
    <definedName name="预算稿" localSheetId="8" hidden="1">[1]eqpmad2!#REF!</definedName>
    <definedName name="预算稿" localSheetId="16" hidden="1">[1]eqpmad2!#REF!</definedName>
    <definedName name="预算稿" localSheetId="10" hidden="1">[1]eqpmad2!#REF!</definedName>
    <definedName name="预算稿" localSheetId="12" hidden="1">[1]eqpmad2!#REF!</definedName>
    <definedName name="预算稿" localSheetId="9" hidden="1">[1]eqpmad2!#REF!</definedName>
    <definedName name="预算稿" localSheetId="0" hidden="1">[1]eqpmad2!#REF!</definedName>
    <definedName name="预算稿" localSheetId="14" hidden="1">[1]eqpmad2!#REF!</definedName>
    <definedName name="预算稿" hidden="1">[1]eqpmad2!#REF!</definedName>
    <definedName name="装饰门禁电视空调维护">#N/A</definedName>
  </definedNames>
  <calcPr calcId="152511"/>
  <fileRecoveryPr autoRecover="0"/>
</workbook>
</file>

<file path=xl/calcChain.xml><?xml version="1.0" encoding="utf-8"?>
<calcChain xmlns="http://schemas.openxmlformats.org/spreadsheetml/2006/main">
  <c r="B92" i="17" l="1"/>
  <c r="F6" i="23"/>
  <c r="H5" i="5"/>
  <c r="E108" i="18"/>
  <c r="E89" i="18"/>
  <c r="E87" i="18"/>
  <c r="E86" i="18"/>
  <c r="E61" i="18"/>
  <c r="E70" i="18"/>
  <c r="F142" i="18"/>
  <c r="E32" i="18"/>
  <c r="E31" i="18"/>
  <c r="E30" i="18"/>
  <c r="E29" i="18"/>
  <c r="E27" i="18"/>
  <c r="E26" i="18"/>
  <c r="K24" i="18"/>
  <c r="E23" i="18"/>
  <c r="E21" i="18"/>
  <c r="E20" i="18"/>
  <c r="E19" i="18"/>
  <c r="E18" i="18"/>
  <c r="E16" i="18"/>
  <c r="E17" i="18"/>
  <c r="E13" i="18"/>
  <c r="E12" i="18"/>
  <c r="E11" i="18"/>
  <c r="E10" i="18"/>
  <c r="E7" i="18"/>
  <c r="M14" i="26"/>
  <c r="G109" i="26"/>
  <c r="H104" i="26"/>
  <c r="G102" i="26"/>
  <c r="G99" i="26"/>
  <c r="G98" i="26"/>
  <c r="G97" i="26"/>
  <c r="H76" i="26"/>
  <c r="H74" i="26"/>
  <c r="H72" i="26"/>
  <c r="H73" i="26"/>
  <c r="H71" i="26"/>
  <c r="G55" i="26"/>
  <c r="G40" i="26"/>
  <c r="G38" i="26"/>
  <c r="G28" i="26"/>
  <c r="G26" i="26"/>
  <c r="G23" i="26"/>
  <c r="G21" i="26"/>
  <c r="R6" i="26"/>
  <c r="V6" i="26"/>
  <c r="R7" i="26"/>
  <c r="R20" i="26" s="1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S20" i="26"/>
  <c r="T20" i="26"/>
  <c r="U20" i="26"/>
  <c r="V21" i="26"/>
  <c r="V22" i="26"/>
  <c r="V23" i="26"/>
  <c r="V24" i="26"/>
  <c r="V25" i="26"/>
  <c r="V26" i="26"/>
  <c r="V27" i="26"/>
  <c r="V28" i="26"/>
  <c r="R29" i="26"/>
  <c r="S29" i="26"/>
  <c r="T29" i="26"/>
  <c r="U29" i="26"/>
  <c r="V30" i="26"/>
  <c r="V31" i="26"/>
  <c r="V35" i="26"/>
  <c r="V36" i="26"/>
  <c r="V38" i="26"/>
  <c r="R39" i="26"/>
  <c r="S39" i="26"/>
  <c r="T39" i="26"/>
  <c r="U39" i="26"/>
  <c r="R47" i="26"/>
  <c r="S47" i="26"/>
  <c r="T47" i="26"/>
  <c r="U47" i="26"/>
  <c r="V47" i="26"/>
  <c r="V48" i="26"/>
  <c r="V49" i="26"/>
  <c r="V50" i="26"/>
  <c r="V51" i="26"/>
  <c r="V52" i="26"/>
  <c r="V53" i="26"/>
  <c r="R54" i="26"/>
  <c r="S54" i="26"/>
  <c r="T54" i="26"/>
  <c r="U54" i="26"/>
  <c r="V54" i="26"/>
  <c r="V55" i="26"/>
  <c r="R61" i="26"/>
  <c r="S61" i="26"/>
  <c r="T61" i="26"/>
  <c r="U61" i="26"/>
  <c r="V63" i="26"/>
  <c r="V65" i="26"/>
  <c r="V67" i="26"/>
  <c r="V69" i="26"/>
  <c r="V70" i="26"/>
  <c r="R78" i="26"/>
  <c r="S78" i="26"/>
  <c r="T78" i="26"/>
  <c r="U78" i="26"/>
  <c r="V84" i="26"/>
  <c r="R85" i="26"/>
  <c r="S85" i="26"/>
  <c r="T85" i="26"/>
  <c r="U85" i="26"/>
  <c r="V85" i="26"/>
  <c r="V100" i="26"/>
  <c r="V104" i="26"/>
  <c r="V105" i="26"/>
  <c r="V106" i="26"/>
  <c r="V107" i="26"/>
  <c r="R108" i="26"/>
  <c r="S108" i="26"/>
  <c r="T108" i="26"/>
  <c r="U108" i="26"/>
  <c r="V108" i="26"/>
  <c r="V109" i="26"/>
  <c r="R110" i="26"/>
  <c r="S110" i="26"/>
  <c r="T110" i="26"/>
  <c r="U110" i="26"/>
  <c r="V110" i="26"/>
  <c r="V111" i="26"/>
  <c r="V113" i="26" s="1"/>
  <c r="V112" i="26"/>
  <c r="R113" i="26"/>
  <c r="S113" i="26"/>
  <c r="T113" i="26"/>
  <c r="U113" i="26"/>
  <c r="V115" i="26"/>
  <c r="R116" i="26"/>
  <c r="S116" i="26"/>
  <c r="T116" i="26"/>
  <c r="U116" i="26"/>
  <c r="V116" i="26"/>
  <c r="B189" i="17"/>
  <c r="B188" i="17"/>
  <c r="B169" i="17"/>
  <c r="B168" i="17"/>
  <c r="B167" i="17"/>
  <c r="B166" i="17"/>
  <c r="B161" i="17"/>
  <c r="B160" i="17"/>
  <c r="B159" i="17"/>
  <c r="B158" i="17"/>
  <c r="B144" i="17"/>
  <c r="B143" i="17"/>
  <c r="B142" i="17"/>
  <c r="B141" i="17"/>
  <c r="B135" i="17"/>
  <c r="B129" i="17"/>
  <c r="B116" i="17"/>
  <c r="B109" i="17"/>
  <c r="B108" i="17"/>
  <c r="B107" i="17"/>
  <c r="B106" i="17"/>
  <c r="B101" i="17"/>
  <c r="B100" i="17"/>
  <c r="B99" i="17"/>
  <c r="B98" i="17"/>
  <c r="B91" i="17"/>
  <c r="B90" i="17"/>
  <c r="B89" i="17"/>
  <c r="B84" i="17"/>
  <c r="B83" i="17"/>
  <c r="B82" i="17"/>
  <c r="B81" i="17"/>
  <c r="B3" i="17"/>
  <c r="B31" i="21"/>
  <c r="K4" i="21"/>
  <c r="C14" i="24"/>
  <c r="B8" i="24"/>
  <c r="D167" i="27"/>
  <c r="D166" i="27"/>
  <c r="D165" i="27"/>
  <c r="C151" i="27"/>
  <c r="C145" i="27"/>
  <c r="C9" i="27"/>
  <c r="C7" i="27"/>
  <c r="C5" i="27"/>
  <c r="H38" i="22"/>
  <c r="H37" i="22"/>
  <c r="G18" i="22"/>
  <c r="J17" i="22"/>
  <c r="I17" i="22"/>
  <c r="H17" i="22"/>
  <c r="G17" i="22"/>
  <c r="J16" i="22"/>
  <c r="G9" i="22"/>
  <c r="J8" i="22"/>
  <c r="I8" i="22"/>
  <c r="H8" i="22"/>
  <c r="G8" i="22"/>
  <c r="J6" i="22"/>
  <c r="I6" i="22"/>
  <c r="H6" i="22"/>
  <c r="G6" i="22"/>
  <c r="J4" i="22"/>
  <c r="I4" i="22"/>
  <c r="H4" i="22"/>
  <c r="G4" i="22"/>
  <c r="D14" i="14"/>
  <c r="C14" i="14"/>
  <c r="C15" i="14"/>
  <c r="C16" i="14" s="1"/>
  <c r="C17" i="14" s="1"/>
  <c r="C19" i="12"/>
  <c r="C11" i="12"/>
  <c r="G8" i="12"/>
  <c r="C8" i="12"/>
  <c r="I60" i="23"/>
  <c r="H60" i="23"/>
  <c r="F60" i="23"/>
  <c r="G60" i="23"/>
  <c r="H8" i="23"/>
  <c r="H7" i="23"/>
  <c r="F7" i="23"/>
  <c r="H6" i="23"/>
  <c r="G6" i="23"/>
  <c r="B78" i="10"/>
  <c r="I62" i="10"/>
  <c r="I59" i="10"/>
  <c r="D51" i="9"/>
  <c r="L30" i="9"/>
  <c r="L29" i="9"/>
  <c r="D25" i="9"/>
  <c r="E8" i="5"/>
  <c r="F83" i="1"/>
  <c r="G83" i="1" s="1"/>
  <c r="H83" i="1" s="1"/>
  <c r="I83" i="1" s="1"/>
  <c r="G26" i="1"/>
  <c r="H26" i="1"/>
  <c r="I26" i="1"/>
  <c r="G40" i="1"/>
  <c r="H40" i="1"/>
  <c r="I40" i="1"/>
  <c r="G50" i="1"/>
  <c r="H50" i="1"/>
  <c r="I50" i="1"/>
  <c r="G58" i="1"/>
  <c r="H58" i="1"/>
  <c r="I58" i="1"/>
  <c r="G67" i="1"/>
  <c r="H67" i="1"/>
  <c r="I67" i="1"/>
  <c r="G75" i="1"/>
  <c r="H75" i="1"/>
  <c r="I75" i="1"/>
  <c r="V78" i="26" l="1"/>
  <c r="V61" i="26"/>
  <c r="V39" i="26"/>
  <c r="S120" i="26"/>
  <c r="S123" i="26" s="1"/>
  <c r="V20" i="26"/>
  <c r="U120" i="26"/>
  <c r="U123" i="26" s="1"/>
  <c r="R120" i="26"/>
  <c r="R123" i="26" s="1"/>
  <c r="T120" i="26"/>
  <c r="T123" i="26" s="1"/>
  <c r="V29" i="26"/>
  <c r="B181" i="27"/>
  <c r="B180" i="27"/>
  <c r="B179" i="27"/>
  <c r="B175" i="27"/>
  <c r="B174" i="27"/>
  <c r="B173" i="27"/>
  <c r="C168" i="27"/>
  <c r="E167" i="27"/>
  <c r="F167" i="27" s="1"/>
  <c r="C22" i="27" s="1"/>
  <c r="D22" i="27" s="1"/>
  <c r="B167" i="27"/>
  <c r="E166" i="27"/>
  <c r="B165" i="27"/>
  <c r="C162" i="27"/>
  <c r="D161" i="27"/>
  <c r="B161" i="27" s="1"/>
  <c r="D160" i="27"/>
  <c r="E160" i="27" s="1"/>
  <c r="F160" i="27" s="1"/>
  <c r="C19" i="27" s="1"/>
  <c r="D159" i="27"/>
  <c r="C154" i="27"/>
  <c r="C148" i="27"/>
  <c r="F122" i="27"/>
  <c r="E122" i="27"/>
  <c r="E65" i="27" s="1"/>
  <c r="D122" i="27"/>
  <c r="D65" i="27" s="1"/>
  <c r="C122" i="27"/>
  <c r="C65" i="27" s="1"/>
  <c r="B121" i="27"/>
  <c r="B120" i="27"/>
  <c r="B119" i="27"/>
  <c r="B118" i="27"/>
  <c r="B117" i="27"/>
  <c r="B116" i="27"/>
  <c r="B115" i="27"/>
  <c r="B114" i="27"/>
  <c r="B113" i="27"/>
  <c r="B112" i="27"/>
  <c r="B111" i="27"/>
  <c r="F107" i="27"/>
  <c r="F64" i="27" s="1"/>
  <c r="E107" i="27"/>
  <c r="D107" i="27"/>
  <c r="D64" i="27" s="1"/>
  <c r="C107" i="27"/>
  <c r="C64" i="27" s="1"/>
  <c r="B106" i="27"/>
  <c r="B105" i="27"/>
  <c r="B104" i="27"/>
  <c r="B103" i="27"/>
  <c r="B102" i="27"/>
  <c r="F98" i="27"/>
  <c r="F63" i="27" s="1"/>
  <c r="E98" i="27"/>
  <c r="E63" i="27" s="1"/>
  <c r="D98" i="27"/>
  <c r="D63" i="27" s="1"/>
  <c r="C98" i="27"/>
  <c r="C63" i="27" s="1"/>
  <c r="B97" i="27"/>
  <c r="B96" i="27"/>
  <c r="B95" i="27"/>
  <c r="B94" i="27"/>
  <c r="B93" i="27"/>
  <c r="B92" i="27"/>
  <c r="B91" i="27"/>
  <c r="B90" i="27"/>
  <c r="B89" i="27"/>
  <c r="B88" i="27"/>
  <c r="B87" i="27"/>
  <c r="B86" i="27"/>
  <c r="B85" i="27"/>
  <c r="B84" i="27"/>
  <c r="B83" i="27"/>
  <c r="B82" i="27"/>
  <c r="B81" i="27"/>
  <c r="B80" i="27"/>
  <c r="B79" i="27"/>
  <c r="B78" i="27"/>
  <c r="B77" i="27"/>
  <c r="B76" i="27"/>
  <c r="B75" i="27"/>
  <c r="B74" i="27"/>
  <c r="B73" i="27"/>
  <c r="B72" i="27"/>
  <c r="B71" i="27"/>
  <c r="F65" i="27"/>
  <c r="E64" i="27"/>
  <c r="G63" i="27"/>
  <c r="G66" i="27" s="1"/>
  <c r="H58" i="27"/>
  <c r="F58" i="27"/>
  <c r="D58" i="27"/>
  <c r="B58" i="27"/>
  <c r="L57" i="27"/>
  <c r="B153" i="27" s="1"/>
  <c r="D153" i="27" s="1"/>
  <c r="J57" i="27"/>
  <c r="E57" i="27" s="1"/>
  <c r="C57" i="27"/>
  <c r="K56" i="27"/>
  <c r="K58" i="27" s="1"/>
  <c r="L58" i="27" s="1"/>
  <c r="J56" i="27"/>
  <c r="G56" i="27" s="1"/>
  <c r="L55" i="27"/>
  <c r="B145" i="27" s="1"/>
  <c r="J55" i="27"/>
  <c r="J58" i="27" s="1"/>
  <c r="I55" i="27"/>
  <c r="K45" i="27"/>
  <c r="J45" i="27"/>
  <c r="I45" i="27"/>
  <c r="H45" i="27"/>
  <c r="G45" i="27"/>
  <c r="F45" i="27"/>
  <c r="E45" i="27"/>
  <c r="D45" i="27"/>
  <c r="L44" i="27"/>
  <c r="L43" i="27"/>
  <c r="L42" i="27"/>
  <c r="L41" i="27"/>
  <c r="K41" i="27"/>
  <c r="K40" i="27"/>
  <c r="J40" i="27"/>
  <c r="J39" i="27" s="1"/>
  <c r="H40" i="27"/>
  <c r="H39" i="27" s="1"/>
  <c r="F40" i="27"/>
  <c r="F39" i="27" s="1"/>
  <c r="D40" i="27"/>
  <c r="D39" i="27" s="1"/>
  <c r="E128" i="1" s="1"/>
  <c r="F128" i="1" s="1"/>
  <c r="L37" i="27"/>
  <c r="K37" i="27"/>
  <c r="I36" i="27"/>
  <c r="J36" i="27" s="1"/>
  <c r="G36" i="27"/>
  <c r="E36" i="27"/>
  <c r="F36" i="27" s="1"/>
  <c r="C36" i="27"/>
  <c r="D36" i="27" s="1"/>
  <c r="I35" i="27"/>
  <c r="G35" i="27"/>
  <c r="H35" i="27" s="1"/>
  <c r="E35" i="27"/>
  <c r="F35" i="27" s="1"/>
  <c r="C35" i="27"/>
  <c r="D35" i="27" s="1"/>
  <c r="I34" i="27"/>
  <c r="J34" i="27" s="1"/>
  <c r="G34" i="27"/>
  <c r="E34" i="27"/>
  <c r="F34" i="27" s="1"/>
  <c r="C34" i="27"/>
  <c r="D34" i="27" s="1"/>
  <c r="I33" i="27"/>
  <c r="G33" i="27"/>
  <c r="H33" i="27" s="1"/>
  <c r="E33" i="27"/>
  <c r="F33" i="27" s="1"/>
  <c r="C33" i="27"/>
  <c r="D33" i="27" s="1"/>
  <c r="I32" i="27"/>
  <c r="J32" i="27" s="1"/>
  <c r="J30" i="27" s="1"/>
  <c r="G32" i="27"/>
  <c r="E32" i="27"/>
  <c r="F32" i="27" s="1"/>
  <c r="F30" i="27" s="1"/>
  <c r="C32" i="27"/>
  <c r="D32" i="27" s="1"/>
  <c r="I31" i="27"/>
  <c r="G31" i="27"/>
  <c r="H31" i="27" s="1"/>
  <c r="H29" i="27" s="1"/>
  <c r="E31" i="27"/>
  <c r="F31" i="27" s="1"/>
  <c r="F29" i="27" s="1"/>
  <c r="F28" i="27" s="1"/>
  <c r="C31" i="27"/>
  <c r="D31" i="27" s="1"/>
  <c r="D29" i="27" s="1"/>
  <c r="I30" i="27"/>
  <c r="G30" i="27"/>
  <c r="E30" i="27"/>
  <c r="C30" i="27"/>
  <c r="I29" i="27"/>
  <c r="I28" i="27" s="1"/>
  <c r="G29" i="27"/>
  <c r="G28" i="27" s="1"/>
  <c r="E29" i="27"/>
  <c r="E28" i="27" s="1"/>
  <c r="C29" i="27"/>
  <c r="C28" i="27" s="1"/>
  <c r="K27" i="27"/>
  <c r="J27" i="27"/>
  <c r="H27" i="27"/>
  <c r="F27" i="27"/>
  <c r="D27" i="27"/>
  <c r="J26" i="27"/>
  <c r="H26" i="27"/>
  <c r="F26" i="27"/>
  <c r="D26" i="27"/>
  <c r="J25" i="27"/>
  <c r="H25" i="27"/>
  <c r="F25" i="27"/>
  <c r="D25" i="27"/>
  <c r="J24" i="27"/>
  <c r="H24" i="27"/>
  <c r="F24" i="27"/>
  <c r="F23" i="27" s="1"/>
  <c r="D24" i="27"/>
  <c r="D23" i="27" s="1"/>
  <c r="K23" i="27"/>
  <c r="J21" i="27"/>
  <c r="H21" i="27"/>
  <c r="F21" i="27"/>
  <c r="D21" i="27"/>
  <c r="J20" i="27"/>
  <c r="H20" i="27"/>
  <c r="F20" i="27"/>
  <c r="D20" i="27"/>
  <c r="J19" i="27"/>
  <c r="H19" i="27"/>
  <c r="F19" i="27"/>
  <c r="D19" i="27"/>
  <c r="J18" i="27"/>
  <c r="H18" i="27"/>
  <c r="F18" i="27"/>
  <c r="D18" i="27"/>
  <c r="J17" i="27"/>
  <c r="H17" i="27"/>
  <c r="F17" i="27"/>
  <c r="F15" i="27" s="1"/>
  <c r="D17" i="27"/>
  <c r="J15" i="27"/>
  <c r="I13" i="27"/>
  <c r="J13" i="27" s="1"/>
  <c r="G13" i="27"/>
  <c r="H13" i="27" s="1"/>
  <c r="E13" i="27"/>
  <c r="F13" i="27" s="1"/>
  <c r="C13" i="27"/>
  <c r="D13" i="27" s="1"/>
  <c r="J12" i="27"/>
  <c r="I12" i="27"/>
  <c r="H12" i="27"/>
  <c r="G12" i="27"/>
  <c r="F12" i="27"/>
  <c r="E12" i="27"/>
  <c r="D12" i="27"/>
  <c r="C12" i="27"/>
  <c r="J11" i="27"/>
  <c r="I11" i="27"/>
  <c r="H11" i="27"/>
  <c r="G11" i="27"/>
  <c r="F11" i="27"/>
  <c r="E11" i="27"/>
  <c r="D11" i="27"/>
  <c r="C11" i="27"/>
  <c r="J10" i="27"/>
  <c r="I10" i="27"/>
  <c r="H10" i="27"/>
  <c r="G10" i="27"/>
  <c r="F10" i="27"/>
  <c r="E10" i="27"/>
  <c r="D10" i="27"/>
  <c r="C10" i="27"/>
  <c r="J9" i="27"/>
  <c r="I9" i="27"/>
  <c r="H9" i="27"/>
  <c r="G9" i="27"/>
  <c r="F9" i="27"/>
  <c r="E9" i="27"/>
  <c r="E7" i="27" s="1"/>
  <c r="D9" i="27"/>
  <c r="J8" i="27"/>
  <c r="I8" i="27"/>
  <c r="H8" i="27"/>
  <c r="G8" i="27"/>
  <c r="G6" i="27" s="1"/>
  <c r="F8" i="27"/>
  <c r="E8" i="27"/>
  <c r="D8" i="27"/>
  <c r="C8" i="27"/>
  <c r="C6" i="27" s="1"/>
  <c r="G7" i="27"/>
  <c r="I6" i="27"/>
  <c r="E6" i="27"/>
  <c r="K122" i="1"/>
  <c r="K116" i="1"/>
  <c r="V120" i="26" l="1"/>
  <c r="D6" i="27"/>
  <c r="H6" i="27"/>
  <c r="F6" i="27"/>
  <c r="J6" i="27"/>
  <c r="E165" i="27"/>
  <c r="H165" i="27" s="1"/>
  <c r="G18" i="27" s="1"/>
  <c r="C55" i="27"/>
  <c r="G5" i="27"/>
  <c r="K35" i="27"/>
  <c r="I7" i="27"/>
  <c r="L45" i="27"/>
  <c r="E55" i="27"/>
  <c r="B160" i="27"/>
  <c r="G55" i="27"/>
  <c r="E56" i="27"/>
  <c r="B151" i="27"/>
  <c r="D151" i="27" s="1"/>
  <c r="D15" i="27"/>
  <c r="C66" i="27"/>
  <c r="H15" i="27"/>
  <c r="L20" i="27"/>
  <c r="E66" i="27"/>
  <c r="B122" i="27"/>
  <c r="B65" i="27" s="1"/>
  <c r="H65" i="27" s="1"/>
  <c r="L9" i="27"/>
  <c r="L25" i="27"/>
  <c r="L27" i="27"/>
  <c r="F129" i="1"/>
  <c r="L17" i="27"/>
  <c r="C58" i="27"/>
  <c r="D168" i="27"/>
  <c r="B176" i="27"/>
  <c r="G129" i="1"/>
  <c r="D30" i="27"/>
  <c r="D28" i="27" s="1"/>
  <c r="L8" i="27"/>
  <c r="L10" i="27"/>
  <c r="L12" i="27"/>
  <c r="F7" i="27"/>
  <c r="K32" i="27"/>
  <c r="K34" i="27"/>
  <c r="K36" i="27"/>
  <c r="G58" i="27"/>
  <c r="B98" i="27"/>
  <c r="B63" i="27" s="1"/>
  <c r="H63" i="27" s="1"/>
  <c r="E5" i="27"/>
  <c r="K6" i="27"/>
  <c r="K7" i="27"/>
  <c r="K8" i="27"/>
  <c r="K10" i="27"/>
  <c r="K12" i="27"/>
  <c r="H7" i="27"/>
  <c r="L18" i="27"/>
  <c r="L24" i="27"/>
  <c r="H32" i="27"/>
  <c r="L32" i="27" s="1"/>
  <c r="H34" i="27"/>
  <c r="L34" i="27" s="1"/>
  <c r="H36" i="27"/>
  <c r="L36" i="27" s="1"/>
  <c r="C56" i="27"/>
  <c r="I58" i="27"/>
  <c r="D66" i="27"/>
  <c r="B107" i="27"/>
  <c r="B64" i="27" s="1"/>
  <c r="H64" i="27" s="1"/>
  <c r="B147" i="27"/>
  <c r="D147" i="27" s="1"/>
  <c r="E159" i="27"/>
  <c r="F159" i="27" s="1"/>
  <c r="C17" i="27" s="1"/>
  <c r="G160" i="27"/>
  <c r="E19" i="27" s="1"/>
  <c r="B182" i="27"/>
  <c r="L11" i="27"/>
  <c r="K31" i="27"/>
  <c r="K33" i="27"/>
  <c r="D16" i="27"/>
  <c r="K9" i="27"/>
  <c r="K11" i="27"/>
  <c r="D7" i="27"/>
  <c r="L19" i="27"/>
  <c r="L21" i="27"/>
  <c r="L26" i="27"/>
  <c r="J31" i="27"/>
  <c r="J33" i="27"/>
  <c r="L33" i="27" s="1"/>
  <c r="J35" i="27"/>
  <c r="L35" i="27" s="1"/>
  <c r="I56" i="27"/>
  <c r="G57" i="27"/>
  <c r="E58" i="27"/>
  <c r="F66" i="27"/>
  <c r="G167" i="27"/>
  <c r="E22" i="27" s="1"/>
  <c r="F22" i="27" s="1"/>
  <c r="F16" i="27" s="1"/>
  <c r="F14" i="27" s="1"/>
  <c r="J7" i="27"/>
  <c r="L13" i="27"/>
  <c r="D145" i="27"/>
  <c r="I166" i="27"/>
  <c r="I20" i="27" s="1"/>
  <c r="F166" i="27"/>
  <c r="C20" i="27" s="1"/>
  <c r="G166" i="27"/>
  <c r="E20" i="27" s="1"/>
  <c r="H166" i="27"/>
  <c r="G20" i="27" s="1"/>
  <c r="K13" i="27"/>
  <c r="I5" i="27"/>
  <c r="H23" i="27"/>
  <c r="L40" i="27"/>
  <c r="L39" i="27" s="1"/>
  <c r="I160" i="27"/>
  <c r="I19" i="27" s="1"/>
  <c r="I167" i="27"/>
  <c r="I22" i="27" s="1"/>
  <c r="L56" i="27"/>
  <c r="I57" i="27"/>
  <c r="B159" i="27"/>
  <c r="H160" i="27"/>
  <c r="G19" i="27" s="1"/>
  <c r="E161" i="27"/>
  <c r="B166" i="27"/>
  <c r="B168" i="27" s="1"/>
  <c r="H167" i="27"/>
  <c r="G22" i="27" s="1"/>
  <c r="H22" i="27" s="1"/>
  <c r="H16" i="27" s="1"/>
  <c r="H14" i="27" s="1"/>
  <c r="D162" i="27"/>
  <c r="J23" i="27"/>
  <c r="E168" i="27" l="1"/>
  <c r="I165" i="27"/>
  <c r="I18" i="27" s="1"/>
  <c r="F165" i="27"/>
  <c r="C18" i="27" s="1"/>
  <c r="C16" i="27" s="1"/>
  <c r="G165" i="27"/>
  <c r="E18" i="27" s="1"/>
  <c r="I159" i="27"/>
  <c r="I17" i="27" s="1"/>
  <c r="D5" i="27"/>
  <c r="H5" i="27"/>
  <c r="L6" i="27"/>
  <c r="F5" i="27"/>
  <c r="F38" i="27" s="1"/>
  <c r="G127" i="1" s="1"/>
  <c r="L15" i="27"/>
  <c r="H159" i="27"/>
  <c r="G17" i="27" s="1"/>
  <c r="D14" i="27"/>
  <c r="G159" i="27"/>
  <c r="E17" i="27" s="1"/>
  <c r="L23" i="27"/>
  <c r="B162" i="27"/>
  <c r="B66" i="27"/>
  <c r="H66" i="27" s="1"/>
  <c r="K29" i="27"/>
  <c r="L31" i="27"/>
  <c r="J29" i="27"/>
  <c r="I129" i="1"/>
  <c r="K30" i="27"/>
  <c r="K28" i="27" s="1"/>
  <c r="K19" i="27"/>
  <c r="G16" i="27"/>
  <c r="H129" i="1"/>
  <c r="H30" i="27"/>
  <c r="K5" i="27"/>
  <c r="G161" i="27"/>
  <c r="E21" i="27" s="1"/>
  <c r="E15" i="27" s="1"/>
  <c r="H161" i="27"/>
  <c r="G21" i="27" s="1"/>
  <c r="I161" i="27"/>
  <c r="I21" i="27" s="1"/>
  <c r="I15" i="27" s="1"/>
  <c r="F161" i="27"/>
  <c r="C21" i="27" s="1"/>
  <c r="C15" i="27" s="1"/>
  <c r="B152" i="27"/>
  <c r="B146" i="27"/>
  <c r="J5" i="27"/>
  <c r="L7" i="27"/>
  <c r="K20" i="27"/>
  <c r="E162" i="27"/>
  <c r="E16" i="27"/>
  <c r="J22" i="27"/>
  <c r="K22" i="27"/>
  <c r="K55" i="1"/>
  <c r="K18" i="27" l="1"/>
  <c r="C14" i="27"/>
  <c r="I16" i="27"/>
  <c r="K16" i="27" s="1"/>
  <c r="G15" i="27"/>
  <c r="G14" i="27" s="1"/>
  <c r="K17" i="27"/>
  <c r="L5" i="27"/>
  <c r="D38" i="27"/>
  <c r="F127" i="1" s="1"/>
  <c r="E14" i="27"/>
  <c r="K21" i="27"/>
  <c r="L29" i="27"/>
  <c r="L28" i="27" s="1"/>
  <c r="J28" i="27"/>
  <c r="L30" i="27"/>
  <c r="H28" i="27"/>
  <c r="H38" i="27" s="1"/>
  <c r="H127" i="1" s="1"/>
  <c r="K15" i="27"/>
  <c r="I14" i="27"/>
  <c r="L22" i="27"/>
  <c r="J16" i="27"/>
  <c r="D152" i="27"/>
  <c r="B154" i="27"/>
  <c r="D146" i="27"/>
  <c r="B148" i="27"/>
  <c r="K125" i="1"/>
  <c r="G109" i="1"/>
  <c r="H109" i="1"/>
  <c r="I109" i="1"/>
  <c r="F109" i="1"/>
  <c r="H88" i="1"/>
  <c r="H87" i="1"/>
  <c r="H86" i="1"/>
  <c r="K14" i="27" l="1"/>
  <c r="L16" i="27"/>
  <c r="L14" i="27" s="1"/>
  <c r="L38" i="27" s="1"/>
  <c r="J14" i="27"/>
  <c r="J38" i="27" s="1"/>
  <c r="I127" i="1" s="1"/>
  <c r="K82" i="1" l="1"/>
  <c r="K81" i="1"/>
  <c r="K80" i="1"/>
  <c r="K74" i="1"/>
  <c r="K39" i="1"/>
  <c r="K38" i="1"/>
  <c r="K87" i="1" l="1"/>
  <c r="K127" i="1"/>
  <c r="K12" i="1"/>
  <c r="K11" i="1"/>
  <c r="E31" i="21" l="1"/>
  <c r="C31" i="21"/>
  <c r="P28" i="21"/>
  <c r="O28" i="21"/>
  <c r="N28" i="21"/>
  <c r="M28" i="21"/>
  <c r="J28" i="21"/>
  <c r="I28" i="21"/>
  <c r="K19" i="21"/>
  <c r="K7" i="21"/>
  <c r="H75" i="24"/>
  <c r="J26" i="24"/>
  <c r="C26" i="24"/>
  <c r="D26" i="24" s="1"/>
  <c r="C20" i="24"/>
  <c r="D20" i="24" s="1"/>
  <c r="E20" i="24" s="1"/>
  <c r="J14" i="24"/>
  <c r="D14" i="24"/>
  <c r="F14" i="24" s="1"/>
  <c r="J8" i="24"/>
  <c r="C8" i="24"/>
  <c r="B32" i="21" l="1"/>
  <c r="D32" i="21" s="1"/>
  <c r="K28" i="21"/>
  <c r="G14" i="24"/>
  <c r="H14" i="24"/>
  <c r="C32" i="21"/>
  <c r="F26" i="24"/>
  <c r="H26" i="24" s="1"/>
  <c r="E14" i="24"/>
  <c r="I14" i="24"/>
  <c r="D31" i="21"/>
  <c r="K14" i="24"/>
  <c r="J44" i="22"/>
  <c r="I44" i="22"/>
  <c r="H44" i="22"/>
  <c r="G44" i="22"/>
  <c r="K43" i="22"/>
  <c r="K42" i="22"/>
  <c r="K44" i="22" s="1"/>
  <c r="J41" i="22"/>
  <c r="I41" i="22"/>
  <c r="H41" i="22"/>
  <c r="G41" i="22"/>
  <c r="K39" i="22"/>
  <c r="K36" i="22"/>
  <c r="K35" i="22"/>
  <c r="K34" i="22"/>
  <c r="K41" i="22" s="1"/>
  <c r="J33" i="22"/>
  <c r="J40" i="22" s="1"/>
  <c r="I33" i="22"/>
  <c r="I40" i="22" s="1"/>
  <c r="H33" i="22"/>
  <c r="G33" i="22"/>
  <c r="G40" i="22" s="1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6" i="22"/>
  <c r="K15" i="22"/>
  <c r="K14" i="22"/>
  <c r="K13" i="22"/>
  <c r="J12" i="22"/>
  <c r="J11" i="22" s="1"/>
  <c r="I12" i="22"/>
  <c r="I11" i="22" s="1"/>
  <c r="H12" i="22"/>
  <c r="H11" i="22" s="1"/>
  <c r="G12" i="22"/>
  <c r="G11" i="22"/>
  <c r="K10" i="22"/>
  <c r="J9" i="22"/>
  <c r="I9" i="22"/>
  <c r="H9" i="22"/>
  <c r="K8" i="22"/>
  <c r="G7" i="22"/>
  <c r="J7" i="22"/>
  <c r="I7" i="22" s="1"/>
  <c r="K6" i="22"/>
  <c r="I19" i="22"/>
  <c r="G19" i="22"/>
  <c r="G5" i="22"/>
  <c r="J5" i="22"/>
  <c r="I5" i="22" s="1"/>
  <c r="H5" i="22"/>
  <c r="L16" i="14"/>
  <c r="K16" i="14"/>
  <c r="H16" i="14"/>
  <c r="G16" i="14"/>
  <c r="E32" i="21" l="1"/>
  <c r="F32" i="21" s="1"/>
  <c r="M29" i="21"/>
  <c r="K37" i="22"/>
  <c r="H40" i="22"/>
  <c r="K38" i="22"/>
  <c r="K12" i="22"/>
  <c r="J18" i="22"/>
  <c r="J46" i="22" s="1"/>
  <c r="G46" i="22"/>
  <c r="L17" i="14"/>
  <c r="K17" i="14"/>
  <c r="K5" i="22"/>
  <c r="G47" i="22"/>
  <c r="F118" i="1" s="1"/>
  <c r="K17" i="22"/>
  <c r="I18" i="22"/>
  <c r="I46" i="22" s="1"/>
  <c r="H19" i="22"/>
  <c r="H47" i="22" s="1"/>
  <c r="G118" i="1" s="1"/>
  <c r="G119" i="1" s="1"/>
  <c r="I47" i="22"/>
  <c r="H118" i="1" s="1"/>
  <c r="H119" i="1" s="1"/>
  <c r="K7" i="22"/>
  <c r="H7" i="22"/>
  <c r="H18" i="22" s="1"/>
  <c r="K11" i="22"/>
  <c r="K4" i="22"/>
  <c r="E26" i="24"/>
  <c r="K26" i="24"/>
  <c r="G26" i="24"/>
  <c r="I26" i="24"/>
  <c r="K9" i="22"/>
  <c r="K19" i="22" s="1"/>
  <c r="K33" i="22"/>
  <c r="F31" i="21"/>
  <c r="K40" i="22" l="1"/>
  <c r="H46" i="22"/>
  <c r="K18" i="22"/>
  <c r="J19" i="22"/>
  <c r="J47" i="22" s="1"/>
  <c r="I118" i="1" s="1"/>
  <c r="I119" i="1" s="1"/>
  <c r="K47" i="22"/>
  <c r="F119" i="1"/>
  <c r="I14" i="14"/>
  <c r="E14" i="14"/>
  <c r="I13" i="14"/>
  <c r="E13" i="14"/>
  <c r="I12" i="14"/>
  <c r="E12" i="14"/>
  <c r="K46" i="22" l="1"/>
  <c r="J118" i="1"/>
  <c r="J119" i="1" s="1"/>
  <c r="D15" i="14"/>
  <c r="E15" i="14" s="1"/>
  <c r="E16" i="14" s="1"/>
  <c r="D16" i="14" s="1"/>
  <c r="I16" i="14"/>
  <c r="I17" i="14" s="1"/>
  <c r="H17" i="14" s="1"/>
  <c r="G17" i="14" s="1"/>
  <c r="E17" i="14" l="1"/>
  <c r="D17" i="14" s="1"/>
  <c r="N19" i="12"/>
  <c r="M19" i="12"/>
  <c r="L19" i="12"/>
  <c r="K19" i="12"/>
  <c r="J19" i="12"/>
  <c r="I19" i="12"/>
  <c r="H19" i="12"/>
  <c r="G19" i="12"/>
  <c r="F19" i="12"/>
  <c r="E19" i="12"/>
  <c r="D19" i="12"/>
  <c r="N18" i="12" l="1"/>
  <c r="N21" i="12" s="1"/>
  <c r="M18" i="12"/>
  <c r="M21" i="12" s="1"/>
  <c r="L18" i="12"/>
  <c r="L21" i="12" s="1"/>
  <c r="K18" i="12"/>
  <c r="K21" i="12" s="1"/>
  <c r="J18" i="12"/>
  <c r="J21" i="12" s="1"/>
  <c r="I18" i="12"/>
  <c r="I21" i="12" s="1"/>
  <c r="H18" i="12"/>
  <c r="H21" i="12" s="1"/>
  <c r="G18" i="12"/>
  <c r="G21" i="12" s="1"/>
  <c r="F18" i="12"/>
  <c r="F21" i="12" s="1"/>
  <c r="E18" i="12"/>
  <c r="E21" i="12" s="1"/>
  <c r="D18" i="12"/>
  <c r="D21" i="12" s="1"/>
  <c r="C18" i="12"/>
  <c r="C21" i="12" s="1"/>
  <c r="O17" i="12"/>
  <c r="O16" i="12"/>
  <c r="O15" i="12"/>
  <c r="O10" i="12"/>
  <c r="O9" i="12"/>
  <c r="N8" i="12"/>
  <c r="M8" i="12"/>
  <c r="L8" i="12"/>
  <c r="K8" i="12"/>
  <c r="J8" i="12"/>
  <c r="I8" i="12"/>
  <c r="H8" i="12"/>
  <c r="H11" i="12" s="1"/>
  <c r="F8" i="12"/>
  <c r="E8" i="12"/>
  <c r="D8" i="12"/>
  <c r="D11" i="12" s="1"/>
  <c r="O7" i="12"/>
  <c r="O6" i="12"/>
  <c r="O5" i="12"/>
  <c r="O8" i="12" l="1"/>
  <c r="O11" i="12" s="1"/>
  <c r="N11" i="12" s="1"/>
  <c r="M11" i="12" s="1"/>
  <c r="L11" i="12" s="1"/>
  <c r="K11" i="12" s="1"/>
  <c r="J11" i="12" s="1"/>
  <c r="I11" i="12" s="1"/>
  <c r="G11" i="12"/>
  <c r="F11" i="12" s="1"/>
  <c r="E11" i="12" s="1"/>
  <c r="O19" i="12"/>
  <c r="O18" i="12"/>
  <c r="O21" i="12" s="1"/>
  <c r="E76" i="23" l="1"/>
  <c r="E75" i="23"/>
  <c r="E74" i="23"/>
  <c r="E73" i="23"/>
  <c r="E72" i="23"/>
  <c r="E71" i="23"/>
  <c r="E70" i="23"/>
  <c r="E68" i="23"/>
  <c r="E67" i="23"/>
  <c r="E66" i="23"/>
  <c r="E65" i="23"/>
  <c r="E64" i="23"/>
  <c r="E62" i="23"/>
  <c r="E61" i="23"/>
  <c r="I77" i="23"/>
  <c r="H77" i="23"/>
  <c r="G77" i="23"/>
  <c r="F77" i="23"/>
  <c r="E59" i="23"/>
  <c r="E58" i="23"/>
  <c r="E57" i="23"/>
  <c r="E56" i="23"/>
  <c r="I55" i="23"/>
  <c r="H55" i="23"/>
  <c r="G55" i="23"/>
  <c r="F55" i="23"/>
  <c r="G78" i="23" l="1"/>
  <c r="G116" i="1" s="1"/>
  <c r="F78" i="23"/>
  <c r="F116" i="1" s="1"/>
  <c r="E60" i="23"/>
  <c r="E77" i="23" s="1"/>
  <c r="I78" i="23"/>
  <c r="I116" i="1" s="1"/>
  <c r="H78" i="23"/>
  <c r="H116" i="1" s="1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I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H30" i="23"/>
  <c r="G30" i="23"/>
  <c r="E5" i="23"/>
  <c r="E4" i="23"/>
  <c r="E69" i="10"/>
  <c r="F30" i="23" l="1"/>
  <c r="E6" i="23"/>
  <c r="E30" i="23"/>
  <c r="E55" i="23"/>
  <c r="E78" i="23" s="1"/>
  <c r="J116" i="1"/>
  <c r="E68" i="10"/>
  <c r="E70" i="10" s="1"/>
  <c r="H59" i="10" l="1"/>
  <c r="E59" i="10"/>
  <c r="C54" i="10"/>
  <c r="D51" i="10"/>
  <c r="B51" i="10"/>
  <c r="B34" i="10"/>
  <c r="D33" i="10"/>
  <c r="D32" i="10"/>
  <c r="D31" i="10"/>
  <c r="D30" i="10"/>
  <c r="D29" i="10"/>
  <c r="D28" i="10"/>
  <c r="D27" i="10"/>
  <c r="D26" i="10"/>
  <c r="D25" i="10"/>
  <c r="D24" i="10"/>
  <c r="B19" i="10"/>
  <c r="B18" i="10"/>
  <c r="L55" i="9"/>
  <c r="K55" i="9"/>
  <c r="H55" i="9"/>
  <c r="G55" i="9"/>
  <c r="L54" i="9"/>
  <c r="H54" i="9"/>
  <c r="L53" i="9"/>
  <c r="K53" i="9"/>
  <c r="H53" i="9"/>
  <c r="G53" i="9"/>
  <c r="J51" i="9"/>
  <c r="I51" i="9"/>
  <c r="F51" i="9"/>
  <c r="E51" i="9"/>
  <c r="L50" i="9"/>
  <c r="K50" i="9"/>
  <c r="H50" i="9"/>
  <c r="G50" i="9"/>
  <c r="L49" i="9"/>
  <c r="K49" i="9"/>
  <c r="H49" i="9"/>
  <c r="G49" i="9"/>
  <c r="L48" i="9"/>
  <c r="K48" i="9"/>
  <c r="K51" i="9" s="1"/>
  <c r="H48" i="9"/>
  <c r="H51" i="9" s="1"/>
  <c r="G48" i="9"/>
  <c r="L36" i="9"/>
  <c r="K36" i="9"/>
  <c r="H36" i="9"/>
  <c r="G36" i="9"/>
  <c r="L35" i="9"/>
  <c r="H35" i="9"/>
  <c r="L34" i="9"/>
  <c r="K34" i="9"/>
  <c r="H34" i="9"/>
  <c r="G34" i="9"/>
  <c r="L33" i="9"/>
  <c r="K33" i="9"/>
  <c r="H33" i="9"/>
  <c r="G33" i="9"/>
  <c r="K32" i="9"/>
  <c r="D34" i="10" l="1"/>
  <c r="L56" i="9"/>
  <c r="G56" i="9"/>
  <c r="H56" i="9"/>
  <c r="L57" i="9" s="1"/>
  <c r="L51" i="9"/>
  <c r="K56" i="9"/>
  <c r="L40" i="9"/>
  <c r="J32" i="9"/>
  <c r="L32" i="9" s="1"/>
  <c r="H32" i="9"/>
  <c r="G32" i="9"/>
  <c r="L31" i="9"/>
  <c r="K31" i="9"/>
  <c r="K37" i="9" s="1"/>
  <c r="H31" i="9"/>
  <c r="G31" i="9"/>
  <c r="G37" i="9" s="1"/>
  <c r="L28" i="9"/>
  <c r="K28" i="9"/>
  <c r="H28" i="9"/>
  <c r="G28" i="9"/>
  <c r="L27" i="9"/>
  <c r="K27" i="9"/>
  <c r="K29" i="9" s="1"/>
  <c r="H27" i="9"/>
  <c r="G27" i="9"/>
  <c r="G29" i="9" s="1"/>
  <c r="J25" i="9"/>
  <c r="I25" i="9"/>
  <c r="F25" i="9"/>
  <c r="H29" i="9" l="1"/>
  <c r="L37" i="9"/>
  <c r="L39" i="9"/>
  <c r="H37" i="9"/>
  <c r="G51" i="9"/>
  <c r="L52" i="9" s="1"/>
  <c r="L24" i="9"/>
  <c r="K24" i="9"/>
  <c r="H24" i="9"/>
  <c r="G24" i="9"/>
  <c r="L23" i="9"/>
  <c r="K23" i="9"/>
  <c r="H23" i="9"/>
  <c r="G23" i="9"/>
  <c r="L22" i="9"/>
  <c r="K22" i="9"/>
  <c r="H22" i="9"/>
  <c r="G22" i="9"/>
  <c r="L21" i="9"/>
  <c r="K21" i="9"/>
  <c r="H21" i="9"/>
  <c r="G21" i="9"/>
  <c r="L20" i="9"/>
  <c r="K20" i="9"/>
  <c r="H20" i="9"/>
  <c r="G20" i="9"/>
  <c r="L19" i="9"/>
  <c r="K19" i="9"/>
  <c r="H19" i="9"/>
  <c r="G19" i="9"/>
  <c r="L18" i="9"/>
  <c r="K18" i="9"/>
  <c r="H18" i="9"/>
  <c r="G18" i="9"/>
  <c r="L17" i="9"/>
  <c r="K17" i="9"/>
  <c r="H17" i="9"/>
  <c r="G17" i="9"/>
  <c r="L16" i="9"/>
  <c r="K16" i="9"/>
  <c r="H16" i="9"/>
  <c r="G16" i="9"/>
  <c r="L15" i="9"/>
  <c r="K15" i="9"/>
  <c r="H15" i="9"/>
  <c r="G15" i="9"/>
  <c r="L14" i="9"/>
  <c r="K14" i="9"/>
  <c r="H14" i="9"/>
  <c r="G14" i="9"/>
  <c r="L13" i="9"/>
  <c r="L25" i="9" s="1"/>
  <c r="K13" i="9"/>
  <c r="H13" i="9"/>
  <c r="H25" i="9" s="1"/>
  <c r="G13" i="9"/>
  <c r="L12" i="9"/>
  <c r="K12" i="9"/>
  <c r="H12" i="9"/>
  <c r="G12" i="9"/>
  <c r="L11" i="9"/>
  <c r="K11" i="9"/>
  <c r="H11" i="9"/>
  <c r="G11" i="9"/>
  <c r="L10" i="9"/>
  <c r="K10" i="9"/>
  <c r="H10" i="9"/>
  <c r="G10" i="9"/>
  <c r="L9" i="9"/>
  <c r="K9" i="9"/>
  <c r="H9" i="9"/>
  <c r="G9" i="9"/>
  <c r="L8" i="9"/>
  <c r="K8" i="9"/>
  <c r="H8" i="9"/>
  <c r="G8" i="9"/>
  <c r="L7" i="9"/>
  <c r="K7" i="9"/>
  <c r="H7" i="9"/>
  <c r="G7" i="9"/>
  <c r="C199" i="8"/>
  <c r="C202" i="8" s="1"/>
  <c r="L38" i="9" l="1"/>
  <c r="G25" i="9"/>
  <c r="K25" i="9"/>
  <c r="D193" i="8"/>
  <c r="D195" i="8" s="1"/>
  <c r="D196" i="8" s="1"/>
  <c r="L26" i="9" l="1"/>
  <c r="F173" i="8"/>
  <c r="F174" i="8" s="1"/>
  <c r="C173" i="8"/>
  <c r="D158" i="8"/>
  <c r="C158" i="8"/>
  <c r="G149" i="8"/>
  <c r="F149" i="8"/>
  <c r="E149" i="8"/>
  <c r="D149" i="8"/>
  <c r="C151" i="8" s="1"/>
  <c r="C149" i="8"/>
  <c r="I145" i="8"/>
  <c r="H145" i="8"/>
  <c r="G145" i="8"/>
  <c r="F145" i="8"/>
  <c r="E145" i="8"/>
  <c r="C144" i="8"/>
  <c r="D134" i="8"/>
  <c r="H132" i="8"/>
  <c r="C110" i="8"/>
  <c r="C109" i="8" s="1"/>
  <c r="C108" i="8"/>
  <c r="G94" i="8"/>
  <c r="F94" i="8"/>
  <c r="E94" i="8"/>
  <c r="D94" i="8"/>
  <c r="C96" i="8" s="1"/>
  <c r="C94" i="8"/>
  <c r="I90" i="8"/>
  <c r="H90" i="8"/>
  <c r="G90" i="8"/>
  <c r="F90" i="8"/>
  <c r="E90" i="8"/>
  <c r="C89" i="8"/>
  <c r="C90" i="8" s="1"/>
  <c r="F76" i="8"/>
  <c r="E76" i="8"/>
  <c r="D76" i="8"/>
  <c r="C76" i="8"/>
  <c r="H57" i="8"/>
  <c r="G57" i="8"/>
  <c r="F57" i="8"/>
  <c r="E57" i="8"/>
  <c r="D57" i="8"/>
  <c r="C57" i="8"/>
  <c r="D39" i="8"/>
  <c r="C174" i="8" l="1"/>
  <c r="C159" i="8"/>
  <c r="D90" i="8"/>
  <c r="F77" i="8"/>
  <c r="E77" i="8" s="1"/>
  <c r="D77" i="8" s="1"/>
  <c r="C77" i="8" s="1"/>
  <c r="D145" i="8"/>
  <c r="J90" i="8"/>
  <c r="C113" i="8"/>
  <c r="C145" i="8"/>
  <c r="R36" i="8"/>
  <c r="J145" i="8" l="1"/>
  <c r="P36" i="8"/>
  <c r="P37" i="8" s="1"/>
  <c r="N36" i="8" l="1"/>
  <c r="J36" i="8" l="1"/>
  <c r="H36" i="8"/>
  <c r="F36" i="8"/>
  <c r="F37" i="8" s="1"/>
  <c r="D36" i="8"/>
  <c r="D37" i="8" s="1"/>
  <c r="D40" i="8" s="1"/>
  <c r="S35" i="8"/>
  <c r="O35" i="8"/>
  <c r="L35" i="8" l="1"/>
  <c r="K35" i="8"/>
  <c r="I35" i="8"/>
  <c r="G35" i="8"/>
  <c r="E35" i="8"/>
  <c r="S34" i="8"/>
  <c r="O34" i="8"/>
  <c r="L34" i="8"/>
  <c r="K34" i="8"/>
  <c r="I34" i="8"/>
  <c r="M34" i="8" s="1"/>
  <c r="G34" i="8"/>
  <c r="E34" i="8"/>
  <c r="S33" i="8"/>
  <c r="O33" i="8"/>
  <c r="L33" i="8"/>
  <c r="K33" i="8"/>
  <c r="I33" i="8"/>
  <c r="M33" i="8" s="1"/>
  <c r="G33" i="8"/>
  <c r="E33" i="8"/>
  <c r="S32" i="8"/>
  <c r="O32" i="8"/>
  <c r="L32" i="8"/>
  <c r="K32" i="8"/>
  <c r="I32" i="8"/>
  <c r="G32" i="8"/>
  <c r="E32" i="8"/>
  <c r="S31" i="8"/>
  <c r="O31" i="8"/>
  <c r="L31" i="8"/>
  <c r="K31" i="8"/>
  <c r="I31" i="8"/>
  <c r="G31" i="8"/>
  <c r="E31" i="8"/>
  <c r="S30" i="8"/>
  <c r="O30" i="8"/>
  <c r="L30" i="8"/>
  <c r="K30" i="8"/>
  <c r="I30" i="8"/>
  <c r="G30" i="8"/>
  <c r="E30" i="8"/>
  <c r="S29" i="8"/>
  <c r="O29" i="8"/>
  <c r="L29" i="8"/>
  <c r="K29" i="8"/>
  <c r="M29" i="8" s="1"/>
  <c r="I29" i="8"/>
  <c r="G29" i="8"/>
  <c r="E29" i="8"/>
  <c r="S28" i="8"/>
  <c r="O28" i="8"/>
  <c r="L28" i="8"/>
  <c r="K28" i="8"/>
  <c r="I28" i="8"/>
  <c r="M28" i="8" s="1"/>
  <c r="G28" i="8"/>
  <c r="E28" i="8"/>
  <c r="S27" i="8"/>
  <c r="O27" i="8"/>
  <c r="L27" i="8"/>
  <c r="K27" i="8"/>
  <c r="M27" i="8" s="1"/>
  <c r="I27" i="8"/>
  <c r="G27" i="8"/>
  <c r="E27" i="8"/>
  <c r="S26" i="8"/>
  <c r="O26" i="8"/>
  <c r="L26" i="8"/>
  <c r="K26" i="8"/>
  <c r="I26" i="8"/>
  <c r="G26" i="8"/>
  <c r="E26" i="8"/>
  <c r="Q32" i="8" s="1"/>
  <c r="P18" i="8"/>
  <c r="M18" i="8"/>
  <c r="J18" i="8"/>
  <c r="C17" i="8"/>
  <c r="S36" i="8" l="1"/>
  <c r="S37" i="8" s="1"/>
  <c r="R37" i="8" s="1"/>
  <c r="L36" i="8"/>
  <c r="L37" i="8" s="1"/>
  <c r="M30" i="8"/>
  <c r="M35" i="8"/>
  <c r="M32" i="8"/>
  <c r="M26" i="8"/>
  <c r="M31" i="8"/>
  <c r="Q31" i="8"/>
  <c r="G36" i="8"/>
  <c r="Q28" i="8"/>
  <c r="Q35" i="8"/>
  <c r="E36" i="8"/>
  <c r="E37" i="8" s="1"/>
  <c r="I36" i="8"/>
  <c r="Q29" i="8"/>
  <c r="Q27" i="8"/>
  <c r="O36" i="8"/>
  <c r="O37" i="8" s="1"/>
  <c r="N37" i="8" s="1"/>
  <c r="Q33" i="8"/>
  <c r="K36" i="8"/>
  <c r="K37" i="8" s="1"/>
  <c r="J37" i="8" s="1"/>
  <c r="Q26" i="8"/>
  <c r="Q30" i="8"/>
  <c r="Q34" i="8"/>
  <c r="O15" i="8"/>
  <c r="M36" i="8" l="1"/>
  <c r="M37" i="8" s="1"/>
  <c r="I37" i="8"/>
  <c r="H37" i="8" s="1"/>
  <c r="G37" i="8" s="1"/>
  <c r="J40" i="8"/>
  <c r="Q36" i="8"/>
  <c r="Q37" i="8" s="1"/>
  <c r="L15" i="8"/>
  <c r="L16" i="8" s="1"/>
  <c r="K45" i="1" l="1"/>
  <c r="I15" i="8"/>
  <c r="F15" i="8"/>
  <c r="F16" i="8" s="1"/>
  <c r="C15" i="8"/>
  <c r="C16" i="8" s="1"/>
  <c r="Q14" i="8"/>
  <c r="N14" i="8"/>
  <c r="K14" i="8"/>
  <c r="H14" i="8"/>
  <c r="C18" i="8" l="1"/>
  <c r="E14" i="8"/>
  <c r="Q13" i="8"/>
  <c r="N13" i="8"/>
  <c r="K13" i="8"/>
  <c r="H13" i="8"/>
  <c r="E13" i="8"/>
  <c r="Q12" i="8"/>
  <c r="N12" i="8"/>
  <c r="K12" i="8"/>
  <c r="H12" i="8"/>
  <c r="E12" i="8"/>
  <c r="Q11" i="8"/>
  <c r="N11" i="8"/>
  <c r="K11" i="8"/>
  <c r="H11" i="8"/>
  <c r="E11" i="8"/>
  <c r="Q10" i="8"/>
  <c r="N10" i="8"/>
  <c r="K10" i="8"/>
  <c r="H10" i="8"/>
  <c r="E10" i="8"/>
  <c r="Q9" i="8"/>
  <c r="N9" i="8"/>
  <c r="K9" i="8"/>
  <c r="H9" i="8"/>
  <c r="E9" i="8"/>
  <c r="Q8" i="8"/>
  <c r="N8" i="8"/>
  <c r="K8" i="8"/>
  <c r="H8" i="8"/>
  <c r="E8" i="8"/>
  <c r="Q7" i="8"/>
  <c r="N7" i="8"/>
  <c r="K7" i="8"/>
  <c r="H7" i="8"/>
  <c r="E7" i="8"/>
  <c r="Q6" i="8"/>
  <c r="N6" i="8"/>
  <c r="K6" i="8"/>
  <c r="H6" i="8"/>
  <c r="E6" i="8"/>
  <c r="Q5" i="8"/>
  <c r="N5" i="8"/>
  <c r="K5" i="8"/>
  <c r="H5" i="8"/>
  <c r="E5" i="8"/>
  <c r="H64" i="7"/>
  <c r="F62" i="7"/>
  <c r="H61" i="7" s="1"/>
  <c r="F61" i="7"/>
  <c r="H51" i="7"/>
  <c r="F50" i="7"/>
  <c r="H49" i="7"/>
  <c r="H48" i="7"/>
  <c r="H47" i="7"/>
  <c r="H36" i="7"/>
  <c r="F34" i="7"/>
  <c r="F33" i="7"/>
  <c r="F35" i="7" s="1"/>
  <c r="H34" i="7" s="1"/>
  <c r="H24" i="7"/>
  <c r="F22" i="7"/>
  <c r="H21" i="7" s="1"/>
  <c r="F21" i="7"/>
  <c r="F20" i="7"/>
  <c r="H11" i="7"/>
  <c r="F9" i="7"/>
  <c r="H8" i="7" s="1"/>
  <c r="F8" i="7"/>
  <c r="F7" i="7"/>
  <c r="F10" i="7" s="1"/>
  <c r="H9" i="7" s="1"/>
  <c r="H6" i="7"/>
  <c r="C51" i="6"/>
  <c r="D49" i="6"/>
  <c r="D48" i="6"/>
  <c r="D47" i="6"/>
  <c r="C42" i="6"/>
  <c r="D41" i="6"/>
  <c r="D40" i="6"/>
  <c r="D42" i="6" s="1"/>
  <c r="D38" i="6"/>
  <c r="D37" i="6"/>
  <c r="D36" i="6"/>
  <c r="D35" i="6"/>
  <c r="D27" i="6"/>
  <c r="D28" i="6" s="1"/>
  <c r="D26" i="6"/>
  <c r="D25" i="6"/>
  <c r="D19" i="6"/>
  <c r="D17" i="6"/>
  <c r="D16" i="6"/>
  <c r="D10" i="6" s="1"/>
  <c r="D8" i="6"/>
  <c r="D7" i="6"/>
  <c r="D6" i="6"/>
  <c r="D5" i="6"/>
  <c r="D4" i="6"/>
  <c r="M16" i="5"/>
  <c r="L16" i="5"/>
  <c r="J16" i="5"/>
  <c r="I16" i="5"/>
  <c r="F16" i="5"/>
  <c r="E16" i="5"/>
  <c r="H15" i="5"/>
  <c r="K15" i="5" s="1"/>
  <c r="G15" i="5"/>
  <c r="M8" i="5"/>
  <c r="L8" i="5"/>
  <c r="J8" i="5"/>
  <c r="I8" i="5"/>
  <c r="F8" i="5"/>
  <c r="H7" i="5"/>
  <c r="G7" i="5"/>
  <c r="H6" i="5"/>
  <c r="G6" i="5"/>
  <c r="G5" i="5"/>
  <c r="C65" i="3"/>
  <c r="B65" i="3"/>
  <c r="D64" i="3"/>
  <c r="D63" i="3"/>
  <c r="L56" i="3" s="1"/>
  <c r="K56" i="3" s="1"/>
  <c r="J56" i="3"/>
  <c r="G56" i="3"/>
  <c r="E56" i="3"/>
  <c r="B56" i="3"/>
  <c r="L45" i="3"/>
  <c r="H42" i="3"/>
  <c r="C42" i="3"/>
  <c r="C56" i="3" s="1"/>
  <c r="C39" i="3"/>
  <c r="K38" i="3"/>
  <c r="I38" i="3"/>
  <c r="F38" i="3"/>
  <c r="D38" i="3"/>
  <c r="C38" i="3"/>
  <c r="C22" i="3"/>
  <c r="B22" i="3"/>
  <c r="D21" i="3"/>
  <c r="E20" i="3" s="1"/>
  <c r="D20" i="3"/>
  <c r="D19" i="3"/>
  <c r="D18" i="3"/>
  <c r="D17" i="3"/>
  <c r="D22" i="3" s="1"/>
  <c r="E64" i="3" l="1"/>
  <c r="Q15" i="8"/>
  <c r="Q16" i="8" s="1"/>
  <c r="O16" i="8" s="1"/>
  <c r="H15" i="8"/>
  <c r="H8" i="5"/>
  <c r="G8" i="5"/>
  <c r="K5" i="5"/>
  <c r="N5" i="5" s="1"/>
  <c r="K16" i="5"/>
  <c r="N15" i="5"/>
  <c r="N16" i="5" s="1"/>
  <c r="D50" i="6"/>
  <c r="D65" i="3"/>
  <c r="E65" i="3" s="1"/>
  <c r="F56" i="3"/>
  <c r="P39" i="8"/>
  <c r="L17" i="8"/>
  <c r="L18" i="8" s="1"/>
  <c r="N18" i="8" s="1"/>
  <c r="D18" i="6"/>
  <c r="K15" i="8"/>
  <c r="K16" i="8" s="1"/>
  <c r="I16" i="8" s="1"/>
  <c r="E17" i="3"/>
  <c r="E21" i="3"/>
  <c r="I56" i="3"/>
  <c r="H56" i="3" s="1"/>
  <c r="D9" i="6"/>
  <c r="H20" i="7"/>
  <c r="N15" i="8"/>
  <c r="N16" i="8" s="1"/>
  <c r="E15" i="8"/>
  <c r="E16" i="8" s="1"/>
  <c r="E19" i="3"/>
  <c r="D56" i="3"/>
  <c r="E63" i="3"/>
  <c r="H16" i="5"/>
  <c r="D29" i="6"/>
  <c r="D39" i="6"/>
  <c r="H7" i="7"/>
  <c r="H10" i="7" s="1"/>
  <c r="H12" i="7" s="1"/>
  <c r="F23" i="7"/>
  <c r="H22" i="7" s="1"/>
  <c r="H33" i="7"/>
  <c r="H35" i="7" s="1"/>
  <c r="H37" i="7" s="1"/>
  <c r="H50" i="7"/>
  <c r="H52" i="7" s="1"/>
  <c r="F63" i="7"/>
  <c r="H62" i="7" s="1"/>
  <c r="H63" i="7" s="1"/>
  <c r="H65" i="7" s="1"/>
  <c r="E10" i="3"/>
  <c r="D10" i="3" s="1"/>
  <c r="H9" i="3"/>
  <c r="F9" i="3"/>
  <c r="D9" i="3"/>
  <c r="C9" i="3"/>
  <c r="B9" i="3"/>
  <c r="H7" i="3"/>
  <c r="C10" i="3" l="1"/>
  <c r="B10" i="3"/>
  <c r="D53" i="6"/>
  <c r="D51" i="6" s="1"/>
  <c r="D54" i="6" s="1"/>
  <c r="R39" i="8"/>
  <c r="O17" i="8"/>
  <c r="O18" i="8" s="1"/>
  <c r="Q18" i="8" s="1"/>
  <c r="E78" i="8"/>
  <c r="N39" i="8"/>
  <c r="I17" i="8"/>
  <c r="I18" i="8" s="1"/>
  <c r="K18" i="8" s="1"/>
  <c r="H23" i="7"/>
  <c r="H25" i="7" s="1"/>
  <c r="B71" i="10"/>
  <c r="E72" i="10" s="1"/>
  <c r="B36" i="10"/>
  <c r="D35" i="10" s="1"/>
  <c r="B35" i="10" s="1"/>
  <c r="B53" i="10"/>
  <c r="D52" i="10" s="1"/>
  <c r="B52" i="10" s="1"/>
  <c r="B54" i="10" s="1"/>
  <c r="D54" i="10" s="1"/>
  <c r="H39" i="8"/>
  <c r="C78" i="8"/>
  <c r="C80" i="8" s="1"/>
  <c r="D78" i="8"/>
  <c r="F39" i="8"/>
  <c r="F17" i="8"/>
  <c r="H16" i="8"/>
  <c r="F6" i="3"/>
  <c r="F7" i="3" s="1"/>
  <c r="E6" i="3"/>
  <c r="D6" i="3"/>
  <c r="D7" i="3" s="1"/>
  <c r="C6" i="3"/>
  <c r="C7" i="3" s="1"/>
  <c r="B6" i="3"/>
  <c r="E7" i="3" l="1"/>
  <c r="B7" i="3"/>
  <c r="H4" i="3"/>
  <c r="B182" i="17"/>
  <c r="B181" i="17"/>
  <c r="B177" i="17"/>
  <c r="B178" i="17" l="1"/>
  <c r="B190" i="17"/>
  <c r="B191" i="17" s="1"/>
  <c r="B183" i="17"/>
  <c r="B184" i="17" s="1"/>
  <c r="H6" i="3"/>
  <c r="H11" i="3" s="1"/>
  <c r="H10" i="3" s="1"/>
  <c r="F10" i="3" s="1"/>
  <c r="B150" i="17"/>
  <c r="B149" i="17"/>
  <c r="B152" i="17"/>
  <c r="B151" i="17"/>
  <c r="B145" i="17"/>
  <c r="B146" i="17" s="1"/>
  <c r="B130" i="17"/>
  <c r="B123" i="17"/>
  <c r="B93" i="17"/>
  <c r="B153" i="17" l="1"/>
  <c r="B154" i="17" s="1"/>
  <c r="B131" i="17"/>
  <c r="B110" i="17"/>
  <c r="B111" i="17" s="1"/>
  <c r="B195" i="17"/>
  <c r="B194" i="17"/>
  <c r="B162" i="17"/>
  <c r="B163" i="17" s="1"/>
  <c r="B94" i="17"/>
  <c r="B102" i="17"/>
  <c r="B103" i="17" s="1"/>
  <c r="B124" i="17"/>
  <c r="B170" i="17"/>
  <c r="B171" i="17" s="1"/>
  <c r="B75" i="17"/>
  <c r="B74" i="17"/>
  <c r="B73" i="17"/>
  <c r="B72" i="17"/>
  <c r="B68" i="17"/>
  <c r="B54" i="17"/>
  <c r="B55" i="17" s="1"/>
  <c r="B58" i="17" s="1"/>
  <c r="B40" i="17"/>
  <c r="B41" i="17" s="1"/>
  <c r="B34" i="17"/>
  <c r="B35" i="17" s="1"/>
  <c r="B23" i="17"/>
  <c r="B69" i="17" l="1"/>
  <c r="B85" i="17"/>
  <c r="B86" i="17" s="1"/>
  <c r="B76" i="17"/>
  <c r="B77" i="17" s="1"/>
  <c r="B59" i="17"/>
  <c r="B196" i="17"/>
  <c r="B197" i="17" s="1"/>
  <c r="K156" i="18"/>
  <c r="F156" i="18"/>
  <c r="K155" i="18"/>
  <c r="F155" i="18"/>
  <c r="K154" i="18"/>
  <c r="H154" i="18"/>
  <c r="F154" i="18"/>
  <c r="K153" i="18"/>
  <c r="F153" i="18"/>
  <c r="K152" i="18"/>
  <c r="H152" i="18"/>
  <c r="F152" i="18"/>
  <c r="K151" i="18"/>
  <c r="F151" i="18"/>
  <c r="K150" i="18"/>
  <c r="F150" i="18"/>
  <c r="K149" i="18"/>
  <c r="F149" i="18"/>
  <c r="K148" i="18"/>
  <c r="F148" i="18"/>
  <c r="K147" i="18"/>
  <c r="G147" i="18"/>
  <c r="K146" i="18"/>
  <c r="H146" i="18"/>
  <c r="K145" i="18"/>
  <c r="H145" i="18"/>
  <c r="G145" i="18" s="1"/>
  <c r="K144" i="18"/>
  <c r="H144" i="18"/>
  <c r="G144" i="18" s="1"/>
  <c r="K143" i="18"/>
  <c r="G143" i="18"/>
  <c r="K142" i="18"/>
  <c r="H142" i="18"/>
  <c r="K133" i="18"/>
  <c r="F145" i="18" l="1"/>
  <c r="I155" i="18"/>
  <c r="H155" i="18" s="1"/>
  <c r="I153" i="18"/>
  <c r="H153" i="18" s="1"/>
  <c r="F143" i="18"/>
  <c r="G146" i="18"/>
  <c r="F146" i="18" s="1"/>
  <c r="G153" i="18"/>
  <c r="J153" i="18" s="1"/>
  <c r="M153" i="18" s="1"/>
  <c r="G154" i="18"/>
  <c r="G155" i="18"/>
  <c r="J155" i="18" s="1"/>
  <c r="H156" i="18"/>
  <c r="K157" i="18"/>
  <c r="I151" i="18"/>
  <c r="H151" i="18"/>
  <c r="G151" i="18" s="1"/>
  <c r="G152" i="18"/>
  <c r="G156" i="18"/>
  <c r="F147" i="18"/>
  <c r="F144" i="18"/>
  <c r="G142" i="18"/>
  <c r="H149" i="18"/>
  <c r="H150" i="18"/>
  <c r="I142" i="18"/>
  <c r="H143" i="18"/>
  <c r="I144" i="18"/>
  <c r="I145" i="18"/>
  <c r="J145" i="18" s="1"/>
  <c r="I146" i="18"/>
  <c r="J146" i="18" s="1"/>
  <c r="H147" i="18"/>
  <c r="H148" i="18"/>
  <c r="G148" i="18" s="1"/>
  <c r="G149" i="18"/>
  <c r="G150" i="18"/>
  <c r="I150" i="18"/>
  <c r="I147" i="18"/>
  <c r="I148" i="18"/>
  <c r="I131" i="18"/>
  <c r="H131" i="18"/>
  <c r="G131" i="18"/>
  <c r="F131" i="18"/>
  <c r="J130" i="18"/>
  <c r="N136" i="1" s="1"/>
  <c r="N137" i="1" s="1"/>
  <c r="L129" i="18"/>
  <c r="K127" i="18"/>
  <c r="E127" i="18"/>
  <c r="F127" i="18" s="1"/>
  <c r="K126" i="18"/>
  <c r="I126" i="18"/>
  <c r="H126" i="18"/>
  <c r="G126" i="18"/>
  <c r="F126" i="18"/>
  <c r="K124" i="18"/>
  <c r="I124" i="18"/>
  <c r="H124" i="18"/>
  <c r="G124" i="18"/>
  <c r="F124" i="18"/>
  <c r="I123" i="18"/>
  <c r="L130" i="18" l="1"/>
  <c r="L153" i="18"/>
  <c r="L155" i="18"/>
  <c r="M155" i="18"/>
  <c r="K128" i="18"/>
  <c r="J151" i="18"/>
  <c r="M151" i="18" s="1"/>
  <c r="F157" i="18"/>
  <c r="J147" i="18"/>
  <c r="L147" i="18" s="1"/>
  <c r="J150" i="18"/>
  <c r="M150" i="18" s="1"/>
  <c r="J148" i="18"/>
  <c r="L148" i="18" s="1"/>
  <c r="J142" i="18"/>
  <c r="L142" i="18" s="1"/>
  <c r="J126" i="18"/>
  <c r="M126" i="18" s="1"/>
  <c r="J144" i="18"/>
  <c r="L144" i="18" s="1"/>
  <c r="J124" i="18"/>
  <c r="M124" i="18" s="1"/>
  <c r="H127" i="18"/>
  <c r="G127" i="18"/>
  <c r="G128" i="18" s="1"/>
  <c r="L124" i="18"/>
  <c r="L145" i="18"/>
  <c r="M145" i="18"/>
  <c r="L146" i="18"/>
  <c r="M146" i="18"/>
  <c r="F128" i="18"/>
  <c r="G157" i="18"/>
  <c r="H157" i="18"/>
  <c r="H123" i="18"/>
  <c r="G123" i="18"/>
  <c r="F123" i="18"/>
  <c r="K122" i="18"/>
  <c r="K125" i="18" s="1"/>
  <c r="I122" i="18"/>
  <c r="I125" i="18" s="1"/>
  <c r="H122" i="18"/>
  <c r="G122" i="18"/>
  <c r="F122" i="18"/>
  <c r="K121" i="18"/>
  <c r="I120" i="18"/>
  <c r="H120" i="18"/>
  <c r="G120" i="18"/>
  <c r="G119" i="18" s="1"/>
  <c r="F120" i="18"/>
  <c r="E120" i="18"/>
  <c r="K119" i="18"/>
  <c r="K117" i="18"/>
  <c r="I117" i="18"/>
  <c r="H117" i="18"/>
  <c r="G117" i="18"/>
  <c r="F117" i="18"/>
  <c r="I116" i="18"/>
  <c r="H116" i="18"/>
  <c r="G116" i="18"/>
  <c r="F116" i="18"/>
  <c r="K115" i="18"/>
  <c r="I115" i="18"/>
  <c r="H115" i="18"/>
  <c r="G115" i="18"/>
  <c r="F115" i="18"/>
  <c r="I114" i="18"/>
  <c r="H114" i="18"/>
  <c r="G114" i="18"/>
  <c r="F114" i="18"/>
  <c r="K113" i="18"/>
  <c r="I113" i="18"/>
  <c r="I118" i="18" s="1"/>
  <c r="H113" i="18"/>
  <c r="G113" i="18"/>
  <c r="F113" i="18"/>
  <c r="K111" i="18"/>
  <c r="H111" i="18"/>
  <c r="F111" i="18"/>
  <c r="L110" i="18"/>
  <c r="K108" i="18"/>
  <c r="K107" i="18"/>
  <c r="H107" i="18"/>
  <c r="K106" i="18"/>
  <c r="H106" i="18"/>
  <c r="K104" i="18"/>
  <c r="I104" i="18"/>
  <c r="H104" i="18"/>
  <c r="G104" i="18"/>
  <c r="K103" i="18"/>
  <c r="I103" i="18"/>
  <c r="H103" i="18"/>
  <c r="G103" i="18"/>
  <c r="F103" i="18"/>
  <c r="J103" i="18" s="1"/>
  <c r="K102" i="18"/>
  <c r="K101" i="18"/>
  <c r="F101" i="18"/>
  <c r="K100" i="18"/>
  <c r="L100" i="18" s="1"/>
  <c r="J100" i="18"/>
  <c r="K98" i="18"/>
  <c r="M142" i="18" l="1"/>
  <c r="F102" i="18"/>
  <c r="G102" i="18"/>
  <c r="I102" i="18"/>
  <c r="M147" i="18"/>
  <c r="L103" i="18"/>
  <c r="L150" i="18"/>
  <c r="L151" i="18"/>
  <c r="M148" i="18"/>
  <c r="L126" i="18"/>
  <c r="G111" i="18"/>
  <c r="G112" i="18" s="1"/>
  <c r="H118" i="18"/>
  <c r="J116" i="18"/>
  <c r="F125" i="18"/>
  <c r="J104" i="18"/>
  <c r="L104" i="18" s="1"/>
  <c r="F106" i="18"/>
  <c r="F118" i="18"/>
  <c r="F119" i="18"/>
  <c r="F121" i="18" s="1"/>
  <c r="G121" i="18"/>
  <c r="K109" i="18"/>
  <c r="I107" i="18"/>
  <c r="F112" i="18"/>
  <c r="J114" i="18"/>
  <c r="N118" i="1" s="1"/>
  <c r="M100" i="18"/>
  <c r="G106" i="18"/>
  <c r="G107" i="18"/>
  <c r="F107" i="18" s="1"/>
  <c r="G125" i="18"/>
  <c r="M144" i="18"/>
  <c r="G118" i="18"/>
  <c r="J115" i="18"/>
  <c r="L115" i="18" s="1"/>
  <c r="H102" i="18"/>
  <c r="J102" i="18" s="1"/>
  <c r="L102" i="18" s="1"/>
  <c r="J113" i="18"/>
  <c r="L113" i="18" s="1"/>
  <c r="K118" i="18"/>
  <c r="J120" i="18"/>
  <c r="H125" i="18"/>
  <c r="M113" i="18"/>
  <c r="J117" i="18"/>
  <c r="K117" i="1" s="1"/>
  <c r="J122" i="18"/>
  <c r="J123" i="18"/>
  <c r="M115" i="18" l="1"/>
  <c r="J118" i="18"/>
  <c r="M118" i="18" s="1"/>
  <c r="L118" i="18" s="1"/>
  <c r="M104" i="18"/>
  <c r="N119" i="1"/>
  <c r="P119" i="1" s="1"/>
  <c r="Q119" i="1" s="1"/>
  <c r="P118" i="1"/>
  <c r="Q118" i="1" s="1"/>
  <c r="J107" i="18"/>
  <c r="E119" i="18"/>
  <c r="I119" i="18"/>
  <c r="L117" i="18"/>
  <c r="M117" i="18"/>
  <c r="J125" i="18"/>
  <c r="M125" i="18" s="1"/>
  <c r="L125" i="18" s="1"/>
  <c r="L122" i="18"/>
  <c r="M122" i="18"/>
  <c r="M107" i="18" l="1"/>
  <c r="L107" i="18"/>
  <c r="H119" i="18"/>
  <c r="I121" i="18"/>
  <c r="K97" i="18"/>
  <c r="H121" i="18" l="1"/>
  <c r="J119" i="18"/>
  <c r="G98" i="18"/>
  <c r="H98" i="18"/>
  <c r="I98" i="18"/>
  <c r="F98" i="18"/>
  <c r="K96" i="18"/>
  <c r="K95" i="18"/>
  <c r="M119" i="18" l="1"/>
  <c r="L119" i="18"/>
  <c r="J121" i="18"/>
  <c r="J98" i="18"/>
  <c r="K94" i="18"/>
  <c r="K105" i="18" s="1"/>
  <c r="I92" i="18"/>
  <c r="K91" i="18"/>
  <c r="I91" i="18"/>
  <c r="I93" i="18" s="1"/>
  <c r="K89" i="18"/>
  <c r="G89" i="18"/>
  <c r="F89" i="18" s="1"/>
  <c r="J89" i="18" s="1"/>
  <c r="K88" i="18"/>
  <c r="L88" i="18" s="1"/>
  <c r="J88" i="18"/>
  <c r="K87" i="18"/>
  <c r="F87" i="18"/>
  <c r="K86" i="18"/>
  <c r="F86" i="18"/>
  <c r="K84" i="18"/>
  <c r="I84" i="18"/>
  <c r="H84" i="18"/>
  <c r="G84" i="18"/>
  <c r="F84" i="18"/>
  <c r="J84" i="18" s="1"/>
  <c r="F83" i="18"/>
  <c r="G83" i="18" s="1"/>
  <c r="K82" i="18"/>
  <c r="I82" i="18"/>
  <c r="G82" i="18"/>
  <c r="K81" i="18"/>
  <c r="J81" i="18"/>
  <c r="K80" i="18"/>
  <c r="F80" i="18"/>
  <c r="I80" i="18" s="1"/>
  <c r="G80" i="18" s="1"/>
  <c r="K79" i="18"/>
  <c r="I79" i="18"/>
  <c r="G79" i="18"/>
  <c r="F79" i="18"/>
  <c r="K78" i="18"/>
  <c r="I78" i="18"/>
  <c r="G78" i="18"/>
  <c r="F78" i="18"/>
  <c r="H77" i="18"/>
  <c r="K76" i="18"/>
  <c r="F76" i="18"/>
  <c r="M84" i="18" l="1"/>
  <c r="G92" i="18"/>
  <c r="F92" i="18" s="1"/>
  <c r="L84" i="18"/>
  <c r="F91" i="18"/>
  <c r="L81" i="18"/>
  <c r="K77" i="18"/>
  <c r="M81" i="18"/>
  <c r="H91" i="18"/>
  <c r="G91" i="18" s="1"/>
  <c r="G93" i="18" s="1"/>
  <c r="F93" i="18" s="1"/>
  <c r="J82" i="18"/>
  <c r="L82" i="18" s="1"/>
  <c r="J79" i="18"/>
  <c r="L79" i="18" s="1"/>
  <c r="K90" i="18"/>
  <c r="G77" i="18"/>
  <c r="H86" i="18"/>
  <c r="H87" i="18"/>
  <c r="G87" i="18" s="1"/>
  <c r="H92" i="18"/>
  <c r="J92" i="18" s="1"/>
  <c r="M121" i="18"/>
  <c r="L121" i="18"/>
  <c r="I86" i="18"/>
  <c r="I87" i="18"/>
  <c r="M89" i="18"/>
  <c r="L89" i="18"/>
  <c r="F90" i="18"/>
  <c r="I77" i="18"/>
  <c r="L98" i="18"/>
  <c r="M98" i="18"/>
  <c r="F77" i="18"/>
  <c r="M82" i="18"/>
  <c r="J80" i="18"/>
  <c r="J78" i="18"/>
  <c r="K75" i="18"/>
  <c r="J75" i="18"/>
  <c r="F74" i="18"/>
  <c r="K73" i="18"/>
  <c r="F73" i="18"/>
  <c r="K72" i="18"/>
  <c r="F72" i="18"/>
  <c r="K71" i="18"/>
  <c r="E71" i="18"/>
  <c r="F71" i="18" s="1"/>
  <c r="K70" i="18"/>
  <c r="F70" i="18"/>
  <c r="H67" i="18"/>
  <c r="G67" i="18" s="1"/>
  <c r="K66" i="18"/>
  <c r="F66" i="18"/>
  <c r="K65" i="18"/>
  <c r="J65" i="18"/>
  <c r="I64" i="18"/>
  <c r="K63" i="18"/>
  <c r="I63" i="18"/>
  <c r="K62" i="18"/>
  <c r="F62" i="18"/>
  <c r="K61" i="18"/>
  <c r="H61" i="18"/>
  <c r="G61" i="18" s="1"/>
  <c r="E59" i="18"/>
  <c r="F59" i="18" s="1"/>
  <c r="K58" i="18"/>
  <c r="E58" i="18"/>
  <c r="G58" i="18" s="1"/>
  <c r="F58" i="18" s="1"/>
  <c r="K57" i="18"/>
  <c r="J57" i="18"/>
  <c r="K56" i="18"/>
  <c r="E56" i="18"/>
  <c r="F56" i="18" s="1"/>
  <c r="K55" i="18"/>
  <c r="E55" i="18"/>
  <c r="G55" i="18" s="1"/>
  <c r="K54" i="18"/>
  <c r="E54" i="18"/>
  <c r="G54" i="18" s="1"/>
  <c r="K52" i="18"/>
  <c r="K51" i="18"/>
  <c r="K50" i="18"/>
  <c r="J50" i="18"/>
  <c r="K49" i="18"/>
  <c r="E49" i="18"/>
  <c r="F49" i="18" s="1"/>
  <c r="K48" i="18"/>
  <c r="M65" i="18" l="1"/>
  <c r="L50" i="18"/>
  <c r="F67" i="18"/>
  <c r="H71" i="18"/>
  <c r="G71" i="18" s="1"/>
  <c r="M79" i="18"/>
  <c r="M57" i="18"/>
  <c r="M50" i="18"/>
  <c r="H70" i="18"/>
  <c r="G70" i="18" s="1"/>
  <c r="I70" i="18"/>
  <c r="I71" i="18"/>
  <c r="K68" i="18"/>
  <c r="M75" i="18"/>
  <c r="H93" i="18"/>
  <c r="I59" i="18"/>
  <c r="H59" i="18" s="1"/>
  <c r="H62" i="18"/>
  <c r="G62" i="18" s="1"/>
  <c r="G63" i="18"/>
  <c r="F63" i="18" s="1"/>
  <c r="F64" i="18"/>
  <c r="E69" i="18"/>
  <c r="L75" i="18"/>
  <c r="I90" i="18"/>
  <c r="J87" i="18"/>
  <c r="L87" i="18" s="1"/>
  <c r="J91" i="18"/>
  <c r="J93" i="18" s="1"/>
  <c r="I62" i="18"/>
  <c r="J62" i="18" s="1"/>
  <c r="H63" i="18"/>
  <c r="J63" i="18" s="1"/>
  <c r="K60" i="18"/>
  <c r="I61" i="18"/>
  <c r="H49" i="18"/>
  <c r="G49" i="18" s="1"/>
  <c r="F55" i="18"/>
  <c r="F61" i="18"/>
  <c r="G64" i="18"/>
  <c r="L65" i="18"/>
  <c r="J71" i="18"/>
  <c r="M71" i="18" s="1"/>
  <c r="L71" i="18" s="1"/>
  <c r="G86" i="18"/>
  <c r="H90" i="18"/>
  <c r="I49" i="18"/>
  <c r="F54" i="18"/>
  <c r="F60" i="18" s="1"/>
  <c r="G59" i="18"/>
  <c r="J59" i="18" s="1"/>
  <c r="H64" i="18"/>
  <c r="K69" i="18"/>
  <c r="K85" i="18" s="1"/>
  <c r="F69" i="18"/>
  <c r="F85" i="18" s="1"/>
  <c r="M80" i="18"/>
  <c r="L80" i="18"/>
  <c r="I55" i="18"/>
  <c r="I56" i="18"/>
  <c r="H56" i="18" s="1"/>
  <c r="I72" i="18"/>
  <c r="I73" i="18"/>
  <c r="H74" i="18"/>
  <c r="I54" i="18"/>
  <c r="H55" i="18"/>
  <c r="G56" i="18"/>
  <c r="L57" i="18"/>
  <c r="J58" i="18"/>
  <c r="I67" i="18"/>
  <c r="G72" i="18"/>
  <c r="H73" i="18"/>
  <c r="G73" i="18" s="1"/>
  <c r="G74" i="18"/>
  <c r="L78" i="18"/>
  <c r="M78" i="18"/>
  <c r="K47" i="18"/>
  <c r="E47" i="18"/>
  <c r="G47" i="18" s="1"/>
  <c r="K46" i="18"/>
  <c r="K45" i="18"/>
  <c r="J64" i="18" l="1"/>
  <c r="J70" i="18"/>
  <c r="M70" i="18" s="1"/>
  <c r="L62" i="18"/>
  <c r="M62" i="18"/>
  <c r="F47" i="18"/>
  <c r="M63" i="18"/>
  <c r="L63" i="18"/>
  <c r="J56" i="18"/>
  <c r="L56" i="18" s="1"/>
  <c r="L91" i="18"/>
  <c r="M91" i="18"/>
  <c r="H68" i="18"/>
  <c r="M87" i="18"/>
  <c r="I68" i="18"/>
  <c r="J55" i="18"/>
  <c r="L55" i="18" s="1"/>
  <c r="J49" i="18"/>
  <c r="M49" i="18" s="1"/>
  <c r="J73" i="18"/>
  <c r="L73" i="18" s="1"/>
  <c r="H47" i="18"/>
  <c r="G90" i="18"/>
  <c r="J86" i="18"/>
  <c r="J61" i="18"/>
  <c r="F68" i="18"/>
  <c r="N66" i="1"/>
  <c r="M64" i="18"/>
  <c r="L64" i="18"/>
  <c r="G60" i="18"/>
  <c r="K53" i="18"/>
  <c r="N58" i="1"/>
  <c r="L58" i="18"/>
  <c r="M58" i="18"/>
  <c r="H54" i="18"/>
  <c r="I60" i="18"/>
  <c r="H72" i="18"/>
  <c r="J67" i="18"/>
  <c r="K43" i="18"/>
  <c r="E43" i="18"/>
  <c r="I43" i="18" s="1"/>
  <c r="K42" i="18"/>
  <c r="E42" i="18"/>
  <c r="F42" i="18" s="1"/>
  <c r="K41" i="18"/>
  <c r="J41" i="18"/>
  <c r="L70" i="18" l="1"/>
  <c r="M55" i="18"/>
  <c r="M73" i="18"/>
  <c r="M56" i="18"/>
  <c r="L49" i="18"/>
  <c r="L86" i="18"/>
  <c r="M86" i="18"/>
  <c r="J90" i="18"/>
  <c r="L61" i="18"/>
  <c r="M61" i="18"/>
  <c r="L41" i="18"/>
  <c r="H43" i="18"/>
  <c r="H60" i="18"/>
  <c r="J54" i="18"/>
  <c r="M41" i="18"/>
  <c r="G43" i="18"/>
  <c r="F43" i="18"/>
  <c r="H69" i="18"/>
  <c r="H85" i="18" s="1"/>
  <c r="J72" i="18"/>
  <c r="K40" i="18"/>
  <c r="L90" i="18" l="1"/>
  <c r="M90" i="18"/>
  <c r="J43" i="18"/>
  <c r="L72" i="18"/>
  <c r="M72" i="18"/>
  <c r="L54" i="18"/>
  <c r="J60" i="18"/>
  <c r="M54" i="18"/>
  <c r="N41" i="1" l="1"/>
  <c r="N42" i="1" s="1"/>
  <c r="L43" i="18"/>
  <c r="M60" i="18"/>
  <c r="L60" i="18"/>
  <c r="E40" i="18" l="1"/>
  <c r="K39" i="18"/>
  <c r="H40" i="18" l="1"/>
  <c r="I40" i="18"/>
  <c r="F40" i="18"/>
  <c r="G40" i="18"/>
  <c r="K38" i="18"/>
  <c r="K37" i="18"/>
  <c r="H37" i="18"/>
  <c r="K36" i="18"/>
  <c r="E36" i="18"/>
  <c r="I36" i="18" s="1"/>
  <c r="H36" i="18" s="1"/>
  <c r="K35" i="18"/>
  <c r="K34" i="18"/>
  <c r="E34" i="18"/>
  <c r="I34" i="18" s="1"/>
  <c r="H34" i="18" s="1"/>
  <c r="K32" i="18"/>
  <c r="H32" i="18"/>
  <c r="K31" i="18"/>
  <c r="F34" i="18" l="1"/>
  <c r="F32" i="18"/>
  <c r="G34" i="18"/>
  <c r="J37" i="18"/>
  <c r="F36" i="18"/>
  <c r="K44" i="18"/>
  <c r="G32" i="18"/>
  <c r="G36" i="18"/>
  <c r="J40" i="18"/>
  <c r="K30" i="18"/>
  <c r="G30" i="18"/>
  <c r="K29" i="18"/>
  <c r="F29" i="18"/>
  <c r="K28" i="18"/>
  <c r="J28" i="18"/>
  <c r="K27" i="18"/>
  <c r="I27" i="18"/>
  <c r="K26" i="18"/>
  <c r="I26" i="18"/>
  <c r="H26" i="18" s="1"/>
  <c r="K25" i="18"/>
  <c r="E25" i="18"/>
  <c r="I25" i="18" s="1"/>
  <c r="E24" i="18"/>
  <c r="I24" i="18" s="1"/>
  <c r="H24" i="18" s="1"/>
  <c r="K23" i="18"/>
  <c r="I23" i="18"/>
  <c r="F21" i="18"/>
  <c r="F20" i="18"/>
  <c r="G20" i="18"/>
  <c r="K19" i="18"/>
  <c r="G19" i="18"/>
  <c r="K18" i="18"/>
  <c r="H18" i="18"/>
  <c r="K17" i="18"/>
  <c r="F17" i="18"/>
  <c r="K16" i="18"/>
  <c r="F16" i="18"/>
  <c r="K15" i="18"/>
  <c r="E15" i="18"/>
  <c r="K14" i="18"/>
  <c r="E14" i="18"/>
  <c r="K13" i="18"/>
  <c r="F13" i="18"/>
  <c r="K12" i="18"/>
  <c r="F12" i="18"/>
  <c r="K11" i="18"/>
  <c r="F11" i="18"/>
  <c r="K10" i="18"/>
  <c r="F10" i="18"/>
  <c r="I9" i="18"/>
  <c r="H9" i="18"/>
  <c r="G9" i="18"/>
  <c r="F9" i="18"/>
  <c r="K8" i="18"/>
  <c r="I8" i="18"/>
  <c r="K7" i="18"/>
  <c r="H7" i="18"/>
  <c r="K6" i="18"/>
  <c r="J34" i="18" l="1"/>
  <c r="L28" i="18"/>
  <c r="G26" i="18"/>
  <c r="I21" i="18"/>
  <c r="H21" i="18" s="1"/>
  <c r="G24" i="18"/>
  <c r="G21" i="18"/>
  <c r="H25" i="18"/>
  <c r="G25" i="18" s="1"/>
  <c r="J36" i="18"/>
  <c r="L36" i="18" s="1"/>
  <c r="F8" i="18"/>
  <c r="H23" i="18"/>
  <c r="H27" i="18"/>
  <c r="G27" i="18" s="1"/>
  <c r="F30" i="18"/>
  <c r="M28" i="18"/>
  <c r="F7" i="18"/>
  <c r="G7" i="18"/>
  <c r="H8" i="18"/>
  <c r="G8" i="18" s="1"/>
  <c r="F18" i="18"/>
  <c r="F19" i="18"/>
  <c r="M37" i="18"/>
  <c r="L37" i="18"/>
  <c r="J9" i="18"/>
  <c r="K22" i="18"/>
  <c r="G18" i="18"/>
  <c r="F23" i="18"/>
  <c r="F24" i="18"/>
  <c r="F25" i="18"/>
  <c r="F26" i="18"/>
  <c r="J26" i="18" s="1"/>
  <c r="F27" i="18"/>
  <c r="H31" i="18"/>
  <c r="I31" i="18"/>
  <c r="F31" i="18"/>
  <c r="G31" i="18"/>
  <c r="M40" i="18"/>
  <c r="L40" i="18"/>
  <c r="I10" i="18"/>
  <c r="H11" i="18"/>
  <c r="I12" i="18"/>
  <c r="I13" i="18"/>
  <c r="K33" i="18"/>
  <c r="H10" i="18"/>
  <c r="G10" i="18" s="1"/>
  <c r="G11" i="18"/>
  <c r="H12" i="18"/>
  <c r="G12" i="18" s="1"/>
  <c r="H13" i="18"/>
  <c r="G13" i="18" s="1"/>
  <c r="I18" i="18"/>
  <c r="I19" i="18"/>
  <c r="H19" i="18" s="1"/>
  <c r="H20" i="18"/>
  <c r="H30" i="18"/>
  <c r="G23" i="18"/>
  <c r="M34" i="18"/>
  <c r="L34" i="18"/>
  <c r="F6" i="18"/>
  <c r="J8" i="18" l="1"/>
  <c r="J27" i="18"/>
  <c r="N24" i="1" s="1"/>
  <c r="M36" i="18"/>
  <c r="J25" i="18"/>
  <c r="J21" i="18"/>
  <c r="L21" i="18" s="1"/>
  <c r="J24" i="18"/>
  <c r="M24" i="18" s="1"/>
  <c r="H33" i="18"/>
  <c r="J13" i="18"/>
  <c r="L13" i="18" s="1"/>
  <c r="L9" i="18"/>
  <c r="N116" i="1"/>
  <c r="J19" i="18"/>
  <c r="M19" i="18" s="1"/>
  <c r="J18" i="18"/>
  <c r="M18" i="18" s="1"/>
  <c r="M8" i="18"/>
  <c r="L8" i="18"/>
  <c r="J31" i="18"/>
  <c r="L31" i="18" s="1"/>
  <c r="J12" i="18"/>
  <c r="M12" i="18" s="1"/>
  <c r="J10" i="18"/>
  <c r="M10" i="18" s="1"/>
  <c r="N16" i="1"/>
  <c r="L19" i="18"/>
  <c r="M13" i="18"/>
  <c r="M26" i="18"/>
  <c r="L26" i="18"/>
  <c r="J6" i="18"/>
  <c r="L27" i="18"/>
  <c r="J23" i="18"/>
  <c r="F33" i="18"/>
  <c r="H22" i="18"/>
  <c r="M25" i="18"/>
  <c r="L25" i="18"/>
  <c r="M27" i="18" l="1"/>
  <c r="L18" i="18"/>
  <c r="L24" i="18"/>
  <c r="L12" i="18"/>
  <c r="L10" i="18"/>
  <c r="M23" i="18"/>
  <c r="L23" i="18"/>
  <c r="M6" i="18"/>
  <c r="L6" i="18"/>
  <c r="M144" i="26"/>
  <c r="H144" i="26"/>
  <c r="G144" i="26"/>
  <c r="J144" i="26" s="1"/>
  <c r="M143" i="26"/>
  <c r="I143" i="26"/>
  <c r="G143" i="26"/>
  <c r="K143" i="26" s="1"/>
  <c r="J143" i="26" s="1"/>
  <c r="M142" i="26"/>
  <c r="I142" i="26"/>
  <c r="G142" i="26"/>
  <c r="J142" i="26" s="1"/>
  <c r="M141" i="26"/>
  <c r="H141" i="26"/>
  <c r="G141" i="26"/>
  <c r="I141" i="26" s="1"/>
  <c r="M140" i="26"/>
  <c r="G140" i="26"/>
  <c r="J140" i="26" s="1"/>
  <c r="H142" i="26" l="1"/>
  <c r="H143" i="26"/>
  <c r="L143" i="26" s="1"/>
  <c r="N143" i="26" s="1"/>
  <c r="H140" i="26"/>
  <c r="I144" i="26"/>
  <c r="O143" i="26"/>
  <c r="J141" i="26"/>
  <c r="I140" i="26"/>
  <c r="M139" i="26"/>
  <c r="K139" i="26"/>
  <c r="J139" i="26" s="1"/>
  <c r="I139" i="26"/>
  <c r="H139" i="26"/>
  <c r="G139" i="26"/>
  <c r="M138" i="26"/>
  <c r="I138" i="26"/>
  <c r="H138" i="26"/>
  <c r="G138" i="26"/>
  <c r="J138" i="26" s="1"/>
  <c r="M137" i="26"/>
  <c r="I137" i="26"/>
  <c r="H137" i="26"/>
  <c r="G137" i="26"/>
  <c r="J137" i="26" s="1"/>
  <c r="M136" i="26"/>
  <c r="I136" i="26"/>
  <c r="G136" i="26"/>
  <c r="J136" i="26" s="1"/>
  <c r="M135" i="26"/>
  <c r="I135" i="26"/>
  <c r="G135" i="26"/>
  <c r="K135" i="26" s="1"/>
  <c r="J135" i="26" s="1"/>
  <c r="M134" i="26"/>
  <c r="H134" i="26"/>
  <c r="G134" i="26"/>
  <c r="J134" i="26" s="1"/>
  <c r="M133" i="26"/>
  <c r="J133" i="26"/>
  <c r="G133" i="26"/>
  <c r="I133" i="26" s="1"/>
  <c r="M132" i="26"/>
  <c r="G132" i="26"/>
  <c r="H132" i="26" s="1"/>
  <c r="M131" i="26"/>
  <c r="G131" i="26"/>
  <c r="H131" i="26" s="1"/>
  <c r="M130" i="26"/>
  <c r="H130" i="26"/>
  <c r="G130" i="26"/>
  <c r="J130" i="26" s="1"/>
  <c r="M121" i="26"/>
  <c r="K119" i="26"/>
  <c r="J119" i="26"/>
  <c r="I119" i="26"/>
  <c r="H119" i="26"/>
  <c r="L118" i="26"/>
  <c r="L119" i="26" s="1"/>
  <c r="N117" i="26"/>
  <c r="M115" i="26"/>
  <c r="H115" i="26"/>
  <c r="M114" i="26"/>
  <c r="K114" i="26"/>
  <c r="J114" i="26"/>
  <c r="I114" i="26"/>
  <c r="H114" i="26"/>
  <c r="M112" i="26"/>
  <c r="K112" i="26"/>
  <c r="J112" i="26"/>
  <c r="I112" i="26"/>
  <c r="H112" i="26"/>
  <c r="M111" i="26"/>
  <c r="K111" i="26"/>
  <c r="J111" i="26"/>
  <c r="J113" i="26" s="1"/>
  <c r="I111" i="26"/>
  <c r="H111" i="26"/>
  <c r="M110" i="26"/>
  <c r="M109" i="26"/>
  <c r="K109" i="26"/>
  <c r="J109" i="26"/>
  <c r="I109" i="26"/>
  <c r="H109" i="26"/>
  <c r="M107" i="26"/>
  <c r="K107" i="26"/>
  <c r="J107" i="26"/>
  <c r="I107" i="26"/>
  <c r="H107" i="26"/>
  <c r="L107" i="26" s="1"/>
  <c r="M105" i="26"/>
  <c r="K105" i="26"/>
  <c r="J105" i="26"/>
  <c r="I105" i="26"/>
  <c r="L105" i="26"/>
  <c r="M104" i="26"/>
  <c r="K104" i="26"/>
  <c r="J104" i="26"/>
  <c r="I104" i="26"/>
  <c r="H108" i="26"/>
  <c r="M102" i="26"/>
  <c r="J102" i="26"/>
  <c r="N101" i="26"/>
  <c r="K110" i="1"/>
  <c r="M99" i="26"/>
  <c r="H99" i="26"/>
  <c r="M98" i="26"/>
  <c r="I98" i="26"/>
  <c r="H98" i="26" s="1"/>
  <c r="J98" i="26"/>
  <c r="M97" i="26"/>
  <c r="M100" i="26" s="1"/>
  <c r="I97" i="26"/>
  <c r="M95" i="26"/>
  <c r="K95" i="26"/>
  <c r="J95" i="26"/>
  <c r="I95" i="26"/>
  <c r="M94" i="26"/>
  <c r="K94" i="26"/>
  <c r="J94" i="26"/>
  <c r="I94" i="26"/>
  <c r="H94" i="26"/>
  <c r="L94" i="26" s="1"/>
  <c r="M93" i="26"/>
  <c r="I93" i="26"/>
  <c r="M92" i="26"/>
  <c r="O91" i="26"/>
  <c r="N91" i="26" s="1"/>
  <c r="M91" i="26"/>
  <c r="L91" i="26"/>
  <c r="M90" i="26"/>
  <c r="H90" i="26"/>
  <c r="M89" i="26"/>
  <c r="H89" i="26"/>
  <c r="M88" i="26"/>
  <c r="H88" i="26"/>
  <c r="M87" i="26"/>
  <c r="H87" i="26"/>
  <c r="M86" i="26"/>
  <c r="N118" i="26" l="1"/>
  <c r="J99" i="26"/>
  <c r="I99" i="26"/>
  <c r="J87" i="26"/>
  <c r="J88" i="26"/>
  <c r="H93" i="26"/>
  <c r="L95" i="26"/>
  <c r="N95" i="26" s="1"/>
  <c r="H102" i="26"/>
  <c r="I108" i="26"/>
  <c r="I130" i="26"/>
  <c r="H133" i="26"/>
  <c r="H135" i="26"/>
  <c r="H136" i="26"/>
  <c r="L139" i="26"/>
  <c r="I102" i="26"/>
  <c r="L109" i="26"/>
  <c r="L111" i="26"/>
  <c r="H92" i="26"/>
  <c r="H97" i="26"/>
  <c r="H100" i="26" s="1"/>
  <c r="I87" i="26"/>
  <c r="I88" i="26"/>
  <c r="J108" i="26"/>
  <c r="I113" i="26"/>
  <c r="H113" i="26" s="1"/>
  <c r="L112" i="26"/>
  <c r="N112" i="26" s="1"/>
  <c r="O105" i="26"/>
  <c r="N105" i="26"/>
  <c r="N107" i="26"/>
  <c r="O107" i="26"/>
  <c r="O109" i="26"/>
  <c r="N109" i="26"/>
  <c r="O111" i="26"/>
  <c r="N111" i="26"/>
  <c r="L113" i="26"/>
  <c r="H116" i="26"/>
  <c r="O139" i="26"/>
  <c r="N139" i="26"/>
  <c r="L135" i="26"/>
  <c r="L104" i="26"/>
  <c r="L114" i="26"/>
  <c r="K132" i="26"/>
  <c r="K89" i="26"/>
  <c r="J89" i="26" s="1"/>
  <c r="K131" i="26"/>
  <c r="J131" i="26" s="1"/>
  <c r="J145" i="26" s="1"/>
  <c r="J132" i="26"/>
  <c r="I89" i="26"/>
  <c r="I90" i="26"/>
  <c r="J92" i="26"/>
  <c r="O95" i="26"/>
  <c r="J97" i="26"/>
  <c r="K98" i="26"/>
  <c r="L98" i="26" s="1"/>
  <c r="H110" i="26"/>
  <c r="O112" i="26"/>
  <c r="I115" i="26"/>
  <c r="H145" i="26"/>
  <c r="I131" i="26"/>
  <c r="I132" i="26"/>
  <c r="L132" i="26" s="1"/>
  <c r="M145" i="26"/>
  <c r="J90" i="26"/>
  <c r="L110" i="26"/>
  <c r="O110" i="26" s="1"/>
  <c r="J115" i="26"/>
  <c r="I92" i="26"/>
  <c r="N94" i="26"/>
  <c r="I134" i="26"/>
  <c r="M84" i="26"/>
  <c r="I84" i="26"/>
  <c r="M82" i="26"/>
  <c r="N81" i="26"/>
  <c r="M81" i="26"/>
  <c r="M80" i="26"/>
  <c r="H80" i="26"/>
  <c r="I80" i="26"/>
  <c r="M79" i="26"/>
  <c r="M77" i="26"/>
  <c r="K77" i="26"/>
  <c r="J77" i="26"/>
  <c r="I77" i="26"/>
  <c r="H77" i="26"/>
  <c r="M76" i="26"/>
  <c r="K76" i="26"/>
  <c r="M75" i="26"/>
  <c r="O75" i="26" s="1"/>
  <c r="N75" i="26" s="1"/>
  <c r="L75" i="26"/>
  <c r="M74" i="26"/>
  <c r="K74" i="26"/>
  <c r="L74" i="26" s="1"/>
  <c r="N74" i="26" s="1"/>
  <c r="I74" i="26"/>
  <c r="M73" i="26"/>
  <c r="K73" i="26"/>
  <c r="I73" i="26"/>
  <c r="M72" i="26"/>
  <c r="K72" i="26"/>
  <c r="I72" i="26"/>
  <c r="M71" i="26"/>
  <c r="K71" i="26"/>
  <c r="I71" i="26"/>
  <c r="L71" i="26"/>
  <c r="O71" i="26" s="1"/>
  <c r="M70" i="26"/>
  <c r="J70" i="26"/>
  <c r="M69" i="26"/>
  <c r="H69" i="26"/>
  <c r="M68" i="26"/>
  <c r="L68" i="26"/>
  <c r="N68" i="26" s="1"/>
  <c r="M67" i="26"/>
  <c r="H67" i="26"/>
  <c r="M66" i="26"/>
  <c r="H66" i="26"/>
  <c r="M65" i="26"/>
  <c r="H65" i="26"/>
  <c r="M64" i="26"/>
  <c r="H64" i="26"/>
  <c r="I64" i="26"/>
  <c r="M63" i="26"/>
  <c r="H63" i="26"/>
  <c r="I63" i="26"/>
  <c r="M60" i="26"/>
  <c r="I60" i="26"/>
  <c r="M59" i="26"/>
  <c r="L59" i="26"/>
  <c r="M58" i="26"/>
  <c r="J58" i="26"/>
  <c r="M57" i="26"/>
  <c r="J57" i="26"/>
  <c r="I57" i="26"/>
  <c r="H57" i="26"/>
  <c r="M56" i="26"/>
  <c r="H56" i="26"/>
  <c r="M55" i="26"/>
  <c r="M61" i="26" s="1"/>
  <c r="I55" i="26"/>
  <c r="H55" i="26"/>
  <c r="M53" i="26"/>
  <c r="I53" i="26"/>
  <c r="H53" i="26"/>
  <c r="J53" i="26"/>
  <c r="M52" i="26"/>
  <c r="O52" i="26" s="1"/>
  <c r="N52" i="26" s="1"/>
  <c r="L52" i="26"/>
  <c r="M51" i="26"/>
  <c r="I51" i="26"/>
  <c r="H51" i="26"/>
  <c r="M50" i="26"/>
  <c r="H50" i="26"/>
  <c r="I50" i="26"/>
  <c r="M49" i="26"/>
  <c r="I49" i="26"/>
  <c r="M48" i="26"/>
  <c r="K48" i="26"/>
  <c r="M46" i="26"/>
  <c r="I46" i="26"/>
  <c r="M45" i="26"/>
  <c r="L45" i="26"/>
  <c r="M44" i="26"/>
  <c r="J44" i="26"/>
  <c r="M43" i="26"/>
  <c r="K43" i="26"/>
  <c r="J43" i="26" s="1"/>
  <c r="M42" i="26"/>
  <c r="I42" i="26"/>
  <c r="M41" i="26"/>
  <c r="I41" i="26"/>
  <c r="H41" i="26" s="1"/>
  <c r="M40" i="26"/>
  <c r="H40" i="26"/>
  <c r="M38" i="26"/>
  <c r="M37" i="26"/>
  <c r="L37" i="26"/>
  <c r="M36" i="26"/>
  <c r="J36" i="26"/>
  <c r="M35" i="26"/>
  <c r="J35" i="26"/>
  <c r="M34" i="26"/>
  <c r="L34" i="26" s="1"/>
  <c r="O34" i="26" s="1"/>
  <c r="J34" i="26"/>
  <c r="M33" i="26"/>
  <c r="L33" i="26" s="1"/>
  <c r="O33" i="26" s="1"/>
  <c r="N33" i="26" s="1"/>
  <c r="J33" i="26"/>
  <c r="M32" i="26"/>
  <c r="I32" i="26"/>
  <c r="H32" i="26" s="1"/>
  <c r="M31" i="26"/>
  <c r="H31" i="26"/>
  <c r="I31" i="26"/>
  <c r="M30" i="26"/>
  <c r="M28" i="26"/>
  <c r="I28" i="26"/>
  <c r="M27" i="26"/>
  <c r="L27" i="26"/>
  <c r="N27" i="26" s="1"/>
  <c r="M26" i="26"/>
  <c r="H26" i="26"/>
  <c r="K25" i="1"/>
  <c r="M25" i="26"/>
  <c r="H25" i="26"/>
  <c r="M24" i="26"/>
  <c r="I24" i="26"/>
  <c r="M23" i="26"/>
  <c r="I23" i="26"/>
  <c r="M22" i="26"/>
  <c r="I22" i="26"/>
  <c r="K22" i="1"/>
  <c r="M21" i="26"/>
  <c r="I21" i="26"/>
  <c r="M19" i="26"/>
  <c r="I19" i="26"/>
  <c r="K19" i="26"/>
  <c r="M18" i="26"/>
  <c r="H18" i="26"/>
  <c r="M17" i="26"/>
  <c r="M16" i="26"/>
  <c r="M15" i="26"/>
  <c r="J15" i="26"/>
  <c r="H15" i="26"/>
  <c r="I14" i="26"/>
  <c r="H14" i="26" s="1"/>
  <c r="M13" i="26"/>
  <c r="H13" i="26"/>
  <c r="M12" i="26"/>
  <c r="I12" i="26"/>
  <c r="H12" i="26" s="1"/>
  <c r="K10" i="1"/>
  <c r="M11" i="26"/>
  <c r="I11" i="26"/>
  <c r="H11" i="26" s="1"/>
  <c r="K9" i="1"/>
  <c r="M10" i="26"/>
  <c r="H10" i="26"/>
  <c r="I10" i="26"/>
  <c r="K8" i="1"/>
  <c r="M8" i="26"/>
  <c r="J8" i="26"/>
  <c r="H8" i="26"/>
  <c r="K7" i="1"/>
  <c r="M7" i="26"/>
  <c r="H7" i="26"/>
  <c r="K6" i="1"/>
  <c r="M6" i="26"/>
  <c r="H6" i="26"/>
  <c r="K163" i="1"/>
  <c r="E163" i="1"/>
  <c r="F163" i="1" s="1"/>
  <c r="K162" i="1"/>
  <c r="E162" i="1"/>
  <c r="H162" i="1" s="1"/>
  <c r="K161" i="1"/>
  <c r="E161" i="1"/>
  <c r="G161" i="1" s="1"/>
  <c r="N160" i="1"/>
  <c r="K160" i="1"/>
  <c r="E160" i="1"/>
  <c r="G160" i="1" s="1"/>
  <c r="I159" i="1"/>
  <c r="H159" i="1"/>
  <c r="G159" i="1"/>
  <c r="F159" i="1"/>
  <c r="N158" i="1"/>
  <c r="K158" i="1"/>
  <c r="J100" i="26" l="1"/>
  <c r="I100" i="26" s="1"/>
  <c r="O37" i="26"/>
  <c r="N37" i="26" s="1"/>
  <c r="I56" i="26"/>
  <c r="K66" i="26"/>
  <c r="J66" i="26" s="1"/>
  <c r="L77" i="26"/>
  <c r="I145" i="26"/>
  <c r="J86" i="26"/>
  <c r="O27" i="26"/>
  <c r="H28" i="26"/>
  <c r="I30" i="26"/>
  <c r="H30" i="26" s="1"/>
  <c r="H35" i="26"/>
  <c r="H38" i="26"/>
  <c r="H46" i="26"/>
  <c r="I48" i="26"/>
  <c r="K56" i="26"/>
  <c r="J56" i="26" s="1"/>
  <c r="H58" i="26"/>
  <c r="H60" i="26"/>
  <c r="I7" i="26"/>
  <c r="J14" i="26"/>
  <c r="L14" i="26" s="1"/>
  <c r="J19" i="26"/>
  <c r="H21" i="26"/>
  <c r="H22" i="26"/>
  <c r="H23" i="26"/>
  <c r="H24" i="26"/>
  <c r="J30" i="26"/>
  <c r="I35" i="26"/>
  <c r="I36" i="26"/>
  <c r="H36" i="26" s="1"/>
  <c r="I38" i="26"/>
  <c r="H43" i="26"/>
  <c r="H44" i="26"/>
  <c r="J48" i="26"/>
  <c r="H49" i="26"/>
  <c r="I58" i="26"/>
  <c r="I69" i="26"/>
  <c r="H70" i="26"/>
  <c r="I76" i="26"/>
  <c r="H79" i="26"/>
  <c r="K7" i="26"/>
  <c r="J7" i="26" s="1"/>
  <c r="L7" i="26" s="1"/>
  <c r="I8" i="26"/>
  <c r="L9" i="26"/>
  <c r="N9" i="26" s="1"/>
  <c r="K14" i="26"/>
  <c r="I15" i="26"/>
  <c r="M39" i="26"/>
  <c r="N34" i="26"/>
  <c r="H42" i="26"/>
  <c r="H47" i="26" s="1"/>
  <c r="I43" i="26"/>
  <c r="I44" i="26"/>
  <c r="N45" i="26"/>
  <c r="M54" i="26"/>
  <c r="J51" i="26"/>
  <c r="J55" i="26"/>
  <c r="N59" i="26"/>
  <c r="G62" i="26"/>
  <c r="I66" i="26"/>
  <c r="L66" i="26" s="1"/>
  <c r="O66" i="26" s="1"/>
  <c r="N66" i="26" s="1"/>
  <c r="K69" i="26"/>
  <c r="J69" i="26" s="1"/>
  <c r="L69" i="26" s="1"/>
  <c r="L73" i="26"/>
  <c r="H84" i="26"/>
  <c r="N98" i="26"/>
  <c r="O98" i="26"/>
  <c r="O73" i="26"/>
  <c r="N73" i="26"/>
  <c r="H62" i="26"/>
  <c r="O104" i="26"/>
  <c r="N104" i="26"/>
  <c r="O135" i="26"/>
  <c r="N135" i="26"/>
  <c r="N132" i="26"/>
  <c r="O132" i="26"/>
  <c r="K113" i="26"/>
  <c r="N114" i="26"/>
  <c r="O114" i="26"/>
  <c r="M20" i="26"/>
  <c r="K11" i="26"/>
  <c r="J13" i="26"/>
  <c r="K50" i="26"/>
  <c r="K64" i="26"/>
  <c r="J65" i="26"/>
  <c r="L72" i="26"/>
  <c r="O74" i="26"/>
  <c r="L131" i="26"/>
  <c r="I6" i="26"/>
  <c r="J10" i="26"/>
  <c r="J11" i="26"/>
  <c r="L11" i="26" s="1"/>
  <c r="J12" i="26"/>
  <c r="I13" i="26"/>
  <c r="I18" i="26"/>
  <c r="H19" i="26"/>
  <c r="L19" i="26" s="1"/>
  <c r="J21" i="26"/>
  <c r="K22" i="26"/>
  <c r="J22" i="26" s="1"/>
  <c r="J23" i="26"/>
  <c r="K24" i="26"/>
  <c r="J24" i="26" s="1"/>
  <c r="L24" i="26" s="1"/>
  <c r="I25" i="26"/>
  <c r="I26" i="26"/>
  <c r="K28" i="26"/>
  <c r="J28" i="26" s="1"/>
  <c r="L28" i="26" s="1"/>
  <c r="J31" i="26"/>
  <c r="J32" i="26"/>
  <c r="K35" i="26"/>
  <c r="K36" i="26"/>
  <c r="I40" i="26"/>
  <c r="I47" i="26" s="1"/>
  <c r="J41" i="26"/>
  <c r="J42" i="26"/>
  <c r="O45" i="26"/>
  <c r="J46" i="26"/>
  <c r="H48" i="26"/>
  <c r="J49" i="26"/>
  <c r="J50" i="26"/>
  <c r="L50" i="26" s="1"/>
  <c r="O59" i="26"/>
  <c r="K60" i="26"/>
  <c r="J60" i="26" s="1"/>
  <c r="L60" i="26" s="1"/>
  <c r="J63" i="26"/>
  <c r="J64" i="26"/>
  <c r="I65" i="26"/>
  <c r="I67" i="26"/>
  <c r="I70" i="26"/>
  <c r="N71" i="26"/>
  <c r="L76" i="26"/>
  <c r="O76" i="26" s="1"/>
  <c r="N76" i="26" s="1"/>
  <c r="O77" i="26"/>
  <c r="N77" i="26" s="1"/>
  <c r="J79" i="26"/>
  <c r="K80" i="26"/>
  <c r="J80" i="26" s="1"/>
  <c r="L80" i="26" s="1"/>
  <c r="I82" i="26"/>
  <c r="K84" i="26"/>
  <c r="J84" i="26" s="1"/>
  <c r="L84" i="26" s="1"/>
  <c r="K110" i="26"/>
  <c r="J110" i="26" s="1"/>
  <c r="I110" i="26" s="1"/>
  <c r="N110" i="26"/>
  <c r="J6" i="26"/>
  <c r="K10" i="26"/>
  <c r="K12" i="26"/>
  <c r="L12" i="26" s="1"/>
  <c r="J18" i="26"/>
  <c r="J25" i="26"/>
  <c r="K26" i="26"/>
  <c r="J26" i="26" s="1"/>
  <c r="M29" i="26"/>
  <c r="K32" i="26"/>
  <c r="L32" i="26" s="1"/>
  <c r="L35" i="26"/>
  <c r="K40" i="26"/>
  <c r="K41" i="26"/>
  <c r="L41" i="26" s="1"/>
  <c r="J67" i="26"/>
  <c r="J82" i="26"/>
  <c r="K30" i="26"/>
  <c r="K38" i="26"/>
  <c r="J38" i="26" s="1"/>
  <c r="L38" i="26" s="1"/>
  <c r="O68" i="26"/>
  <c r="I79" i="26"/>
  <c r="H82" i="26"/>
  <c r="I86" i="26"/>
  <c r="H86" i="26" s="1"/>
  <c r="L89" i="26"/>
  <c r="J159" i="1"/>
  <c r="L159" i="1" s="1"/>
  <c r="G163" i="1"/>
  <c r="F162" i="1"/>
  <c r="H163" i="1"/>
  <c r="I160" i="1"/>
  <c r="I161" i="1"/>
  <c r="F160" i="1"/>
  <c r="F161" i="1"/>
  <c r="G162" i="1"/>
  <c r="I163" i="1"/>
  <c r="H160" i="1"/>
  <c r="H161" i="1"/>
  <c r="I162" i="1"/>
  <c r="E158" i="1"/>
  <c r="K157" i="1"/>
  <c r="I156" i="1"/>
  <c r="H156" i="1"/>
  <c r="G156" i="1"/>
  <c r="F156" i="1"/>
  <c r="N155" i="1"/>
  <c r="K155" i="1"/>
  <c r="E155" i="1"/>
  <c r="F155" i="1" s="1"/>
  <c r="K152" i="1"/>
  <c r="N151" i="1"/>
  <c r="E151" i="1"/>
  <c r="I151" i="1" s="1"/>
  <c r="K150" i="1"/>
  <c r="E150" i="1"/>
  <c r="H150" i="1" s="1"/>
  <c r="I29" i="26" l="1"/>
  <c r="L64" i="26"/>
  <c r="L56" i="26"/>
  <c r="I61" i="26"/>
  <c r="H61" i="26" s="1"/>
  <c r="L36" i="26"/>
  <c r="H39" i="26"/>
  <c r="L22" i="26"/>
  <c r="H29" i="26"/>
  <c r="I20" i="26"/>
  <c r="L10" i="26"/>
  <c r="O56" i="26"/>
  <c r="N56" i="26"/>
  <c r="L43" i="26"/>
  <c r="L30" i="26"/>
  <c r="N30" i="26" s="1"/>
  <c r="J54" i="26"/>
  <c r="I54" i="26" s="1"/>
  <c r="L26" i="26"/>
  <c r="N26" i="26" s="1"/>
  <c r="N32" i="26"/>
  <c r="O32" i="26"/>
  <c r="N84" i="26"/>
  <c r="O84" i="26"/>
  <c r="L85" i="26"/>
  <c r="N60" i="26"/>
  <c r="O60" i="26"/>
  <c r="O26" i="26"/>
  <c r="N38" i="26"/>
  <c r="O38" i="26"/>
  <c r="N10" i="26"/>
  <c r="O10" i="26"/>
  <c r="O64" i="26"/>
  <c r="N64" i="26"/>
  <c r="O50" i="26"/>
  <c r="N50" i="26"/>
  <c r="O36" i="26"/>
  <c r="N36" i="26"/>
  <c r="N24" i="26"/>
  <c r="O24" i="26"/>
  <c r="N11" i="26"/>
  <c r="O11" i="26"/>
  <c r="O89" i="26"/>
  <c r="N89" i="26"/>
  <c r="O69" i="26"/>
  <c r="N69" i="26"/>
  <c r="H54" i="26"/>
  <c r="L48" i="26"/>
  <c r="J20" i="26"/>
  <c r="O7" i="26"/>
  <c r="N7" i="26"/>
  <c r="N12" i="26"/>
  <c r="O12" i="26"/>
  <c r="O30" i="26"/>
  <c r="O19" i="26"/>
  <c r="N19" i="26"/>
  <c r="O131" i="26"/>
  <c r="N131" i="26"/>
  <c r="N28" i="26"/>
  <c r="O28" i="26"/>
  <c r="N80" i="26"/>
  <c r="O80" i="26"/>
  <c r="O35" i="26"/>
  <c r="N35" i="26"/>
  <c r="O22" i="26"/>
  <c r="N22" i="26"/>
  <c r="H96" i="26"/>
  <c r="O14" i="26"/>
  <c r="N14" i="26"/>
  <c r="J40" i="26"/>
  <c r="L40" i="26" s="1"/>
  <c r="N41" i="26"/>
  <c r="O41" i="26"/>
  <c r="O72" i="26"/>
  <c r="N72" i="26"/>
  <c r="L70" i="26"/>
  <c r="I62" i="26"/>
  <c r="J62" i="26"/>
  <c r="J29" i="26"/>
  <c r="H83" i="26"/>
  <c r="J162" i="1"/>
  <c r="L162" i="1" s="1"/>
  <c r="M162" i="1" s="1"/>
  <c r="J156" i="1"/>
  <c r="L156" i="1" s="1"/>
  <c r="F150" i="1"/>
  <c r="H155" i="1"/>
  <c r="F151" i="1"/>
  <c r="J163" i="1"/>
  <c r="L163" i="1" s="1"/>
  <c r="M163" i="1" s="1"/>
  <c r="G150" i="1"/>
  <c r="G151" i="1"/>
  <c r="J161" i="1"/>
  <c r="L161" i="1" s="1"/>
  <c r="M161" i="1" s="1"/>
  <c r="H151" i="1"/>
  <c r="I155" i="1"/>
  <c r="J160" i="1"/>
  <c r="G155" i="1"/>
  <c r="F158" i="1"/>
  <c r="G158" i="1"/>
  <c r="H158" i="1"/>
  <c r="I158" i="1"/>
  <c r="I150" i="1"/>
  <c r="N149" i="1"/>
  <c r="K149" i="1"/>
  <c r="F149" i="1"/>
  <c r="E149" i="1"/>
  <c r="H149" i="1" s="1"/>
  <c r="O43" i="26" l="1"/>
  <c r="N43" i="26"/>
  <c r="K85" i="26"/>
  <c r="J85" i="26" s="1"/>
  <c r="I85" i="26" s="1"/>
  <c r="H85" i="26" s="1"/>
  <c r="N40" i="26"/>
  <c r="O40" i="26"/>
  <c r="O48" i="26"/>
  <c r="N48" i="26"/>
  <c r="K70" i="26"/>
  <c r="O70" i="26"/>
  <c r="N70" i="26"/>
  <c r="J155" i="1"/>
  <c r="L155" i="1" s="1"/>
  <c r="M155" i="1" s="1"/>
  <c r="J151" i="1"/>
  <c r="Q151" i="1" s="1"/>
  <c r="P151" i="1" s="1"/>
  <c r="J150" i="1"/>
  <c r="L150" i="1" s="1"/>
  <c r="M150" i="1" s="1"/>
  <c r="G149" i="1"/>
  <c r="J158" i="1"/>
  <c r="P160" i="1"/>
  <c r="O160" i="1" s="1"/>
  <c r="Q160" i="1"/>
  <c r="L160" i="1"/>
  <c r="M160" i="1" s="1"/>
  <c r="I149" i="1"/>
  <c r="Q155" i="1" l="1"/>
  <c r="P155" i="1"/>
  <c r="O155" i="1" s="1"/>
  <c r="J149" i="1"/>
  <c r="P149" i="1" s="1"/>
  <c r="O149" i="1" s="1"/>
  <c r="Q158" i="1"/>
  <c r="P158" i="1" s="1"/>
  <c r="O158" i="1" s="1"/>
  <c r="L158" i="1"/>
  <c r="M158" i="1" s="1"/>
  <c r="Q149" i="1" l="1"/>
  <c r="L149" i="1"/>
  <c r="M149" i="1" s="1"/>
  <c r="I137" i="1"/>
  <c r="H137" i="1"/>
  <c r="G137" i="1"/>
  <c r="F137" i="1"/>
  <c r="J136" i="1"/>
  <c r="J137" i="1" l="1"/>
  <c r="P137" i="1" s="1"/>
  <c r="K134" i="1"/>
  <c r="I134" i="1"/>
  <c r="H134" i="1"/>
  <c r="G134" i="1"/>
  <c r="F134" i="1"/>
  <c r="K133" i="1"/>
  <c r="K135" i="1" l="1"/>
  <c r="O137" i="1"/>
  <c r="Q137" i="1"/>
  <c r="J134" i="1"/>
  <c r="I133" i="1"/>
  <c r="I135" i="1" s="1"/>
  <c r="H133" i="1"/>
  <c r="H135" i="1" s="1"/>
  <c r="G133" i="1"/>
  <c r="G135" i="1" s="1"/>
  <c r="F133" i="1"/>
  <c r="M134" i="1" l="1"/>
  <c r="L134" i="1"/>
  <c r="F135" i="1"/>
  <c r="J133" i="1"/>
  <c r="K128" i="1"/>
  <c r="K131" i="1" l="1"/>
  <c r="J135" i="1"/>
  <c r="L133" i="1"/>
  <c r="M133" i="1" s="1"/>
  <c r="N127" i="1" l="1"/>
  <c r="I128" i="1" l="1"/>
  <c r="H128" i="1"/>
  <c r="G128" i="1"/>
  <c r="J128" i="1" l="1"/>
  <c r="K120" i="1"/>
  <c r="I117" i="1"/>
  <c r="I120" i="1" s="1"/>
  <c r="H117" i="1"/>
  <c r="H120" i="1" s="1"/>
  <c r="G117" i="1"/>
  <c r="G120" i="1" s="1"/>
  <c r="F117" i="1"/>
  <c r="F120" i="1" s="1"/>
  <c r="L128" i="1" l="1"/>
  <c r="J117" i="1"/>
  <c r="M128" i="1"/>
  <c r="L117" i="1" l="1"/>
  <c r="J120" i="1"/>
  <c r="M117" i="1"/>
  <c r="F121" i="1" l="1"/>
  <c r="K114" i="1" l="1"/>
  <c r="F112" i="1"/>
  <c r="G112" i="1" s="1"/>
  <c r="P116" i="1" l="1"/>
  <c r="Q116" i="1" s="1"/>
  <c r="L116" i="1"/>
  <c r="M116" i="1" s="1"/>
  <c r="H112" i="1"/>
  <c r="I112" i="1"/>
  <c r="K113" i="1"/>
  <c r="E110" i="1"/>
  <c r="L120" i="1" l="1"/>
  <c r="M120" i="1" s="1"/>
  <c r="J112" i="1"/>
  <c r="I110" i="1"/>
  <c r="G110" i="1"/>
  <c r="H110" i="1"/>
  <c r="J108" i="1"/>
  <c r="N107" i="1"/>
  <c r="J107" i="1"/>
  <c r="J109" i="1" l="1"/>
  <c r="P107" i="1"/>
  <c r="Q107" i="1"/>
  <c r="F110" i="1"/>
  <c r="G102" i="1"/>
  <c r="F102" i="1"/>
  <c r="J102" i="1" l="1"/>
  <c r="J110" i="1"/>
  <c r="K101" i="1"/>
  <c r="K100" i="1"/>
  <c r="K99" i="1"/>
  <c r="I98" i="1"/>
  <c r="H98" i="1"/>
  <c r="G98" i="1"/>
  <c r="F98" i="1"/>
  <c r="I94" i="1"/>
  <c r="H94" i="1"/>
  <c r="G94" i="1"/>
  <c r="F94" i="1"/>
  <c r="N93" i="1"/>
  <c r="N96" i="1" s="1"/>
  <c r="K93" i="1"/>
  <c r="K96" i="1" s="1"/>
  <c r="I93" i="1"/>
  <c r="I97" i="1" s="1"/>
  <c r="H93" i="1"/>
  <c r="G93" i="1"/>
  <c r="F93" i="1"/>
  <c r="F97" i="1" s="1"/>
  <c r="P96" i="1" l="1"/>
  <c r="Q96" i="1" s="1"/>
  <c r="K105" i="1"/>
  <c r="L96" i="1"/>
  <c r="M96" i="1" s="1"/>
  <c r="H97" i="1"/>
  <c r="G97" i="1" s="1"/>
  <c r="J94" i="1"/>
  <c r="J93" i="1"/>
  <c r="O93" i="1"/>
  <c r="J98" i="1"/>
  <c r="I91" i="1"/>
  <c r="H91" i="1"/>
  <c r="G91" i="1"/>
  <c r="F91" i="1"/>
  <c r="K90" i="1"/>
  <c r="E90" i="1"/>
  <c r="I90" i="1" s="1"/>
  <c r="N89" i="1"/>
  <c r="K89" i="1"/>
  <c r="O96" i="1" l="1"/>
  <c r="J91" i="1"/>
  <c r="L93" i="1"/>
  <c r="M93" i="1"/>
  <c r="J97" i="1"/>
  <c r="Q93" i="1"/>
  <c r="P93" i="1"/>
  <c r="O89" i="1"/>
  <c r="F90" i="1"/>
  <c r="G90" i="1"/>
  <c r="H90" i="1"/>
  <c r="K92" i="1"/>
  <c r="J90" i="1" l="1"/>
  <c r="M90" i="1" s="1"/>
  <c r="I85" i="1"/>
  <c r="I86" i="1" s="1"/>
  <c r="G85" i="1"/>
  <c r="G86" i="1" s="1"/>
  <c r="F85" i="1"/>
  <c r="F86" i="1" s="1"/>
  <c r="J83" i="1"/>
  <c r="N82" i="1"/>
  <c r="O82" i="1" s="1"/>
  <c r="I82" i="1"/>
  <c r="G82" i="1"/>
  <c r="F82" i="1"/>
  <c r="I81" i="1"/>
  <c r="G81" i="1"/>
  <c r="F81" i="1"/>
  <c r="N80" i="1"/>
  <c r="I80" i="1"/>
  <c r="G80" i="1"/>
  <c r="F80" i="1"/>
  <c r="K75" i="1"/>
  <c r="F75" i="1"/>
  <c r="F87" i="1" l="1"/>
  <c r="F88" i="1"/>
  <c r="I88" i="1"/>
  <c r="I87" i="1"/>
  <c r="G87" i="1"/>
  <c r="G88" i="1"/>
  <c r="J75" i="1"/>
  <c r="M75" i="1" s="1"/>
  <c r="L90" i="1"/>
  <c r="J81" i="1"/>
  <c r="L81" i="1" s="1"/>
  <c r="M81" i="1" s="1"/>
  <c r="O80" i="1"/>
  <c r="J80" i="1"/>
  <c r="J82" i="1"/>
  <c r="L82" i="1" s="1"/>
  <c r="M82" i="1" s="1"/>
  <c r="J85" i="1"/>
  <c r="E76" i="1"/>
  <c r="K73" i="1"/>
  <c r="N72" i="1"/>
  <c r="K72" i="1"/>
  <c r="J87" i="1" l="1"/>
  <c r="J88" i="1"/>
  <c r="L80" i="1"/>
  <c r="M80" i="1" s="1"/>
  <c r="J86" i="1"/>
  <c r="L75" i="1"/>
  <c r="K78" i="1"/>
  <c r="Q80" i="1"/>
  <c r="P80" i="1"/>
  <c r="P82" i="1"/>
  <c r="Q82" i="1"/>
  <c r="O72" i="1"/>
  <c r="F76" i="1"/>
  <c r="G76" i="1"/>
  <c r="G77" i="1" s="1"/>
  <c r="I76" i="1"/>
  <c r="I77" i="1" s="1"/>
  <c r="H76" i="1"/>
  <c r="H77" i="1" s="1"/>
  <c r="N68" i="1"/>
  <c r="N69" i="1" s="1"/>
  <c r="F67" i="1"/>
  <c r="F77" i="1" l="1"/>
  <c r="L87" i="1"/>
  <c r="M87" i="1" s="1"/>
  <c r="J67" i="1"/>
  <c r="J76" i="1"/>
  <c r="K63" i="1"/>
  <c r="K70" i="1" s="1"/>
  <c r="J77" i="1" l="1"/>
  <c r="E59" i="1"/>
  <c r="G59" i="1" s="1"/>
  <c r="G60" i="1" s="1"/>
  <c r="K58" i="1"/>
  <c r="F58" i="1"/>
  <c r="K57" i="1"/>
  <c r="K56" i="1"/>
  <c r="K61" i="1" l="1"/>
  <c r="J58" i="1"/>
  <c r="M58" i="1" s="1"/>
  <c r="F59" i="1"/>
  <c r="F60" i="1" s="1"/>
  <c r="H59" i="1"/>
  <c r="H60" i="1" s="1"/>
  <c r="I59" i="1"/>
  <c r="I60" i="1" s="1"/>
  <c r="L58" i="1" l="1"/>
  <c r="J59" i="1"/>
  <c r="J60" i="1" s="1"/>
  <c r="F50" i="1"/>
  <c r="I47" i="1"/>
  <c r="H47" i="1"/>
  <c r="G47" i="1"/>
  <c r="F47" i="1"/>
  <c r="J50" i="1" l="1"/>
  <c r="J47" i="1"/>
  <c r="K53" i="1"/>
  <c r="E41" i="1" l="1"/>
  <c r="G41" i="1" s="1"/>
  <c r="G42" i="1" s="1"/>
  <c r="K40" i="1"/>
  <c r="F40" i="1"/>
  <c r="N35" i="1"/>
  <c r="K34" i="1"/>
  <c r="K33" i="1"/>
  <c r="E29" i="1"/>
  <c r="F29" i="1" s="1"/>
  <c r="N28" i="1"/>
  <c r="E28" i="1"/>
  <c r="F28" i="1" s="1"/>
  <c r="J40" i="1" l="1"/>
  <c r="M40" i="1" s="1"/>
  <c r="H28" i="1"/>
  <c r="H29" i="1"/>
  <c r="I28" i="1"/>
  <c r="I29" i="1"/>
  <c r="F41" i="1"/>
  <c r="F42" i="1" s="1"/>
  <c r="G28" i="1"/>
  <c r="I41" i="1"/>
  <c r="G29" i="1"/>
  <c r="E27" i="1"/>
  <c r="I27" i="1" s="1"/>
  <c r="K26" i="1"/>
  <c r="F26" i="1"/>
  <c r="H41" i="1" l="1"/>
  <c r="H42" i="1" s="1"/>
  <c r="I42" i="1"/>
  <c r="I30" i="1"/>
  <c r="J26" i="1"/>
  <c r="L26" i="1" s="1"/>
  <c r="L40" i="1"/>
  <c r="J28" i="1"/>
  <c r="Q28" i="1" s="1"/>
  <c r="F27" i="1"/>
  <c r="F30" i="1" s="1"/>
  <c r="G27" i="1"/>
  <c r="G30" i="1" s="1"/>
  <c r="H27" i="1"/>
  <c r="H30" i="1" s="1"/>
  <c r="J29" i="1"/>
  <c r="E25" i="1"/>
  <c r="H25" i="1" s="1"/>
  <c r="E24" i="1"/>
  <c r="H24" i="1" s="1"/>
  <c r="J41" i="1" l="1"/>
  <c r="J42" i="1" s="1"/>
  <c r="P42" i="1" s="1"/>
  <c r="Q42" i="1" s="1"/>
  <c r="M26" i="1"/>
  <c r="P28" i="1"/>
  <c r="J27" i="1"/>
  <c r="J30" i="1" s="1"/>
  <c r="F25" i="1"/>
  <c r="G24" i="1"/>
  <c r="F24" i="1"/>
  <c r="G25" i="1"/>
  <c r="I25" i="1"/>
  <c r="I24" i="1"/>
  <c r="K23" i="1"/>
  <c r="E23" i="1"/>
  <c r="F23" i="1" s="1"/>
  <c r="E22" i="1"/>
  <c r="F22" i="1" s="1"/>
  <c r="P41" i="1" l="1"/>
  <c r="F31" i="1"/>
  <c r="Q41" i="1"/>
  <c r="J25" i="1"/>
  <c r="M25" i="1" s="1"/>
  <c r="J24" i="1"/>
  <c r="F32" i="1"/>
  <c r="I23" i="1"/>
  <c r="K31" i="1"/>
  <c r="I22" i="1"/>
  <c r="G22" i="1"/>
  <c r="G23" i="1"/>
  <c r="H22" i="1"/>
  <c r="H23" i="1"/>
  <c r="N18" i="1"/>
  <c r="E18" i="1"/>
  <c r="I18" i="1" s="1"/>
  <c r="E17" i="1"/>
  <c r="H17" i="1" s="1"/>
  <c r="E16" i="1"/>
  <c r="I16" i="1" s="1"/>
  <c r="E15" i="1"/>
  <c r="I15" i="1" s="1"/>
  <c r="K14" i="1"/>
  <c r="F14" i="1"/>
  <c r="G14" i="1" s="1"/>
  <c r="H14" i="1" s="1"/>
  <c r="I14" i="1" s="1"/>
  <c r="K13" i="1"/>
  <c r="F13" i="1"/>
  <c r="G13" i="1" s="1"/>
  <c r="H13" i="1" s="1"/>
  <c r="I13" i="1" s="1"/>
  <c r="E12" i="1"/>
  <c r="H12" i="1" s="1"/>
  <c r="E11" i="1"/>
  <c r="G11" i="1" s="1"/>
  <c r="E10" i="1"/>
  <c r="F10" i="1" s="1"/>
  <c r="E9" i="1"/>
  <c r="I9" i="1" s="1"/>
  <c r="E7" i="1"/>
  <c r="I7" i="1" s="1"/>
  <c r="M6" i="1"/>
  <c r="L6" i="1"/>
  <c r="H31" i="1" l="1"/>
  <c r="I31" i="1"/>
  <c r="G32" i="1"/>
  <c r="G31" i="1"/>
  <c r="L25" i="1"/>
  <c r="J14" i="1"/>
  <c r="L14" i="1" s="1"/>
  <c r="K20" i="1"/>
  <c r="H18" i="1"/>
  <c r="J13" i="1"/>
  <c r="L13" i="1" s="1"/>
  <c r="G12" i="1"/>
  <c r="I17" i="1"/>
  <c r="G17" i="1"/>
  <c r="F17" i="1" s="1"/>
  <c r="G18" i="1"/>
  <c r="F16" i="1"/>
  <c r="G9" i="1"/>
  <c r="H15" i="1"/>
  <c r="F18" i="1"/>
  <c r="H16" i="1"/>
  <c r="F9" i="1"/>
  <c r="F12" i="1"/>
  <c r="G15" i="1"/>
  <c r="G16" i="1"/>
  <c r="F15" i="1"/>
  <c r="H9" i="1"/>
  <c r="H7" i="1"/>
  <c r="J23" i="1"/>
  <c r="L23" i="1" s="1"/>
  <c r="G7" i="1"/>
  <c r="F7" i="1"/>
  <c r="F11" i="1"/>
  <c r="I10" i="1"/>
  <c r="I32" i="1"/>
  <c r="H10" i="1"/>
  <c r="I11" i="1"/>
  <c r="G10" i="1"/>
  <c r="H11" i="1"/>
  <c r="I12" i="1"/>
  <c r="H32" i="1"/>
  <c r="J22" i="1"/>
  <c r="J31" i="1" s="1"/>
  <c r="L31" i="1" s="1"/>
  <c r="M14" i="1" l="1"/>
  <c r="J18" i="1"/>
  <c r="Q18" i="1" s="1"/>
  <c r="J12" i="1"/>
  <c r="M12" i="1" s="1"/>
  <c r="J17" i="1"/>
  <c r="M13" i="1"/>
  <c r="I19" i="1"/>
  <c r="H19" i="1"/>
  <c r="M23" i="1"/>
  <c r="F19" i="1"/>
  <c r="G19" i="1"/>
  <c r="J16" i="1"/>
  <c r="Q16" i="1" s="1"/>
  <c r="J15" i="1"/>
  <c r="J9" i="1"/>
  <c r="L9" i="1" s="1"/>
  <c r="J11" i="1"/>
  <c r="L11" i="1" s="1"/>
  <c r="J7" i="1"/>
  <c r="J10" i="1"/>
  <c r="M10" i="1" s="1"/>
  <c r="J32" i="1"/>
  <c r="M22" i="1"/>
  <c r="L22" i="1"/>
  <c r="P18" i="1" l="1"/>
  <c r="L12" i="1"/>
  <c r="J19" i="1"/>
  <c r="P16" i="1"/>
  <c r="M9" i="1"/>
  <c r="M11" i="1"/>
  <c r="L7" i="1"/>
  <c r="M7" i="1"/>
  <c r="L10" i="1"/>
  <c r="M31" i="1"/>
  <c r="N22" i="1"/>
  <c r="N23" i="1"/>
  <c r="P23" i="1" s="1"/>
  <c r="N25" i="1"/>
  <c r="O25" i="1" s="1"/>
  <c r="N9" i="1"/>
  <c r="Q9" i="1" s="1"/>
  <c r="N12" i="1"/>
  <c r="Q12" i="1" s="1"/>
  <c r="N15" i="1"/>
  <c r="N11" i="1"/>
  <c r="P40" i="8"/>
  <c r="Q40" i="8" s="1"/>
  <c r="R40" i="8"/>
  <c r="S40" i="8" s="1"/>
  <c r="F78" i="8"/>
  <c r="F80" i="8" s="1"/>
  <c r="E103" i="1" s="1"/>
  <c r="E8" i="1"/>
  <c r="I8" i="1" s="1"/>
  <c r="N6" i="1"/>
  <c r="Q24" i="1"/>
  <c r="P24" i="1"/>
  <c r="N8" i="1"/>
  <c r="O8" i="1" s="1"/>
  <c r="E37" i="1"/>
  <c r="H37" i="1" s="1"/>
  <c r="J37" i="1" s="1"/>
  <c r="E34" i="1"/>
  <c r="F34" i="1" s="1"/>
  <c r="B37" i="10"/>
  <c r="D37" i="10" s="1"/>
  <c r="E35" i="1" s="1"/>
  <c r="F18" i="8"/>
  <c r="H18" i="8" s="1"/>
  <c r="E38" i="1" s="1"/>
  <c r="E39" i="1"/>
  <c r="F39" i="1" s="1"/>
  <c r="N39" i="1"/>
  <c r="O39" i="1" s="1"/>
  <c r="N36" i="1"/>
  <c r="E40" i="8"/>
  <c r="E45" i="1" s="1"/>
  <c r="G45" i="1" s="1"/>
  <c r="H40" i="8"/>
  <c r="I40" i="8" s="1"/>
  <c r="F40" i="8"/>
  <c r="G40" i="8" s="1"/>
  <c r="E48" i="1" s="1"/>
  <c r="N40" i="8"/>
  <c r="O40" i="8" s="1"/>
  <c r="E49" i="1" s="1"/>
  <c r="N33" i="1"/>
  <c r="N49" i="1"/>
  <c r="N59" i="1"/>
  <c r="P58" i="1"/>
  <c r="O58" i="1"/>
  <c r="Q58" i="1"/>
  <c r="E55" i="1"/>
  <c r="G55" i="1" s="1"/>
  <c r="E56" i="1"/>
  <c r="G56" i="1" s="1"/>
  <c r="E57" i="1"/>
  <c r="F57" i="1" s="1"/>
  <c r="N55" i="1"/>
  <c r="N56" i="1"/>
  <c r="O56" i="1" s="1"/>
  <c r="N57" i="1"/>
  <c r="O57" i="1" s="1"/>
  <c r="N73" i="1"/>
  <c r="N74" i="1"/>
  <c r="O74" i="1" s="1"/>
  <c r="E72" i="1"/>
  <c r="E73" i="1"/>
  <c r="F73" i="1" s="1"/>
  <c r="E74" i="1"/>
  <c r="G74" i="1" s="1"/>
  <c r="N64" i="1"/>
  <c r="N90" i="1"/>
  <c r="N91" i="1"/>
  <c r="N63" i="1"/>
  <c r="N65" i="1"/>
  <c r="N81" i="1"/>
  <c r="N83" i="1"/>
  <c r="P83" i="1" s="1"/>
  <c r="N84" i="1"/>
  <c r="O84" i="1" s="1"/>
  <c r="N101" i="1"/>
  <c r="O101" i="1" s="1"/>
  <c r="E99" i="1"/>
  <c r="D80" i="8"/>
  <c r="E100" i="1" s="1"/>
  <c r="E80" i="8"/>
  <c r="E101" i="1" s="1"/>
  <c r="N94" i="1"/>
  <c r="N97" i="1" s="1"/>
  <c r="E111" i="1"/>
  <c r="I111" i="1" s="1"/>
  <c r="I113" i="1" s="1"/>
  <c r="N108" i="1"/>
  <c r="N109" i="1" s="1"/>
  <c r="K115" i="1"/>
  <c r="H121" i="1"/>
  <c r="I121" i="1"/>
  <c r="N111" i="1"/>
  <c r="N117" i="1"/>
  <c r="N128" i="1"/>
  <c r="N131" i="1" s="1"/>
  <c r="N123" i="1"/>
  <c r="N122" i="1"/>
  <c r="N125" i="1" s="1"/>
  <c r="N129" i="1"/>
  <c r="N133" i="1"/>
  <c r="O127" i="1"/>
  <c r="E157" i="1"/>
  <c r="I157" i="1" s="1"/>
  <c r="N153" i="1"/>
  <c r="N154" i="1"/>
  <c r="N152" i="1"/>
  <c r="N157" i="1"/>
  <c r="O157" i="1" s="1"/>
  <c r="N162" i="1"/>
  <c r="P162" i="1" s="1"/>
  <c r="E18" i="8"/>
  <c r="E33" i="1" s="1"/>
  <c r="K40" i="8"/>
  <c r="L40" i="8" l="1"/>
  <c r="N121" i="1"/>
  <c r="N120" i="1"/>
  <c r="P90" i="1"/>
  <c r="N92" i="1"/>
  <c r="N87" i="1"/>
  <c r="N62" i="1"/>
  <c r="N61" i="1"/>
  <c r="O61" i="1" s="1"/>
  <c r="P128" i="1"/>
  <c r="O131" i="1"/>
  <c r="N132" i="1"/>
  <c r="Q6" i="1"/>
  <c r="N130" i="1"/>
  <c r="Q133" i="1"/>
  <c r="N126" i="1"/>
  <c r="N124" i="1"/>
  <c r="O122" i="1"/>
  <c r="O125" i="1"/>
  <c r="P117" i="1"/>
  <c r="Q108" i="1"/>
  <c r="P94" i="1"/>
  <c r="N95" i="1"/>
  <c r="P95" i="1" s="1"/>
  <c r="Q95" i="1" s="1"/>
  <c r="G72" i="1"/>
  <c r="F72" i="1"/>
  <c r="P59" i="1"/>
  <c r="N60" i="1"/>
  <c r="P60" i="1" s="1"/>
  <c r="Q60" i="1" s="1"/>
  <c r="O33" i="1"/>
  <c r="O22" i="1"/>
  <c r="O6" i="1"/>
  <c r="P15" i="1"/>
  <c r="P11" i="1"/>
  <c r="Q11" i="1"/>
  <c r="I21" i="1"/>
  <c r="I20" i="1"/>
  <c r="P25" i="1"/>
  <c r="H39" i="1"/>
  <c r="I39" i="1"/>
  <c r="Q25" i="1"/>
  <c r="O90" i="1"/>
  <c r="H157" i="1"/>
  <c r="I56" i="1"/>
  <c r="Q59" i="1"/>
  <c r="O162" i="1"/>
  <c r="O152" i="1"/>
  <c r="G73" i="1"/>
  <c r="G121" i="1"/>
  <c r="F111" i="1"/>
  <c r="F113" i="1" s="1"/>
  <c r="H73" i="1"/>
  <c r="O12" i="1"/>
  <c r="Q90" i="1"/>
  <c r="P108" i="1"/>
  <c r="L135" i="1"/>
  <c r="M135" i="1" s="1"/>
  <c r="G157" i="1"/>
  <c r="O133" i="1"/>
  <c r="I73" i="1"/>
  <c r="I72" i="1"/>
  <c r="H34" i="1"/>
  <c r="P22" i="1"/>
  <c r="G8" i="1"/>
  <c r="G20" i="1" s="1"/>
  <c r="P9" i="1"/>
  <c r="Q91" i="1"/>
  <c r="I34" i="1"/>
  <c r="Q22" i="1"/>
  <c r="O9" i="1"/>
  <c r="F157" i="1"/>
  <c r="E51" i="1"/>
  <c r="G51" i="1" s="1"/>
  <c r="G52" i="1" s="1"/>
  <c r="H38" i="1"/>
  <c r="F38" i="1"/>
  <c r="I38" i="1"/>
  <c r="G38" i="1"/>
  <c r="F99" i="1"/>
  <c r="G99" i="1"/>
  <c r="H99" i="1"/>
  <c r="I99" i="1"/>
  <c r="G48" i="1"/>
  <c r="F48" i="1"/>
  <c r="I48" i="1"/>
  <c r="H48" i="1"/>
  <c r="G103" i="1"/>
  <c r="G104" i="1" s="1"/>
  <c r="H103" i="1"/>
  <c r="H104" i="1" s="1"/>
  <c r="I103" i="1"/>
  <c r="I104" i="1" s="1"/>
  <c r="F103" i="1"/>
  <c r="F104" i="1" s="1"/>
  <c r="G100" i="1"/>
  <c r="H100" i="1"/>
  <c r="I100" i="1"/>
  <c r="F100" i="1"/>
  <c r="G49" i="1"/>
  <c r="F49" i="1"/>
  <c r="H49" i="1"/>
  <c r="I49" i="1"/>
  <c r="F101" i="1"/>
  <c r="G101" i="1"/>
  <c r="H101" i="1"/>
  <c r="I101" i="1"/>
  <c r="F35" i="1"/>
  <c r="H35" i="1"/>
  <c r="G35" i="1"/>
  <c r="I35" i="1"/>
  <c r="M40" i="8"/>
  <c r="E46" i="1"/>
  <c r="I74" i="1"/>
  <c r="I45" i="1"/>
  <c r="O128" i="1"/>
  <c r="O117" i="1"/>
  <c r="F74" i="1"/>
  <c r="I57" i="1"/>
  <c r="H55" i="1"/>
  <c r="F45" i="1"/>
  <c r="Q23" i="1"/>
  <c r="P133" i="1"/>
  <c r="H111" i="1"/>
  <c r="H113" i="1" s="1"/>
  <c r="P84" i="1"/>
  <c r="H74" i="1"/>
  <c r="H72" i="1"/>
  <c r="G57" i="1"/>
  <c r="G62" i="1" s="1"/>
  <c r="H56" i="1"/>
  <c r="F55" i="1"/>
  <c r="H45" i="1"/>
  <c r="G39" i="1"/>
  <c r="G34" i="1"/>
  <c r="O23" i="1"/>
  <c r="P6" i="1"/>
  <c r="H8" i="1"/>
  <c r="O11" i="1"/>
  <c r="Q15" i="1"/>
  <c r="P12" i="1"/>
  <c r="O81" i="1"/>
  <c r="H57" i="1"/>
  <c r="G111" i="1"/>
  <c r="G113" i="1" s="1"/>
  <c r="F56" i="1"/>
  <c r="Q84" i="1"/>
  <c r="I55" i="1"/>
  <c r="F8" i="1"/>
  <c r="F20" i="1" s="1"/>
  <c r="H33" i="1"/>
  <c r="I33" i="1"/>
  <c r="F33" i="1"/>
  <c r="G33" i="1"/>
  <c r="O73" i="1"/>
  <c r="Q162" i="1"/>
  <c r="Q128" i="1"/>
  <c r="Q117" i="1"/>
  <c r="Q94" i="1"/>
  <c r="O91" i="1"/>
  <c r="P81" i="1"/>
  <c r="P91" i="1"/>
  <c r="Q81" i="1"/>
  <c r="O55" i="1"/>
  <c r="F79" i="1" l="1"/>
  <c r="O120" i="1"/>
  <c r="P120" i="1"/>
  <c r="Q120" i="1" s="1"/>
  <c r="Q109" i="1"/>
  <c r="P109" i="1"/>
  <c r="H106" i="1"/>
  <c r="H105" i="1"/>
  <c r="I105" i="1"/>
  <c r="I106" i="1"/>
  <c r="F105" i="1"/>
  <c r="F106" i="1"/>
  <c r="G106" i="1"/>
  <c r="G105" i="1"/>
  <c r="P97" i="1"/>
  <c r="Q97" i="1"/>
  <c r="O87" i="1"/>
  <c r="P87" i="1"/>
  <c r="Q87" i="1" s="1"/>
  <c r="F78" i="1"/>
  <c r="H79" i="1"/>
  <c r="H78" i="1"/>
  <c r="G79" i="1"/>
  <c r="G78" i="1"/>
  <c r="I79" i="1"/>
  <c r="I78" i="1"/>
  <c r="F43" i="1"/>
  <c r="I61" i="1"/>
  <c r="H61" i="1"/>
  <c r="I43" i="1"/>
  <c r="F61" i="1"/>
  <c r="F62" i="1"/>
  <c r="G43" i="1"/>
  <c r="G61" i="1"/>
  <c r="H21" i="1"/>
  <c r="H20" i="1"/>
  <c r="G21" i="1"/>
  <c r="J39" i="1"/>
  <c r="Q39" i="1" s="1"/>
  <c r="J56" i="1"/>
  <c r="P56" i="1" s="1"/>
  <c r="H51" i="1"/>
  <c r="J73" i="1"/>
  <c r="P73" i="1" s="1"/>
  <c r="J34" i="1"/>
  <c r="I62" i="1"/>
  <c r="I51" i="1"/>
  <c r="F51" i="1"/>
  <c r="F52" i="1" s="1"/>
  <c r="J157" i="1"/>
  <c r="L157" i="1" s="1"/>
  <c r="M157" i="1" s="1"/>
  <c r="J49" i="1"/>
  <c r="P49" i="1" s="1"/>
  <c r="J48" i="1"/>
  <c r="J121" i="1"/>
  <c r="P121" i="1" s="1"/>
  <c r="G44" i="1"/>
  <c r="J99" i="1"/>
  <c r="G46" i="1"/>
  <c r="F46" i="1"/>
  <c r="F53" i="1" s="1"/>
  <c r="I46" i="1"/>
  <c r="I53" i="1" s="1"/>
  <c r="H46" i="1"/>
  <c r="H53" i="1" s="1"/>
  <c r="J55" i="1"/>
  <c r="H62" i="1"/>
  <c r="J35" i="1"/>
  <c r="P35" i="1" s="1"/>
  <c r="J101" i="1"/>
  <c r="I44" i="1"/>
  <c r="J74" i="1"/>
  <c r="J57" i="1"/>
  <c r="J111" i="1"/>
  <c r="J100" i="1"/>
  <c r="J103" i="1"/>
  <c r="J104" i="1" s="1"/>
  <c r="J8" i="1"/>
  <c r="F21" i="1"/>
  <c r="J45" i="1"/>
  <c r="J72" i="1"/>
  <c r="J38" i="1"/>
  <c r="J33" i="1"/>
  <c r="F44" i="1"/>
  <c r="L110" i="1" l="1"/>
  <c r="M110" i="1" s="1"/>
  <c r="J113" i="1"/>
  <c r="J79" i="1"/>
  <c r="Q121" i="1"/>
  <c r="J105" i="1"/>
  <c r="J106" i="1"/>
  <c r="J78" i="1"/>
  <c r="F54" i="1"/>
  <c r="G54" i="1"/>
  <c r="G53" i="1"/>
  <c r="I52" i="1"/>
  <c r="H52" i="1"/>
  <c r="J61" i="1"/>
  <c r="L61" i="1" s="1"/>
  <c r="L56" i="1"/>
  <c r="M73" i="1"/>
  <c r="I54" i="1"/>
  <c r="L73" i="1"/>
  <c r="L39" i="1"/>
  <c r="M39" i="1" s="1"/>
  <c r="Q73" i="1"/>
  <c r="P39" i="1"/>
  <c r="P157" i="1"/>
  <c r="J51" i="1"/>
  <c r="J52" i="1" s="1"/>
  <c r="M56" i="1"/>
  <c r="L8" i="1"/>
  <c r="J20" i="1"/>
  <c r="L20" i="1" s="1"/>
  <c r="M20" i="1" s="1"/>
  <c r="H54" i="1"/>
  <c r="Q157" i="1"/>
  <c r="Q56" i="1"/>
  <c r="Q49" i="1"/>
  <c r="Q35" i="1"/>
  <c r="L55" i="1"/>
  <c r="M55" i="1"/>
  <c r="J62" i="1"/>
  <c r="P62" i="1" s="1"/>
  <c r="P55" i="1"/>
  <c r="Q55" i="1"/>
  <c r="L38" i="1"/>
  <c r="M38" i="1" s="1"/>
  <c r="P111" i="1"/>
  <c r="Q111" i="1"/>
  <c r="L34" i="1"/>
  <c r="L100" i="1"/>
  <c r="M100" i="1" s="1"/>
  <c r="L74" i="1"/>
  <c r="M74" i="1"/>
  <c r="P74" i="1"/>
  <c r="Q74" i="1"/>
  <c r="M72" i="1"/>
  <c r="Q72" i="1"/>
  <c r="P72" i="1"/>
  <c r="L72" i="1"/>
  <c r="P8" i="1"/>
  <c r="J21" i="1"/>
  <c r="M8" i="1"/>
  <c r="Q8" i="1"/>
  <c r="M57" i="1"/>
  <c r="L57" i="1"/>
  <c r="Q57" i="1"/>
  <c r="P57" i="1"/>
  <c r="P101" i="1"/>
  <c r="Q101" i="1"/>
  <c r="L101" i="1"/>
  <c r="M101" i="1" s="1"/>
  <c r="L99" i="1"/>
  <c r="M99" i="1" s="1"/>
  <c r="J46" i="1"/>
  <c r="L45" i="1" s="1"/>
  <c r="M45" i="1" s="1"/>
  <c r="M34" i="1"/>
  <c r="L33" i="1"/>
  <c r="Q33" i="1"/>
  <c r="M33" i="1"/>
  <c r="P33" i="1"/>
  <c r="G32" i="21"/>
  <c r="L105" i="1" l="1"/>
  <c r="M105" i="1" s="1"/>
  <c r="L78" i="1"/>
  <c r="M78" i="1" s="1"/>
  <c r="J53" i="1"/>
  <c r="L53" i="1" s="1"/>
  <c r="P61" i="1"/>
  <c r="Q61" i="1" s="1"/>
  <c r="M61" i="1"/>
  <c r="Q62" i="1"/>
  <c r="J54" i="1"/>
  <c r="M113" i="1"/>
  <c r="L113" i="1"/>
  <c r="M53" i="1" l="1"/>
  <c r="I7" i="18"/>
  <c r="J7" i="18" s="1"/>
  <c r="I11" i="18"/>
  <c r="J11" i="18" s="1"/>
  <c r="G16" i="18"/>
  <c r="J16" i="18" s="1"/>
  <c r="G17" i="18"/>
  <c r="J17" i="18" s="1"/>
  <c r="I20" i="18"/>
  <c r="J20" i="18" s="1"/>
  <c r="G29" i="18"/>
  <c r="J29" i="18" s="1"/>
  <c r="I30" i="18"/>
  <c r="I32" i="18"/>
  <c r="J32" i="18" s="1"/>
  <c r="L32" i="18" s="1"/>
  <c r="G42" i="18"/>
  <c r="J42" i="18" s="1"/>
  <c r="I47" i="18"/>
  <c r="J47" i="18" s="1"/>
  <c r="G66" i="18"/>
  <c r="J66" i="18" s="1"/>
  <c r="I83" i="18"/>
  <c r="J83" i="18" s="1"/>
  <c r="J77" i="18" s="1"/>
  <c r="I74" i="18"/>
  <c r="J74" i="18" s="1"/>
  <c r="G76" i="18"/>
  <c r="J76" i="18" s="1"/>
  <c r="G101" i="18"/>
  <c r="J101" i="18" s="1"/>
  <c r="I106" i="18"/>
  <c r="J106" i="18" s="1"/>
  <c r="I111" i="18"/>
  <c r="I112" i="18" s="1"/>
  <c r="I127" i="18"/>
  <c r="J127" i="18" s="1"/>
  <c r="I143" i="18"/>
  <c r="J143" i="18" s="1"/>
  <c r="I149" i="18"/>
  <c r="J149" i="18" s="1"/>
  <c r="I152" i="18"/>
  <c r="J152" i="18" s="1"/>
  <c r="I154" i="18"/>
  <c r="J154" i="18" s="1"/>
  <c r="I156" i="18"/>
  <c r="J156" i="18" s="1"/>
  <c r="F14" i="18"/>
  <c r="J14" i="18" s="1"/>
  <c r="L14" i="18" s="1"/>
  <c r="F15" i="18"/>
  <c r="J15" i="18" s="1"/>
  <c r="K93" i="18"/>
  <c r="L93" i="18" s="1"/>
  <c r="K112" i="18"/>
  <c r="H128" i="18"/>
  <c r="H112" i="18"/>
  <c r="F22" i="18" l="1"/>
  <c r="J69" i="18"/>
  <c r="J85" i="18" s="1"/>
  <c r="I128" i="18"/>
  <c r="I22" i="18"/>
  <c r="J111" i="18"/>
  <c r="L111" i="18" s="1"/>
  <c r="I69" i="18"/>
  <c r="I85" i="18" s="1"/>
  <c r="N14" i="1"/>
  <c r="P14" i="1" s="1"/>
  <c r="L17" i="18"/>
  <c r="G33" i="18"/>
  <c r="N159" i="1"/>
  <c r="Q159" i="1" s="1"/>
  <c r="L152" i="18"/>
  <c r="N161" i="1"/>
  <c r="Q161" i="1" s="1"/>
  <c r="M154" i="18"/>
  <c r="L154" i="18"/>
  <c r="N134" i="1"/>
  <c r="N135" i="1" s="1"/>
  <c r="L127" i="18"/>
  <c r="M127" i="18"/>
  <c r="J128" i="18"/>
  <c r="N7" i="1"/>
  <c r="M7" i="18"/>
  <c r="L7" i="18"/>
  <c r="G69" i="18"/>
  <c r="G85" i="18" s="1"/>
  <c r="G68" i="18"/>
  <c r="I33" i="18"/>
  <c r="M112" i="18"/>
  <c r="N163" i="1"/>
  <c r="Q163" i="1" s="1"/>
  <c r="M156" i="18"/>
  <c r="L156" i="18"/>
  <c r="L143" i="18"/>
  <c r="M143" i="18"/>
  <c r="N150" i="1"/>
  <c r="J157" i="18"/>
  <c r="N75" i="1"/>
  <c r="M76" i="18"/>
  <c r="L76" i="18"/>
  <c r="N67" i="1"/>
  <c r="L66" i="18"/>
  <c r="J68" i="18"/>
  <c r="M66" i="18"/>
  <c r="N156" i="1"/>
  <c r="O156" i="1" s="1"/>
  <c r="M149" i="18"/>
  <c r="L149" i="18"/>
  <c r="N102" i="1"/>
  <c r="M101" i="18"/>
  <c r="L101" i="18"/>
  <c r="L20" i="18"/>
  <c r="N17" i="1"/>
  <c r="N19" i="1" s="1"/>
  <c r="M11" i="18"/>
  <c r="L11" i="18"/>
  <c r="N10" i="1"/>
  <c r="O10" i="1" s="1"/>
  <c r="J22" i="18"/>
  <c r="L15" i="18"/>
  <c r="M15" i="18"/>
  <c r="N76" i="1"/>
  <c r="M47" i="18"/>
  <c r="L47" i="18"/>
  <c r="N47" i="1"/>
  <c r="N110" i="1"/>
  <c r="L106" i="18"/>
  <c r="M106" i="18"/>
  <c r="L77" i="18"/>
  <c r="M77" i="18"/>
  <c r="N40" i="1"/>
  <c r="Q40" i="1" s="1"/>
  <c r="M42" i="18"/>
  <c r="L42" i="18"/>
  <c r="M29" i="18"/>
  <c r="N26" i="1"/>
  <c r="N31" i="1" s="1"/>
  <c r="L29" i="18"/>
  <c r="N13" i="1"/>
  <c r="L16" i="18"/>
  <c r="M16" i="18"/>
  <c r="M111" i="18"/>
  <c r="M17" i="18"/>
  <c r="M14" i="18"/>
  <c r="M152" i="18"/>
  <c r="I157" i="18"/>
  <c r="M93" i="18"/>
  <c r="G22" i="18"/>
  <c r="J112" i="18"/>
  <c r="L112" i="18" s="1"/>
  <c r="N85" i="1"/>
  <c r="N29" i="1"/>
  <c r="Q29" i="1" s="1"/>
  <c r="J30" i="18"/>
  <c r="K132" i="18"/>
  <c r="K134" i="18" s="1"/>
  <c r="K160" i="18" s="1"/>
  <c r="N114" i="1" l="1"/>
  <c r="N115" i="1" s="1"/>
  <c r="N20" i="1"/>
  <c r="P20" i="1" s="1"/>
  <c r="N71" i="1"/>
  <c r="N70" i="1"/>
  <c r="N77" i="1"/>
  <c r="P77" i="1" s="1"/>
  <c r="Q77" i="1" s="1"/>
  <c r="N78" i="1"/>
  <c r="N79" i="1"/>
  <c r="P79" i="1" s="1"/>
  <c r="N86" i="1"/>
  <c r="P86" i="1" s="1"/>
  <c r="Q86" i="1" s="1"/>
  <c r="N88" i="1"/>
  <c r="P88" i="1" s="1"/>
  <c r="Q14" i="1"/>
  <c r="O14" i="1"/>
  <c r="P19" i="1"/>
  <c r="Q19" i="1" s="1"/>
  <c r="O134" i="1"/>
  <c r="O7" i="1"/>
  <c r="N21" i="1"/>
  <c r="P110" i="1"/>
  <c r="Q110" i="1"/>
  <c r="P85" i="1"/>
  <c r="O75" i="1"/>
  <c r="Q67" i="1"/>
  <c r="P159" i="1"/>
  <c r="O159" i="1"/>
  <c r="Q75" i="1"/>
  <c r="P75" i="1"/>
  <c r="P161" i="1"/>
  <c r="L128" i="18"/>
  <c r="M128" i="18"/>
  <c r="Q134" i="1"/>
  <c r="O161" i="1"/>
  <c r="P7" i="1"/>
  <c r="Q7" i="1"/>
  <c r="P135" i="1"/>
  <c r="P134" i="1"/>
  <c r="O63" i="1"/>
  <c r="N164" i="1"/>
  <c r="P29" i="1"/>
  <c r="N27" i="1"/>
  <c r="N30" i="1" s="1"/>
  <c r="P30" i="1" s="1"/>
  <c r="Q30" i="1" s="1"/>
  <c r="L30" i="18"/>
  <c r="M30" i="18"/>
  <c r="O26" i="1"/>
  <c r="Q26" i="1"/>
  <c r="Q76" i="1"/>
  <c r="P76" i="1"/>
  <c r="L22" i="18"/>
  <c r="M22" i="18"/>
  <c r="Q17" i="1"/>
  <c r="P17" i="1"/>
  <c r="L69" i="18"/>
  <c r="M69" i="18"/>
  <c r="P67" i="1"/>
  <c r="M157" i="18"/>
  <c r="L158" i="18"/>
  <c r="L157" i="18"/>
  <c r="O13" i="1"/>
  <c r="Q13" i="1"/>
  <c r="P40" i="1"/>
  <c r="O40" i="1"/>
  <c r="P10" i="1"/>
  <c r="Q10" i="1"/>
  <c r="P102" i="1"/>
  <c r="Q102" i="1"/>
  <c r="L68" i="18"/>
  <c r="M68" i="18"/>
  <c r="O163" i="1"/>
  <c r="P163" i="1"/>
  <c r="Q150" i="1"/>
  <c r="P47" i="1"/>
  <c r="O150" i="1"/>
  <c r="Q47" i="1"/>
  <c r="P150" i="1"/>
  <c r="P156" i="1"/>
  <c r="Q156" i="1"/>
  <c r="Q85" i="1"/>
  <c r="P13" i="1"/>
  <c r="P26" i="1"/>
  <c r="J33" i="18"/>
  <c r="O114" i="1" l="1"/>
  <c r="Q88" i="1"/>
  <c r="N32" i="1"/>
  <c r="P32" i="1" s="1"/>
  <c r="Q79" i="1"/>
  <c r="P21" i="1"/>
  <c r="Q21" i="1" s="1"/>
  <c r="Q135" i="1"/>
  <c r="O78" i="1"/>
  <c r="P78" i="1"/>
  <c r="Q78" i="1" s="1"/>
  <c r="O70" i="1"/>
  <c r="O31" i="1"/>
  <c r="P31" i="1"/>
  <c r="Q31" i="1" s="1"/>
  <c r="Q20" i="1"/>
  <c r="O20" i="1"/>
  <c r="Q27" i="1"/>
  <c r="P27" i="1"/>
  <c r="L33" i="18"/>
  <c r="M33" i="18"/>
  <c r="M85" i="18"/>
  <c r="L85" i="18"/>
  <c r="Q32" i="1" l="1"/>
  <c r="E52" i="18" l="1"/>
  <c r="E45" i="18"/>
  <c r="H38" i="18"/>
  <c r="J38" i="18" s="1"/>
  <c r="I95" i="18"/>
  <c r="H95" i="18"/>
  <c r="G95" i="18"/>
  <c r="F95" i="18"/>
  <c r="E46" i="18"/>
  <c r="E51" i="18"/>
  <c r="E48" i="18"/>
  <c r="E39" i="18"/>
  <c r="I48" i="18" l="1"/>
  <c r="H48" i="18"/>
  <c r="F48" i="18"/>
  <c r="G48" i="18"/>
  <c r="F97" i="18"/>
  <c r="H97" i="18"/>
  <c r="G97" i="18"/>
  <c r="I97" i="18"/>
  <c r="F99" i="18"/>
  <c r="I99" i="18"/>
  <c r="H99" i="18"/>
  <c r="G99" i="18"/>
  <c r="E35" i="18"/>
  <c r="J95" i="18"/>
  <c r="I96" i="18"/>
  <c r="F96" i="18"/>
  <c r="G96" i="18"/>
  <c r="H96" i="18"/>
  <c r="G45" i="18"/>
  <c r="F45" i="18"/>
  <c r="H45" i="18"/>
  <c r="I45" i="18"/>
  <c r="I39" i="18"/>
  <c r="F39" i="18"/>
  <c r="H39" i="18"/>
  <c r="G39" i="18"/>
  <c r="G51" i="18"/>
  <c r="F51" i="18"/>
  <c r="G46" i="18"/>
  <c r="F46" i="18"/>
  <c r="H46" i="18"/>
  <c r="I46" i="18"/>
  <c r="M38" i="18"/>
  <c r="N37" i="1"/>
  <c r="L38" i="18"/>
  <c r="I52" i="18"/>
  <c r="F52" i="18"/>
  <c r="H52" i="18"/>
  <c r="G52" i="18"/>
  <c r="J51" i="18" l="1"/>
  <c r="H53" i="18"/>
  <c r="H94" i="18"/>
  <c r="H105" i="18" s="1"/>
  <c r="G94" i="18"/>
  <c r="G105" i="18" s="1"/>
  <c r="J48" i="18"/>
  <c r="M48" i="18" s="1"/>
  <c r="I137" i="18"/>
  <c r="J39" i="18"/>
  <c r="L39" i="18" s="1"/>
  <c r="F94" i="18"/>
  <c r="F105" i="18" s="1"/>
  <c r="I94" i="18"/>
  <c r="I105" i="18" s="1"/>
  <c r="N48" i="1"/>
  <c r="L48" i="18"/>
  <c r="N98" i="1"/>
  <c r="L95" i="18"/>
  <c r="M95" i="18"/>
  <c r="P37" i="1"/>
  <c r="Q37" i="1"/>
  <c r="H137" i="18"/>
  <c r="G137" i="18" s="1"/>
  <c r="J46" i="18"/>
  <c r="I53" i="18"/>
  <c r="J96" i="18"/>
  <c r="J99" i="18"/>
  <c r="N103" i="1" s="1"/>
  <c r="J97" i="18"/>
  <c r="N50" i="1"/>
  <c r="M51" i="18"/>
  <c r="L51" i="18"/>
  <c r="J45" i="18"/>
  <c r="N45" i="1" s="1"/>
  <c r="F53" i="18"/>
  <c r="F137" i="18"/>
  <c r="J52" i="18"/>
  <c r="I35" i="18"/>
  <c r="I44" i="18" s="1"/>
  <c r="H35" i="18"/>
  <c r="H44" i="18" s="1"/>
  <c r="F35" i="18"/>
  <c r="G35" i="18"/>
  <c r="G44" i="18" s="1"/>
  <c r="G53" i="18"/>
  <c r="N38" i="1" l="1"/>
  <c r="M39" i="18"/>
  <c r="J94" i="18"/>
  <c r="L94" i="18" s="1"/>
  <c r="Q50" i="1"/>
  <c r="P50" i="1"/>
  <c r="P48" i="1"/>
  <c r="Q48" i="1"/>
  <c r="L96" i="18"/>
  <c r="M96" i="18"/>
  <c r="N99" i="1"/>
  <c r="N104" i="1"/>
  <c r="P104" i="1" s="1"/>
  <c r="Q104" i="1" s="1"/>
  <c r="P103" i="1"/>
  <c r="Q103" i="1"/>
  <c r="L45" i="18"/>
  <c r="M45" i="18"/>
  <c r="J53" i="18"/>
  <c r="L97" i="18"/>
  <c r="N100" i="1"/>
  <c r="M97" i="18"/>
  <c r="N46" i="1"/>
  <c r="N53" i="1" s="1"/>
  <c r="M46" i="18"/>
  <c r="L46" i="18"/>
  <c r="O38" i="1"/>
  <c r="P38" i="1"/>
  <c r="Q38" i="1"/>
  <c r="J35" i="18"/>
  <c r="F44" i="18"/>
  <c r="N51" i="1"/>
  <c r="J137" i="18"/>
  <c r="Q98" i="1"/>
  <c r="P98" i="1"/>
  <c r="O98" i="1" s="1"/>
  <c r="J105" i="18" l="1"/>
  <c r="L105" i="18" s="1"/>
  <c r="N105" i="1"/>
  <c r="P105" i="1" s="1"/>
  <c r="Q105" i="1" s="1"/>
  <c r="N52" i="1"/>
  <c r="P51" i="1"/>
  <c r="Q51" i="1"/>
  <c r="P46" i="1"/>
  <c r="Q46" i="1"/>
  <c r="L53" i="18"/>
  <c r="M53" i="18"/>
  <c r="N54" i="1"/>
  <c r="Q45" i="1"/>
  <c r="O45" i="1"/>
  <c r="P45" i="1"/>
  <c r="Q99" i="1"/>
  <c r="P99" i="1"/>
  <c r="O99" i="1"/>
  <c r="M105" i="18"/>
  <c r="L35" i="18"/>
  <c r="J44" i="18"/>
  <c r="N34" i="1"/>
  <c r="M35" i="18"/>
  <c r="O100" i="1"/>
  <c r="P100" i="1"/>
  <c r="Q100" i="1"/>
  <c r="N106" i="1"/>
  <c r="P106" i="1" s="1"/>
  <c r="Q106" i="1" s="1"/>
  <c r="N43" i="1" l="1"/>
  <c r="P52" i="1"/>
  <c r="Q52" i="1" s="1"/>
  <c r="N143" i="1"/>
  <c r="M44" i="18"/>
  <c r="L44" i="18"/>
  <c r="P53" i="1"/>
  <c r="Q53" i="1" s="1"/>
  <c r="O53" i="1"/>
  <c r="N44" i="1"/>
  <c r="P34" i="1"/>
  <c r="O34" i="1"/>
  <c r="Q34" i="1"/>
  <c r="Q54" i="1"/>
  <c r="P54" i="1"/>
  <c r="M85" i="26" l="1"/>
  <c r="O85" i="26"/>
  <c r="N85" i="26"/>
  <c r="K49" i="26"/>
  <c r="L49" i="26" s="1"/>
  <c r="M47" i="26"/>
  <c r="M62" i="26"/>
  <c r="M78" i="26" s="1"/>
  <c r="M120" i="26" s="1"/>
  <c r="M96" i="26"/>
  <c r="M103" i="26"/>
  <c r="M108" i="26"/>
  <c r="M113" i="26"/>
  <c r="M116" i="26"/>
  <c r="M83" i="26"/>
  <c r="K82" i="26"/>
  <c r="L82" i="26"/>
  <c r="N82" i="26" s="1"/>
  <c r="K31" i="26"/>
  <c r="L31" i="26"/>
  <c r="N31" i="26" s="1"/>
  <c r="K63" i="26"/>
  <c r="L63" i="26"/>
  <c r="N63" i="26" s="1"/>
  <c r="K79" i="26"/>
  <c r="K83" i="26" s="1"/>
  <c r="L79" i="26"/>
  <c r="O79" i="26" s="1"/>
  <c r="K87" i="26"/>
  <c r="K88" i="26"/>
  <c r="K90" i="26"/>
  <c r="K92" i="26"/>
  <c r="L92" i="26" s="1"/>
  <c r="K42" i="26"/>
  <c r="K44" i="26"/>
  <c r="L44" i="26" s="1"/>
  <c r="K46" i="26"/>
  <c r="L46" i="26" s="1"/>
  <c r="J47" i="26"/>
  <c r="L42" i="26"/>
  <c r="K67" i="26"/>
  <c r="L67" i="26"/>
  <c r="I39" i="26"/>
  <c r="I78" i="26"/>
  <c r="I83" i="26"/>
  <c r="I96" i="26"/>
  <c r="I103" i="26"/>
  <c r="I116" i="26"/>
  <c r="K18" i="26"/>
  <c r="L18" i="26"/>
  <c r="K13" i="26"/>
  <c r="L13" i="26" s="1"/>
  <c r="K65" i="26"/>
  <c r="L65" i="26"/>
  <c r="O65" i="26" s="1"/>
  <c r="K134" i="26"/>
  <c r="L134" i="26" s="1"/>
  <c r="K57" i="26"/>
  <c r="L57" i="26" s="1"/>
  <c r="K21" i="26"/>
  <c r="L21" i="26" s="1"/>
  <c r="K25" i="26"/>
  <c r="L25" i="26" s="1"/>
  <c r="K51" i="26"/>
  <c r="L51" i="26" s="1"/>
  <c r="K8" i="26"/>
  <c r="L8" i="26" s="1"/>
  <c r="H17" i="26"/>
  <c r="L17" i="26"/>
  <c r="N17" i="26" s="1"/>
  <c r="K58" i="26"/>
  <c r="L58" i="26" s="1"/>
  <c r="L90" i="26"/>
  <c r="O90" i="26" s="1"/>
  <c r="K55" i="26"/>
  <c r="L55" i="26"/>
  <c r="O55" i="26" s="1"/>
  <c r="K15" i="26"/>
  <c r="L15" i="26"/>
  <c r="O15" i="26" s="1"/>
  <c r="K53" i="26"/>
  <c r="K23" i="26"/>
  <c r="L23" i="26" s="1"/>
  <c r="N113" i="26"/>
  <c r="O113" i="26"/>
  <c r="H16" i="26"/>
  <c r="H20" i="26" s="1"/>
  <c r="L16" i="26"/>
  <c r="N16" i="26" s="1"/>
  <c r="L88" i="26"/>
  <c r="N88" i="26" s="1"/>
  <c r="N15" i="26"/>
  <c r="K133" i="26"/>
  <c r="L133" i="26"/>
  <c r="N133" i="26" s="1"/>
  <c r="K93" i="26"/>
  <c r="J93" i="26"/>
  <c r="L93" i="26" s="1"/>
  <c r="N93" i="26" s="1"/>
  <c r="K6" i="26"/>
  <c r="O18" i="26"/>
  <c r="N18" i="26"/>
  <c r="O67" i="26"/>
  <c r="N67" i="26"/>
  <c r="K137" i="26"/>
  <c r="L137" i="26"/>
  <c r="L87" i="26"/>
  <c r="N87" i="26" s="1"/>
  <c r="N55" i="26"/>
  <c r="K97" i="26"/>
  <c r="L97" i="26" s="1"/>
  <c r="O97" i="26" s="1"/>
  <c r="J61" i="26"/>
  <c r="N65" i="26"/>
  <c r="L106" i="26"/>
  <c r="N106" i="26" s="1"/>
  <c r="L108" i="26"/>
  <c r="K136" i="26"/>
  <c r="L136" i="26" s="1"/>
  <c r="O17" i="26"/>
  <c r="K29" i="26"/>
  <c r="K39" i="26"/>
  <c r="J39" i="26"/>
  <c r="O42" i="26"/>
  <c r="L62" i="26"/>
  <c r="N62" i="26" s="1"/>
  <c r="K62" i="26"/>
  <c r="K78" i="26" s="1"/>
  <c r="O63" i="26"/>
  <c r="J78" i="26"/>
  <c r="H78" i="26"/>
  <c r="O82" i="26"/>
  <c r="J83" i="26"/>
  <c r="K138" i="26"/>
  <c r="L138" i="26" s="1"/>
  <c r="K140" i="26"/>
  <c r="L140" i="26"/>
  <c r="K102" i="26"/>
  <c r="K103" i="26" s="1"/>
  <c r="K115" i="26"/>
  <c r="L115" i="26" s="1"/>
  <c r="K116" i="26"/>
  <c r="J116" i="26"/>
  <c r="K142" i="26"/>
  <c r="L142" i="26"/>
  <c r="O87" i="26"/>
  <c r="H103" i="26"/>
  <c r="N119" i="26"/>
  <c r="O133" i="26"/>
  <c r="K141" i="26"/>
  <c r="L141" i="26"/>
  <c r="K144" i="26"/>
  <c r="L144" i="26"/>
  <c r="O88" i="26"/>
  <c r="N90" i="26"/>
  <c r="J96" i="26"/>
  <c r="J103" i="26"/>
  <c r="K108" i="26"/>
  <c r="N137" i="26"/>
  <c r="O137" i="26"/>
  <c r="K130" i="26"/>
  <c r="K145" i="26" s="1"/>
  <c r="O142" i="26"/>
  <c r="N142" i="26"/>
  <c r="O144" i="26"/>
  <c r="N144" i="26"/>
  <c r="O140" i="26"/>
  <c r="N140" i="26"/>
  <c r="N141" i="26"/>
  <c r="O141" i="26"/>
  <c r="G130" i="1"/>
  <c r="L116" i="26" l="1"/>
  <c r="O115" i="26"/>
  <c r="N115" i="26"/>
  <c r="O108" i="26"/>
  <c r="O23" i="26"/>
  <c r="N23" i="26"/>
  <c r="N46" i="26"/>
  <c r="O46" i="26"/>
  <c r="N51" i="26"/>
  <c r="O51" i="26"/>
  <c r="K54" i="26"/>
  <c r="H120" i="26"/>
  <c r="H148" i="26" s="1"/>
  <c r="L83" i="26"/>
  <c r="N83" i="26" s="1"/>
  <c r="I120" i="26"/>
  <c r="I148" i="26" s="1"/>
  <c r="K86" i="26"/>
  <c r="L86" i="26" s="1"/>
  <c r="L78" i="26"/>
  <c r="O78" i="26" s="1"/>
  <c r="N57" i="26"/>
  <c r="O57" i="26"/>
  <c r="L53" i="26"/>
  <c r="O53" i="26" s="1"/>
  <c r="K47" i="26"/>
  <c r="J120" i="26"/>
  <c r="J148" i="26" s="1"/>
  <c r="L39" i="26"/>
  <c r="N39" i="26" s="1"/>
  <c r="O25" i="26"/>
  <c r="N25" i="26"/>
  <c r="O16" i="26"/>
  <c r="K20" i="26"/>
  <c r="L29" i="26"/>
  <c r="O21" i="26"/>
  <c r="N21" i="26"/>
  <c r="O138" i="26"/>
  <c r="N138" i="26"/>
  <c r="N8" i="26"/>
  <c r="O8" i="26"/>
  <c r="O13" i="26"/>
  <c r="N13" i="26"/>
  <c r="O92" i="26"/>
  <c r="N92" i="26"/>
  <c r="O49" i="26"/>
  <c r="L54" i="26"/>
  <c r="N49" i="26"/>
  <c r="O44" i="26"/>
  <c r="N44" i="26"/>
  <c r="M148" i="26"/>
  <c r="M123" i="26"/>
  <c r="O116" i="26"/>
  <c r="N116" i="26"/>
  <c r="O58" i="26"/>
  <c r="N58" i="26"/>
  <c r="O134" i="26"/>
  <c r="N134" i="26"/>
  <c r="N136" i="26"/>
  <c r="O136" i="26"/>
  <c r="L47" i="26"/>
  <c r="O83" i="26"/>
  <c r="L130" i="26"/>
  <c r="L102" i="26"/>
  <c r="N79" i="26"/>
  <c r="O62" i="26"/>
  <c r="O31" i="26"/>
  <c r="K61" i="26"/>
  <c r="L61" i="26"/>
  <c r="N53" i="26"/>
  <c r="L6" i="26"/>
  <c r="N108" i="26"/>
  <c r="N97" i="26"/>
  <c r="N42" i="26"/>
  <c r="O39" i="26"/>
  <c r="F130" i="1"/>
  <c r="G132" i="1"/>
  <c r="I130" i="1"/>
  <c r="H130" i="1"/>
  <c r="N78" i="26" l="1"/>
  <c r="K96" i="26"/>
  <c r="N54" i="26"/>
  <c r="O54" i="26"/>
  <c r="N102" i="26"/>
  <c r="L103" i="26"/>
  <c r="N103" i="26" s="1"/>
  <c r="O103" i="26"/>
  <c r="O102" i="26"/>
  <c r="L96" i="26"/>
  <c r="N86" i="26"/>
  <c r="N61" i="26"/>
  <c r="O61" i="26"/>
  <c r="O47" i="26"/>
  <c r="N47" i="26"/>
  <c r="O6" i="26"/>
  <c r="L20" i="26"/>
  <c r="N6" i="26"/>
  <c r="L145" i="26"/>
  <c r="N130" i="26"/>
  <c r="O130" i="26"/>
  <c r="O29" i="26"/>
  <c r="N29" i="26"/>
  <c r="I131" i="1"/>
  <c r="H131" i="1"/>
  <c r="G131" i="1"/>
  <c r="J129" i="1"/>
  <c r="J130" i="1" s="1"/>
  <c r="N145" i="26" l="1"/>
  <c r="N146" i="26"/>
  <c r="O145" i="26"/>
  <c r="O96" i="26"/>
  <c r="N96" i="26"/>
  <c r="O20" i="26"/>
  <c r="N20" i="26"/>
  <c r="H132" i="1"/>
  <c r="I132" i="1"/>
  <c r="Q129" i="1"/>
  <c r="P129" i="1"/>
  <c r="F132" i="1"/>
  <c r="F131" i="1"/>
  <c r="J127" i="1"/>
  <c r="M127" i="1" l="1"/>
  <c r="J132" i="1"/>
  <c r="L127" i="1"/>
  <c r="J131" i="1"/>
  <c r="P127" i="1"/>
  <c r="Q127" i="1"/>
  <c r="P132" i="1" l="1"/>
  <c r="L131" i="1"/>
  <c r="M131" i="1" s="1"/>
  <c r="P131" i="1"/>
  <c r="Q131" i="1" s="1"/>
  <c r="Q132" i="1" l="1"/>
  <c r="D8" i="24"/>
  <c r="F20" i="24"/>
  <c r="K20" i="24" s="1"/>
  <c r="J20" i="24"/>
  <c r="I20" i="24"/>
  <c r="H20" i="24"/>
  <c r="C178" i="8"/>
  <c r="E114" i="1" s="1"/>
  <c r="K6" i="5"/>
  <c r="N6" i="5" s="1"/>
  <c r="K7" i="5"/>
  <c r="N7" i="5" s="1"/>
  <c r="C58" i="8"/>
  <c r="C60" i="8" s="1"/>
  <c r="E63" i="1" s="1"/>
  <c r="D58" i="8"/>
  <c r="D60" i="8"/>
  <c r="E64" i="1" s="1"/>
  <c r="E58" i="8"/>
  <c r="E60" i="8" s="1"/>
  <c r="E65" i="1" s="1"/>
  <c r="F58" i="8"/>
  <c r="F60" i="8"/>
  <c r="E66" i="1"/>
  <c r="F66" i="1" s="1"/>
  <c r="I60" i="10"/>
  <c r="G58" i="8"/>
  <c r="G60" i="8" s="1"/>
  <c r="H58" i="8"/>
  <c r="H60" i="8"/>
  <c r="B136" i="17"/>
  <c r="B137" i="17"/>
  <c r="E152" i="1" s="1"/>
  <c r="B4" i="17"/>
  <c r="B5" i="17"/>
  <c r="B8" i="17" s="1"/>
  <c r="B10" i="17" s="1"/>
  <c r="B11" i="17" s="1"/>
  <c r="E153" i="1" s="1"/>
  <c r="B9" i="17"/>
  <c r="B24" i="17"/>
  <c r="B27" i="17" s="1"/>
  <c r="B28" i="17" s="1"/>
  <c r="E154" i="1" s="1"/>
  <c r="F108" i="18"/>
  <c r="H108" i="18" s="1"/>
  <c r="H109" i="18" s="1"/>
  <c r="H132" i="18" s="1"/>
  <c r="H160" i="18" s="1"/>
  <c r="G108" i="18"/>
  <c r="J108" i="18" s="1"/>
  <c r="I108" i="18"/>
  <c r="I109" i="18" s="1"/>
  <c r="I132" i="18" s="1"/>
  <c r="I160" i="18" s="1"/>
  <c r="K99" i="26"/>
  <c r="L99" i="26" s="1"/>
  <c r="J131" i="18"/>
  <c r="L131" i="18" s="1"/>
  <c r="F109" i="18"/>
  <c r="F132" i="18" s="1"/>
  <c r="F160" i="18" s="1"/>
  <c r="G109" i="18"/>
  <c r="G132" i="18" s="1"/>
  <c r="G160" i="18" s="1"/>
  <c r="B117" i="17"/>
  <c r="B118" i="17" s="1"/>
  <c r="K151" i="1"/>
  <c r="L151" i="1" s="1"/>
  <c r="M151" i="1" s="1"/>
  <c r="K153" i="1"/>
  <c r="K154" i="1"/>
  <c r="O154" i="1" s="1"/>
  <c r="K8" i="5"/>
  <c r="H134" i="8"/>
  <c r="H135" i="8"/>
  <c r="D135" i="8"/>
  <c r="F178" i="8"/>
  <c r="E202" i="8"/>
  <c r="F202" i="8"/>
  <c r="B79" i="10"/>
  <c r="B80" i="10" s="1"/>
  <c r="E8" i="24"/>
  <c r="G20" i="24"/>
  <c r="J109" i="18" l="1"/>
  <c r="L109" i="18" s="1"/>
  <c r="L132" i="18" s="1"/>
  <c r="L108" i="18"/>
  <c r="N112" i="1"/>
  <c r="M108" i="18"/>
  <c r="J132" i="18"/>
  <c r="N132" i="18" s="1"/>
  <c r="M109" i="18"/>
  <c r="O99" i="26"/>
  <c r="L100" i="26"/>
  <c r="N100" i="26" s="1"/>
  <c r="N120" i="26" s="1"/>
  <c r="N99" i="26"/>
  <c r="K100" i="26"/>
  <c r="K120" i="26" s="1"/>
  <c r="K148" i="26" s="1"/>
  <c r="G152" i="1"/>
  <c r="H152" i="1"/>
  <c r="I152" i="1"/>
  <c r="F152" i="1"/>
  <c r="J152" i="1" s="1"/>
  <c r="O151" i="1"/>
  <c r="G154" i="1"/>
  <c r="F154" i="1"/>
  <c r="J154" i="1" s="1"/>
  <c r="H154" i="1"/>
  <c r="I154" i="1"/>
  <c r="K164" i="1"/>
  <c r="O164" i="1" s="1"/>
  <c r="G153" i="1"/>
  <c r="G164" i="1" s="1"/>
  <c r="H153" i="1"/>
  <c r="H164" i="1" s="1"/>
  <c r="I153" i="1"/>
  <c r="F153" i="1"/>
  <c r="O153" i="1"/>
  <c r="G123" i="1"/>
  <c r="G124" i="1" s="1"/>
  <c r="F123" i="1"/>
  <c r="F8" i="24"/>
  <c r="K36" i="1"/>
  <c r="E36" i="1"/>
  <c r="H36" i="1" s="1"/>
  <c r="H43" i="1" s="1"/>
  <c r="H44" i="1"/>
  <c r="J36" i="1"/>
  <c r="C179" i="8"/>
  <c r="I114" i="1"/>
  <c r="I115" i="1" s="1"/>
  <c r="G114" i="1"/>
  <c r="G115" i="1" s="1"/>
  <c r="H114" i="1"/>
  <c r="H115" i="1" s="1"/>
  <c r="F114" i="1"/>
  <c r="E68" i="1"/>
  <c r="G68" i="1" s="1"/>
  <c r="G69" i="1" s="1"/>
  <c r="G143" i="1" s="1"/>
  <c r="F68" i="1"/>
  <c r="H68" i="1"/>
  <c r="H69" i="1" s="1"/>
  <c r="I68" i="1"/>
  <c r="I69" i="1" s="1"/>
  <c r="I66" i="1"/>
  <c r="J66" i="1"/>
  <c r="H66" i="1"/>
  <c r="G66" i="1"/>
  <c r="G65" i="1"/>
  <c r="H65" i="1"/>
  <c r="I65" i="1"/>
  <c r="F65" i="1"/>
  <c r="I64" i="1"/>
  <c r="F64" i="1"/>
  <c r="G64" i="1"/>
  <c r="H64" i="1"/>
  <c r="F63" i="1"/>
  <c r="G63" i="1"/>
  <c r="I63" i="1"/>
  <c r="H63" i="1"/>
  <c r="N8" i="5"/>
  <c r="E89" i="1" s="1"/>
  <c r="I89" i="1" s="1"/>
  <c r="I92" i="1" s="1"/>
  <c r="L133" i="18" l="1"/>
  <c r="L134" i="18" s="1"/>
  <c r="N140" i="1"/>
  <c r="J160" i="18"/>
  <c r="N160" i="18" s="1"/>
  <c r="M132" i="18"/>
  <c r="N113" i="1"/>
  <c r="P112" i="1"/>
  <c r="N142" i="1"/>
  <c r="O110" i="1"/>
  <c r="Q112" i="1"/>
  <c r="L120" i="26"/>
  <c r="O120" i="26" s="1"/>
  <c r="O100" i="26"/>
  <c r="Q152" i="1"/>
  <c r="P152" i="1"/>
  <c r="L152" i="1"/>
  <c r="M152" i="1" s="1"/>
  <c r="I164" i="1"/>
  <c r="P154" i="1"/>
  <c r="Q154" i="1"/>
  <c r="L154" i="1"/>
  <c r="M154" i="1" s="1"/>
  <c r="F164" i="1"/>
  <c r="J153" i="1"/>
  <c r="I123" i="1"/>
  <c r="I124" i="1" s="1"/>
  <c r="F124" i="1"/>
  <c r="H123" i="1"/>
  <c r="H124" i="1" s="1"/>
  <c r="H143" i="1" s="1"/>
  <c r="I143" i="1"/>
  <c r="G8" i="24"/>
  <c r="K8" i="24"/>
  <c r="H8" i="24"/>
  <c r="I8" i="24"/>
  <c r="O36" i="1"/>
  <c r="K43" i="1"/>
  <c r="K142" i="1"/>
  <c r="L36" i="1"/>
  <c r="Q36" i="1"/>
  <c r="M36" i="1"/>
  <c r="J43" i="1"/>
  <c r="J44" i="1"/>
  <c r="P36" i="1"/>
  <c r="J114" i="1"/>
  <c r="F115" i="1"/>
  <c r="J68" i="1"/>
  <c r="F69" i="1"/>
  <c r="F143" i="1" s="1"/>
  <c r="Q66" i="1"/>
  <c r="P66" i="1"/>
  <c r="J65" i="1"/>
  <c r="P65" i="1" s="1"/>
  <c r="Q65" i="1"/>
  <c r="J64" i="1"/>
  <c r="G70" i="1"/>
  <c r="G71" i="1"/>
  <c r="J63" i="1"/>
  <c r="F71" i="1"/>
  <c r="F70" i="1"/>
  <c r="H71" i="1"/>
  <c r="H70" i="1"/>
  <c r="I70" i="1"/>
  <c r="I71" i="1"/>
  <c r="H89" i="1"/>
  <c r="H92" i="1" s="1"/>
  <c r="G89" i="1"/>
  <c r="G92" i="1" s="1"/>
  <c r="F89" i="1"/>
  <c r="F92" i="1" s="1"/>
  <c r="M160" i="18" l="1"/>
  <c r="P113" i="1"/>
  <c r="Q113" i="1"/>
  <c r="N139" i="1"/>
  <c r="N167" i="1" s="1"/>
  <c r="N141" i="1"/>
  <c r="P120" i="26"/>
  <c r="N121" i="26"/>
  <c r="N122" i="26" s="1"/>
  <c r="L148" i="26"/>
  <c r="L153" i="1"/>
  <c r="M153" i="1" s="1"/>
  <c r="J164" i="1"/>
  <c r="Q153" i="1"/>
  <c r="P153" i="1"/>
  <c r="J123" i="1"/>
  <c r="F122" i="1"/>
  <c r="G122" i="1"/>
  <c r="K141" i="1"/>
  <c r="O43" i="1"/>
  <c r="L43" i="1"/>
  <c r="M43" i="1" s="1"/>
  <c r="P43" i="1"/>
  <c r="Q43" i="1" s="1"/>
  <c r="P44" i="1"/>
  <c r="Q44" i="1"/>
  <c r="J115" i="1"/>
  <c r="Q114" i="1"/>
  <c r="L114" i="1"/>
  <c r="M114" i="1" s="1"/>
  <c r="P114" i="1"/>
  <c r="P68" i="1"/>
  <c r="J69" i="1"/>
  <c r="Q68" i="1"/>
  <c r="Q64" i="1"/>
  <c r="P64" i="1"/>
  <c r="M63" i="1"/>
  <c r="J70" i="1"/>
  <c r="P63" i="1"/>
  <c r="J71" i="1"/>
  <c r="Q63" i="1"/>
  <c r="L63" i="1"/>
  <c r="J89" i="1"/>
  <c r="M89" i="1"/>
  <c r="Q89" i="1"/>
  <c r="J92" i="1"/>
  <c r="P89" i="1"/>
  <c r="L89" i="1"/>
  <c r="O141" i="1" l="1"/>
  <c r="O148" i="26"/>
  <c r="P148" i="26"/>
  <c r="P164" i="1"/>
  <c r="Q164" i="1"/>
  <c r="L164" i="1"/>
  <c r="M164" i="1" s="1"/>
  <c r="J143" i="1"/>
  <c r="P143" i="1" s="1"/>
  <c r="Q143" i="1" s="1"/>
  <c r="P123" i="1"/>
  <c r="J124" i="1"/>
  <c r="P124" i="1" s="1"/>
  <c r="Q124" i="1" s="1"/>
  <c r="Q123" i="1"/>
  <c r="G125" i="1"/>
  <c r="G141" i="1" s="1"/>
  <c r="G126" i="1"/>
  <c r="G139" i="1" s="1"/>
  <c r="G167" i="1" s="1"/>
  <c r="I122" i="1"/>
  <c r="F126" i="1"/>
  <c r="F139" i="1" s="1"/>
  <c r="F167" i="1" s="1"/>
  <c r="F125" i="1"/>
  <c r="F141" i="1" s="1"/>
  <c r="J122" i="1"/>
  <c r="H122" i="1"/>
  <c r="L115" i="1"/>
  <c r="M115" i="1" s="1"/>
  <c r="P115" i="1"/>
  <c r="Q115" i="1"/>
  <c r="P71" i="1"/>
  <c r="Q71" i="1"/>
  <c r="P70" i="1"/>
  <c r="Q70" i="1" s="1"/>
  <c r="L70" i="1"/>
  <c r="M70" i="1" s="1"/>
  <c r="L92" i="1"/>
  <c r="M92" i="1" s="1"/>
  <c r="P92" i="1"/>
  <c r="Q92" i="1"/>
  <c r="H125" i="1" l="1"/>
  <c r="H141" i="1" s="1"/>
  <c r="H126" i="1"/>
  <c r="H139" i="1" s="1"/>
  <c r="H167" i="1" s="1"/>
  <c r="I125" i="1"/>
  <c r="I141" i="1" s="1"/>
  <c r="I126" i="1"/>
  <c r="I139" i="1" s="1"/>
  <c r="I167" i="1" s="1"/>
  <c r="J126" i="1"/>
  <c r="M122" i="1"/>
  <c r="P122" i="1"/>
  <c r="J125" i="1"/>
  <c r="L122" i="1"/>
  <c r="Q122" i="1"/>
  <c r="J140" i="1"/>
  <c r="J142" i="1"/>
  <c r="P125" i="1" l="1"/>
  <c r="Q125" i="1" s="1"/>
  <c r="L125" i="1"/>
  <c r="M125" i="1" s="1"/>
  <c r="J141" i="1"/>
  <c r="P126" i="1"/>
  <c r="P139" i="1" s="1"/>
  <c r="P167" i="1" s="1"/>
  <c r="Q126" i="1"/>
  <c r="J139" i="1"/>
  <c r="L141" i="1" l="1"/>
  <c r="M141" i="1" s="1"/>
  <c r="P141" i="1"/>
  <c r="Q141" i="1" s="1"/>
  <c r="P140" i="1"/>
  <c r="Q139" i="1"/>
  <c r="J167" i="1"/>
  <c r="R167" i="1" l="1"/>
  <c r="Q167" i="1"/>
</calcChain>
</file>

<file path=xl/comments1.xml><?xml version="1.0" encoding="utf-8"?>
<comments xmlns="http://schemas.openxmlformats.org/spreadsheetml/2006/main">
  <authors>
    <author>colinyu</author>
  </authors>
  <commentList>
    <comment ref="D80" authorId="0" shapeId="0">
      <text>
        <r>
          <rPr>
            <sz val="9"/>
            <color indexed="81"/>
            <rFont val="Tahoma"/>
            <family val="2"/>
          </rPr>
          <t>sohu:2015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月份，同方退租，将剩余茶品转入</t>
        </r>
        <r>
          <rPr>
            <sz val="9"/>
            <color indexed="81"/>
            <rFont val="Tahoma"/>
            <family val="2"/>
          </rPr>
          <t>A4</t>
        </r>
        <r>
          <rPr>
            <sz val="9"/>
            <color indexed="81"/>
            <rFont val="宋体"/>
            <family val="3"/>
            <charset val="134"/>
          </rPr>
          <t>使用，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>年实际消耗大于采购额，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年预算在实际基础上在增加</t>
        </r>
        <r>
          <rPr>
            <sz val="9"/>
            <color indexed="81"/>
            <rFont val="Tahoma"/>
            <family val="2"/>
          </rPr>
          <t xml:space="preserve">20%
</t>
        </r>
      </text>
    </comment>
  </commentList>
</comments>
</file>

<file path=xl/comments2.xml><?xml version="1.0" encoding="utf-8"?>
<comments xmlns="http://schemas.openxmlformats.org/spreadsheetml/2006/main">
  <authors>
    <author>angelahe</author>
  </authors>
  <commentList>
    <comment ref="M24" authorId="0" shapeId="0">
      <text>
        <r>
          <rPr>
            <b/>
            <sz val="9"/>
            <color indexed="81"/>
            <rFont val="Tahoma"/>
            <family val="2"/>
          </rPr>
          <t>angelahe: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截止到</t>
        </r>
        <r>
          <rPr>
            <sz val="9"/>
            <color indexed="81"/>
            <rFont val="Tahoma"/>
            <family val="2"/>
          </rPr>
          <t>11/12</t>
        </r>
        <r>
          <rPr>
            <sz val="9"/>
            <color indexed="81"/>
            <rFont val="宋体"/>
            <family val="3"/>
            <charset val="134"/>
          </rPr>
          <t>日，</t>
        </r>
        <r>
          <rPr>
            <sz val="9"/>
            <color indexed="81"/>
            <rFont val="Tahoma"/>
            <family val="2"/>
          </rPr>
          <t>Q4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>万，预留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万额度。
</t>
        </r>
        <r>
          <rPr>
            <sz val="9"/>
            <color indexed="81"/>
            <rFont val="Tahoma"/>
            <family val="2"/>
          </rPr>
          <t>Q1</t>
        </r>
        <r>
          <rPr>
            <sz val="9"/>
            <color indexed="81"/>
            <rFont val="宋体"/>
            <family val="3"/>
            <charset val="134"/>
          </rPr>
          <t>统一</t>
        </r>
        <r>
          <rPr>
            <sz val="9"/>
            <color indexed="81"/>
            <rFont val="Tahoma"/>
            <family val="2"/>
          </rPr>
          <t>OA</t>
        </r>
        <r>
          <rPr>
            <sz val="9"/>
            <color indexed="81"/>
            <rFont val="宋体"/>
            <family val="3"/>
            <charset val="134"/>
          </rPr>
          <t>申请，邱启明团队采购费用约</t>
        </r>
        <r>
          <rPr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宋体"/>
            <family val="3"/>
            <charset val="134"/>
          </rPr>
          <t>万。手搜、新闻客户端约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万，汽车四万</t>
        </r>
        <r>
          <rPr>
            <sz val="9"/>
            <color indexed="81"/>
            <rFont val="Tahoma"/>
            <family val="2"/>
          </rPr>
          <t>ES</t>
        </r>
        <r>
          <rPr>
            <sz val="9"/>
            <color indexed="81"/>
            <rFont val="宋体"/>
            <family val="3"/>
            <charset val="134"/>
          </rPr>
          <t>季度采购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万，其他部门自采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>万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angelahe: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截止到</t>
        </r>
        <r>
          <rPr>
            <sz val="9"/>
            <color indexed="81"/>
            <rFont val="Tahoma"/>
            <family val="2"/>
          </rPr>
          <t>11/12</t>
        </r>
        <r>
          <rPr>
            <sz val="9"/>
            <color indexed="81"/>
            <rFont val="宋体"/>
            <family val="3"/>
            <charset val="134"/>
          </rPr>
          <t>日，</t>
        </r>
        <r>
          <rPr>
            <sz val="9"/>
            <color indexed="81"/>
            <rFont val="Tahoma"/>
            <family val="2"/>
          </rPr>
          <t>Q4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69</t>
        </r>
        <r>
          <rPr>
            <sz val="9"/>
            <color indexed="81"/>
            <rFont val="宋体"/>
            <family val="3"/>
            <charset val="134"/>
          </rPr>
          <t>万，预留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万额度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angelahe: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5" authorId="0" shapeId="0">
      <text>
        <r>
          <rPr>
            <b/>
            <sz val="9"/>
            <color indexed="81"/>
            <rFont val="Tahoma"/>
            <family val="2"/>
          </rPr>
          <t>angelahe: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视频含有少量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购置机器。</t>
        </r>
      </text>
    </comment>
    <comment ref="J159" authorId="0" shapeId="0">
      <text>
        <r>
          <rPr>
            <b/>
            <sz val="9"/>
            <color indexed="81"/>
            <rFont val="Tahoma"/>
            <family val="2"/>
          </rPr>
          <t>angelahe: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报废计划中，有</t>
        </r>
        <r>
          <rPr>
            <sz val="9"/>
            <color indexed="81"/>
            <rFont val="Tahoma"/>
            <family val="2"/>
          </rPr>
          <t xml:space="preserve">1587
</t>
        </r>
        <r>
          <rPr>
            <sz val="9"/>
            <color indexed="81"/>
            <rFont val="宋体"/>
            <family val="3"/>
            <charset val="134"/>
          </rPr>
          <t>台还在使用，其中</t>
        </r>
        <r>
          <rPr>
            <sz val="9"/>
            <color indexed="81"/>
            <rFont val="Tahoma"/>
            <family val="2"/>
          </rPr>
          <t>881</t>
        </r>
        <r>
          <rPr>
            <sz val="9"/>
            <color indexed="81"/>
            <rFont val="宋体"/>
            <family val="3"/>
            <charset val="134"/>
          </rPr>
          <t>台购置于</t>
        </r>
        <r>
          <rPr>
            <sz val="9"/>
            <color indexed="81"/>
            <rFont val="Tahoma"/>
            <family val="2"/>
          </rPr>
          <t>2012</t>
        </r>
        <r>
          <rPr>
            <sz val="9"/>
            <color indexed="81"/>
            <rFont val="宋体"/>
            <family val="3"/>
            <charset val="134"/>
          </rPr>
          <t>年</t>
        </r>
      </text>
    </comment>
    <comment ref="J165" authorId="0" shapeId="0">
      <text>
        <r>
          <rPr>
            <b/>
            <sz val="9"/>
            <color indexed="81"/>
            <rFont val="Tahoma"/>
            <family val="2"/>
          </rPr>
          <t>angelahe: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报废计划中，有</t>
        </r>
        <r>
          <rPr>
            <sz val="9"/>
            <color indexed="81"/>
            <rFont val="Tahoma"/>
            <family val="2"/>
          </rPr>
          <t>1664</t>
        </r>
        <r>
          <rPr>
            <sz val="9"/>
            <color indexed="81"/>
            <rFont val="宋体"/>
            <family val="3"/>
            <charset val="134"/>
          </rPr>
          <t>台还在使用，其中</t>
        </r>
        <r>
          <rPr>
            <sz val="9"/>
            <color indexed="81"/>
            <rFont val="Tahoma"/>
            <family val="2"/>
          </rPr>
          <t>1086</t>
        </r>
        <r>
          <rPr>
            <sz val="9"/>
            <color indexed="81"/>
            <rFont val="宋体"/>
            <family val="3"/>
            <charset val="134"/>
          </rPr>
          <t>台购置于</t>
        </r>
        <r>
          <rPr>
            <sz val="9"/>
            <color indexed="81"/>
            <rFont val="Tahoma"/>
            <family val="2"/>
          </rPr>
          <t>2012</t>
        </r>
        <r>
          <rPr>
            <sz val="9"/>
            <color indexed="81"/>
            <rFont val="宋体"/>
            <family val="3"/>
            <charset val="134"/>
          </rPr>
          <t>年</t>
        </r>
      </text>
    </comment>
  </commentList>
</comments>
</file>

<file path=xl/comments3.xml><?xml version="1.0" encoding="utf-8"?>
<comments xmlns="http://schemas.openxmlformats.org/spreadsheetml/2006/main">
  <authors>
    <author>angelahe</author>
  </authors>
  <commentList>
    <comment ref="G20" authorId="0" shapeId="0">
      <text>
        <r>
          <rPr>
            <b/>
            <sz val="9"/>
            <color indexed="81"/>
            <rFont val="Tahoma"/>
            <family val="2"/>
          </rPr>
          <t xml:space="preserve">angelahe:
</t>
        </r>
        <r>
          <rPr>
            <b/>
            <sz val="9"/>
            <color indexed="81"/>
            <rFont val="宋体"/>
            <family val="3"/>
            <charset val="134"/>
          </rPr>
          <t>主要为新增家具、服务器等资产产生的保费上涨。</t>
        </r>
      </text>
    </comment>
  </commentList>
</comments>
</file>

<file path=xl/comments4.xml><?xml version="1.0" encoding="utf-8"?>
<comments xmlns="http://schemas.openxmlformats.org/spreadsheetml/2006/main">
  <authors>
    <author>vedachen</author>
  </authors>
  <commentList>
    <comment ref="M22" authorId="0" shapeId="0">
      <text>
        <r>
          <rPr>
            <b/>
            <sz val="9"/>
            <color indexed="81"/>
            <rFont val="Tahoma"/>
            <family val="2"/>
          </rPr>
          <t>vedachen: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车辆达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年左右，更换电瓶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vedachen: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清洗座椅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安装座椅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vedachen: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清洗座椅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安装座椅</t>
        </r>
      </text>
    </comment>
  </commentList>
</comments>
</file>

<file path=xl/sharedStrings.xml><?xml version="1.0" encoding="utf-8"?>
<sst xmlns="http://schemas.openxmlformats.org/spreadsheetml/2006/main" count="2964" uniqueCount="1703">
  <si>
    <t>Q2</t>
    <phoneticPr fontId="5" type="noConversion"/>
  </si>
  <si>
    <t>变化比例</t>
    <phoneticPr fontId="6" type="noConversion"/>
  </si>
  <si>
    <t>Budget</t>
  </si>
  <si>
    <t>※</t>
    <phoneticPr fontId="6" type="noConversion"/>
  </si>
  <si>
    <t>Rental</t>
    <phoneticPr fontId="6" type="noConversion"/>
  </si>
  <si>
    <t>网络大厦租金</t>
    <phoneticPr fontId="6" type="noConversion"/>
  </si>
  <si>
    <r>
      <rPr>
        <sz val="10"/>
        <rFont val="宋体"/>
        <family val="3"/>
        <charset val="134"/>
      </rPr>
      <t>网络大厦物业管理费</t>
    </r>
    <r>
      <rPr>
        <sz val="10"/>
        <rFont val="Arial"/>
        <family val="2"/>
      </rPr>
      <t/>
    </r>
    <phoneticPr fontId="6" type="noConversion"/>
  </si>
  <si>
    <t>媒体大厦物业管理费</t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</si>
  <si>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层租金</t>
    </r>
    <phoneticPr fontId="6" type="noConversion"/>
  </si>
  <si>
    <r>
      <t>2015</t>
    </r>
    <r>
      <rPr>
        <u/>
        <sz val="10"/>
        <rFont val="宋体"/>
        <family val="3"/>
        <charset val="134"/>
      </rPr>
      <t>年</t>
    </r>
    <r>
      <rPr>
        <u/>
        <sz val="10"/>
        <rFont val="Calibri"/>
        <family val="2"/>
      </rPr>
      <t>1</t>
    </r>
    <r>
      <rPr>
        <u/>
        <sz val="10"/>
        <rFont val="宋体"/>
        <family val="3"/>
        <charset val="134"/>
      </rPr>
      <t>月</t>
    </r>
    <r>
      <rPr>
        <u/>
        <sz val="10"/>
        <rFont val="Calibri"/>
        <family val="2"/>
      </rPr>
      <t>1</t>
    </r>
    <r>
      <rPr>
        <u/>
        <sz val="10"/>
        <rFont val="宋体"/>
        <family val="3"/>
        <charset val="134"/>
      </rPr>
      <t>日签署续租合同，单价由</t>
    </r>
    <r>
      <rPr>
        <u/>
        <sz val="10"/>
        <rFont val="Calibri"/>
        <family val="2"/>
      </rPr>
      <t>230</t>
    </r>
    <r>
      <rPr>
        <u/>
        <sz val="10"/>
        <rFont val="宋体"/>
        <family val="3"/>
        <charset val="134"/>
      </rPr>
      <t>元</t>
    </r>
    <r>
      <rPr>
        <u/>
        <sz val="10"/>
        <rFont val="Calibri"/>
        <family val="2"/>
      </rPr>
      <t>/</t>
    </r>
    <r>
      <rPr>
        <u/>
        <sz val="10"/>
        <rFont val="宋体"/>
        <family val="3"/>
        <charset val="134"/>
      </rPr>
      <t>㎡</t>
    </r>
    <r>
      <rPr>
        <u/>
        <sz val="10"/>
        <rFont val="Calibri"/>
        <family val="2"/>
      </rPr>
      <t>/</t>
    </r>
    <r>
      <rPr>
        <u/>
        <sz val="10"/>
        <rFont val="宋体"/>
        <family val="3"/>
        <charset val="134"/>
      </rPr>
      <t>月，调整为</t>
    </r>
    <r>
      <rPr>
        <u/>
        <sz val="10"/>
        <rFont val="Calibri"/>
        <family val="2"/>
      </rPr>
      <t>250</t>
    </r>
    <r>
      <rPr>
        <u/>
        <sz val="10"/>
        <rFont val="宋体"/>
        <family val="3"/>
        <charset val="134"/>
      </rPr>
      <t>元</t>
    </r>
    <r>
      <rPr>
        <u/>
        <sz val="10"/>
        <rFont val="Calibri"/>
        <family val="2"/>
      </rPr>
      <t>/</t>
    </r>
    <r>
      <rPr>
        <u/>
        <sz val="10"/>
        <rFont val="宋体"/>
        <family val="3"/>
        <charset val="134"/>
      </rPr>
      <t>㎡</t>
    </r>
    <r>
      <rPr>
        <u/>
        <sz val="10"/>
        <rFont val="Calibri"/>
        <family val="2"/>
      </rPr>
      <t>/</t>
    </r>
    <r>
      <rPr>
        <u/>
        <sz val="10"/>
        <rFont val="宋体"/>
        <family val="3"/>
        <charset val="134"/>
      </rPr>
      <t>月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</si>
  <si>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层物业管理费</t>
    </r>
    <phoneticPr fontId="6" type="noConversion"/>
  </si>
  <si>
    <r>
      <rPr>
        <sz val="10"/>
        <rFont val="宋体"/>
        <family val="3"/>
        <charset val="134"/>
      </rPr>
      <t>从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月起焦点承担</t>
    </r>
    <r>
      <rPr>
        <sz val="10"/>
        <rFont val="Calibri"/>
        <family val="2"/>
      </rPr>
      <t xml:space="preserve">76%
</t>
    </r>
    <r>
      <rPr>
        <sz val="10"/>
        <color rgb="FFFF0000"/>
        <rFont val="宋体"/>
        <family val="3"/>
        <charset val="134"/>
      </rPr>
      <t>从</t>
    </r>
    <r>
      <rPr>
        <sz val="10"/>
        <color rgb="FFFF0000"/>
        <rFont val="Calibri"/>
        <family val="2"/>
      </rPr>
      <t>2015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5</t>
    </r>
    <r>
      <rPr>
        <sz val="10"/>
        <color rgb="FFFF0000"/>
        <rFont val="宋体"/>
        <family val="3"/>
        <charset val="134"/>
      </rPr>
      <t>月起，焦点承担部分变更为</t>
    </r>
    <r>
      <rPr>
        <sz val="10"/>
        <color rgb="FFFF0000"/>
        <rFont val="Calibri"/>
        <family val="2"/>
      </rPr>
      <t>68%</t>
    </r>
    <r>
      <rPr>
        <sz val="10"/>
        <color rgb="FFFF0000"/>
        <rFont val="宋体"/>
        <family val="3"/>
        <charset val="134"/>
      </rPr>
      <t>，搜狐承担</t>
    </r>
    <r>
      <rPr>
        <sz val="10"/>
        <color rgb="FFFF0000"/>
        <rFont val="Calibri"/>
        <family val="2"/>
      </rPr>
      <t>32%</t>
    </r>
    <r>
      <rPr>
        <sz val="10"/>
        <color rgb="FFFF0000"/>
        <rFont val="宋体"/>
        <family val="3"/>
        <charset val="134"/>
      </rPr>
      <t>。</t>
    </r>
    <phoneticPr fontId="5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</si>
  <si>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层租金</t>
    </r>
    <phoneticPr fontId="6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</si>
  <si>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层物业管理费</t>
    </r>
    <phoneticPr fontId="6" type="noConversion"/>
  </si>
  <si>
    <t>焦点</t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</si>
  <si>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层租金</t>
    </r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</si>
  <si>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层物业管理费</t>
    </r>
    <phoneticPr fontId="6" type="noConversion"/>
  </si>
  <si>
    <t>Parking</t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</si>
  <si>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座地下停车费</t>
    </r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</si>
  <si>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层停车费（搜狐</t>
    </r>
    <r>
      <rPr>
        <sz val="10"/>
        <rFont val="Calibri"/>
        <family val="2"/>
      </rPr>
      <t>2</t>
    </r>
    <r>
      <rPr>
        <sz val="10"/>
        <rFont val="宋体"/>
        <family val="3"/>
        <charset val="134"/>
      </rPr>
      <t>个）</t>
    </r>
    <phoneticPr fontId="5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</si>
  <si>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层地下停车费</t>
    </r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</si>
  <si>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座地下停车费（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层）</t>
    </r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</si>
  <si>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层停车费（焦点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个）</t>
    </r>
    <phoneticPr fontId="5" type="noConversion"/>
  </si>
  <si>
    <t>Electricity</t>
    <phoneticPr fontId="6" type="noConversion"/>
  </si>
  <si>
    <t>网络大厦电费</t>
    <phoneticPr fontId="6" type="noConversion"/>
  </si>
  <si>
    <t>媒体大厦电费</t>
    <phoneticPr fontId="6" type="noConversion"/>
  </si>
  <si>
    <t>媒体大厦水费</t>
    <phoneticPr fontId="6" type="noConversion"/>
  </si>
  <si>
    <t>媒体大厦供暖费</t>
    <phoneticPr fontId="6" type="noConversion"/>
  </si>
  <si>
    <t>媒体大厦生活热水费</t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</si>
  <si>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层电费</t>
    </r>
    <phoneticPr fontId="6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</si>
  <si>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层电费</t>
    </r>
    <phoneticPr fontId="6" type="noConversion"/>
  </si>
  <si>
    <t>Drinking Water</t>
    <phoneticPr fontId="6" type="noConversion"/>
  </si>
  <si>
    <t>网络大厦饮用水</t>
    <phoneticPr fontId="6" type="noConversion"/>
  </si>
  <si>
    <t>媒体大厦饮用水</t>
    <phoneticPr fontId="5" type="noConversion"/>
  </si>
  <si>
    <t>皂君庙宿舍及公寓饮用水</t>
    <phoneticPr fontId="6" type="noConversion"/>
  </si>
  <si>
    <t>皂君庙退租</t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</si>
  <si>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层饮用水</t>
    </r>
    <phoneticPr fontId="6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</si>
  <si>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层饮用水</t>
    </r>
    <phoneticPr fontId="6" type="noConversion"/>
  </si>
  <si>
    <t>Security Service</t>
    <phoneticPr fontId="6" type="noConversion"/>
  </si>
  <si>
    <t>网络大厦保安费</t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</si>
  <si>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层保安费</t>
    </r>
    <phoneticPr fontId="6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</si>
  <si>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层保安费</t>
    </r>
    <phoneticPr fontId="6" type="noConversion"/>
  </si>
  <si>
    <t xml:space="preserve">Plant </t>
    <phoneticPr fontId="6" type="noConversion"/>
  </si>
  <si>
    <t>网络大厦植物租摆费</t>
    <phoneticPr fontId="6" type="noConversion"/>
  </si>
  <si>
    <t>公寓植物租摆费</t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</si>
  <si>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层植物租摆费</t>
    </r>
    <phoneticPr fontId="6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</si>
  <si>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层植物租摆费</t>
    </r>
    <phoneticPr fontId="6" type="noConversion"/>
  </si>
  <si>
    <t>网络大厦日常保洁费用</t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</si>
  <si>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层日常保洁费用</t>
    </r>
    <phoneticPr fontId="6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</si>
  <si>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层日常保洁费用</t>
    </r>
    <phoneticPr fontId="6" type="noConversion"/>
  </si>
  <si>
    <t>地毯清洗</t>
    <phoneticPr fontId="6" type="noConversion"/>
  </si>
  <si>
    <t>网络大厦地毯清洗</t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</si>
  <si>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层地毯清洗</t>
    </r>
    <phoneticPr fontId="6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</si>
  <si>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层地毯清洗</t>
    </r>
    <phoneticPr fontId="6" type="noConversion"/>
  </si>
  <si>
    <t xml:space="preserve">Pantry Service </t>
    <phoneticPr fontId="6" type="noConversion"/>
  </si>
  <si>
    <t>网络大厦自聘茶水间阿姨费用</t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</si>
  <si>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层自聘茶水间阿姨费用</t>
    </r>
    <phoneticPr fontId="6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</si>
  <si>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层自聘茶水间阿姨费用</t>
    </r>
    <phoneticPr fontId="6" type="noConversion"/>
  </si>
  <si>
    <t>Shuttle Bus</t>
    <phoneticPr fontId="6" type="noConversion"/>
  </si>
  <si>
    <t>北京班车费用</t>
    <phoneticPr fontId="6" type="noConversion"/>
  </si>
  <si>
    <t>茶水间费用</t>
    <phoneticPr fontId="6" type="noConversion"/>
  </si>
  <si>
    <t>网络大厦茶水间费用</t>
    <phoneticPr fontId="6" type="noConversion"/>
  </si>
  <si>
    <t>媒体大厦茶水间费用</t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</si>
  <si>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层茶水间费用</t>
    </r>
    <phoneticPr fontId="6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</si>
  <si>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层茶水间费用</t>
    </r>
    <phoneticPr fontId="6" type="noConversion"/>
  </si>
  <si>
    <t>瓷杯制作</t>
    <phoneticPr fontId="6" type="noConversion"/>
  </si>
  <si>
    <t>纸杯制作</t>
    <phoneticPr fontId="6" type="noConversion"/>
  </si>
  <si>
    <t>★</t>
  </si>
  <si>
    <t>Office consumables</t>
    <phoneticPr fontId="6" type="noConversion"/>
  </si>
  <si>
    <t>办公用品费用</t>
    <phoneticPr fontId="6" type="noConversion"/>
  </si>
  <si>
    <t>Facility Maintenance</t>
    <phoneticPr fontId="6" type="noConversion"/>
  </si>
  <si>
    <t>家具维修</t>
    <phoneticPr fontId="6" type="noConversion"/>
  </si>
  <si>
    <t>所有办公区家具维修</t>
    <phoneticPr fontId="6" type="noConversion"/>
  </si>
  <si>
    <t>◆</t>
  </si>
  <si>
    <t>Office Maintenance</t>
    <phoneticPr fontId="6" type="noConversion"/>
  </si>
  <si>
    <t>各项维护合同费用</t>
    <phoneticPr fontId="5" type="noConversion"/>
  </si>
  <si>
    <t>日常维护材料费用</t>
    <phoneticPr fontId="5" type="noConversion"/>
  </si>
  <si>
    <t>卫星电视维护及使用费</t>
    <phoneticPr fontId="6" type="noConversion"/>
  </si>
  <si>
    <t>Insurance</t>
    <phoneticPr fontId="5" type="noConversion"/>
  </si>
  <si>
    <t>财产保险</t>
  </si>
  <si>
    <r>
      <t>因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年新增资产购置量下降，因此预估保险费用有所减少</t>
    </r>
    <r>
      <rPr>
        <sz val="10"/>
        <rFont val="Calibri"/>
        <family val="2"/>
      </rPr>
      <t>.</t>
    </r>
  </si>
  <si>
    <t>焦点财产保险</t>
    <phoneticPr fontId="5" type="noConversion"/>
  </si>
  <si>
    <t>资产</t>
  </si>
  <si>
    <t>2015 Capex预算业务范围：sohu、汽车、焦点、视频；</t>
  </si>
  <si>
    <t>焦点资产</t>
    <phoneticPr fontId="5" type="noConversion"/>
  </si>
  <si>
    <t>家具更新</t>
    <phoneticPr fontId="5" type="noConversion"/>
  </si>
  <si>
    <t>预算内容：业务特需增幅5%+到期报废更新增幅30%+新员工资产降幅80%+办公设备报废更新降幅80%+IP电话降幅100%</t>
  </si>
  <si>
    <t>2015与2014预算对比分析：1. 2015新员工用机主要使用库存；2..2015 PC/NB报废资产中只有70%为员工使用中，其余在库待机器无须重新购置；3.2014年实际发生的业务特需比2013增长30%；4.IP电话发放主要使用库存.</t>
  </si>
  <si>
    <t>▲</t>
    <phoneticPr fontId="6" type="noConversion"/>
  </si>
  <si>
    <t>Company Vehicle</t>
    <phoneticPr fontId="6" type="noConversion"/>
  </si>
  <si>
    <t>搜狐车辆保险</t>
    <phoneticPr fontId="6" type="noConversion"/>
  </si>
  <si>
    <t>搜狐车辆维修保养</t>
    <phoneticPr fontId="6" type="noConversion"/>
  </si>
  <si>
    <t>媒体大厦新增项</t>
    <phoneticPr fontId="6" type="noConversion"/>
  </si>
  <si>
    <t>注</t>
    <phoneticPr fontId="6" type="noConversion"/>
  </si>
  <si>
    <t>租金</t>
    <phoneticPr fontId="6" type="noConversion"/>
  </si>
  <si>
    <t>租赁税</t>
    <phoneticPr fontId="5" type="noConversion"/>
  </si>
  <si>
    <t>每季度结算，与租金同时变化上涨</t>
    <phoneticPr fontId="5" type="noConversion"/>
  </si>
  <si>
    <t>物业费</t>
    <phoneticPr fontId="5" type="noConversion"/>
  </si>
  <si>
    <r>
      <t>3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平方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Calibri"/>
        <family val="2"/>
      </rPr>
      <t>*817.12</t>
    </r>
    <r>
      <rPr>
        <sz val="10"/>
        <rFont val="宋体"/>
        <family val="3"/>
        <charset val="134"/>
      </rPr>
      <t>平</t>
    </r>
    <phoneticPr fontId="5" type="noConversion"/>
  </si>
  <si>
    <t>电梯补偿金</t>
    <phoneticPr fontId="5" type="noConversion"/>
  </si>
  <si>
    <r>
      <t>2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平方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Calibri"/>
        <family val="2"/>
      </rPr>
      <t>*817.12</t>
    </r>
    <r>
      <rPr>
        <sz val="10"/>
        <rFont val="宋体"/>
        <family val="3"/>
        <charset val="134"/>
      </rPr>
      <t>平</t>
    </r>
  </si>
  <si>
    <t>水费</t>
    <phoneticPr fontId="6" type="noConversion"/>
  </si>
  <si>
    <t>电费</t>
    <phoneticPr fontId="6" type="noConversion"/>
  </si>
  <si>
    <t>电话费</t>
    <phoneticPr fontId="6" type="noConversion"/>
  </si>
  <si>
    <r>
      <t>2013</t>
    </r>
    <r>
      <rPr>
        <sz val="10"/>
        <rFont val="宋体"/>
        <family val="3"/>
        <charset val="134"/>
      </rPr>
      <t>年每月固定电话费</t>
    </r>
    <r>
      <rPr>
        <sz val="10"/>
        <rFont val="Calibri"/>
        <family val="2"/>
      </rPr>
      <t>156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月；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年费用预计因物价上涨增长</t>
    </r>
    <r>
      <rPr>
        <sz val="10"/>
        <rFont val="Calibri"/>
        <family val="2"/>
      </rPr>
      <t>15%</t>
    </r>
    <phoneticPr fontId="5" type="noConversion"/>
  </si>
  <si>
    <t>日常工程维修</t>
    <phoneticPr fontId="5" type="noConversion"/>
  </si>
  <si>
    <t>日常保洁费</t>
    <phoneticPr fontId="5" type="noConversion"/>
  </si>
  <si>
    <r>
      <rPr>
        <sz val="10"/>
        <rFont val="宋体"/>
        <family val="3"/>
        <charset val="134"/>
      </rPr>
      <t>保洁费用</t>
    </r>
    <r>
      <rPr>
        <sz val="10"/>
        <rFont val="Calibri"/>
        <family val="2"/>
      </rPr>
      <t>3950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月；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年费用预计无增长</t>
    </r>
  </si>
  <si>
    <t>门卡、桌牌等</t>
    <phoneticPr fontId="6" type="noConversion"/>
  </si>
  <si>
    <t>文具耗材及茶间用品</t>
    <phoneticPr fontId="6" type="noConversion"/>
  </si>
  <si>
    <t>绿植费</t>
    <phoneticPr fontId="5" type="noConversion"/>
  </si>
  <si>
    <r>
      <rPr>
        <sz val="10"/>
        <rFont val="宋体"/>
        <family val="3"/>
        <charset val="134"/>
      </rPr>
      <t>绿化费用</t>
    </r>
    <r>
      <rPr>
        <sz val="10"/>
        <rFont val="Calibri"/>
        <family val="2"/>
      </rPr>
      <t>2230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月；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年费用预计无增长</t>
    </r>
  </si>
  <si>
    <t>洗涤费</t>
    <phoneticPr fontId="5" type="noConversion"/>
  </si>
  <si>
    <r>
      <rPr>
        <sz val="10"/>
        <rFont val="宋体"/>
        <family val="3"/>
        <charset val="134"/>
      </rPr>
      <t>日常保洁费用包含飘窗垫清洗等，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年费用预计因物价上涨增长</t>
    </r>
    <r>
      <rPr>
        <sz val="10"/>
        <rFont val="Calibri"/>
        <family val="2"/>
      </rPr>
      <t>15%</t>
    </r>
  </si>
  <si>
    <t>饮用水</t>
    <phoneticPr fontId="6" type="noConversion"/>
  </si>
  <si>
    <r>
      <rPr>
        <b/>
        <sz val="10"/>
        <color rgb="FFFF0000"/>
        <rFont val="宋体"/>
        <family val="3"/>
        <charset val="134"/>
      </rPr>
      <t>合计</t>
    </r>
    <r>
      <rPr>
        <b/>
        <sz val="10"/>
        <color rgb="FFFF0000"/>
        <rFont val="Calibri"/>
        <family val="2"/>
      </rPr>
      <t>2</t>
    </r>
    <phoneticPr fontId="5" type="noConversion"/>
  </si>
  <si>
    <t>（北京全办公区以及焦点和武汉研发中心，不含搜狗）</t>
    <phoneticPr fontId="5" type="noConversion"/>
  </si>
  <si>
    <r>
      <rPr>
        <sz val="10"/>
        <rFont val="宋体"/>
        <family val="3"/>
        <charset val="134"/>
      </rPr>
      <t>媒体大厦</t>
    </r>
    <phoneticPr fontId="6" type="noConversion"/>
  </si>
  <si>
    <r>
      <rPr>
        <sz val="10"/>
        <rFont val="宋体"/>
        <family val="3"/>
        <charset val="134"/>
      </rPr>
      <t>网络大厦</t>
    </r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</si>
  <si>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A4</t>
    </r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</si>
  <si>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</t>
    </r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</si>
  <si>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层</t>
    </r>
    <phoneticPr fontId="6" type="noConversion"/>
  </si>
  <si>
    <t>Total</t>
    <phoneticPr fontId="5" type="noConversion"/>
  </si>
  <si>
    <r>
      <t>2013</t>
    </r>
    <r>
      <rPr>
        <sz val="10"/>
        <rFont val="宋体"/>
        <family val="3"/>
        <charset val="134"/>
      </rPr>
      <t>年底比</t>
    </r>
    <r>
      <rPr>
        <sz val="10"/>
        <rFont val="Calibri"/>
        <family val="2"/>
      </rPr>
      <t>Q2</t>
    </r>
    <r>
      <rPr>
        <sz val="10"/>
        <rFont val="宋体"/>
        <family val="3"/>
        <charset val="134"/>
      </rPr>
      <t>预计增长人数</t>
    </r>
    <r>
      <rPr>
        <sz val="10"/>
        <rFont val="Calibri"/>
        <family val="2"/>
      </rPr>
      <t xml:space="preserve"> (d=c-f)</t>
    </r>
    <phoneticPr fontId="6" type="noConversion"/>
  </si>
  <si>
    <r>
      <t>2013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Q2</t>
    </r>
    <r>
      <rPr>
        <sz val="10"/>
        <rFont val="宋体"/>
        <family val="3"/>
        <charset val="134"/>
      </rPr>
      <t>预计增长率</t>
    </r>
    <r>
      <rPr>
        <sz val="10"/>
        <rFont val="Calibri"/>
        <family val="2"/>
      </rPr>
      <t xml:space="preserve"> (e)</t>
    </r>
    <phoneticPr fontId="6" type="noConversion"/>
  </si>
  <si>
    <r>
      <t>2013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Q2</t>
    </r>
    <r>
      <rPr>
        <sz val="10"/>
        <rFont val="宋体"/>
        <family val="3"/>
        <charset val="134"/>
      </rPr>
      <t>预计人数</t>
    </r>
    <r>
      <rPr>
        <sz val="10"/>
        <rFont val="Calibri"/>
        <family val="2"/>
      </rPr>
      <t xml:space="preserve"> (f=a*(1+e))</t>
    </r>
    <phoneticPr fontId="6" type="noConversion"/>
  </si>
  <si>
    <r>
      <t>2013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Q2</t>
    </r>
    <r>
      <rPr>
        <sz val="10"/>
        <rFont val="宋体"/>
        <family val="3"/>
        <charset val="134"/>
      </rPr>
      <t>底预计增长人数</t>
    </r>
    <r>
      <rPr>
        <sz val="10"/>
        <rFont val="Calibri"/>
        <family val="2"/>
      </rPr>
      <t xml:space="preserve"> (g=f-a)</t>
    </r>
    <phoneticPr fontId="6" type="noConversion"/>
  </si>
  <si>
    <t>办公区</t>
    <phoneticPr fontId="5" type="noConversion"/>
  </si>
  <si>
    <t>工位总数</t>
    <phoneticPr fontId="5" type="noConversion"/>
  </si>
  <si>
    <t>实际使用工位</t>
    <phoneticPr fontId="5" type="noConversion"/>
  </si>
  <si>
    <t>空余工位</t>
    <phoneticPr fontId="5" type="noConversion"/>
  </si>
  <si>
    <t>可使用率</t>
    <phoneticPr fontId="5" type="noConversion"/>
  </si>
  <si>
    <t>(a)</t>
    <phoneticPr fontId="5" type="noConversion"/>
  </si>
  <si>
    <t>(b)</t>
    <phoneticPr fontId="5" type="noConversion"/>
  </si>
  <si>
    <t>(c=a-b)</t>
    <phoneticPr fontId="5" type="noConversion"/>
  </si>
  <si>
    <t>(d=c/a)</t>
    <phoneticPr fontId="5" type="noConversion"/>
  </si>
  <si>
    <t>媒体大厦</t>
    <phoneticPr fontId="5" type="noConversion"/>
  </si>
  <si>
    <r>
      <rPr>
        <sz val="10"/>
        <rFont val="宋体"/>
        <family val="3"/>
        <charset val="134"/>
      </rPr>
      <t>网络大厦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</si>
  <si>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</si>
  <si>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</si>
  <si>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</t>
    </r>
    <phoneticPr fontId="5" type="noConversion"/>
  </si>
  <si>
    <r>
      <rPr>
        <sz val="10"/>
        <rFont val="宋体"/>
        <family val="3"/>
        <charset val="134"/>
      </rPr>
      <t>合计</t>
    </r>
    <phoneticPr fontId="6" type="noConversion"/>
  </si>
  <si>
    <t>2014 Q4</t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</si>
  <si>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C19-20</t>
    </r>
    <phoneticPr fontId="6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</si>
  <si>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D7-8</t>
    </r>
    <phoneticPr fontId="6" type="noConversion"/>
  </si>
  <si>
    <t>Total</t>
    <phoneticPr fontId="6" type="noConversion"/>
  </si>
  <si>
    <r>
      <rPr>
        <sz val="10"/>
        <rFont val="宋体"/>
        <family val="3"/>
        <charset val="134"/>
      </rPr>
      <t>总部</t>
    </r>
    <phoneticPr fontId="6" type="noConversion"/>
  </si>
  <si>
    <r>
      <rPr>
        <sz val="10"/>
        <rFont val="宋体"/>
        <family val="3"/>
        <charset val="134"/>
      </rPr>
      <t>财务中心</t>
    </r>
    <phoneticPr fontId="6" type="noConversion"/>
  </si>
  <si>
    <r>
      <rPr>
        <sz val="10"/>
        <rFont val="宋体"/>
        <family val="3"/>
        <charset val="134"/>
      </rPr>
      <t>法律中心</t>
    </r>
    <phoneticPr fontId="6" type="noConversion"/>
  </si>
  <si>
    <r>
      <rPr>
        <sz val="10"/>
        <rFont val="宋体"/>
        <family val="3"/>
        <charset val="134"/>
      </rPr>
      <t>呼叫中心</t>
    </r>
    <phoneticPr fontId="6" type="noConversion"/>
  </si>
  <si>
    <t>IA</t>
    <phoneticPr fontId="6" type="noConversion"/>
  </si>
  <si>
    <t>HR</t>
    <phoneticPr fontId="6" type="noConversion"/>
  </si>
  <si>
    <t>MKT</t>
    <phoneticPr fontId="6" type="noConversion"/>
  </si>
  <si>
    <r>
      <rPr>
        <sz val="10"/>
        <rFont val="宋体"/>
        <family val="3"/>
        <charset val="134"/>
      </rPr>
      <t>采购部</t>
    </r>
    <phoneticPr fontId="6" type="noConversion"/>
  </si>
  <si>
    <t>IR</t>
    <phoneticPr fontId="6" type="noConversion"/>
  </si>
  <si>
    <r>
      <rPr>
        <sz val="10"/>
        <rFont val="宋体"/>
        <family val="3"/>
        <charset val="134"/>
      </rPr>
      <t>研究院</t>
    </r>
    <phoneticPr fontId="6" type="noConversion"/>
  </si>
  <si>
    <t>ES</t>
    <phoneticPr fontId="6" type="noConversion"/>
  </si>
  <si>
    <r>
      <rPr>
        <sz val="10"/>
        <rFont val="宋体"/>
        <family val="3"/>
        <charset val="134"/>
      </rPr>
      <t>运维中心</t>
    </r>
    <phoneticPr fontId="6" type="noConversion"/>
  </si>
  <si>
    <r>
      <rPr>
        <sz val="10"/>
        <rFont val="宋体"/>
        <family val="3"/>
        <charset val="134"/>
      </rPr>
      <t>媒体内容业务线</t>
    </r>
    <phoneticPr fontId="6" type="noConversion"/>
  </si>
  <si>
    <r>
      <rPr>
        <sz val="10"/>
        <rFont val="宋体"/>
        <family val="3"/>
        <charset val="134"/>
      </rPr>
      <t>网安中心</t>
    </r>
    <phoneticPr fontId="6" type="noConversion"/>
  </si>
  <si>
    <r>
      <rPr>
        <sz val="10"/>
        <rFont val="宋体"/>
        <family val="3"/>
        <charset val="134"/>
      </rPr>
      <t>技术中心</t>
    </r>
    <phoneticPr fontId="6" type="noConversion"/>
  </si>
  <si>
    <r>
      <rPr>
        <sz val="10"/>
        <rFont val="宋体"/>
        <family val="3"/>
        <charset val="134"/>
      </rPr>
      <t>广告销售</t>
    </r>
    <phoneticPr fontId="6" type="noConversion"/>
  </si>
  <si>
    <t>CS</t>
    <phoneticPr fontId="6" type="noConversion"/>
  </si>
  <si>
    <r>
      <rPr>
        <sz val="10"/>
        <rFont val="宋体"/>
        <family val="3"/>
        <charset val="134"/>
      </rPr>
      <t>无线</t>
    </r>
    <phoneticPr fontId="6" type="noConversion"/>
  </si>
  <si>
    <r>
      <t>IT</t>
    </r>
    <r>
      <rPr>
        <sz val="10"/>
        <rFont val="宋体"/>
        <family val="3"/>
        <charset val="134"/>
      </rPr>
      <t>频道</t>
    </r>
    <phoneticPr fontId="6" type="noConversion"/>
  </si>
  <si>
    <r>
      <rPr>
        <sz val="10"/>
        <rFont val="宋体"/>
        <family val="3"/>
        <charset val="134"/>
      </rPr>
      <t>移动门户中心</t>
    </r>
    <r>
      <rPr>
        <sz val="10"/>
        <rFont val="Calibri"/>
        <family val="2"/>
      </rPr>
      <t>(MPC)</t>
    </r>
    <phoneticPr fontId="6" type="noConversion"/>
  </si>
  <si>
    <r>
      <rPr>
        <sz val="10"/>
        <rFont val="宋体"/>
        <family val="3"/>
        <charset val="134"/>
      </rPr>
      <t>移动应用探索中心</t>
    </r>
    <r>
      <rPr>
        <sz val="10"/>
        <rFont val="Calibri"/>
        <family val="2"/>
      </rPr>
      <t>(MADC)</t>
    </r>
    <phoneticPr fontId="6" type="noConversion"/>
  </si>
  <si>
    <r>
      <rPr>
        <sz val="10"/>
        <rFont val="宋体"/>
        <family val="3"/>
        <charset val="134"/>
      </rPr>
      <t>焦点</t>
    </r>
    <phoneticPr fontId="6" type="noConversion"/>
  </si>
  <si>
    <r>
      <rPr>
        <sz val="10"/>
        <rFont val="宋体"/>
        <family val="3"/>
        <charset val="134"/>
      </rPr>
      <t>汽车</t>
    </r>
    <phoneticPr fontId="6" type="noConversion"/>
  </si>
  <si>
    <r>
      <rPr>
        <sz val="10"/>
        <rFont val="宋体"/>
        <family val="3"/>
        <charset val="134"/>
      </rPr>
      <t>视频</t>
    </r>
    <phoneticPr fontId="6" type="noConversion"/>
  </si>
  <si>
    <t>月费用</t>
    <phoneticPr fontId="5" type="noConversion"/>
  </si>
  <si>
    <r>
      <rPr>
        <sz val="10"/>
        <color indexed="8"/>
        <rFont val="宋体"/>
        <family val="3"/>
        <charset val="134"/>
      </rPr>
      <t>网络大厦</t>
    </r>
    <r>
      <rPr>
        <sz val="10"/>
        <color indexed="8"/>
        <rFont val="宋体"/>
        <family val="3"/>
        <charset val="134"/>
      </rPr>
      <t>茶水间阿姨工资明细</t>
    </r>
    <r>
      <rPr>
        <sz val="10"/>
        <color indexed="8"/>
        <rFont val="Calibri"/>
        <family val="2"/>
      </rPr>
      <t>-</t>
    </r>
    <r>
      <rPr>
        <sz val="10"/>
        <color indexed="8"/>
        <rFont val="宋体"/>
        <family val="3"/>
        <charset val="134"/>
      </rPr>
      <t>搜狐</t>
    </r>
    <phoneticPr fontId="6" type="noConversion"/>
  </si>
  <si>
    <r>
      <rPr>
        <sz val="10"/>
        <rFont val="宋体"/>
        <family val="3"/>
        <charset val="134"/>
      </rPr>
      <t xml:space="preserve">团体
人身意外保险
</t>
    </r>
    <r>
      <rPr>
        <sz val="10"/>
        <rFont val="Calibri"/>
        <family val="2"/>
      </rPr>
      <t>(f)</t>
    </r>
    <phoneticPr fontId="5" type="noConversion"/>
  </si>
  <si>
    <r>
      <rPr>
        <sz val="10"/>
        <rFont val="宋体"/>
        <family val="3"/>
        <charset val="134"/>
      </rPr>
      <t xml:space="preserve">年费用
</t>
    </r>
    <r>
      <rPr>
        <sz val="10"/>
        <rFont val="Calibri"/>
        <family val="2"/>
      </rPr>
      <t>(g=d*12+e+f)</t>
    </r>
    <phoneticPr fontId="5" type="noConversion"/>
  </si>
  <si>
    <t>备注</t>
    <phoneticPr fontId="5" type="noConversion"/>
  </si>
  <si>
    <t>序号</t>
    <phoneticPr fontId="6" type="noConversion"/>
  </si>
  <si>
    <t>真实姓名</t>
    <phoneticPr fontId="6" type="noConversion"/>
  </si>
  <si>
    <t>职务</t>
    <phoneticPr fontId="6" type="noConversion"/>
  </si>
  <si>
    <t>服务时间</t>
    <phoneticPr fontId="6" type="noConversion"/>
  </si>
  <si>
    <r>
      <rPr>
        <sz val="10"/>
        <rFont val="宋体"/>
        <family val="3"/>
        <charset val="134"/>
      </rPr>
      <t xml:space="preserve">外包公司
劳务月服务费
</t>
    </r>
    <r>
      <rPr>
        <sz val="10"/>
        <rFont val="Calibri"/>
        <family val="2"/>
      </rPr>
      <t>(b)</t>
    </r>
    <phoneticPr fontId="5" type="noConversion"/>
  </si>
  <si>
    <r>
      <rPr>
        <sz val="10"/>
        <rFont val="宋体"/>
        <family val="3"/>
        <charset val="134"/>
      </rPr>
      <t xml:space="preserve">未退休人员
月社保费
</t>
    </r>
    <r>
      <rPr>
        <sz val="10"/>
        <rFont val="Calibri"/>
        <family val="2"/>
      </rPr>
      <t>(c )</t>
    </r>
    <phoneticPr fontId="5" type="noConversion"/>
  </si>
  <si>
    <t>Total
(d=a+b+c)</t>
    <phoneticPr fontId="5" type="noConversion"/>
  </si>
  <si>
    <r>
      <rPr>
        <sz val="10"/>
        <rFont val="宋体"/>
        <family val="3"/>
        <charset val="134"/>
      </rPr>
      <t>金额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)</t>
    </r>
    <phoneticPr fontId="6" type="noConversion"/>
  </si>
  <si>
    <t>比例</t>
    <phoneticPr fontId="6" type="noConversion"/>
  </si>
  <si>
    <r>
      <t>2011.7</t>
    </r>
    <r>
      <rPr>
        <sz val="10"/>
        <rFont val="宋体"/>
        <family val="3"/>
        <charset val="134"/>
      </rPr>
      <t>入职</t>
    </r>
    <phoneticPr fontId="6" type="noConversion"/>
  </si>
  <si>
    <r>
      <rPr>
        <sz val="10"/>
        <rFont val="宋体"/>
        <family val="3"/>
        <charset val="134"/>
      </rPr>
      <t>保洁（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层）</t>
    </r>
    <phoneticPr fontId="6" type="noConversion"/>
  </si>
  <si>
    <r>
      <t>2007.06</t>
    </r>
    <r>
      <rPr>
        <sz val="10"/>
        <rFont val="宋体"/>
        <family val="3"/>
        <charset val="134"/>
      </rPr>
      <t>至今</t>
    </r>
    <phoneticPr fontId="6" type="noConversion"/>
  </si>
  <si>
    <t>Total</t>
    <phoneticPr fontId="6" type="noConversion"/>
  </si>
  <si>
    <r>
      <rPr>
        <sz val="10"/>
        <color indexed="8"/>
        <rFont val="宋体"/>
        <family val="3"/>
        <charset val="134"/>
      </rPr>
      <t>融科</t>
    </r>
    <r>
      <rPr>
        <sz val="10"/>
        <color indexed="8"/>
        <rFont val="Calibri"/>
        <family val="2"/>
      </rPr>
      <t>A</t>
    </r>
    <r>
      <rPr>
        <sz val="10"/>
        <color indexed="8"/>
        <rFont val="宋体"/>
        <family val="3"/>
        <charset val="134"/>
      </rPr>
      <t>座</t>
    </r>
    <r>
      <rPr>
        <sz val="10"/>
        <color indexed="8"/>
        <rFont val="Calibri"/>
        <family val="2"/>
      </rPr>
      <t>4</t>
    </r>
    <r>
      <rPr>
        <sz val="10"/>
        <color indexed="8"/>
        <rFont val="宋体"/>
        <family val="3"/>
        <charset val="134"/>
      </rPr>
      <t>层茶水间阿姨工资明细</t>
    </r>
    <phoneticPr fontId="6" type="noConversion"/>
  </si>
  <si>
    <t>保洁</t>
    <phoneticPr fontId="6" type="noConversion"/>
  </si>
  <si>
    <r>
      <t>2005.01</t>
    </r>
    <r>
      <rPr>
        <sz val="10"/>
        <rFont val="宋体"/>
        <family val="3"/>
        <charset val="134"/>
      </rPr>
      <t>至今</t>
    </r>
    <phoneticPr fontId="6" type="noConversion"/>
  </si>
  <si>
    <t>保洁岗位</t>
    <phoneticPr fontId="5" type="noConversion"/>
  </si>
  <si>
    <r>
      <rPr>
        <sz val="10"/>
        <rFont val="宋体"/>
        <family val="3"/>
        <charset val="134"/>
      </rPr>
      <t>保洁费单价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)</t>
    </r>
    <phoneticPr fontId="5" type="noConversion"/>
  </si>
  <si>
    <t>数量</t>
    <phoneticPr fontId="5" type="noConversion"/>
  </si>
  <si>
    <r>
      <rPr>
        <sz val="10"/>
        <rFont val="宋体"/>
        <family val="3"/>
        <charset val="134"/>
      </rPr>
      <t>保洁费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)</t>
    </r>
    <phoneticPr fontId="5" type="noConversion"/>
  </si>
  <si>
    <t>说明</t>
    <phoneticPr fontId="5" type="noConversion"/>
  </si>
  <si>
    <r>
      <t>7-15</t>
    </r>
    <r>
      <rPr>
        <sz val="10"/>
        <color theme="1"/>
        <rFont val="宋体"/>
        <family val="3"/>
        <charset val="134"/>
      </rPr>
      <t>层保洁费</t>
    </r>
    <phoneticPr fontId="5" type="noConversion"/>
  </si>
  <si>
    <r>
      <rPr>
        <sz val="10"/>
        <color theme="1"/>
        <rFont val="宋体"/>
        <family val="3"/>
        <charset val="134"/>
      </rPr>
      <t>全楼阿姨服务费</t>
    </r>
    <phoneticPr fontId="5" type="noConversion"/>
  </si>
  <si>
    <r>
      <t>10</t>
    </r>
    <r>
      <rPr>
        <sz val="10"/>
        <color theme="1"/>
        <rFont val="宋体"/>
        <family val="3"/>
        <charset val="134"/>
      </rPr>
      <t>层洗杯间阿姨服务费</t>
    </r>
    <phoneticPr fontId="5" type="noConversion"/>
  </si>
  <si>
    <r>
      <rPr>
        <sz val="10"/>
        <color theme="1"/>
        <rFont val="宋体"/>
        <family val="3"/>
        <charset val="134"/>
      </rPr>
      <t>搜狐保洁主管服务费（日班）</t>
    </r>
    <phoneticPr fontId="5" type="noConversion"/>
  </si>
  <si>
    <r>
      <rPr>
        <sz val="10"/>
        <color theme="1"/>
        <rFont val="宋体"/>
        <family val="3"/>
        <charset val="134"/>
      </rPr>
      <t>负责搜狐、融科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family val="3"/>
        <charset val="134"/>
      </rPr>
      <t>、融科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保洁工作秩序的管理（日班）</t>
    </r>
    <phoneticPr fontId="5" type="noConversion"/>
  </si>
  <si>
    <r>
      <rPr>
        <sz val="10"/>
        <color theme="1"/>
        <rFont val="宋体"/>
        <family val="3"/>
        <charset val="134"/>
      </rPr>
      <t>搜狐保洁主管服务费（夜班）</t>
    </r>
    <phoneticPr fontId="5" type="noConversion"/>
  </si>
  <si>
    <r>
      <rPr>
        <sz val="10"/>
        <color theme="1"/>
        <rFont val="宋体"/>
        <family val="3"/>
        <charset val="134"/>
      </rPr>
      <t>负责搜狐、融科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family val="3"/>
        <charset val="134"/>
      </rPr>
      <t>、融科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保洁工作秩序的管理（夜班）</t>
    </r>
    <phoneticPr fontId="5" type="noConversion"/>
  </si>
  <si>
    <t>月保洁费小计</t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</si>
  <si>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3"/>
        <charset val="134"/>
      </rPr>
      <t>层保洁费</t>
    </r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</si>
  <si>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3"/>
        <charset val="134"/>
      </rPr>
      <t>层阿姨服务费</t>
    </r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</si>
  <si>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3"/>
        <charset val="134"/>
      </rPr>
      <t>层地毯清洗费（年）</t>
    </r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</si>
  <si>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层保洁费</t>
    </r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</si>
  <si>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层阿姨服务费</t>
    </r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</si>
  <si>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层地毯清洗费</t>
    </r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</si>
  <si>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层保洁费</t>
    </r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</si>
  <si>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20</t>
    </r>
    <r>
      <rPr>
        <sz val="10"/>
        <color theme="1"/>
        <rFont val="宋体"/>
        <family val="3"/>
        <charset val="134"/>
      </rPr>
      <t>层保洁费</t>
    </r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</si>
  <si>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20</t>
    </r>
    <r>
      <rPr>
        <sz val="10"/>
        <color theme="1"/>
        <rFont val="宋体"/>
        <family val="3"/>
        <charset val="134"/>
      </rPr>
      <t>层阿姨服务费</t>
    </r>
    <phoneticPr fontId="5" type="noConversion"/>
  </si>
  <si>
    <r>
      <rPr>
        <sz val="10"/>
        <color theme="1"/>
        <rFont val="宋体"/>
        <family val="3"/>
        <charset val="134"/>
      </rPr>
      <t>洗杯间阿姨</t>
    </r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</si>
  <si>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层地毯清洗费</t>
    </r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</si>
  <si>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20</t>
    </r>
    <r>
      <rPr>
        <sz val="10"/>
        <color theme="1"/>
        <rFont val="宋体"/>
        <family val="3"/>
        <charset val="134"/>
      </rPr>
      <t>层地毯清洗费</t>
    </r>
    <phoneticPr fontId="5" type="noConversion"/>
  </si>
  <si>
    <t>年地毯清洗费小计</t>
    <phoneticPr fontId="5" type="noConversion"/>
  </si>
  <si>
    <t>焦点月保洁费</t>
    <phoneticPr fontId="5" type="noConversion"/>
  </si>
  <si>
    <t>焦点年度地毯费</t>
    <phoneticPr fontId="5" type="noConversion"/>
  </si>
  <si>
    <r>
      <rPr>
        <b/>
        <sz val="10"/>
        <color indexed="8"/>
        <rFont val="宋体"/>
        <family val="3"/>
        <charset val="134"/>
      </rPr>
      <t>媒体大厦此部分包含在物业费当中</t>
    </r>
    <phoneticPr fontId="5" type="noConversion"/>
  </si>
  <si>
    <r>
      <rPr>
        <sz val="10"/>
        <rFont val="宋体"/>
        <family val="3"/>
        <charset val="134"/>
      </rPr>
      <t>岗位名称</t>
    </r>
    <phoneticPr fontId="5" type="noConversion"/>
  </si>
  <si>
    <r>
      <rPr>
        <sz val="10"/>
        <rFont val="宋体"/>
        <family val="3"/>
        <charset val="134"/>
      </rPr>
      <t>岗位负责区域</t>
    </r>
    <phoneticPr fontId="5" type="noConversion"/>
  </si>
  <si>
    <r>
      <rPr>
        <sz val="10"/>
        <rFont val="宋体"/>
        <family val="3"/>
        <charset val="134"/>
      </rPr>
      <t>岗位数量</t>
    </r>
  </si>
  <si>
    <r>
      <rPr>
        <sz val="10"/>
        <rFont val="宋体"/>
        <family val="3"/>
        <charset val="134"/>
      </rPr>
      <t>标准工时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小时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天</t>
    </r>
    <r>
      <rPr>
        <sz val="10"/>
        <rFont val="Calibri"/>
        <family val="2"/>
      </rPr>
      <t>)</t>
    </r>
    <phoneticPr fontId="5" type="noConversion"/>
  </si>
  <si>
    <r>
      <rPr>
        <sz val="10"/>
        <rFont val="宋体"/>
        <family val="3"/>
        <charset val="134"/>
      </rPr>
      <t>需保安数量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)</t>
    </r>
    <phoneticPr fontId="5" type="noConversion"/>
  </si>
  <si>
    <r>
      <rPr>
        <sz val="10"/>
        <rFont val="宋体"/>
        <family val="3"/>
        <charset val="134"/>
      </rPr>
      <t>服务费单价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)</t>
    </r>
    <phoneticPr fontId="5" type="noConversion"/>
  </si>
  <si>
    <r>
      <rPr>
        <sz val="10"/>
        <rFont val="宋体"/>
        <family val="3"/>
        <charset val="134"/>
      </rPr>
      <t>服务费总额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Calibri"/>
        <family val="2"/>
      </rPr>
      <t>)</t>
    </r>
    <phoneticPr fontId="5" type="noConversion"/>
  </si>
  <si>
    <r>
      <rPr>
        <sz val="10"/>
        <rFont val="宋体"/>
        <family val="3"/>
        <charset val="134"/>
      </rPr>
      <t>岗位工时</t>
    </r>
  </si>
  <si>
    <r>
      <rPr>
        <sz val="10"/>
        <rFont val="宋体"/>
        <family val="3"/>
        <charset val="134"/>
      </rPr>
      <t>保安员工时</t>
    </r>
    <phoneticPr fontId="5" type="noConversion"/>
  </si>
  <si>
    <r>
      <t>(c</t>
    </r>
    <r>
      <rPr>
        <sz val="10"/>
        <rFont val="宋体"/>
        <family val="3"/>
        <charset val="134"/>
      </rPr>
      <t>）</t>
    </r>
    <phoneticPr fontId="5" type="noConversion"/>
  </si>
  <si>
    <t>(d=a*b/c)</t>
    <phoneticPr fontId="5" type="noConversion"/>
  </si>
  <si>
    <t>(e)</t>
    <phoneticPr fontId="5" type="noConversion"/>
  </si>
  <si>
    <t>(f=d*e)</t>
    <phoneticPr fontId="5" type="noConversion"/>
  </si>
  <si>
    <r>
      <rPr>
        <sz val="10"/>
        <rFont val="宋体"/>
        <family val="3"/>
        <charset val="134"/>
      </rPr>
      <t>固定岗</t>
    </r>
    <phoneticPr fontId="5" type="noConversion"/>
  </si>
  <si>
    <r>
      <rPr>
        <sz val="10"/>
        <rFont val="宋体"/>
        <family val="3"/>
        <charset val="134"/>
      </rPr>
      <t>中控室</t>
    </r>
    <phoneticPr fontId="5" type="noConversion"/>
  </si>
  <si>
    <r>
      <rPr>
        <sz val="10"/>
        <rFont val="宋体"/>
        <family val="3"/>
        <charset val="134"/>
      </rPr>
      <t>流动岗</t>
    </r>
  </si>
  <si>
    <r>
      <rPr>
        <sz val="10"/>
        <rFont val="宋体"/>
        <family val="3"/>
        <charset val="134"/>
      </rPr>
      <t>驻场队长</t>
    </r>
    <phoneticPr fontId="5" type="noConversion"/>
  </si>
  <si>
    <r>
      <rPr>
        <sz val="10"/>
        <rFont val="宋体"/>
        <family val="3"/>
        <charset val="134"/>
      </rPr>
      <t>月服务费小计</t>
    </r>
    <phoneticPr fontId="5" type="noConversion"/>
  </si>
  <si>
    <r>
      <rPr>
        <sz val="10"/>
        <rFont val="宋体"/>
        <family val="3"/>
        <charset val="134"/>
      </rPr>
      <t>公司项目、活动支持</t>
    </r>
    <r>
      <rPr>
        <sz val="10"/>
        <rFont val="Calibri"/>
        <family val="2"/>
      </rPr>
      <t>OT</t>
    </r>
    <r>
      <rPr>
        <sz val="10"/>
        <rFont val="宋体"/>
        <family val="3"/>
        <charset val="134"/>
      </rPr>
      <t>费</t>
    </r>
    <phoneticPr fontId="5" type="noConversion"/>
  </si>
  <si>
    <r>
      <rPr>
        <sz val="10"/>
        <rFont val="宋体"/>
        <family val="3"/>
        <charset val="134"/>
      </rPr>
      <t>月服务费合计估算值</t>
    </r>
    <phoneticPr fontId="5" type="noConversion"/>
  </si>
  <si>
    <r>
      <rPr>
        <sz val="10"/>
        <rFont val="宋体"/>
        <family val="3"/>
        <charset val="134"/>
      </rPr>
      <t>岗位设置</t>
    </r>
  </si>
  <si>
    <r>
      <rPr>
        <sz val="10"/>
        <rFont val="宋体"/>
        <family val="3"/>
        <charset val="134"/>
      </rPr>
      <t>前台公共区域及通道公共区域</t>
    </r>
    <phoneticPr fontId="5" type="noConversion"/>
  </si>
  <si>
    <r>
      <rPr>
        <sz val="10"/>
        <rFont val="宋体"/>
        <family val="3"/>
        <charset val="134"/>
      </rPr>
      <t>流动岗</t>
    </r>
    <phoneticPr fontId="5" type="noConversion"/>
  </si>
  <si>
    <r>
      <rPr>
        <sz val="10"/>
        <rFont val="宋体"/>
        <family val="3"/>
        <charset val="134"/>
      </rPr>
      <t>前台外两处门禁及办公区域</t>
    </r>
    <phoneticPr fontId="5" type="noConversion"/>
  </si>
  <si>
    <r>
      <rPr>
        <sz val="10"/>
        <rFont val="宋体"/>
        <family val="3"/>
        <charset val="134"/>
      </rPr>
      <t>驻场班长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</si>
  <si>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座班长</t>
    </r>
    <phoneticPr fontId="5" type="noConversion"/>
  </si>
  <si>
    <r>
      <t>19</t>
    </r>
    <r>
      <rPr>
        <sz val="10"/>
        <rFont val="宋体"/>
        <family val="3"/>
        <charset val="134"/>
      </rPr>
      <t>层固定岗</t>
    </r>
    <phoneticPr fontId="5" type="noConversion"/>
  </si>
  <si>
    <r>
      <t>20</t>
    </r>
    <r>
      <rPr>
        <sz val="10"/>
        <rFont val="宋体"/>
        <family val="3"/>
        <charset val="134"/>
      </rPr>
      <t>层固定岗</t>
    </r>
    <phoneticPr fontId="5" type="noConversion"/>
  </si>
  <si>
    <r>
      <rPr>
        <sz val="10"/>
        <rFont val="宋体"/>
        <family val="3"/>
        <charset val="134"/>
      </rPr>
      <t>前台公共区域及货梯区域</t>
    </r>
    <phoneticPr fontId="5" type="noConversion"/>
  </si>
  <si>
    <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层办公区及消防楼梯</t>
    </r>
    <phoneticPr fontId="5" type="noConversion"/>
  </si>
  <si>
    <t>电费</t>
    <phoneticPr fontId="5" type="noConversion"/>
  </si>
  <si>
    <t>月份</t>
    <phoneticPr fontId="6" type="noConversion"/>
  </si>
  <si>
    <t>网络大厦</t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</si>
  <si>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3"/>
        <charset val="134"/>
      </rPr>
      <t>层</t>
    </r>
    <phoneticPr fontId="5" type="noConversion"/>
  </si>
  <si>
    <r>
      <rPr>
        <sz val="10"/>
        <rFont val="宋体"/>
        <family val="3"/>
        <charset val="134"/>
      </rPr>
      <t>用电量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度</t>
    </r>
    <r>
      <rPr>
        <sz val="10"/>
        <rFont val="Calibri"/>
        <family val="2"/>
      </rPr>
      <t>)</t>
    </r>
    <phoneticPr fontId="6" type="noConversion"/>
  </si>
  <si>
    <r>
      <rPr>
        <sz val="10"/>
        <rFont val="宋体"/>
        <family val="3"/>
        <charset val="134"/>
      </rPr>
      <t>单价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度</t>
    </r>
    <r>
      <rPr>
        <sz val="10"/>
        <rFont val="Calibri"/>
        <family val="2"/>
      </rPr>
      <t>)</t>
    </r>
    <phoneticPr fontId="6" type="noConversion"/>
  </si>
  <si>
    <r>
      <rPr>
        <sz val="10"/>
        <rFont val="宋体"/>
        <family val="3"/>
        <charset val="134"/>
      </rPr>
      <t>小计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)</t>
    </r>
    <phoneticPr fontId="6" type="noConversion"/>
  </si>
  <si>
    <t>1</t>
    <phoneticPr fontId="6" type="noConversion"/>
  </si>
  <si>
    <t>2</t>
  </si>
  <si>
    <t>3</t>
  </si>
  <si>
    <t>4</t>
  </si>
  <si>
    <t>5</t>
  </si>
  <si>
    <t>6</t>
  </si>
  <si>
    <t>7</t>
  </si>
  <si>
    <t>8</t>
  </si>
  <si>
    <t>9</t>
  </si>
  <si>
    <t>合计</t>
    <phoneticPr fontId="5" type="noConversion"/>
  </si>
  <si>
    <r>
      <rPr>
        <sz val="10"/>
        <rFont val="宋体"/>
        <family val="3"/>
        <charset val="134"/>
      </rPr>
      <t>月平均用电量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电费</t>
    </r>
    <phoneticPr fontId="5" type="noConversion"/>
  </si>
  <si>
    <t>饮用水</t>
    <phoneticPr fontId="5" type="noConversion"/>
  </si>
  <si>
    <t>单价</t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</si>
  <si>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20</t>
    </r>
    <r>
      <rPr>
        <sz val="10"/>
        <color theme="1"/>
        <rFont val="宋体"/>
        <family val="3"/>
        <charset val="134"/>
      </rPr>
      <t>层</t>
    </r>
    <phoneticPr fontId="5" type="noConversion"/>
  </si>
  <si>
    <t>老板公寓</t>
    <phoneticPr fontId="5" type="noConversion"/>
  </si>
  <si>
    <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桶</t>
    </r>
    <r>
      <rPr>
        <sz val="10"/>
        <rFont val="Calibri"/>
        <family val="2"/>
      </rPr>
      <t>)</t>
    </r>
    <phoneticPr fontId="5" type="noConversion"/>
  </si>
  <si>
    <r>
      <rPr>
        <sz val="10"/>
        <rFont val="宋体"/>
        <family val="3"/>
        <charset val="134"/>
      </rPr>
      <t>月用水量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桶</t>
    </r>
    <r>
      <rPr>
        <sz val="10"/>
        <rFont val="Calibri"/>
        <family val="2"/>
      </rPr>
      <t>)</t>
    </r>
    <phoneticPr fontId="6" type="noConversion"/>
  </si>
  <si>
    <r>
      <rPr>
        <sz val="10"/>
        <rFont val="宋体"/>
        <family val="3"/>
        <charset val="134"/>
      </rPr>
      <t>月费用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)</t>
    </r>
    <phoneticPr fontId="6" type="noConversion"/>
  </si>
  <si>
    <r>
      <rPr>
        <sz val="10"/>
        <rFont val="宋体"/>
        <family val="3"/>
        <charset val="134"/>
      </rPr>
      <t>月用水量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大桶</t>
    </r>
    <r>
      <rPr>
        <sz val="10"/>
        <rFont val="Calibri"/>
        <family val="2"/>
      </rPr>
      <t>)</t>
    </r>
    <phoneticPr fontId="6" type="noConversion"/>
  </si>
  <si>
    <r>
      <rPr>
        <sz val="10"/>
        <rFont val="宋体"/>
        <family val="3"/>
        <charset val="134"/>
      </rPr>
      <t>月用水量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小桶</t>
    </r>
    <r>
      <rPr>
        <sz val="10"/>
        <rFont val="Calibri"/>
        <family val="2"/>
      </rPr>
      <t>)</t>
    </r>
    <phoneticPr fontId="6" type="noConversion"/>
  </si>
  <si>
    <t>月用水量合计</t>
    <phoneticPr fontId="6" type="noConversion"/>
  </si>
  <si>
    <r>
      <rPr>
        <sz val="10"/>
        <rFont val="宋体"/>
        <family val="3"/>
        <charset val="134"/>
      </rPr>
      <t>月费用合计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)</t>
    </r>
    <phoneticPr fontId="6" type="noConversion"/>
  </si>
  <si>
    <r>
      <rPr>
        <sz val="10"/>
        <rFont val="宋体"/>
        <family val="3"/>
        <charset val="134"/>
      </rPr>
      <t>月平均使用量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费用</t>
    </r>
    <phoneticPr fontId="5" type="noConversion"/>
  </si>
  <si>
    <t>绿植</t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</si>
  <si>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20</t>
    </r>
    <r>
      <rPr>
        <sz val="10"/>
        <color theme="1"/>
        <rFont val="宋体"/>
        <family val="3"/>
        <charset val="134"/>
      </rPr>
      <t>层（焦点）</t>
    </r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</si>
  <si>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层（搜狐）</t>
    </r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</si>
  <si>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层（焦点）</t>
    </r>
    <phoneticPr fontId="5" type="noConversion"/>
  </si>
  <si>
    <t>月平均费用</t>
    <phoneticPr fontId="5" type="noConversion"/>
  </si>
  <si>
    <t>茶间用品</t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</si>
  <si>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层搜狐</t>
    </r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</si>
  <si>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20</t>
    </r>
    <r>
      <rPr>
        <sz val="10"/>
        <color theme="1"/>
        <rFont val="宋体"/>
        <family val="3"/>
        <charset val="134"/>
      </rPr>
      <t>层</t>
    </r>
    <phoneticPr fontId="5" type="noConversion"/>
  </si>
  <si>
    <r>
      <rPr>
        <sz val="10"/>
        <rFont val="宋体"/>
        <family val="3"/>
        <charset val="134"/>
      </rPr>
      <t>焦点月费用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)</t>
    </r>
    <phoneticPr fontId="6" type="noConversion"/>
  </si>
  <si>
    <t>10</t>
    <phoneticPr fontId="6" type="noConversion"/>
  </si>
  <si>
    <t>门卡、桌牌等</t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</si>
  <si>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层新增工位牌、坐席卡卡壳等项目预算</t>
    </r>
    <phoneticPr fontId="5" type="noConversion"/>
  </si>
  <si>
    <t>种类</t>
    <phoneticPr fontId="5" type="noConversion"/>
  </si>
  <si>
    <t>工位牌</t>
    <phoneticPr fontId="5" type="noConversion"/>
  </si>
  <si>
    <t>坐席卡卡壳</t>
    <phoneticPr fontId="5" type="noConversion"/>
  </si>
  <si>
    <t>会议室、老板间名牌</t>
    <phoneticPr fontId="5" type="noConversion"/>
  </si>
  <si>
    <t>会议室预定牌</t>
    <phoneticPr fontId="5" type="noConversion"/>
  </si>
  <si>
    <t>会议室投影仪使用说明</t>
    <phoneticPr fontId="5" type="noConversion"/>
  </si>
  <si>
    <t>会议室禁烟、注意事项标牌</t>
    <phoneticPr fontId="5" type="noConversion"/>
  </si>
  <si>
    <t>玻璃门推拉贴</t>
    <phoneticPr fontId="5" type="noConversion"/>
  </si>
  <si>
    <r>
      <rPr>
        <sz val="10"/>
        <color rgb="FF000000"/>
        <rFont val="宋体"/>
        <family val="3"/>
        <charset val="134"/>
      </rPr>
      <t>数量</t>
    </r>
    <r>
      <rPr>
        <sz val="10"/>
        <color rgb="FF000000"/>
        <rFont val="Calibri"/>
        <family val="2"/>
      </rPr>
      <t/>
    </r>
    <phoneticPr fontId="5" type="noConversion"/>
  </si>
  <si>
    <t>项目预计费用</t>
    <phoneticPr fontId="5" type="noConversion"/>
  </si>
  <si>
    <r>
      <rPr>
        <sz val="10"/>
        <rFont val="宋体"/>
        <family val="3"/>
        <charset val="134"/>
      </rPr>
      <t>网络大厦、融科</t>
    </r>
    <r>
      <rPr>
        <sz val="10"/>
        <rFont val="Calibri"/>
        <family val="2"/>
      </rPr>
      <t>A4</t>
    </r>
    <r>
      <rPr>
        <sz val="10"/>
        <rFont val="宋体"/>
        <family val="3"/>
        <charset val="134"/>
      </rPr>
      <t>、融科</t>
    </r>
    <r>
      <rPr>
        <sz val="10"/>
        <rFont val="Calibri"/>
        <family val="2"/>
      </rPr>
      <t>C19-20</t>
    </r>
    <r>
      <rPr>
        <sz val="10"/>
        <rFont val="宋体"/>
        <family val="3"/>
        <charset val="134"/>
      </rPr>
      <t>、同方</t>
    </r>
    <r>
      <rPr>
        <sz val="10"/>
        <rFont val="Calibri"/>
        <family val="2"/>
      </rPr>
      <t>D7-D8</t>
    </r>
    <r>
      <rPr>
        <sz val="10"/>
        <rFont val="宋体"/>
        <family val="3"/>
        <charset val="134"/>
      </rPr>
      <t>费用预算</t>
    </r>
    <r>
      <rPr>
        <sz val="10"/>
        <rFont val="Calibri"/>
        <family val="2"/>
      </rPr>
      <t/>
    </r>
    <phoneticPr fontId="5" type="noConversion"/>
  </si>
  <si>
    <t>序号</t>
  </si>
  <si>
    <r>
      <rPr>
        <sz val="10"/>
        <color rgb="FF000000"/>
        <rFont val="宋体"/>
        <family val="3"/>
        <charset val="134"/>
      </rPr>
      <t>搜狐</t>
    </r>
    <phoneticPr fontId="5" type="noConversion"/>
  </si>
  <si>
    <t>门禁卡</t>
  </si>
  <si>
    <r>
      <rPr>
        <sz val="10"/>
        <color rgb="FF000000"/>
        <rFont val="宋体"/>
        <family val="3"/>
        <charset val="134"/>
      </rPr>
      <t>胸卡贴</t>
    </r>
    <r>
      <rPr>
        <sz val="10"/>
        <color rgb="FF000000"/>
        <rFont val="Calibri"/>
        <family val="2"/>
      </rPr>
      <t>/</t>
    </r>
    <r>
      <rPr>
        <sz val="10"/>
        <color rgb="FF000000"/>
        <rFont val="宋体"/>
        <family val="3"/>
        <charset val="134"/>
      </rPr>
      <t>班车证</t>
    </r>
    <phoneticPr fontId="5" type="noConversion"/>
  </si>
  <si>
    <r>
      <rPr>
        <sz val="10"/>
        <color rgb="FF000000"/>
        <rFont val="宋体"/>
        <family val="3"/>
        <charset val="134"/>
      </rPr>
      <t>坐席卡卡壳</t>
    </r>
    <r>
      <rPr>
        <sz val="10"/>
        <color rgb="FF000000"/>
        <rFont val="Calibri"/>
        <family val="2"/>
      </rPr>
      <t>/</t>
    </r>
    <r>
      <rPr>
        <sz val="10"/>
        <color rgb="FF000000"/>
        <rFont val="宋体"/>
        <family val="3"/>
        <charset val="134"/>
      </rPr>
      <t>三角卡壳</t>
    </r>
    <phoneticPr fontId="5" type="noConversion"/>
  </si>
  <si>
    <t>门禁卡挂绳</t>
  </si>
  <si>
    <t>门禁卡卡壳</t>
  </si>
  <si>
    <t>价值观卡贴</t>
  </si>
  <si>
    <t>月费用</t>
    <phoneticPr fontId="5" type="noConversion"/>
  </si>
  <si>
    <r>
      <t>2014</t>
    </r>
    <r>
      <rPr>
        <sz val="10"/>
        <color rgb="FF000000"/>
        <rFont val="宋体"/>
        <family val="3"/>
        <charset val="134"/>
      </rPr>
      <t>年价格上涨率</t>
    </r>
    <phoneticPr fontId="5" type="noConversion"/>
  </si>
  <si>
    <r>
      <t>2014</t>
    </r>
    <r>
      <rPr>
        <sz val="10"/>
        <color rgb="FF000000"/>
        <rFont val="宋体"/>
        <family val="3"/>
        <charset val="134"/>
      </rPr>
      <t>年预计月费用</t>
    </r>
    <phoneticPr fontId="5" type="noConversion"/>
  </si>
  <si>
    <t>家具维修</t>
    <phoneticPr fontId="5" type="noConversion"/>
  </si>
  <si>
    <r>
      <rPr>
        <sz val="10"/>
        <color rgb="FF000000"/>
        <rFont val="宋体"/>
        <family val="3"/>
        <charset val="134"/>
      </rPr>
      <t>根据</t>
    </r>
    <r>
      <rPr>
        <sz val="10"/>
        <color rgb="FF000000"/>
        <rFont val="Calibri"/>
        <family val="2"/>
      </rPr>
      <t>2013</t>
    </r>
    <r>
      <rPr>
        <sz val="10"/>
        <color rgb="FF000000"/>
        <rFont val="宋体"/>
        <family val="3"/>
        <charset val="134"/>
      </rPr>
      <t>年</t>
    </r>
    <r>
      <rPr>
        <sz val="10"/>
        <color rgb="FF000000"/>
        <rFont val="Calibri"/>
        <family val="2"/>
      </rPr>
      <t>1-6</t>
    </r>
    <r>
      <rPr>
        <sz val="10"/>
        <color rgb="FF000000"/>
        <rFont val="宋体"/>
        <family val="3"/>
        <charset val="134"/>
      </rPr>
      <t>月家具维修费用统计</t>
    </r>
    <phoneticPr fontId="5" type="noConversion"/>
  </si>
  <si>
    <t>月份</t>
    <phoneticPr fontId="5" type="noConversion"/>
  </si>
  <si>
    <t>家具维修</t>
  </si>
  <si>
    <r>
      <t>2014</t>
    </r>
    <r>
      <rPr>
        <sz val="10"/>
        <rFont val="宋体"/>
        <family val="3"/>
        <charset val="134"/>
      </rPr>
      <t>年人员增长率</t>
    </r>
    <phoneticPr fontId="5" type="noConversion"/>
  </si>
  <si>
    <r>
      <t>2014</t>
    </r>
    <r>
      <rPr>
        <sz val="10"/>
        <rFont val="宋体"/>
        <family val="3"/>
        <charset val="134"/>
      </rPr>
      <t>年物价增长率</t>
    </r>
    <phoneticPr fontId="5" type="noConversion"/>
  </si>
  <si>
    <r>
      <t>2014</t>
    </r>
    <r>
      <rPr>
        <sz val="10"/>
        <rFont val="宋体"/>
        <family val="3"/>
        <charset val="134"/>
      </rPr>
      <t>年因家具老化维修费增长率</t>
    </r>
    <phoneticPr fontId="5" type="noConversion"/>
  </si>
  <si>
    <r>
      <t>2014</t>
    </r>
    <r>
      <rPr>
        <sz val="10"/>
        <rFont val="宋体"/>
        <family val="3"/>
        <charset val="134"/>
      </rPr>
      <t>年预计月费用</t>
    </r>
    <phoneticPr fontId="5" type="noConversion"/>
  </si>
  <si>
    <t>文具采购（sohu）</t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</si>
  <si>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2012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1-12</t>
    </r>
    <r>
      <rPr>
        <sz val="11"/>
        <rFont val="宋体"/>
        <family val="3"/>
        <charset val="134"/>
      </rPr>
      <t>月文具费用统计</t>
    </r>
    <phoneticPr fontId="6" type="noConversion"/>
  </si>
  <si>
    <r>
      <rPr>
        <sz val="10"/>
        <rFont val="宋体"/>
        <family val="3"/>
        <charset val="134"/>
      </rPr>
      <t>根据</t>
    </r>
    <r>
      <rPr>
        <sz val="10"/>
        <rFont val="Calibri"/>
        <family val="2"/>
      </rPr>
      <t>2013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1-10</t>
    </r>
    <r>
      <rPr>
        <sz val="10"/>
        <rFont val="宋体"/>
        <family val="3"/>
        <charset val="134"/>
      </rPr>
      <t>月文具费用统计</t>
    </r>
    <phoneticPr fontId="5" type="noConversion"/>
  </si>
  <si>
    <t>月份</t>
  </si>
  <si>
    <t>ES费用支出项目</t>
  </si>
  <si>
    <t>金额</t>
  </si>
  <si>
    <t>Facility Maintenance</t>
  </si>
  <si>
    <t>2013年预计年费用</t>
  </si>
  <si>
    <t>月平均费用</t>
  </si>
  <si>
    <r>
      <t>2014</t>
    </r>
    <r>
      <rPr>
        <sz val="10"/>
        <rFont val="宋体"/>
        <family val="3"/>
        <charset val="134"/>
      </rPr>
      <t>年预计年费用</t>
    </r>
    <phoneticPr fontId="5" type="noConversion"/>
  </si>
  <si>
    <t>预计增长20%</t>
  </si>
  <si>
    <t>门卡、桌牌等</t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</si>
  <si>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层新增工位牌、坐席卡卡壳等项目预算</t>
    </r>
    <phoneticPr fontId="5" type="noConversion"/>
  </si>
  <si>
    <t>种类</t>
    <phoneticPr fontId="5" type="noConversion"/>
  </si>
  <si>
    <t>工位牌</t>
    <phoneticPr fontId="5" type="noConversion"/>
  </si>
  <si>
    <t>坐席卡卡壳</t>
    <phoneticPr fontId="5" type="noConversion"/>
  </si>
  <si>
    <t>会议室、老板间名牌</t>
    <phoneticPr fontId="5" type="noConversion"/>
  </si>
  <si>
    <t>会议室预定牌</t>
    <phoneticPr fontId="5" type="noConversion"/>
  </si>
  <si>
    <t>会议室投影仪使用说明</t>
    <phoneticPr fontId="5" type="noConversion"/>
  </si>
  <si>
    <t>会议室禁烟、注意事项标牌</t>
    <phoneticPr fontId="5" type="noConversion"/>
  </si>
  <si>
    <t>玻璃门推拉贴</t>
    <phoneticPr fontId="5" type="noConversion"/>
  </si>
  <si>
    <t>Total</t>
    <phoneticPr fontId="5" type="noConversion"/>
  </si>
  <si>
    <t>单价</t>
    <phoneticPr fontId="5" type="noConversion"/>
  </si>
  <si>
    <r>
      <rPr>
        <sz val="10"/>
        <color rgb="FF000000"/>
        <rFont val="宋体"/>
        <family val="3"/>
        <charset val="134"/>
      </rPr>
      <t>数量</t>
    </r>
    <r>
      <rPr>
        <sz val="10"/>
        <color rgb="FF000000"/>
        <rFont val="Calibri"/>
        <family val="2"/>
      </rPr>
      <t/>
    </r>
    <phoneticPr fontId="5" type="noConversion"/>
  </si>
  <si>
    <t>项目预计费用</t>
    <phoneticPr fontId="5" type="noConversion"/>
  </si>
  <si>
    <r>
      <rPr>
        <sz val="10"/>
        <rFont val="宋体"/>
        <family val="3"/>
        <charset val="134"/>
      </rPr>
      <t>网络大厦、融科</t>
    </r>
    <r>
      <rPr>
        <sz val="10"/>
        <rFont val="Calibri"/>
        <family val="2"/>
      </rPr>
      <t>A4</t>
    </r>
    <r>
      <rPr>
        <sz val="10"/>
        <rFont val="宋体"/>
        <family val="3"/>
        <charset val="134"/>
      </rPr>
      <t>、融科</t>
    </r>
    <r>
      <rPr>
        <sz val="10"/>
        <rFont val="Calibri"/>
        <family val="2"/>
      </rPr>
      <t>C19-20</t>
    </r>
    <r>
      <rPr>
        <sz val="10"/>
        <rFont val="宋体"/>
        <family val="3"/>
        <charset val="134"/>
      </rPr>
      <t>、同方</t>
    </r>
    <r>
      <rPr>
        <sz val="10"/>
        <rFont val="Calibri"/>
        <family val="2"/>
      </rPr>
      <t>D7-D8</t>
    </r>
    <r>
      <rPr>
        <sz val="10"/>
        <rFont val="宋体"/>
        <family val="3"/>
        <charset val="134"/>
      </rPr>
      <t>费用预算</t>
    </r>
    <r>
      <rPr>
        <sz val="10"/>
        <rFont val="Calibri"/>
        <family val="2"/>
      </rPr>
      <t/>
    </r>
    <phoneticPr fontId="5" type="noConversion"/>
  </si>
  <si>
    <r>
      <rPr>
        <sz val="10"/>
        <color rgb="FF000000"/>
        <rFont val="宋体"/>
        <family val="3"/>
        <charset val="134"/>
      </rPr>
      <t>搜狐</t>
    </r>
    <phoneticPr fontId="5" type="noConversion"/>
  </si>
  <si>
    <r>
      <rPr>
        <sz val="10"/>
        <color rgb="FF000000"/>
        <rFont val="宋体"/>
        <family val="3"/>
        <charset val="134"/>
      </rPr>
      <t>胸卡贴</t>
    </r>
    <r>
      <rPr>
        <sz val="10"/>
        <color rgb="FF000000"/>
        <rFont val="Calibri"/>
        <family val="2"/>
      </rPr>
      <t>/</t>
    </r>
    <r>
      <rPr>
        <sz val="10"/>
        <color rgb="FF000000"/>
        <rFont val="宋体"/>
        <family val="3"/>
        <charset val="134"/>
      </rPr>
      <t>班车证</t>
    </r>
    <phoneticPr fontId="5" type="noConversion"/>
  </si>
  <si>
    <r>
      <rPr>
        <sz val="10"/>
        <color rgb="FF000000"/>
        <rFont val="宋体"/>
        <family val="3"/>
        <charset val="134"/>
      </rPr>
      <t>坐席卡卡壳</t>
    </r>
    <r>
      <rPr>
        <sz val="10"/>
        <color rgb="FF000000"/>
        <rFont val="Calibri"/>
        <family val="2"/>
      </rPr>
      <t>/</t>
    </r>
    <r>
      <rPr>
        <sz val="10"/>
        <color rgb="FF000000"/>
        <rFont val="宋体"/>
        <family val="3"/>
        <charset val="134"/>
      </rPr>
      <t>三角卡壳</t>
    </r>
    <phoneticPr fontId="5" type="noConversion"/>
  </si>
  <si>
    <r>
      <t>2014</t>
    </r>
    <r>
      <rPr>
        <sz val="10"/>
        <color rgb="FF000000"/>
        <rFont val="宋体"/>
        <family val="3"/>
        <charset val="134"/>
      </rPr>
      <t>年价格上涨率</t>
    </r>
    <phoneticPr fontId="5" type="noConversion"/>
  </si>
  <si>
    <r>
      <t>2014</t>
    </r>
    <r>
      <rPr>
        <sz val="10"/>
        <color rgb="FF000000"/>
        <rFont val="宋体"/>
        <family val="3"/>
        <charset val="134"/>
      </rPr>
      <t>年预计月费用</t>
    </r>
    <phoneticPr fontId="5" type="noConversion"/>
  </si>
  <si>
    <r>
      <rPr>
        <sz val="10"/>
        <color rgb="FF000000"/>
        <rFont val="宋体"/>
        <family val="3"/>
        <charset val="134"/>
      </rPr>
      <t>搜狐</t>
    </r>
  </si>
  <si>
    <t>工位牌</t>
  </si>
  <si>
    <r>
      <rPr>
        <sz val="10"/>
        <color rgb="FF000000"/>
        <rFont val="宋体"/>
        <family val="3"/>
        <charset val="134"/>
      </rPr>
      <t>胸卡贴</t>
    </r>
    <r>
      <rPr>
        <sz val="10"/>
        <color rgb="FF000000"/>
        <rFont val="Calibri"/>
        <family val="2"/>
      </rPr>
      <t>/</t>
    </r>
    <r>
      <rPr>
        <sz val="10"/>
        <color rgb="FF000000"/>
        <rFont val="宋体"/>
        <family val="3"/>
        <charset val="134"/>
      </rPr>
      <t>班车证</t>
    </r>
  </si>
  <si>
    <r>
      <rPr>
        <sz val="10"/>
        <color rgb="FF000000"/>
        <rFont val="宋体"/>
        <family val="3"/>
        <charset val="134"/>
      </rPr>
      <t>坐席卡卡壳</t>
    </r>
    <r>
      <rPr>
        <sz val="10"/>
        <color rgb="FF000000"/>
        <rFont val="Calibri"/>
        <family val="2"/>
      </rPr>
      <t>/</t>
    </r>
    <r>
      <rPr>
        <sz val="10"/>
        <color rgb="FF000000"/>
        <rFont val="宋体"/>
        <family val="3"/>
        <charset val="134"/>
      </rPr>
      <t>三角卡壳</t>
    </r>
  </si>
  <si>
    <t>月费用</t>
  </si>
  <si>
    <r>
      <t>2015</t>
    </r>
    <r>
      <rPr>
        <sz val="10"/>
        <color rgb="FF000000"/>
        <rFont val="宋体"/>
        <family val="3"/>
        <charset val="134"/>
      </rPr>
      <t>年价格上涨率</t>
    </r>
    <phoneticPr fontId="5" type="noConversion"/>
  </si>
  <si>
    <t>合计</t>
  </si>
  <si>
    <t>合计：</t>
    <phoneticPr fontId="5" type="noConversion"/>
  </si>
  <si>
    <t>纸杯制作</t>
    <phoneticPr fontId="5" type="noConversion"/>
  </si>
  <si>
    <t>0.22/支*2，000支*20箱=8，800元</t>
  </si>
  <si>
    <t>Q1</t>
    <phoneticPr fontId="5" type="noConversion"/>
  </si>
  <si>
    <t>Q2</t>
    <phoneticPr fontId="5" type="noConversion"/>
  </si>
  <si>
    <t>Q3</t>
    <phoneticPr fontId="5" type="noConversion"/>
  </si>
  <si>
    <t>Q4</t>
    <phoneticPr fontId="5" type="noConversion"/>
  </si>
  <si>
    <r>
      <t>2015</t>
    </r>
    <r>
      <rPr>
        <b/>
        <sz val="10"/>
        <rFont val="宋体"/>
        <family val="3"/>
        <charset val="134"/>
      </rPr>
      <t>年租金、物业费、车位费用明细</t>
    </r>
    <phoneticPr fontId="6" type="noConversion"/>
  </si>
  <si>
    <t>物业费</t>
    <phoneticPr fontId="6" type="noConversion"/>
  </si>
  <si>
    <t>公司名称</t>
    <phoneticPr fontId="6" type="noConversion"/>
  </si>
  <si>
    <t>单元</t>
    <phoneticPr fontId="6" type="noConversion"/>
  </si>
  <si>
    <r>
      <rPr>
        <sz val="10"/>
        <rFont val="宋体"/>
        <family val="3"/>
        <charset val="134"/>
      </rPr>
      <t>面积</t>
    </r>
    <r>
      <rPr>
        <sz val="10"/>
        <rFont val="Calibri"/>
        <family val="2"/>
      </rPr>
      <t xml:space="preserve"> </t>
    </r>
    <phoneticPr fontId="6" type="noConversion"/>
  </si>
  <si>
    <r>
      <rPr>
        <sz val="10"/>
        <rFont val="宋体"/>
        <family val="3"/>
        <charset val="134"/>
      </rPr>
      <t>单位价格</t>
    </r>
    <r>
      <rPr>
        <sz val="10"/>
        <rFont val="Calibri"/>
        <family val="2"/>
      </rPr>
      <t xml:space="preserve">      </t>
    </r>
    <phoneticPr fontId="6" type="noConversion"/>
  </si>
  <si>
    <t>总金额</t>
    <phoneticPr fontId="6" type="noConversion"/>
  </si>
  <si>
    <t>单位价格</t>
    <phoneticPr fontId="6" type="noConversion"/>
  </si>
  <si>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/m2/</t>
    </r>
    <r>
      <rPr>
        <sz val="10"/>
        <rFont val="宋体"/>
        <family val="3"/>
        <charset val="134"/>
      </rPr>
      <t>天</t>
    </r>
    <phoneticPr fontId="6" type="noConversion"/>
  </si>
  <si>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/m2/</t>
    </r>
    <r>
      <rPr>
        <sz val="10"/>
        <rFont val="宋体"/>
        <family val="3"/>
        <charset val="134"/>
      </rPr>
      <t>月</t>
    </r>
    <phoneticPr fontId="6" type="noConversion"/>
  </si>
  <si>
    <t>(a)</t>
    <phoneticPr fontId="6" type="noConversion"/>
  </si>
  <si>
    <t>(c )</t>
    <phoneticPr fontId="5" type="noConversion"/>
  </si>
  <si>
    <t>(d=a*b*365)</t>
    <phoneticPr fontId="5" type="noConversion"/>
  </si>
  <si>
    <t>(e=a*c*12)</t>
    <phoneticPr fontId="6" type="noConversion"/>
  </si>
  <si>
    <t>(f)</t>
    <phoneticPr fontId="5" type="noConversion"/>
  </si>
  <si>
    <t>(g)</t>
    <phoneticPr fontId="5" type="noConversion"/>
  </si>
  <si>
    <t>(h=a*f*365)</t>
    <phoneticPr fontId="5" type="noConversion"/>
  </si>
  <si>
    <t>(i=a*g*12)</t>
    <phoneticPr fontId="6" type="noConversion"/>
  </si>
  <si>
    <r>
      <rPr>
        <sz val="10"/>
        <rFont val="宋体"/>
        <family val="3"/>
        <charset val="134"/>
      </rPr>
      <t>办公室</t>
    </r>
    <phoneticPr fontId="6" type="noConversion"/>
  </si>
  <si>
    <t>7-01</t>
    <phoneticPr fontId="6" type="noConversion"/>
  </si>
  <si>
    <t>7-02</t>
    <phoneticPr fontId="6" type="noConversion"/>
  </si>
  <si>
    <t>7-03</t>
    <phoneticPr fontId="6" type="noConversion"/>
  </si>
  <si>
    <t>8-01</t>
    <phoneticPr fontId="6" type="noConversion"/>
  </si>
  <si>
    <t>8-03</t>
    <phoneticPr fontId="6" type="noConversion"/>
  </si>
  <si>
    <t>11</t>
    <phoneticPr fontId="6" type="noConversion"/>
  </si>
  <si>
    <t>12-01</t>
    <phoneticPr fontId="6" type="noConversion"/>
  </si>
  <si>
    <t>15</t>
    <phoneticPr fontId="6" type="noConversion"/>
  </si>
  <si>
    <r>
      <t>10-01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02</t>
    </r>
    <phoneticPr fontId="6" type="noConversion"/>
  </si>
  <si>
    <t>10-05</t>
    <phoneticPr fontId="6" type="noConversion"/>
  </si>
  <si>
    <t>10-06</t>
    <phoneticPr fontId="6" type="noConversion"/>
  </si>
  <si>
    <t>10-07</t>
    <phoneticPr fontId="6" type="noConversion"/>
  </si>
  <si>
    <t>10-08</t>
    <phoneticPr fontId="6" type="noConversion"/>
  </si>
  <si>
    <t>8-02</t>
    <phoneticPr fontId="6" type="noConversion"/>
  </si>
  <si>
    <t>9-01</t>
    <phoneticPr fontId="6" type="noConversion"/>
  </si>
  <si>
    <r>
      <t>10-03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04</t>
    </r>
    <phoneticPr fontId="6" type="noConversion"/>
  </si>
  <si>
    <t>9-02</t>
    <phoneticPr fontId="6" type="noConversion"/>
  </si>
  <si>
    <t>北京搜狐新媒体信息技术有限公司</t>
    <phoneticPr fontId="6" type="noConversion"/>
  </si>
  <si>
    <t>sub-total</t>
    <phoneticPr fontId="6" type="noConversion"/>
  </si>
  <si>
    <t>total</t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</si>
  <si>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4F</t>
    </r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</si>
  <si>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10F</t>
    </r>
    <phoneticPr fontId="6" type="noConversion"/>
  </si>
  <si>
    <r>
      <rPr>
        <sz val="10"/>
        <rFont val="宋体"/>
        <family val="3"/>
        <charset val="134"/>
      </rPr>
      <t>车位</t>
    </r>
    <phoneticPr fontId="6" type="noConversion"/>
  </si>
  <si>
    <r>
      <rPr>
        <sz val="10"/>
        <rFont val="宋体"/>
        <family val="3"/>
        <charset val="134"/>
      </rPr>
      <t>科技大厦</t>
    </r>
    <r>
      <rPr>
        <sz val="10"/>
        <rFont val="Calibri"/>
        <family val="2"/>
      </rPr>
      <t>B07</t>
    </r>
    <r>
      <rPr>
        <sz val="10"/>
        <rFont val="宋体"/>
        <family val="3"/>
        <charset val="134"/>
      </rPr>
      <t>地下停车位</t>
    </r>
    <phoneticPr fontId="6" type="noConversion"/>
  </si>
  <si>
    <r>
      <rPr>
        <sz val="10"/>
        <rFont val="Arial"/>
        <family val="2"/>
      </rPr>
      <t>融科</t>
    </r>
    <r>
      <rPr>
        <sz val="10"/>
        <rFont val="Calibri"/>
        <family val="2"/>
      </rPr>
      <t>A</t>
    </r>
    <r>
      <rPr>
        <sz val="10"/>
        <rFont val="Arial"/>
        <family val="2"/>
      </rPr>
      <t>座地下车位</t>
    </r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</si>
  <si>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座地下车位（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层）</t>
    </r>
    <phoneticPr fontId="6" type="noConversion"/>
  </si>
  <si>
    <r>
      <rPr>
        <sz val="10"/>
        <rFont val="宋体"/>
        <family val="3"/>
        <charset val="134"/>
      </rPr>
      <t>融科中科资源大厦地下</t>
    </r>
    <r>
      <rPr>
        <sz val="10"/>
        <rFont val="Calibri"/>
        <family val="2"/>
      </rPr>
      <t>3</t>
    </r>
    <r>
      <rPr>
        <sz val="10"/>
        <rFont val="宋体"/>
        <family val="3"/>
        <charset val="134"/>
      </rPr>
      <t>车位</t>
    </r>
    <phoneticPr fontId="6" type="noConversion"/>
  </si>
  <si>
    <t>搜狐大厦车位费</t>
    <phoneticPr fontId="6" type="noConversion"/>
  </si>
  <si>
    <t>科技大厦车位费</t>
    <phoneticPr fontId="6" type="noConversion"/>
  </si>
  <si>
    <t>办公室</t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</si>
  <si>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19F</t>
    </r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</si>
  <si>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20F</t>
    </r>
    <phoneticPr fontId="6" type="noConversion"/>
  </si>
  <si>
    <t>车位</t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</si>
  <si>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座地下车位（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）</t>
    </r>
    <phoneticPr fontId="6" type="noConversion"/>
  </si>
  <si>
    <r>
      <rPr>
        <sz val="10"/>
        <rFont val="宋体"/>
        <family val="3"/>
        <charset val="134"/>
      </rPr>
      <t>物业费</t>
    </r>
    <phoneticPr fontId="6" type="noConversion"/>
  </si>
  <si>
    <r>
      <t>2015</t>
    </r>
    <r>
      <rPr>
        <sz val="10"/>
        <color theme="1"/>
        <rFont val="宋体"/>
        <family val="3"/>
        <charset val="134"/>
      </rPr>
      <t>年</t>
    </r>
    <r>
      <rPr>
        <sz val="10"/>
        <color theme="1"/>
        <rFont val="Calibri"/>
        <family val="2"/>
      </rPr>
      <t>5</t>
    </r>
    <r>
      <rPr>
        <sz val="10"/>
        <color theme="1"/>
        <rFont val="宋体"/>
        <family val="3"/>
        <charset val="134"/>
      </rPr>
      <t>月起签订新合同，费用按照新标准执行</t>
    </r>
    <phoneticPr fontId="5" type="noConversion"/>
  </si>
  <si>
    <t>10</t>
  </si>
  <si>
    <t>11</t>
  </si>
  <si>
    <t>12</t>
  </si>
  <si>
    <r>
      <rPr>
        <b/>
        <sz val="10"/>
        <rFont val="宋体"/>
        <family val="3"/>
        <charset val="134"/>
      </rPr>
      <t>水费</t>
    </r>
    <phoneticPr fontId="5" type="noConversion"/>
  </si>
  <si>
    <r>
      <rPr>
        <sz val="10"/>
        <color theme="1"/>
        <rFont val="宋体"/>
        <family val="3"/>
        <charset val="134"/>
      </rPr>
      <t>单价（元</t>
    </r>
    <r>
      <rPr>
        <sz val="10"/>
        <color theme="1"/>
        <rFont val="Calibri"/>
        <family val="2"/>
      </rPr>
      <t>/GJ</t>
    </r>
    <r>
      <rPr>
        <sz val="10"/>
        <color theme="1"/>
        <rFont val="宋体"/>
        <family val="3"/>
        <charset val="134"/>
      </rPr>
      <t>）</t>
    </r>
    <phoneticPr fontId="5" type="noConversion"/>
  </si>
  <si>
    <r>
      <rPr>
        <b/>
        <sz val="10"/>
        <color theme="1"/>
        <rFont val="宋体"/>
        <family val="3"/>
        <charset val="134"/>
      </rPr>
      <t>生活热水费（年付</t>
    </r>
    <r>
      <rPr>
        <b/>
        <sz val="10"/>
        <color theme="1"/>
        <rFont val="Calibri"/>
        <family val="2"/>
      </rPr>
      <t>Q3</t>
    </r>
    <r>
      <rPr>
        <b/>
        <sz val="10"/>
        <color theme="1"/>
        <rFont val="宋体"/>
        <family val="3"/>
        <charset val="134"/>
      </rPr>
      <t>预存）</t>
    </r>
    <phoneticPr fontId="5" type="noConversion"/>
  </si>
  <si>
    <r>
      <rPr>
        <sz val="10"/>
        <color theme="1"/>
        <rFont val="宋体"/>
        <family val="3"/>
        <charset val="134"/>
      </rPr>
      <t>项目</t>
    </r>
    <phoneticPr fontId="5" type="noConversion"/>
  </si>
  <si>
    <r>
      <rPr>
        <sz val="10"/>
        <color theme="1"/>
        <rFont val="宋体"/>
        <family val="3"/>
        <charset val="134"/>
      </rPr>
      <t>日均用量（</t>
    </r>
    <r>
      <rPr>
        <sz val="10"/>
        <color theme="1"/>
        <rFont val="Calibri"/>
        <family val="2"/>
      </rPr>
      <t>GJ</t>
    </r>
    <r>
      <rPr>
        <sz val="10"/>
        <color theme="1"/>
        <rFont val="宋体"/>
        <family val="3"/>
        <charset val="134"/>
      </rPr>
      <t>）</t>
    </r>
    <phoneticPr fontId="5" type="noConversion"/>
  </si>
  <si>
    <r>
      <rPr>
        <sz val="10"/>
        <color theme="1"/>
        <rFont val="宋体"/>
        <family val="3"/>
        <charset val="134"/>
      </rPr>
      <t>天数</t>
    </r>
    <phoneticPr fontId="5" type="noConversion"/>
  </si>
  <si>
    <r>
      <rPr>
        <sz val="10"/>
        <color theme="1"/>
        <rFont val="宋体"/>
        <family val="3"/>
        <charset val="134"/>
      </rPr>
      <t>费用</t>
    </r>
    <phoneticPr fontId="5" type="noConversion"/>
  </si>
  <si>
    <r>
      <rPr>
        <sz val="10"/>
        <color theme="1"/>
        <rFont val="宋体"/>
        <family val="3"/>
        <charset val="134"/>
      </rPr>
      <t>冬季日</t>
    </r>
    <phoneticPr fontId="5" type="noConversion"/>
  </si>
  <si>
    <r>
      <rPr>
        <sz val="10"/>
        <color theme="1"/>
        <rFont val="宋体"/>
        <family val="3"/>
        <charset val="134"/>
      </rPr>
      <t>夏季日</t>
    </r>
    <phoneticPr fontId="5" type="noConversion"/>
  </si>
  <si>
    <r>
      <rPr>
        <b/>
        <sz val="10"/>
        <color theme="1"/>
        <rFont val="宋体"/>
        <family val="3"/>
        <charset val="134"/>
      </rPr>
      <t>办公室文软装（文化建设）</t>
    </r>
    <phoneticPr fontId="5" type="noConversion"/>
  </si>
  <si>
    <r>
      <t>9~18</t>
    </r>
    <r>
      <rPr>
        <sz val="10"/>
        <color theme="1"/>
        <rFont val="宋体"/>
        <family val="3"/>
        <charset val="134"/>
      </rPr>
      <t>层办公室软装（共</t>
    </r>
    <r>
      <rPr>
        <sz val="10"/>
        <color theme="1"/>
        <rFont val="Calibri"/>
        <family val="2"/>
      </rPr>
      <t>8</t>
    </r>
    <r>
      <rPr>
        <sz val="10"/>
        <color theme="1"/>
        <rFont val="宋体"/>
        <family val="3"/>
        <charset val="134"/>
      </rPr>
      <t>层）</t>
    </r>
    <phoneticPr fontId="5" type="noConversion"/>
  </si>
  <si>
    <r>
      <rPr>
        <sz val="10"/>
        <color theme="1"/>
        <rFont val="宋体"/>
        <family val="3"/>
        <charset val="134"/>
      </rPr>
      <t>完善办公室提示，根据不同楼层各部门特色设计软装，让每个楼层都有自己不同的个性</t>
    </r>
    <phoneticPr fontId="5" type="noConversion"/>
  </si>
  <si>
    <r>
      <rPr>
        <sz val="10"/>
        <color theme="1"/>
        <rFont val="宋体"/>
        <family val="3"/>
        <charset val="134"/>
      </rPr>
      <t>分摊到除</t>
    </r>
    <r>
      <rPr>
        <sz val="10"/>
        <color theme="1"/>
        <rFont val="Calibri"/>
        <family val="2"/>
      </rPr>
      <t>Q1</t>
    </r>
    <r>
      <rPr>
        <sz val="10"/>
        <color theme="1"/>
        <rFont val="宋体"/>
        <family val="3"/>
        <charset val="134"/>
      </rPr>
      <t>以外的三个季度里</t>
    </r>
    <phoneticPr fontId="5" type="noConversion"/>
  </si>
  <si>
    <r>
      <rPr>
        <sz val="10"/>
        <color rgb="FF000000"/>
        <rFont val="宋体"/>
        <family val="3"/>
        <charset val="134"/>
      </rPr>
      <t>搜狐媒体大厦标准员工工位情况统计</t>
    </r>
    <phoneticPr fontId="6" type="noConversion"/>
  </si>
  <si>
    <r>
      <rPr>
        <sz val="10"/>
        <color rgb="FF000000"/>
        <rFont val="宋体"/>
        <family val="3"/>
        <charset val="134"/>
      </rPr>
      <t>楼层</t>
    </r>
  </si>
  <si>
    <t>5F</t>
  </si>
  <si>
    <t>6F</t>
  </si>
  <si>
    <t>7F</t>
  </si>
  <si>
    <t>8F</t>
  </si>
  <si>
    <t>9F</t>
  </si>
  <si>
    <t>10F</t>
  </si>
  <si>
    <t>11F</t>
  </si>
  <si>
    <t>12F</t>
  </si>
  <si>
    <t>15F</t>
  </si>
  <si>
    <t>16F</t>
  </si>
  <si>
    <t>17F</t>
  </si>
  <si>
    <t>18F</t>
  </si>
  <si>
    <r>
      <rPr>
        <sz val="10"/>
        <rFont val="宋体"/>
        <family val="3"/>
        <charset val="134"/>
      </rPr>
      <t>合计</t>
    </r>
  </si>
  <si>
    <r>
      <rPr>
        <sz val="10"/>
        <color rgb="FF000000"/>
        <rFont val="宋体"/>
        <family val="3"/>
        <charset val="134"/>
      </rPr>
      <t>规划容量（不含拆咖啡厅）</t>
    </r>
  </si>
  <si>
    <r>
      <rPr>
        <sz val="10"/>
        <color rgb="FF000000"/>
        <rFont val="宋体"/>
        <family val="3"/>
        <charset val="134"/>
      </rPr>
      <t>拆除茶水间增加标准工位</t>
    </r>
  </si>
  <si>
    <r>
      <rPr>
        <sz val="10"/>
        <color rgb="FF000000"/>
        <rFont val="宋体"/>
        <family val="3"/>
        <charset val="134"/>
      </rPr>
      <t>拆除茶水间窗边预留工位</t>
    </r>
  </si>
  <si>
    <r>
      <rPr>
        <sz val="10"/>
        <color rgb="FF000000"/>
        <rFont val="宋体"/>
        <family val="3"/>
        <charset val="134"/>
      </rPr>
      <t>规划最大容量</t>
    </r>
  </si>
  <si>
    <r>
      <t>2014</t>
    </r>
    <r>
      <rPr>
        <sz val="10"/>
        <color rgb="FF000000"/>
        <rFont val="宋体"/>
        <family val="3"/>
        <charset val="134"/>
      </rPr>
      <t>搜狐媒体大厦预计增加标准员工工位统计</t>
    </r>
    <phoneticPr fontId="6" type="noConversion"/>
  </si>
  <si>
    <r>
      <rPr>
        <sz val="10"/>
        <color rgb="FF000000"/>
        <rFont val="宋体"/>
        <family val="3"/>
        <charset val="134"/>
      </rPr>
      <t>增加每套工位单价</t>
    </r>
    <phoneticPr fontId="5" type="noConversion"/>
  </si>
  <si>
    <r>
      <rPr>
        <sz val="10"/>
        <color rgb="FF000000"/>
        <rFont val="宋体"/>
        <family val="3"/>
        <charset val="134"/>
      </rPr>
      <t>增加工位价格合计</t>
    </r>
    <phoneticPr fontId="5" type="noConversion"/>
  </si>
  <si>
    <t>保洁（8层）</t>
    <phoneticPr fontId="6" type="noConversion"/>
  </si>
  <si>
    <t>2016年
计划奖金发放
(e)</t>
  </si>
  <si>
    <t>2016年计划调整</t>
  </si>
  <si>
    <t>2016年
计划月工资
(a)</t>
  </si>
  <si>
    <t>2015年
月工资</t>
  </si>
  <si>
    <r>
      <rPr>
        <sz val="10"/>
        <color rgb="FFFF0000"/>
        <rFont val="宋体"/>
        <family val="3"/>
        <charset val="134"/>
      </rPr>
      <t>保洁</t>
    </r>
    <phoneticPr fontId="6" type="noConversion"/>
  </si>
  <si>
    <r>
      <t>2000.07</t>
    </r>
    <r>
      <rPr>
        <sz val="10"/>
        <color rgb="FFFF0000"/>
        <rFont val="宋体"/>
        <family val="3"/>
        <charset val="134"/>
      </rPr>
      <t>至今</t>
    </r>
    <phoneticPr fontId="6" type="noConversion"/>
  </si>
  <si>
    <r>
      <rPr>
        <sz val="10"/>
        <color rgb="FFFF0000"/>
        <rFont val="宋体"/>
        <family val="3"/>
        <charset val="134"/>
      </rPr>
      <t>注：根据与搜狗费用花费规则，</t>
    </r>
    <r>
      <rPr>
        <sz val="10"/>
        <color rgb="FFFF0000"/>
        <rFont val="Calibri"/>
        <family val="2"/>
      </rPr>
      <t>7~15</t>
    </r>
    <r>
      <rPr>
        <sz val="10"/>
        <color rgb="FFFF0000"/>
        <rFont val="宋体"/>
        <family val="3"/>
        <charset val="134"/>
      </rPr>
      <t>层搜狐承担</t>
    </r>
    <r>
      <rPr>
        <sz val="10"/>
        <color rgb="FFFF0000"/>
        <rFont val="Calibri"/>
        <family val="2"/>
      </rPr>
      <t>5.9</t>
    </r>
    <r>
      <rPr>
        <sz val="10"/>
        <color rgb="FFFF0000"/>
        <rFont val="宋体"/>
        <family val="3"/>
        <charset val="134"/>
      </rPr>
      <t>％费用</t>
    </r>
    <phoneticPr fontId="5" type="noConversion"/>
  </si>
  <si>
    <r>
      <t>7-15F</t>
    </r>
    <r>
      <rPr>
        <sz val="10"/>
        <color rgb="FFFF0000"/>
        <rFont val="宋体"/>
        <family val="3"/>
        <charset val="134"/>
      </rPr>
      <t>前台公共区域</t>
    </r>
    <phoneticPr fontId="5" type="noConversion"/>
  </si>
  <si>
    <r>
      <t>10</t>
    </r>
    <r>
      <rPr>
        <sz val="10"/>
        <color rgb="FFFF0000"/>
        <rFont val="宋体"/>
        <family val="3"/>
        <charset val="134"/>
      </rPr>
      <t>层监控室</t>
    </r>
    <phoneticPr fontId="5" type="noConversion"/>
  </si>
  <si>
    <r>
      <t>7-15F</t>
    </r>
    <r>
      <rPr>
        <sz val="10"/>
        <color rgb="FFFF0000"/>
        <rFont val="宋体"/>
        <family val="3"/>
        <charset val="134"/>
      </rPr>
      <t>办公区及消防楼梯</t>
    </r>
    <phoneticPr fontId="5" type="noConversion"/>
  </si>
  <si>
    <r>
      <t>Sohu</t>
    </r>
    <r>
      <rPr>
        <sz val="10"/>
        <color rgb="FFFF0000"/>
        <rFont val="宋体"/>
        <family val="3"/>
        <charset val="134"/>
      </rPr>
      <t>公司全部办公区</t>
    </r>
    <phoneticPr fontId="5" type="noConversion"/>
  </si>
  <si>
    <r>
      <t>2016</t>
    </r>
    <r>
      <rPr>
        <b/>
        <sz val="10"/>
        <color rgb="FFFF0000"/>
        <rFont val="宋体"/>
        <family val="3"/>
        <charset val="134"/>
      </rPr>
      <t>年融科</t>
    </r>
    <r>
      <rPr>
        <b/>
        <sz val="10"/>
        <color rgb="FFFF0000"/>
        <rFont val="Calibri"/>
        <family val="2"/>
      </rPr>
      <t>C</t>
    </r>
    <r>
      <rPr>
        <b/>
        <sz val="10"/>
        <color rgb="FFFF0000"/>
        <rFont val="宋体"/>
        <family val="3"/>
        <charset val="134"/>
      </rPr>
      <t>座</t>
    </r>
    <r>
      <rPr>
        <b/>
        <sz val="10"/>
        <color rgb="FFFF0000"/>
        <rFont val="Calibri"/>
        <family val="2"/>
      </rPr>
      <t>10</t>
    </r>
    <r>
      <rPr>
        <b/>
        <sz val="10"/>
        <color rgb="FFFF0000"/>
        <rFont val="宋体"/>
        <family val="3"/>
        <charset val="134"/>
      </rPr>
      <t>层（</t>
    </r>
    <r>
      <rPr>
        <b/>
        <sz val="10"/>
        <color rgb="FFFF0000"/>
        <rFont val="Calibri"/>
        <family val="2"/>
      </rPr>
      <t>38</t>
    </r>
    <r>
      <rPr>
        <b/>
        <sz val="10"/>
        <color rgb="FFFF0000"/>
        <rFont val="宋体"/>
        <family val="3"/>
        <charset val="134"/>
      </rPr>
      <t>％）保安服务费搜狐负责部分</t>
    </r>
    <phoneticPr fontId="5" type="noConversion"/>
  </si>
  <si>
    <t>2016年网络大厦-搜狐保安服务费(含搜狗楼层，目前由搜狐付费)</t>
  </si>
  <si>
    <t>2016年融科A座4层保安服务费</t>
  </si>
  <si>
    <t>2016年融科C座19、20层保安服务费（焦点）</t>
  </si>
  <si>
    <t>2016年1月开始费用由焦点支付</t>
  </si>
  <si>
    <r>
      <t>2016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1</t>
    </r>
    <r>
      <rPr>
        <sz val="10"/>
        <color rgb="FFFF0000"/>
        <rFont val="宋体"/>
        <family val="3"/>
        <charset val="134"/>
      </rPr>
      <t>月开始费用与由焦点按照搜狐</t>
    </r>
    <r>
      <rPr>
        <sz val="10"/>
        <color rgb="FFFF0000"/>
        <rFont val="Calibri"/>
        <family val="2"/>
      </rPr>
      <t>38</t>
    </r>
    <r>
      <rPr>
        <sz val="10"/>
        <color rgb="FFFF0000"/>
        <rFont val="宋体"/>
        <family val="3"/>
        <charset val="134"/>
      </rPr>
      <t>％，焦点</t>
    </r>
    <r>
      <rPr>
        <sz val="10"/>
        <color rgb="FFFF0000"/>
        <rFont val="Calibri"/>
        <family val="2"/>
      </rPr>
      <t>62</t>
    </r>
    <r>
      <rPr>
        <sz val="10"/>
        <color rgb="FFFF0000"/>
        <rFont val="宋体"/>
        <family val="3"/>
        <charset val="134"/>
      </rPr>
      <t>％拆分</t>
    </r>
    <phoneticPr fontId="5" type="noConversion"/>
  </si>
  <si>
    <r>
      <t>2016</t>
    </r>
    <r>
      <rPr>
        <b/>
        <sz val="10"/>
        <color rgb="FFFF0000"/>
        <rFont val="宋体"/>
        <family val="3"/>
        <charset val="134"/>
      </rPr>
      <t>年融科</t>
    </r>
    <r>
      <rPr>
        <b/>
        <sz val="10"/>
        <color rgb="FFFF0000"/>
        <rFont val="Calibri"/>
        <family val="2"/>
      </rPr>
      <t>C</t>
    </r>
    <r>
      <rPr>
        <b/>
        <sz val="10"/>
        <color rgb="FFFF0000"/>
        <rFont val="宋体"/>
        <family val="3"/>
        <charset val="134"/>
      </rPr>
      <t>座</t>
    </r>
    <r>
      <rPr>
        <b/>
        <sz val="10"/>
        <color rgb="FFFF0000"/>
        <rFont val="Calibri"/>
        <family val="2"/>
      </rPr>
      <t>10</t>
    </r>
    <r>
      <rPr>
        <b/>
        <sz val="10"/>
        <color rgb="FFFF0000"/>
        <rFont val="宋体"/>
        <family val="3"/>
        <charset val="134"/>
      </rPr>
      <t>层（</t>
    </r>
    <r>
      <rPr>
        <b/>
        <sz val="10"/>
        <color rgb="FFFF0000"/>
        <rFont val="Calibri"/>
        <family val="2"/>
      </rPr>
      <t>62</t>
    </r>
    <r>
      <rPr>
        <b/>
        <sz val="10"/>
        <color rgb="FFFF0000"/>
        <rFont val="宋体"/>
        <family val="3"/>
        <charset val="134"/>
      </rPr>
      <t>％）保安服务费（焦点）</t>
    </r>
    <phoneticPr fontId="5" type="noConversion"/>
  </si>
  <si>
    <t>2016年融科A座4层保洁服务费</t>
  </si>
  <si>
    <t>2016年融科C座10层保洁服务费</t>
  </si>
  <si>
    <t>2016年融科C座19、20层保洁服务费（焦点）</t>
  </si>
  <si>
    <t>2016年融科C座10层保洁服务费（焦点）</t>
  </si>
  <si>
    <r>
      <t>2016</t>
    </r>
    <r>
      <rPr>
        <b/>
        <sz val="10"/>
        <color rgb="FFFF0000"/>
        <rFont val="宋体"/>
        <family val="3"/>
        <charset val="134"/>
      </rPr>
      <t>年网络大厦</t>
    </r>
    <r>
      <rPr>
        <b/>
        <sz val="10"/>
        <color rgb="FFFF0000"/>
        <rFont val="Calibri"/>
        <family val="2"/>
      </rPr>
      <t>-</t>
    </r>
    <r>
      <rPr>
        <b/>
        <sz val="10"/>
        <color rgb="FFFF0000"/>
        <rFont val="宋体"/>
        <family val="3"/>
        <charset val="134"/>
      </rPr>
      <t>搜狐保洁服务费（搜狐支付</t>
    </r>
    <r>
      <rPr>
        <b/>
        <sz val="10"/>
        <color rgb="FFFF0000"/>
        <rFont val="Calibri"/>
        <family val="2"/>
      </rPr>
      <t>5.9%</t>
    </r>
    <r>
      <rPr>
        <b/>
        <sz val="10"/>
        <color rgb="FFFF0000"/>
        <rFont val="宋体"/>
        <family val="3"/>
        <charset val="134"/>
      </rPr>
      <t>）</t>
    </r>
    <phoneticPr fontId="5" type="noConversion"/>
  </si>
  <si>
    <r>
      <t>7-15</t>
    </r>
    <r>
      <rPr>
        <sz val="10"/>
        <color theme="1"/>
        <rFont val="宋体"/>
        <family val="3"/>
        <charset val="134"/>
      </rPr>
      <t>层地毯清洗费（年）</t>
    </r>
    <phoneticPr fontId="5" type="noConversion"/>
  </si>
  <si>
    <r>
      <rPr>
        <sz val="10"/>
        <color rgb="FFFF0000"/>
        <rFont val="宋体"/>
        <family val="3"/>
        <charset val="134"/>
      </rPr>
      <t>网络大厦</t>
    </r>
    <r>
      <rPr>
        <sz val="10"/>
        <color rgb="FFFF0000"/>
        <rFont val="Calibri"/>
        <family val="2"/>
      </rPr>
      <t>7</t>
    </r>
    <r>
      <rPr>
        <sz val="10"/>
        <color rgb="FFFF0000"/>
        <rFont val="宋体"/>
        <family val="3"/>
        <charset val="134"/>
      </rPr>
      <t>个楼层共计</t>
    </r>
    <r>
      <rPr>
        <sz val="10"/>
        <color rgb="FFFF0000"/>
        <rFont val="Calibri"/>
        <family val="2"/>
      </rPr>
      <t>14</t>
    </r>
    <r>
      <rPr>
        <sz val="10"/>
        <color rgb="FFFF0000"/>
        <rFont val="宋体"/>
        <family val="3"/>
        <charset val="134"/>
      </rPr>
      <t>名阿姨，其中外包</t>
    </r>
    <r>
      <rPr>
        <sz val="10"/>
        <color rgb="FFFF0000"/>
        <rFont val="Calibri"/>
        <family val="2"/>
      </rPr>
      <t>12</t>
    </r>
    <r>
      <rPr>
        <sz val="10"/>
        <color rgb="FFFF0000"/>
        <rFont val="宋体"/>
        <family val="3"/>
        <charset val="134"/>
      </rPr>
      <t>名阿姨，自聘</t>
    </r>
    <r>
      <rPr>
        <sz val="10"/>
        <color rgb="FFFF0000"/>
        <rFont val="Calibri"/>
        <family val="2"/>
      </rPr>
      <t>2</t>
    </r>
    <r>
      <rPr>
        <sz val="10"/>
        <color rgb="FFFF0000"/>
        <rFont val="宋体"/>
        <family val="3"/>
        <charset val="134"/>
      </rPr>
      <t>名阿姨</t>
    </r>
    <phoneticPr fontId="5" type="noConversion"/>
  </si>
  <si>
    <r>
      <rPr>
        <sz val="10"/>
        <rFont val="宋体"/>
        <family val="3"/>
        <charset val="134"/>
      </rPr>
      <t>根据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1-10</t>
    </r>
    <r>
      <rPr>
        <sz val="10"/>
        <rFont val="宋体"/>
        <family val="3"/>
        <charset val="134"/>
      </rPr>
      <t>月绿植费用统计</t>
    </r>
    <phoneticPr fontId="6" type="noConversion"/>
  </si>
  <si>
    <r>
      <t>2016</t>
    </r>
    <r>
      <rPr>
        <sz val="10"/>
        <rFont val="宋体"/>
        <family val="3"/>
        <charset val="134"/>
      </rPr>
      <t>年预计月费用</t>
    </r>
    <phoneticPr fontId="5" type="noConversion"/>
  </si>
  <si>
    <r>
      <t>2016</t>
    </r>
    <r>
      <rPr>
        <sz val="10"/>
        <rFont val="宋体"/>
        <family val="3"/>
        <charset val="134"/>
      </rPr>
      <t>年价格上涨率</t>
    </r>
    <phoneticPr fontId="5" type="noConversion"/>
  </si>
  <si>
    <r>
      <t>2015</t>
    </r>
    <r>
      <rPr>
        <sz val="10"/>
        <color rgb="FFFF0000"/>
        <rFont val="宋体"/>
        <family val="3"/>
        <charset val="134"/>
      </rPr>
      <t>已建设正式工位数</t>
    </r>
    <phoneticPr fontId="5" type="noConversion"/>
  </si>
  <si>
    <r>
      <t>2016</t>
    </r>
    <r>
      <rPr>
        <sz val="10"/>
        <color rgb="FFFF0000"/>
        <rFont val="宋体"/>
        <family val="3"/>
        <charset val="134"/>
      </rPr>
      <t>年增加过道预留</t>
    </r>
    <phoneticPr fontId="5" type="noConversion"/>
  </si>
  <si>
    <r>
      <t>2016</t>
    </r>
    <r>
      <rPr>
        <sz val="10"/>
        <color rgb="FFFF0000"/>
        <rFont val="宋体"/>
        <family val="3"/>
        <charset val="134"/>
      </rPr>
      <t>年增加窗边预留</t>
    </r>
    <phoneticPr fontId="5" type="noConversion"/>
  </si>
  <si>
    <r>
      <t>2016</t>
    </r>
    <r>
      <rPr>
        <sz val="10"/>
        <color rgb="FFFF0000"/>
        <rFont val="宋体"/>
        <family val="3"/>
        <charset val="134"/>
      </rPr>
      <t>年新增工位汇总</t>
    </r>
    <phoneticPr fontId="5" type="noConversion"/>
  </si>
  <si>
    <r>
      <rPr>
        <sz val="10"/>
        <color rgb="FFFF0000"/>
        <rFont val="宋体"/>
        <family val="3"/>
        <charset val="134"/>
      </rPr>
      <t>至</t>
    </r>
    <r>
      <rPr>
        <sz val="10"/>
        <color rgb="FFFF0000"/>
        <rFont val="Calibri"/>
        <family val="2"/>
      </rPr>
      <t>2016</t>
    </r>
    <r>
      <rPr>
        <sz val="10"/>
        <color rgb="FFFF0000"/>
        <rFont val="宋体"/>
        <family val="3"/>
        <charset val="134"/>
      </rPr>
      <t>年底总工位数</t>
    </r>
    <phoneticPr fontId="5" type="noConversion"/>
  </si>
  <si>
    <r>
      <rPr>
        <sz val="10"/>
        <color rgb="FFFF0000"/>
        <rFont val="宋体"/>
        <family val="3"/>
        <charset val="134"/>
      </rPr>
      <t>融科</t>
    </r>
    <r>
      <rPr>
        <sz val="10"/>
        <color rgb="FFFF0000"/>
        <rFont val="Calibri"/>
        <family val="2"/>
      </rPr>
      <t>C</t>
    </r>
    <r>
      <rPr>
        <sz val="10"/>
        <color rgb="FFFF0000"/>
        <rFont val="宋体"/>
        <family val="3"/>
        <charset val="134"/>
      </rPr>
      <t>座</t>
    </r>
    <r>
      <rPr>
        <sz val="10"/>
        <color rgb="FFFF0000"/>
        <rFont val="Calibri"/>
        <family val="2"/>
      </rPr>
      <t>10</t>
    </r>
    <r>
      <rPr>
        <sz val="10"/>
        <color rgb="FFFF0000"/>
        <rFont val="宋体"/>
        <family val="3"/>
        <charset val="134"/>
      </rPr>
      <t>层保洁主管</t>
    </r>
    <phoneticPr fontId="5" type="noConversion"/>
  </si>
  <si>
    <r>
      <rPr>
        <sz val="10"/>
        <color theme="1"/>
        <rFont val="宋体"/>
        <family val="3"/>
        <charset val="134"/>
      </rPr>
      <t>用电量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度</t>
    </r>
    <r>
      <rPr>
        <sz val="10"/>
        <color theme="1"/>
        <rFont val="Calibri"/>
        <family val="2"/>
      </rPr>
      <t>)</t>
    </r>
    <phoneticPr fontId="6" type="noConversion"/>
  </si>
  <si>
    <r>
      <rPr>
        <sz val="10"/>
        <color theme="1"/>
        <rFont val="宋体"/>
        <family val="3"/>
        <charset val="134"/>
      </rPr>
      <t>单价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元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3"/>
        <charset val="134"/>
      </rPr>
      <t>度</t>
    </r>
    <r>
      <rPr>
        <sz val="10"/>
        <color theme="1"/>
        <rFont val="Calibri"/>
        <family val="2"/>
      </rPr>
      <t>)</t>
    </r>
    <phoneticPr fontId="6" type="noConversion"/>
  </si>
  <si>
    <r>
      <rPr>
        <sz val="10"/>
        <color theme="1"/>
        <rFont val="宋体"/>
        <family val="3"/>
        <charset val="134"/>
      </rPr>
      <t>小计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元</t>
    </r>
    <r>
      <rPr>
        <sz val="10"/>
        <color theme="1"/>
        <rFont val="Calibri"/>
        <family val="2"/>
      </rPr>
      <t>)</t>
    </r>
    <phoneticPr fontId="6" type="noConversion"/>
  </si>
  <si>
    <t>融科C座10层（搜狐支付38%）</t>
    <phoneticPr fontId="5" type="noConversion"/>
  </si>
  <si>
    <r>
      <t>2016</t>
    </r>
    <r>
      <rPr>
        <sz val="10"/>
        <rFont val="宋体"/>
        <family val="3"/>
        <charset val="134"/>
      </rPr>
      <t>年大桶水价格不变</t>
    </r>
    <phoneticPr fontId="5" type="noConversion"/>
  </si>
  <si>
    <r>
      <t>2016</t>
    </r>
    <r>
      <rPr>
        <sz val="10"/>
        <rFont val="宋体"/>
        <family val="3"/>
        <charset val="134"/>
      </rPr>
      <t>年工位满负荷使用增长率</t>
    </r>
    <phoneticPr fontId="5" type="noConversion"/>
  </si>
  <si>
    <r>
      <t>2016</t>
    </r>
    <r>
      <rPr>
        <sz val="10"/>
        <rFont val="宋体"/>
        <family val="3"/>
        <charset val="134"/>
      </rPr>
      <t>年预计月使用量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费用</t>
    </r>
    <phoneticPr fontId="5" type="noConversion"/>
  </si>
  <si>
    <r>
      <rPr>
        <sz val="10"/>
        <rFont val="宋体"/>
        <family val="3"/>
        <charset val="134"/>
      </rPr>
      <t>根据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1-10</t>
    </r>
    <r>
      <rPr>
        <sz val="10"/>
        <rFont val="宋体"/>
        <family val="3"/>
        <charset val="134"/>
      </rPr>
      <t>月饮用水费用统计</t>
    </r>
    <phoneticPr fontId="6" type="noConversion"/>
  </si>
  <si>
    <r>
      <rPr>
        <sz val="10"/>
        <rFont val="宋体"/>
        <family val="3"/>
        <charset val="134"/>
      </rPr>
      <t>根据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1-10</t>
    </r>
    <r>
      <rPr>
        <sz val="10"/>
        <rFont val="宋体"/>
        <family val="3"/>
        <charset val="134"/>
      </rPr>
      <t>月茶间用品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包括饮品、器具、清洁剂、药品等</t>
    </r>
    <r>
      <rPr>
        <sz val="10"/>
        <rFont val="Calibri"/>
        <family val="2"/>
      </rPr>
      <t>)</t>
    </r>
    <r>
      <rPr>
        <sz val="10"/>
        <rFont val="宋体"/>
        <family val="3"/>
        <charset val="134"/>
      </rPr>
      <t>费用统计</t>
    </r>
    <phoneticPr fontId="6" type="noConversion"/>
  </si>
  <si>
    <t>北京搜狐新媒体信息技术有限公司</t>
    <phoneticPr fontId="5" type="noConversion"/>
  </si>
  <si>
    <r>
      <rPr>
        <sz val="10"/>
        <color rgb="FFFF0000"/>
        <rFont val="宋体"/>
        <family val="3"/>
        <charset val="134"/>
      </rPr>
      <t>搜狐网络大厦地下车位</t>
    </r>
    <phoneticPr fontId="6" type="noConversion"/>
  </si>
  <si>
    <r>
      <rPr>
        <sz val="10"/>
        <rFont val="宋体"/>
        <family val="3"/>
        <charset val="134"/>
      </rPr>
      <t>根据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1-10</t>
    </r>
    <r>
      <rPr>
        <sz val="10"/>
        <rFont val="宋体"/>
        <family val="3"/>
        <charset val="134"/>
      </rPr>
      <t>月电费支出明细</t>
    </r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</si>
  <si>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层（搜狐</t>
    </r>
    <r>
      <rPr>
        <sz val="10"/>
        <color theme="1"/>
        <rFont val="Calibri"/>
        <family val="2"/>
      </rPr>
      <t>38</t>
    </r>
    <r>
      <rPr>
        <sz val="10"/>
        <color theme="1"/>
        <rFont val="宋体"/>
        <family val="3"/>
        <charset val="134"/>
      </rPr>
      <t>％）</t>
    </r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</si>
  <si>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层（焦点</t>
    </r>
    <r>
      <rPr>
        <sz val="10"/>
        <color theme="1"/>
        <rFont val="Calibri"/>
        <family val="2"/>
      </rPr>
      <t>62</t>
    </r>
    <r>
      <rPr>
        <sz val="10"/>
        <color theme="1"/>
        <rFont val="宋体"/>
        <family val="3"/>
        <charset val="134"/>
      </rPr>
      <t>％）</t>
    </r>
    <phoneticPr fontId="5" type="noConversion"/>
  </si>
  <si>
    <r>
      <t>2016</t>
    </r>
    <r>
      <rPr>
        <b/>
        <sz val="10"/>
        <color theme="1"/>
        <rFont val="宋体"/>
        <family val="2"/>
        <charset val="134"/>
      </rPr>
      <t>年媒体大厦费用预算</t>
    </r>
    <phoneticPr fontId="5" type="noConversion"/>
  </si>
  <si>
    <r>
      <t>2016</t>
    </r>
    <r>
      <rPr>
        <sz val="10"/>
        <rFont val="宋体"/>
        <family val="3"/>
        <charset val="134"/>
      </rPr>
      <t>年预计月均费用</t>
    </r>
    <phoneticPr fontId="5" type="noConversion"/>
  </si>
  <si>
    <r>
      <t>2015</t>
    </r>
    <r>
      <rPr>
        <sz val="10"/>
        <rFont val="宋体"/>
        <family val="3"/>
        <charset val="134"/>
      </rPr>
      <t>年月平均用水量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水费</t>
    </r>
    <phoneticPr fontId="5" type="noConversion"/>
  </si>
  <si>
    <r>
      <t>2016</t>
    </r>
    <r>
      <rPr>
        <sz val="10"/>
        <rFont val="宋体"/>
        <family val="3"/>
        <charset val="134"/>
      </rPr>
      <t>年用水量预计增长率</t>
    </r>
    <phoneticPr fontId="5" type="noConversion"/>
  </si>
  <si>
    <r>
      <t>2016</t>
    </r>
    <r>
      <rPr>
        <sz val="10"/>
        <rFont val="宋体"/>
        <family val="3"/>
        <charset val="134"/>
      </rPr>
      <t>年预计月用水量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水费</t>
    </r>
    <phoneticPr fontId="5" type="noConversion"/>
  </si>
  <si>
    <r>
      <t>2016</t>
    </r>
    <r>
      <rPr>
        <sz val="10"/>
        <rFont val="宋体"/>
        <family val="3"/>
        <charset val="134"/>
      </rPr>
      <t>年用电量预计增长率</t>
    </r>
    <phoneticPr fontId="5" type="noConversion"/>
  </si>
  <si>
    <r>
      <t>2015</t>
    </r>
    <r>
      <rPr>
        <sz val="10"/>
        <rFont val="宋体"/>
        <family val="3"/>
        <charset val="134"/>
      </rPr>
      <t>月平均用电量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电费</t>
    </r>
    <phoneticPr fontId="5" type="noConversion"/>
  </si>
  <si>
    <r>
      <t>2016</t>
    </r>
    <r>
      <rPr>
        <sz val="10"/>
        <rFont val="宋体"/>
        <family val="3"/>
        <charset val="134"/>
      </rPr>
      <t>年预计月用电量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电费</t>
    </r>
    <phoneticPr fontId="5" type="noConversion"/>
  </si>
  <si>
    <r>
      <rPr>
        <b/>
        <sz val="10"/>
        <color theme="1"/>
        <rFont val="宋体"/>
        <family val="3"/>
        <charset val="134"/>
      </rPr>
      <t>供暖费（</t>
    </r>
    <r>
      <rPr>
        <b/>
        <sz val="10"/>
        <color theme="1"/>
        <rFont val="Calibri"/>
        <family val="2"/>
      </rPr>
      <t>Q3</t>
    </r>
    <r>
      <rPr>
        <b/>
        <sz val="10"/>
        <color theme="1"/>
        <rFont val="宋体"/>
        <family val="3"/>
        <charset val="134"/>
      </rPr>
      <t>预存）</t>
    </r>
    <phoneticPr fontId="5" type="noConversion"/>
  </si>
  <si>
    <r>
      <rPr>
        <sz val="10"/>
        <color theme="1"/>
        <rFont val="宋体"/>
        <family val="3"/>
        <charset val="134"/>
      </rPr>
      <t>采暖面积（㎡）</t>
    </r>
    <phoneticPr fontId="5" type="noConversion"/>
  </si>
  <si>
    <r>
      <rPr>
        <sz val="10"/>
        <color theme="1"/>
        <rFont val="宋体"/>
        <family val="3"/>
        <charset val="134"/>
      </rPr>
      <t>单价（元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3"/>
        <charset val="134"/>
      </rPr>
      <t>㎡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3"/>
        <charset val="134"/>
      </rPr>
      <t>季）</t>
    </r>
    <phoneticPr fontId="5" type="noConversion"/>
  </si>
  <si>
    <r>
      <rPr>
        <sz val="10"/>
        <color theme="1"/>
        <rFont val="宋体"/>
        <family val="3"/>
        <charset val="134"/>
      </rPr>
      <t>采暖天数</t>
    </r>
    <phoneticPr fontId="5" type="noConversion"/>
  </si>
  <si>
    <r>
      <rPr>
        <sz val="10"/>
        <color theme="1"/>
        <rFont val="宋体"/>
        <family val="3"/>
        <charset val="134"/>
      </rPr>
      <t>供暖基价费</t>
    </r>
    <phoneticPr fontId="5" type="noConversion"/>
  </si>
  <si>
    <r>
      <rPr>
        <sz val="10"/>
        <color theme="1"/>
        <rFont val="宋体"/>
        <family val="3"/>
        <charset val="134"/>
      </rPr>
      <t>单价（元</t>
    </r>
    <r>
      <rPr>
        <sz val="10"/>
        <color theme="1"/>
        <rFont val="Calibri"/>
        <family val="2"/>
      </rPr>
      <t>/GJ</t>
    </r>
    <r>
      <rPr>
        <sz val="10"/>
        <color theme="1"/>
        <rFont val="宋体"/>
        <family val="3"/>
        <charset val="134"/>
      </rPr>
      <t>）</t>
    </r>
    <phoneticPr fontId="5" type="noConversion"/>
  </si>
  <si>
    <r>
      <rPr>
        <sz val="10"/>
        <color theme="1"/>
        <rFont val="宋体"/>
        <family val="3"/>
        <charset val="134"/>
      </rPr>
      <t>每天热耗（</t>
    </r>
    <r>
      <rPr>
        <sz val="10"/>
        <color theme="1"/>
        <rFont val="Calibri"/>
        <family val="2"/>
      </rPr>
      <t>GJ</t>
    </r>
    <r>
      <rPr>
        <sz val="10"/>
        <color theme="1"/>
        <rFont val="宋体"/>
        <family val="3"/>
        <charset val="134"/>
      </rPr>
      <t>）</t>
    </r>
    <phoneticPr fontId="5" type="noConversion"/>
  </si>
  <si>
    <r>
      <rPr>
        <sz val="10"/>
        <color theme="1"/>
        <rFont val="宋体"/>
        <family val="3"/>
        <charset val="134"/>
      </rPr>
      <t>日均耗热费用</t>
    </r>
    <phoneticPr fontId="5" type="noConversion"/>
  </si>
  <si>
    <r>
      <rPr>
        <sz val="10"/>
        <color theme="1"/>
        <rFont val="宋体"/>
        <family val="3"/>
        <charset val="134"/>
      </rPr>
      <t>供暖季耗热量费用</t>
    </r>
    <phoneticPr fontId="5" type="noConversion"/>
  </si>
  <si>
    <r>
      <t>2015~2016</t>
    </r>
    <r>
      <rPr>
        <sz val="10"/>
        <color theme="1"/>
        <rFont val="宋体"/>
        <family val="3"/>
        <charset val="134"/>
      </rPr>
      <t>年供暖费基价</t>
    </r>
    <phoneticPr fontId="5" type="noConversion"/>
  </si>
  <si>
    <t>合计</t>
    <phoneticPr fontId="5" type="noConversion"/>
  </si>
  <si>
    <r>
      <t>2016~2017</t>
    </r>
    <r>
      <rPr>
        <sz val="10"/>
        <rFont val="宋体"/>
        <family val="3"/>
        <charset val="134"/>
      </rPr>
      <t>年供暖预计价格增长率</t>
    </r>
    <phoneticPr fontId="5" type="noConversion"/>
  </si>
  <si>
    <r>
      <t>2016~2017</t>
    </r>
    <r>
      <rPr>
        <sz val="10"/>
        <rFont val="宋体"/>
        <family val="3"/>
        <charset val="134"/>
      </rPr>
      <t>年预计供暖季费用</t>
    </r>
    <phoneticPr fontId="5" type="noConversion"/>
  </si>
  <si>
    <r>
      <t>2016~2017</t>
    </r>
    <r>
      <rPr>
        <sz val="10"/>
        <rFont val="宋体"/>
        <family val="3"/>
        <charset val="134"/>
      </rPr>
      <t>年生活热水</t>
    </r>
    <r>
      <rPr>
        <sz val="10"/>
        <rFont val="Calibri"/>
        <family val="2"/>
      </rPr>
      <t>HC</t>
    </r>
    <r>
      <rPr>
        <sz val="10"/>
        <rFont val="宋体"/>
        <family val="3"/>
        <charset val="134"/>
      </rPr>
      <t>增长率</t>
    </r>
    <phoneticPr fontId="5" type="noConversion"/>
  </si>
  <si>
    <r>
      <t>2016~2017</t>
    </r>
    <r>
      <rPr>
        <sz val="10"/>
        <rFont val="宋体"/>
        <family val="3"/>
        <charset val="134"/>
      </rPr>
      <t>年预计生活热水费用</t>
    </r>
    <phoneticPr fontId="5" type="noConversion"/>
  </si>
  <si>
    <r>
      <rPr>
        <sz val="10"/>
        <color rgb="FFFF0000"/>
        <rFont val="宋体"/>
        <family val="3"/>
        <charset val="134"/>
      </rPr>
      <t>以建设正式工位数</t>
    </r>
  </si>
  <si>
    <r>
      <rPr>
        <sz val="10"/>
        <color rgb="FFFF0000"/>
        <rFont val="宋体"/>
        <family val="3"/>
        <charset val="134"/>
      </rPr>
      <t>过道预留</t>
    </r>
  </si>
  <si>
    <r>
      <rPr>
        <sz val="10"/>
        <color rgb="FFFF0000"/>
        <rFont val="宋体"/>
        <family val="3"/>
        <charset val="134"/>
      </rPr>
      <t>窗边预留</t>
    </r>
  </si>
  <si>
    <r>
      <t>2016</t>
    </r>
    <r>
      <rPr>
        <b/>
        <sz val="10"/>
        <rFont val="宋体"/>
        <family val="3"/>
        <charset val="134"/>
      </rPr>
      <t>年人员增长统计</t>
    </r>
    <phoneticPr fontId="6" type="noConversion"/>
  </si>
  <si>
    <r>
      <rPr>
        <sz val="10"/>
        <rFont val="宋体"/>
        <family val="3"/>
        <charset val="134"/>
      </rPr>
      <t>截止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11</t>
    </r>
    <r>
      <rPr>
        <sz val="10"/>
        <rFont val="宋体"/>
        <family val="3"/>
        <charset val="134"/>
      </rPr>
      <t>月</t>
    </r>
    <r>
      <rPr>
        <sz val="10"/>
        <rFont val="Calibri"/>
        <family val="2"/>
      </rPr>
      <t xml:space="preserve"> HC (a)</t>
    </r>
    <phoneticPr fontId="6" type="noConversion"/>
  </si>
  <si>
    <r>
      <t>2016</t>
    </r>
    <r>
      <rPr>
        <sz val="10"/>
        <rFont val="宋体"/>
        <family val="3"/>
        <charset val="134"/>
      </rPr>
      <t>年底预计增长率</t>
    </r>
    <r>
      <rPr>
        <sz val="10"/>
        <rFont val="Calibri"/>
        <family val="2"/>
      </rPr>
      <t xml:space="preserve"> (b)</t>
    </r>
    <phoneticPr fontId="6" type="noConversion"/>
  </si>
  <si>
    <r>
      <t>2016</t>
    </r>
    <r>
      <rPr>
        <sz val="10"/>
        <rFont val="宋体"/>
        <family val="3"/>
        <charset val="134"/>
      </rPr>
      <t>年底预计人数</t>
    </r>
    <r>
      <rPr>
        <sz val="10"/>
        <rFont val="Calibri"/>
        <family val="2"/>
      </rPr>
      <t xml:space="preserve"> (c=a*(1+b))</t>
    </r>
    <phoneticPr fontId="6" type="noConversion"/>
  </si>
  <si>
    <r>
      <rPr>
        <sz val="10"/>
        <rFont val="宋体"/>
        <family val="3"/>
        <charset val="134"/>
      </rPr>
      <t>截止到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11</t>
    </r>
    <r>
      <rPr>
        <sz val="10"/>
        <rFont val="宋体"/>
        <family val="3"/>
        <charset val="134"/>
      </rPr>
      <t>月份数据</t>
    </r>
    <phoneticPr fontId="5" type="noConversion"/>
  </si>
  <si>
    <r>
      <rPr>
        <b/>
        <sz val="10"/>
        <rFont val="宋体"/>
        <family val="3"/>
        <charset val="134"/>
      </rPr>
      <t>焦点</t>
    </r>
    <r>
      <rPr>
        <b/>
        <sz val="10"/>
        <rFont val="Calibri"/>
        <family val="2"/>
      </rPr>
      <t>2016</t>
    </r>
    <r>
      <rPr>
        <b/>
        <sz val="10"/>
        <rFont val="宋体"/>
        <family val="3"/>
        <charset val="134"/>
      </rPr>
      <t>年人员增长统计</t>
    </r>
    <phoneticPr fontId="6" type="noConversion"/>
  </si>
  <si>
    <r>
      <rPr>
        <sz val="10"/>
        <rFont val="宋体"/>
        <family val="3"/>
        <charset val="134"/>
      </rPr>
      <t>注：</t>
    </r>
    <r>
      <rPr>
        <sz val="10"/>
        <rFont val="Calibri"/>
        <family val="2"/>
      </rPr>
      <t>15</t>
    </r>
    <r>
      <rPr>
        <sz val="10"/>
        <rFont val="宋体"/>
        <family val="3"/>
        <charset val="134"/>
      </rPr>
      <t>年开始小桶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桶，</t>
    </r>
    <r>
      <rPr>
        <sz val="10"/>
        <rFont val="Calibri"/>
        <family val="2"/>
      </rPr>
      <t>2</t>
    </r>
    <r>
      <rPr>
        <sz val="10"/>
        <rFont val="宋体"/>
        <family val="3"/>
        <charset val="134"/>
      </rPr>
      <t>月份调整为</t>
    </r>
    <r>
      <rPr>
        <sz val="10"/>
        <rFont val="Calibri"/>
        <family val="2"/>
      </rPr>
      <t>38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箱（</t>
    </r>
    <r>
      <rPr>
        <sz val="10"/>
        <rFont val="Calibri"/>
        <family val="2"/>
      </rPr>
      <t>8L*2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</si>
  <si>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单价上涨</t>
    </r>
    <r>
      <rPr>
        <sz val="10"/>
        <rFont val="Calibri"/>
        <family val="2"/>
      </rPr>
      <t>+</t>
    </r>
    <r>
      <rPr>
        <sz val="10"/>
        <rFont val="宋体"/>
        <family val="3"/>
        <charset val="134"/>
      </rPr>
      <t>消耗增加</t>
    </r>
    <phoneticPr fontId="5" type="noConversion"/>
  </si>
  <si>
    <r>
      <t>因融科</t>
    </r>
    <r>
      <rPr>
        <sz val="10"/>
        <color rgb="FFFF0000"/>
        <rFont val="Calibri"/>
        <family val="2"/>
      </rPr>
      <t>C10</t>
    </r>
    <r>
      <rPr>
        <sz val="10"/>
        <color rgb="FFFF0000"/>
        <rFont val="宋体"/>
        <family val="3"/>
        <charset val="134"/>
      </rPr>
      <t>办公位面积</t>
    </r>
    <r>
      <rPr>
        <sz val="10"/>
        <color rgb="FFFF0000"/>
        <rFont val="Calibri"/>
        <family val="2"/>
      </rPr>
      <t>2016</t>
    </r>
    <r>
      <rPr>
        <sz val="10"/>
        <color rgb="FFFF0000"/>
        <rFont val="宋体"/>
        <family val="3"/>
        <charset val="134"/>
      </rPr>
      <t>年重新拆分后所占比例为</t>
    </r>
    <r>
      <rPr>
        <sz val="10"/>
        <color rgb="FFFF0000"/>
        <rFont val="Calibri"/>
        <family val="2"/>
      </rPr>
      <t>38%</t>
    </r>
    <r>
      <rPr>
        <sz val="10"/>
        <color rgb="FFFF0000"/>
        <rFont val="宋体"/>
        <family val="3"/>
        <charset val="134"/>
      </rPr>
      <t/>
    </r>
    <phoneticPr fontId="5" type="noConversion"/>
  </si>
  <si>
    <r>
      <rPr>
        <sz val="10"/>
        <rFont val="宋体"/>
        <family val="3"/>
        <charset val="134"/>
      </rPr>
      <t>融科中科资源大厦</t>
    </r>
    <r>
      <rPr>
        <sz val="10"/>
        <rFont val="Calibri"/>
        <family val="2"/>
      </rPr>
      <t>B</t>
    </r>
    <r>
      <rPr>
        <sz val="10"/>
        <rFont val="Calibri"/>
        <family val="2"/>
      </rPr>
      <t>3</t>
    </r>
    <r>
      <rPr>
        <sz val="10"/>
        <rFont val="宋体"/>
        <family val="3"/>
        <charset val="134"/>
      </rPr>
      <t>层车位</t>
    </r>
    <phoneticPr fontId="6" type="noConversion"/>
  </si>
  <si>
    <r>
      <rPr>
        <sz val="10"/>
        <color rgb="FFFF0000"/>
        <rFont val="宋体"/>
        <family val="3"/>
        <charset val="134"/>
      </rPr>
      <t>使用</t>
    </r>
    <r>
      <rPr>
        <sz val="10"/>
        <color rgb="FFFF0000"/>
        <rFont val="Calibri"/>
        <family val="2"/>
      </rPr>
      <t>2013-2015</t>
    </r>
    <r>
      <rPr>
        <sz val="10"/>
        <color rgb="FFFF0000"/>
        <rFont val="宋体"/>
        <family val="3"/>
        <charset val="134"/>
      </rPr>
      <t>年度物业费结余中</t>
    </r>
    <r>
      <rPr>
        <sz val="10"/>
        <color rgb="FFFF0000"/>
        <rFont val="Calibri"/>
        <family val="2"/>
      </rPr>
      <t>1248865.78</t>
    </r>
    <r>
      <rPr>
        <sz val="10"/>
        <color rgb="FFFF0000"/>
        <rFont val="宋体"/>
        <family val="3"/>
        <charset val="134"/>
      </rPr>
      <t>元支付</t>
    </r>
    <phoneticPr fontId="5" type="noConversion"/>
  </si>
  <si>
    <r>
      <rPr>
        <sz val="10"/>
        <color rgb="FFFF0000"/>
        <rFont val="宋体"/>
        <family val="3"/>
        <charset val="134"/>
      </rPr>
      <t>使用</t>
    </r>
    <r>
      <rPr>
        <sz val="10"/>
        <color rgb="FFFF0000"/>
        <rFont val="Calibri"/>
        <family val="2"/>
      </rPr>
      <t>2013-2015</t>
    </r>
    <r>
      <rPr>
        <sz val="10"/>
        <color rgb="FFFF0000"/>
        <rFont val="宋体"/>
        <family val="3"/>
        <charset val="134"/>
      </rPr>
      <t>年度物业费结余中</t>
    </r>
    <r>
      <rPr>
        <sz val="10"/>
        <color rgb="FFFF0000"/>
        <rFont val="Calibri"/>
        <family val="2"/>
      </rPr>
      <t>517495.49</t>
    </r>
    <r>
      <rPr>
        <sz val="10"/>
        <color rgb="FFFF0000"/>
        <rFont val="宋体"/>
        <family val="3"/>
        <charset val="134"/>
      </rPr>
      <t>元支付</t>
    </r>
    <phoneticPr fontId="5" type="noConversion"/>
  </si>
  <si>
    <t>根据2016年实际测算，详见媒体大厦物业费测算表</t>
    <phoneticPr fontId="5" type="noConversion"/>
  </si>
  <si>
    <r>
      <rPr>
        <sz val="10"/>
        <rFont val="宋体"/>
        <family val="3"/>
        <charset val="134"/>
      </rPr>
      <t>单价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吨</t>
    </r>
    <r>
      <rPr>
        <sz val="10"/>
        <rFont val="Calibri"/>
        <family val="2"/>
      </rPr>
      <t>)</t>
    </r>
    <phoneticPr fontId="6" type="noConversion"/>
  </si>
  <si>
    <r>
      <rPr>
        <sz val="10"/>
        <rFont val="宋体"/>
        <family val="3"/>
        <charset val="134"/>
      </rPr>
      <t>用水量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吨</t>
    </r>
    <r>
      <rPr>
        <sz val="10"/>
        <rFont val="Calibri"/>
        <family val="2"/>
      </rPr>
      <t>)</t>
    </r>
    <phoneticPr fontId="6" type="noConversion"/>
  </si>
  <si>
    <r>
      <t>2016</t>
    </r>
    <r>
      <rPr>
        <sz val="10"/>
        <rFont val="宋体"/>
        <family val="3"/>
        <charset val="134"/>
      </rPr>
      <t>年办公室软装费用总计</t>
    </r>
    <phoneticPr fontId="5" type="noConversion"/>
  </si>
  <si>
    <t>第一太平融科物业管理（北京）有限公司</t>
  </si>
  <si>
    <r>
      <t>搜狐媒体大厦（D座）2015-201</t>
    </r>
    <r>
      <rPr>
        <b/>
        <sz val="11"/>
        <rFont val="黑体"/>
        <family val="3"/>
        <charset val="134"/>
      </rPr>
      <t>6</t>
    </r>
    <r>
      <rPr>
        <b/>
        <sz val="11"/>
        <rFont val="黑体"/>
        <family val="3"/>
        <charset val="134"/>
      </rPr>
      <t>年度物业费测算</t>
    </r>
    <phoneticPr fontId="6" type="noConversion"/>
  </si>
  <si>
    <t>项    目</t>
  </si>
  <si>
    <r>
      <t>2015-2016</t>
    </r>
    <r>
      <rPr>
        <b/>
        <sz val="11"/>
        <color indexed="8"/>
        <rFont val="黑体"/>
        <family val="3"/>
        <charset val="134"/>
      </rPr>
      <t>度合同期测算</t>
    </r>
    <r>
      <rPr>
        <b/>
        <sz val="11"/>
        <color indexed="8"/>
        <rFont val="Arial Narrow"/>
        <family val="2"/>
      </rPr>
      <t>(</t>
    </r>
    <r>
      <rPr>
        <b/>
        <sz val="11"/>
        <color indexed="8"/>
        <rFont val="黑体"/>
        <family val="3"/>
        <charset val="134"/>
      </rPr>
      <t>最终版</t>
    </r>
    <r>
      <rPr>
        <b/>
        <sz val="11"/>
        <color indexed="8"/>
        <rFont val="Arial Narrow"/>
        <family val="2"/>
      </rPr>
      <t>)</t>
    </r>
    <phoneticPr fontId="6" type="noConversion"/>
  </si>
  <si>
    <t>搜狐新媒体</t>
    <phoneticPr fontId="6" type="noConversion"/>
  </si>
  <si>
    <t>搜狐新动力</t>
    <phoneticPr fontId="6" type="noConversion"/>
  </si>
  <si>
    <t>2015.05-2015.12</t>
    <phoneticPr fontId="6" type="noConversion"/>
  </si>
  <si>
    <t>2016.01-2016.12</t>
    <phoneticPr fontId="6" type="noConversion"/>
  </si>
  <si>
    <r>
      <rPr>
        <b/>
        <sz val="10"/>
        <color indexed="8"/>
        <rFont val="黑体"/>
        <family val="3"/>
        <charset val="134"/>
      </rPr>
      <t>小</t>
    </r>
    <r>
      <rPr>
        <b/>
        <sz val="10"/>
        <color indexed="8"/>
        <rFont val="Arial Narrow"/>
        <family val="2"/>
      </rPr>
      <t xml:space="preserve">  </t>
    </r>
    <r>
      <rPr>
        <b/>
        <sz val="10"/>
        <color indexed="8"/>
        <rFont val="黑体"/>
        <family val="3"/>
        <charset val="134"/>
      </rPr>
      <t>计</t>
    </r>
    <phoneticPr fontId="6" type="noConversion"/>
  </si>
  <si>
    <t>一</t>
  </si>
  <si>
    <t>人力资源费</t>
    <phoneticPr fontId="6" type="noConversion"/>
  </si>
  <si>
    <t>二</t>
  </si>
  <si>
    <t>维修保养费</t>
    <phoneticPr fontId="6" type="noConversion"/>
  </si>
  <si>
    <t>三</t>
    <phoneticPr fontId="6" type="noConversion"/>
  </si>
  <si>
    <t>清洁费用</t>
    <phoneticPr fontId="6" type="noConversion"/>
  </si>
  <si>
    <t>四</t>
    <phoneticPr fontId="6" type="noConversion"/>
  </si>
  <si>
    <t>绿化装饰费</t>
    <phoneticPr fontId="6" type="noConversion"/>
  </si>
  <si>
    <t>五</t>
    <phoneticPr fontId="6" type="noConversion"/>
  </si>
  <si>
    <t>保安维护费</t>
    <phoneticPr fontId="6" type="noConversion"/>
  </si>
  <si>
    <t>六</t>
    <phoneticPr fontId="6" type="noConversion"/>
  </si>
  <si>
    <t>公共保险费</t>
    <phoneticPr fontId="6" type="noConversion"/>
  </si>
  <si>
    <t>七</t>
    <phoneticPr fontId="6" type="noConversion"/>
  </si>
  <si>
    <t>行政办公费</t>
    <phoneticPr fontId="6" type="noConversion"/>
  </si>
  <si>
    <t>八</t>
    <phoneticPr fontId="6" type="noConversion"/>
  </si>
  <si>
    <t>员工工服费</t>
    <phoneticPr fontId="6" type="noConversion"/>
  </si>
  <si>
    <t>九</t>
    <phoneticPr fontId="6" type="noConversion"/>
  </si>
  <si>
    <t>固定资产折旧费</t>
    <phoneticPr fontId="6" type="noConversion"/>
  </si>
  <si>
    <t>十</t>
    <phoneticPr fontId="6" type="noConversion"/>
  </si>
  <si>
    <t>管理者酬金</t>
    <phoneticPr fontId="6" type="noConversion"/>
  </si>
  <si>
    <t>十一</t>
    <phoneticPr fontId="6" type="noConversion"/>
  </si>
  <si>
    <t>营业税金及附加</t>
    <phoneticPr fontId="6" type="noConversion"/>
  </si>
  <si>
    <t>支 出 累 计</t>
  </si>
  <si>
    <t>月均物业服务费</t>
    <phoneticPr fontId="6" type="noConversion"/>
  </si>
  <si>
    <t>融科C座19、20层（焦点）</t>
    <phoneticPr fontId="5" type="noConversion"/>
  </si>
  <si>
    <r>
      <rPr>
        <sz val="10"/>
        <rFont val="宋体"/>
        <family val="3"/>
        <charset val="134"/>
      </rPr>
      <t>用电量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度</t>
    </r>
    <r>
      <rPr>
        <sz val="10"/>
        <rFont val="Calibri"/>
        <family val="2"/>
      </rPr>
      <t>)</t>
    </r>
    <phoneticPr fontId="6" type="noConversion"/>
  </si>
  <si>
    <r>
      <rPr>
        <sz val="10"/>
        <rFont val="宋体"/>
        <family val="3"/>
        <charset val="134"/>
      </rPr>
      <t>单价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度</t>
    </r>
    <r>
      <rPr>
        <sz val="10"/>
        <rFont val="Calibri"/>
        <family val="2"/>
      </rPr>
      <t>)</t>
    </r>
    <phoneticPr fontId="6" type="noConversion"/>
  </si>
  <si>
    <r>
      <rPr>
        <sz val="10"/>
        <rFont val="宋体"/>
        <family val="3"/>
        <charset val="134"/>
      </rPr>
      <t>小计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)</t>
    </r>
    <phoneticPr fontId="6" type="noConversion"/>
  </si>
  <si>
    <t>融科C座10（焦点支付62%）</t>
    <phoneticPr fontId="5" type="noConversion"/>
  </si>
  <si>
    <t>宝盾速通门</t>
  </si>
  <si>
    <t>影音室</t>
  </si>
  <si>
    <t>攀岩墙</t>
  </si>
  <si>
    <t>融科C座10层电费（搜狐38%）</t>
  </si>
  <si>
    <t>融科C座10（搜狐38%）</t>
  </si>
  <si>
    <t>融科C座10层保安费（搜狐38%）</t>
  </si>
  <si>
    <t>融科C座10层（38%）植物租摆费</t>
  </si>
  <si>
    <t>融科C座10层（搜狐38%）保洁费用</t>
  </si>
  <si>
    <t>融科C座10层(38%)地毯清洗</t>
  </si>
  <si>
    <t>融科C座10层（38%）茶水间费用</t>
  </si>
  <si>
    <t>融科C座10层租金（焦点62%）</t>
  </si>
  <si>
    <t>融科C座10层物业管理费（焦点62%）</t>
  </si>
  <si>
    <t>融科C座10层(62%)和19、20层电费</t>
  </si>
  <si>
    <t>融科C座10（62%）和19、20层饮用水</t>
  </si>
  <si>
    <t>融科C座（62%）19、20层保安费</t>
  </si>
  <si>
    <t>融科C座10（62%）、19、20层植物租摆费</t>
  </si>
  <si>
    <t>融科C座10（62%）19、20层日常保洁费用</t>
  </si>
  <si>
    <t>融科C座10(62%)19、20层地毯清洗</t>
  </si>
  <si>
    <t>融科C座10（62%）19、20层茶水间费用</t>
  </si>
  <si>
    <t>融科C座10层租金（搜狐38%）</t>
  </si>
  <si>
    <t>融科C座10层物业管理费（搜狐38%）</t>
  </si>
  <si>
    <t>2016年搜狐车辆保险及维修保养费预算</t>
    <phoneticPr fontId="6" type="noConversion"/>
  </si>
  <si>
    <t>车辆保险</t>
    <phoneticPr fontId="6" type="noConversion"/>
  </si>
  <si>
    <t>ES车辆维修</t>
    <phoneticPr fontId="6" type="noConversion"/>
  </si>
  <si>
    <t>ES车辆保养</t>
    <phoneticPr fontId="6" type="noConversion"/>
  </si>
  <si>
    <t>车型</t>
    <phoneticPr fontId="6" type="noConversion"/>
  </si>
  <si>
    <t>车号</t>
    <phoneticPr fontId="6" type="noConversion"/>
  </si>
  <si>
    <t>司机</t>
    <phoneticPr fontId="6" type="noConversion"/>
  </si>
  <si>
    <t>使用人</t>
    <phoneticPr fontId="5" type="noConversion"/>
  </si>
  <si>
    <t>购买时间</t>
    <phoneticPr fontId="5" type="noConversion"/>
  </si>
  <si>
    <t>购买年限</t>
    <phoneticPr fontId="6" type="noConversion"/>
  </si>
  <si>
    <t>续险月份</t>
    <phoneticPr fontId="6" type="noConversion"/>
  </si>
  <si>
    <t>2015年
车险费</t>
    <phoneticPr fontId="6" type="noConversion"/>
  </si>
  <si>
    <t>2015年车险赔付金额</t>
    <phoneticPr fontId="6" type="noConversion"/>
  </si>
  <si>
    <t>2016年车险费（预估）</t>
    <phoneticPr fontId="6" type="noConversion"/>
  </si>
  <si>
    <t>说明</t>
    <phoneticPr fontId="6" type="noConversion"/>
  </si>
  <si>
    <t>2015年
维修费</t>
    <phoneticPr fontId="6" type="noConversion"/>
  </si>
  <si>
    <t>2016年维修费（预估）</t>
    <phoneticPr fontId="6" type="noConversion"/>
  </si>
  <si>
    <t>2015年
保养费</t>
    <phoneticPr fontId="6" type="noConversion"/>
  </si>
  <si>
    <t>2016年保养费（预估）</t>
    <phoneticPr fontId="6" type="noConversion"/>
  </si>
  <si>
    <t>合计</t>
    <phoneticPr fontId="5" type="noConversion"/>
  </si>
  <si>
    <t>Q1</t>
    <phoneticPr fontId="5" type="noConversion"/>
  </si>
  <si>
    <t>Q3</t>
    <phoneticPr fontId="5" type="noConversion"/>
  </si>
  <si>
    <t>1.出险0次，第二年保费与上年基本持平；出险1-2次且出险金额小于上年保费，第二年保费上浮3%；</t>
  </si>
  <si>
    <t>2.出险1-2次且出险金额大于上年保费，第二年保费上浮10%；</t>
  </si>
  <si>
    <t>3.出险3次及以上且出险金额小于上年保费，第二年保费上浮10%；</t>
  </si>
  <si>
    <t>4.出险3次且出险金额大于上年保费，第二年保费上浮20%；</t>
  </si>
  <si>
    <t>5.出险4次且出险金额大于上年保费，第二年保费上浮30%；</t>
  </si>
  <si>
    <t>6.出险5次及以上且出险金额大于上年保费，第二年保费上浮50%。</t>
  </si>
  <si>
    <t>季度</t>
    <phoneticPr fontId="5" type="noConversion"/>
  </si>
  <si>
    <t>金额</t>
    <phoneticPr fontId="5" type="noConversion"/>
  </si>
  <si>
    <t>备注</t>
    <phoneticPr fontId="5" type="noConversion"/>
  </si>
  <si>
    <t>Q1-Q2</t>
    <phoneticPr fontId="5" type="noConversion"/>
  </si>
  <si>
    <t>合计</t>
    <phoneticPr fontId="5" type="noConversion"/>
  </si>
  <si>
    <t>Q3-Q4</t>
    <phoneticPr fontId="5" type="noConversion"/>
  </si>
  <si>
    <t>2015年月平均费用</t>
    <phoneticPr fontId="5" type="noConversion"/>
  </si>
  <si>
    <t>月份</t>
    <phoneticPr fontId="5" type="noConversion"/>
  </si>
  <si>
    <t>1月</t>
    <phoneticPr fontId="5" type="noConversion"/>
  </si>
  <si>
    <t>0.983元/度</t>
    <phoneticPr fontId="5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</si>
  <si>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</si>
  <si>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</si>
  <si>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</si>
  <si>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</si>
  <si>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</si>
  <si>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</si>
  <si>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</si>
  <si>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</si>
  <si>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Q2</t>
    <phoneticPr fontId="5" type="noConversion"/>
  </si>
  <si>
    <t>Q4</t>
    <phoneticPr fontId="5" type="noConversion"/>
  </si>
  <si>
    <t>因武汉研发中心茶水间物品均由办公用品的供应商一并提供，所以费用每月合并结算</t>
    <phoneticPr fontId="5" type="noConversion"/>
  </si>
  <si>
    <t>金额</t>
    <phoneticPr fontId="5" type="noConversion"/>
  </si>
  <si>
    <t>备注</t>
    <phoneticPr fontId="5" type="noConversion"/>
  </si>
  <si>
    <t>合计</t>
    <phoneticPr fontId="5" type="noConversion"/>
  </si>
  <si>
    <t>季度</t>
    <phoneticPr fontId="5" type="noConversion"/>
  </si>
  <si>
    <t>Q2</t>
    <phoneticPr fontId="5" type="noConversion"/>
  </si>
  <si>
    <t>Q3</t>
    <phoneticPr fontId="5" type="noConversion"/>
  </si>
  <si>
    <t>Q4</t>
    <phoneticPr fontId="5" type="noConversion"/>
  </si>
  <si>
    <t>每季度结算，与租金同时变化上涨</t>
    <phoneticPr fontId="5" type="noConversion"/>
  </si>
  <si>
    <t>Q1-Q2</t>
    <phoneticPr fontId="5" type="noConversion"/>
  </si>
  <si>
    <t>每半年一结算</t>
    <phoneticPr fontId="5" type="noConversion"/>
  </si>
  <si>
    <t>Q3-Q4</t>
    <phoneticPr fontId="5" type="noConversion"/>
  </si>
  <si>
    <t>2014年月平均费用</t>
    <phoneticPr fontId="5" type="noConversion"/>
  </si>
  <si>
    <t>金额</t>
    <phoneticPr fontId="5" type="noConversion"/>
  </si>
  <si>
    <t>备注</t>
    <phoneticPr fontId="5" type="noConversion"/>
  </si>
  <si>
    <t>Q1-Q2</t>
    <phoneticPr fontId="5" type="noConversion"/>
  </si>
  <si>
    <t>季度</t>
    <phoneticPr fontId="5" type="noConversion"/>
  </si>
  <si>
    <t>Q1</t>
    <phoneticPr fontId="5" type="noConversion"/>
  </si>
  <si>
    <t>月结，2230元/月</t>
    <phoneticPr fontId="5" type="noConversion"/>
  </si>
  <si>
    <t>Q2</t>
  </si>
  <si>
    <t>Q4</t>
  </si>
  <si>
    <t>每半年预存1000元</t>
    <phoneticPr fontId="5" type="noConversion"/>
  </si>
  <si>
    <t xml:space="preserve">2015年Q1-Q2水费统计 </t>
    <phoneticPr fontId="5" type="noConversion"/>
  </si>
  <si>
    <t>每半年一收、3元/吨；     2015年下半年水费未出</t>
    <phoneticPr fontId="5" type="noConversion"/>
  </si>
  <si>
    <t>2016年预计年费用</t>
    <phoneticPr fontId="5" type="noConversion"/>
  </si>
  <si>
    <t>2016年月平均费用</t>
    <phoneticPr fontId="5" type="noConversion"/>
  </si>
  <si>
    <t>每半年一收、3元/吨、预计因物价上涨增长10%</t>
    <phoneticPr fontId="5" type="noConversion"/>
  </si>
  <si>
    <t>2015年1月-8月电费</t>
    <phoneticPr fontId="5" type="noConversion"/>
  </si>
  <si>
    <t xml:space="preserve">2015年Q1-Q4饮用水费统计 </t>
    <phoneticPr fontId="5" type="noConversion"/>
  </si>
  <si>
    <t>2015年1月-10月办公用品、茶水间用品费用</t>
    <phoneticPr fontId="5" type="noConversion"/>
  </si>
  <si>
    <t>2016年预估费用</t>
    <phoneticPr fontId="5" type="noConversion"/>
  </si>
  <si>
    <t>2015年Q1-Q4日常洗涤费用</t>
    <phoneticPr fontId="5" type="noConversion"/>
  </si>
  <si>
    <t>费用预计因物价上涨增长10%</t>
    <phoneticPr fontId="5" type="noConversion"/>
  </si>
  <si>
    <t>2015年Q1-Q4租金</t>
    <phoneticPr fontId="5" type="noConversion"/>
  </si>
  <si>
    <t>2015年Q1-Q4租赁税</t>
    <phoneticPr fontId="5" type="noConversion"/>
  </si>
  <si>
    <t>每季度结算，为租金的15.7%，与租金同时变化上涨</t>
    <phoneticPr fontId="5" type="noConversion"/>
  </si>
  <si>
    <t>2015年Q1-Q4物业费</t>
    <phoneticPr fontId="5" type="noConversion"/>
  </si>
  <si>
    <t>2015年Q1-Q4电梯补偿费</t>
    <phoneticPr fontId="5" type="noConversion"/>
  </si>
  <si>
    <t>2015年Q1-Q4绿植费</t>
    <phoneticPr fontId="5" type="noConversion"/>
  </si>
  <si>
    <t>2015年Q1-Q4保洁费</t>
    <phoneticPr fontId="5" type="noConversion"/>
  </si>
  <si>
    <t>月结，2015年2月起，费用由3950元/月增长为4100元/月</t>
    <phoneticPr fontId="5" type="noConversion"/>
  </si>
  <si>
    <t>2015年费用预计因物价上涨增长5%</t>
    <phoneticPr fontId="5" type="noConversion"/>
  </si>
  <si>
    <t>2015年Q1-Q4固定电话费用</t>
    <phoneticPr fontId="5" type="noConversion"/>
  </si>
  <si>
    <t>2015年Q1-Q4装饰工程、门禁、监控、空调等日常维护费用</t>
    <phoneticPr fontId="5" type="noConversion"/>
  </si>
  <si>
    <r>
      <t>2015</t>
    </r>
    <r>
      <rPr>
        <b/>
        <sz val="10"/>
        <rFont val="宋体"/>
        <family val="3"/>
        <charset val="134"/>
      </rPr>
      <t>预算</t>
    </r>
    <phoneticPr fontId="6" type="noConversion"/>
  </si>
  <si>
    <r>
      <t>2015</t>
    </r>
    <r>
      <rPr>
        <b/>
        <sz val="10"/>
        <rFont val="宋体"/>
        <family val="3"/>
        <charset val="134"/>
      </rPr>
      <t>年行政预算计算依据表（不含搜狗及视频天津）</t>
    </r>
    <phoneticPr fontId="6" type="noConversion"/>
  </si>
  <si>
    <t>Budget Item</t>
    <phoneticPr fontId="6" type="noConversion"/>
  </si>
  <si>
    <t>Explanation</t>
    <phoneticPr fontId="6" type="noConversion"/>
  </si>
  <si>
    <r>
      <t>Price</t>
    </r>
    <r>
      <rPr>
        <b/>
        <sz val="10"/>
        <rFont val="Arial Unicode MS"/>
        <family val="2"/>
        <charset val="134"/>
      </rPr>
      <t>（</t>
    </r>
    <r>
      <rPr>
        <b/>
        <sz val="10"/>
        <rFont val="Calibri"/>
        <family val="2"/>
      </rPr>
      <t>ES</t>
    </r>
    <r>
      <rPr>
        <b/>
        <sz val="10"/>
        <rFont val="Arial Unicode MS"/>
        <family val="2"/>
        <charset val="134"/>
      </rPr>
      <t>）</t>
    </r>
    <phoneticPr fontId="6" type="noConversion"/>
  </si>
  <si>
    <t>Q1</t>
    <phoneticPr fontId="5" type="noConversion"/>
  </si>
  <si>
    <t>Q3</t>
    <phoneticPr fontId="5" type="noConversion"/>
  </si>
  <si>
    <t>Expenses</t>
    <phoneticPr fontId="6" type="noConversion"/>
  </si>
  <si>
    <t>Remark</t>
    <phoneticPr fontId="6" type="noConversion"/>
  </si>
  <si>
    <t xml:space="preserve">per month in RMB </t>
    <phoneticPr fontId="6" type="noConversion"/>
  </si>
  <si>
    <t>year in RMB</t>
    <phoneticPr fontId="6" type="noConversion"/>
  </si>
  <si>
    <r>
      <t>2014</t>
    </r>
    <r>
      <rPr>
        <b/>
        <sz val="10"/>
        <rFont val="宋体"/>
        <family val="3"/>
        <charset val="134"/>
      </rPr>
      <t>预算</t>
    </r>
    <phoneticPr fontId="6" type="noConversion"/>
  </si>
  <si>
    <r>
      <rPr>
        <b/>
        <sz val="10"/>
        <rFont val="宋体"/>
        <family val="3"/>
        <charset val="134"/>
      </rPr>
      <t>与</t>
    </r>
    <r>
      <rPr>
        <b/>
        <sz val="10"/>
        <rFont val="Calibri"/>
        <family val="2"/>
      </rPr>
      <t>2014</t>
    </r>
    <r>
      <rPr>
        <b/>
        <sz val="10"/>
        <rFont val="宋体"/>
        <family val="3"/>
        <charset val="134"/>
      </rPr>
      <t>金额差异</t>
    </r>
    <phoneticPr fontId="5" type="noConversion"/>
  </si>
  <si>
    <t>变化比例</t>
    <phoneticPr fontId="6" type="noConversion"/>
  </si>
  <si>
    <t>details</t>
    <phoneticPr fontId="6" type="noConversion"/>
  </si>
  <si>
    <r>
      <rPr>
        <sz val="10"/>
        <rFont val="Arial Unicode MS"/>
        <family val="2"/>
        <charset val="134"/>
      </rPr>
      <t>（</t>
    </r>
    <r>
      <rPr>
        <sz val="10"/>
        <rFont val="Calibri"/>
        <family val="2"/>
      </rPr>
      <t>a</t>
    </r>
    <r>
      <rPr>
        <sz val="10"/>
        <rFont val="Arial Unicode MS"/>
        <family val="2"/>
        <charset val="134"/>
      </rPr>
      <t>）</t>
    </r>
    <phoneticPr fontId="6" type="noConversion"/>
  </si>
  <si>
    <r>
      <rPr>
        <sz val="10"/>
        <rFont val="Arial Unicode MS"/>
        <family val="2"/>
        <charset val="134"/>
      </rPr>
      <t>（</t>
    </r>
    <r>
      <rPr>
        <sz val="10"/>
        <rFont val="Calibri"/>
        <family val="2"/>
      </rPr>
      <t>b</t>
    </r>
    <r>
      <rPr>
        <sz val="10"/>
        <rFont val="Arial Unicode MS"/>
        <family val="2"/>
        <charset val="134"/>
      </rPr>
      <t>）</t>
    </r>
    <r>
      <rPr>
        <sz val="10"/>
        <rFont val="Calibri"/>
        <family val="2"/>
      </rPr>
      <t>=</t>
    </r>
    <r>
      <rPr>
        <sz val="10"/>
        <rFont val="Arial Unicode MS"/>
        <family val="2"/>
        <charset val="134"/>
      </rPr>
      <t>（</t>
    </r>
    <r>
      <rPr>
        <sz val="10"/>
        <rFont val="Calibri"/>
        <family val="2"/>
      </rPr>
      <t>a</t>
    </r>
    <r>
      <rPr>
        <sz val="10"/>
        <rFont val="Arial Unicode MS"/>
        <family val="2"/>
        <charset val="134"/>
      </rPr>
      <t>）</t>
    </r>
    <r>
      <rPr>
        <sz val="10"/>
        <rFont val="Calibri"/>
        <family val="2"/>
      </rPr>
      <t>*12</t>
    </r>
    <phoneticPr fontId="6" type="noConversion"/>
  </si>
  <si>
    <t>※</t>
    <phoneticPr fontId="6" type="noConversion"/>
  </si>
  <si>
    <t>Rental</t>
    <phoneticPr fontId="6" type="noConversion"/>
  </si>
  <si>
    <t>网络大厦租金</t>
    <phoneticPr fontId="6" type="noConversion"/>
  </si>
  <si>
    <t>网络大厦3层租期2015年2月28日到期后不续租，2015年物业费和租金支付到2月28日</t>
    <phoneticPr fontId="5" type="noConversion"/>
  </si>
  <si>
    <r>
      <rPr>
        <sz val="10"/>
        <rFont val="宋体"/>
        <family val="3"/>
        <charset val="134"/>
      </rPr>
      <t>网络大厦物业管理费</t>
    </r>
    <r>
      <rPr>
        <sz val="10"/>
        <rFont val="Arial"/>
        <family val="2"/>
      </rPr>
      <t/>
    </r>
    <phoneticPr fontId="6" type="noConversion"/>
  </si>
  <si>
    <r>
      <t>7-15</t>
    </r>
    <r>
      <rPr>
        <sz val="10"/>
        <rFont val="宋体"/>
        <family val="3"/>
        <charset val="134"/>
      </rPr>
      <t>层按照搜狗</t>
    </r>
    <r>
      <rPr>
        <sz val="10"/>
        <rFont val="Calibri"/>
        <family val="2"/>
      </rPr>
      <t>89%</t>
    </r>
    <r>
      <rPr>
        <sz val="10"/>
        <rFont val="宋体"/>
        <family val="3"/>
        <charset val="134"/>
      </rPr>
      <t>、搜狐</t>
    </r>
    <r>
      <rPr>
        <sz val="10"/>
        <rFont val="Calibri"/>
        <family val="2"/>
      </rPr>
      <t>11%</t>
    </r>
    <r>
      <rPr>
        <sz val="10"/>
        <rFont val="宋体"/>
        <family val="3"/>
        <charset val="134"/>
      </rPr>
      <t>的原则拆分，</t>
    </r>
    <r>
      <rPr>
        <sz val="10"/>
        <rFont val="Calibri"/>
        <family val="2"/>
      </rPr>
      <t>3</t>
    </r>
    <r>
      <rPr>
        <sz val="10"/>
        <rFont val="宋体"/>
        <family val="3"/>
        <charset val="134"/>
      </rPr>
      <t>层支付到</t>
    </r>
    <r>
      <rPr>
        <sz val="10"/>
        <rFont val="Calibri"/>
        <family val="2"/>
      </rPr>
      <t>2</t>
    </r>
    <r>
      <rPr>
        <sz val="10"/>
        <rFont val="宋体"/>
        <family val="3"/>
        <charset val="134"/>
      </rPr>
      <t>月</t>
    </r>
    <r>
      <rPr>
        <sz val="10"/>
        <rFont val="Calibri"/>
        <family val="2"/>
      </rPr>
      <t>28</t>
    </r>
    <r>
      <rPr>
        <sz val="10"/>
        <rFont val="宋体"/>
        <family val="3"/>
        <charset val="134"/>
      </rPr>
      <t>日，自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9</t>
    </r>
    <r>
      <rPr>
        <sz val="10"/>
        <rFont val="宋体"/>
        <family val="3"/>
        <charset val="134"/>
      </rPr>
      <t>月起物业费从</t>
    </r>
    <r>
      <rPr>
        <sz val="10"/>
        <rFont val="Calibri"/>
        <family val="2"/>
      </rPr>
      <t>0.9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平米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天上调到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平米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天</t>
    </r>
    <phoneticPr fontId="5" type="noConversion"/>
  </si>
  <si>
    <t>媒体大厦物业管理费</t>
    <phoneticPr fontId="5" type="noConversion"/>
  </si>
  <si>
    <t>媒体大厦设施设备运营费</t>
    <phoneticPr fontId="5" type="noConversion"/>
  </si>
  <si>
    <t>媒体大厦两年质保期在2016年2月后陆续到期，工程项目需要签订三方维保协助，费用由搜狐支付</t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</si>
  <si>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层租金（搜狐</t>
    </r>
    <r>
      <rPr>
        <sz val="10"/>
        <rFont val="Calibri"/>
        <family val="2"/>
      </rPr>
      <t>24%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</si>
  <si>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层物业管理费（搜狐</t>
    </r>
    <r>
      <rPr>
        <sz val="10"/>
        <rFont val="Calibri"/>
        <family val="2"/>
      </rPr>
      <t>24%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</si>
  <si>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层租金</t>
    </r>
    <phoneticPr fontId="6" type="noConversion"/>
  </si>
  <si>
    <r>
      <rPr>
        <sz val="10"/>
        <rFont val="宋体"/>
        <family val="3"/>
        <charset val="134"/>
      </rPr>
      <t>计划于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月开始退租</t>
    </r>
    <phoneticPr fontId="5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</si>
  <si>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层物业管理费</t>
    </r>
    <phoneticPr fontId="6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</si>
  <si>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层租金</t>
    </r>
    <phoneticPr fontId="6" type="noConversion"/>
  </si>
  <si>
    <t>物业管理费中包含200个DID电话号码6000元/月的占号费。租赁合同截止至2016年2月29日.8层计划在在2015年4月30日退租，根据合同约定需要支付3个月房租和物业费作为违约金，支付68万办公区装修恢复费用（因有机房预算高于7层退租5万）。</t>
    <phoneticPr fontId="5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</si>
  <si>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层物业管理费</t>
    </r>
    <phoneticPr fontId="6" type="noConversion"/>
  </si>
  <si>
    <t>焦点</t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</si>
  <si>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层租金</t>
    </r>
    <phoneticPr fontId="6" type="noConversion"/>
  </si>
  <si>
    <r>
      <t>2015</t>
    </r>
    <r>
      <rPr>
        <u/>
        <sz val="10"/>
        <rFont val="宋体"/>
        <family val="3"/>
        <charset val="134"/>
      </rPr>
      <t>年</t>
    </r>
    <r>
      <rPr>
        <u/>
        <sz val="10"/>
        <rFont val="Calibri"/>
        <family val="2"/>
      </rPr>
      <t>1</t>
    </r>
    <r>
      <rPr>
        <u/>
        <sz val="10"/>
        <rFont val="宋体"/>
        <family val="3"/>
        <charset val="134"/>
      </rPr>
      <t>月</t>
    </r>
    <r>
      <rPr>
        <u/>
        <sz val="10"/>
        <rFont val="Calibri"/>
        <family val="2"/>
      </rPr>
      <t>1</t>
    </r>
    <r>
      <rPr>
        <u/>
        <sz val="10"/>
        <rFont val="宋体"/>
        <family val="3"/>
        <charset val="134"/>
      </rPr>
      <t>日签署续租合同，单价由</t>
    </r>
    <r>
      <rPr>
        <u/>
        <sz val="10"/>
        <rFont val="Calibri"/>
        <family val="2"/>
      </rPr>
      <t>230</t>
    </r>
    <r>
      <rPr>
        <u/>
        <sz val="10"/>
        <rFont val="宋体"/>
        <family val="3"/>
        <charset val="134"/>
      </rPr>
      <t>元</t>
    </r>
    <r>
      <rPr>
        <u/>
        <sz val="10"/>
        <rFont val="Calibri"/>
        <family val="2"/>
      </rPr>
      <t>/</t>
    </r>
    <r>
      <rPr>
        <u/>
        <sz val="10"/>
        <rFont val="宋体"/>
        <family val="3"/>
        <charset val="134"/>
      </rPr>
      <t>㎡</t>
    </r>
    <r>
      <rPr>
        <u/>
        <sz val="10"/>
        <rFont val="Calibri"/>
        <family val="2"/>
      </rPr>
      <t>/</t>
    </r>
    <r>
      <rPr>
        <u/>
        <sz val="10"/>
        <rFont val="宋体"/>
        <family val="3"/>
        <charset val="134"/>
      </rPr>
      <t>月，调整为</t>
    </r>
    <r>
      <rPr>
        <u/>
        <sz val="10"/>
        <rFont val="Calibri"/>
        <family val="2"/>
      </rPr>
      <t>250</t>
    </r>
    <r>
      <rPr>
        <u/>
        <sz val="10"/>
        <rFont val="宋体"/>
        <family val="3"/>
        <charset val="134"/>
      </rPr>
      <t>元</t>
    </r>
    <r>
      <rPr>
        <u/>
        <sz val="10"/>
        <rFont val="Calibri"/>
        <family val="2"/>
      </rPr>
      <t>/</t>
    </r>
    <r>
      <rPr>
        <u/>
        <sz val="10"/>
        <rFont val="宋体"/>
        <family val="3"/>
        <charset val="134"/>
      </rPr>
      <t>㎡</t>
    </r>
    <r>
      <rPr>
        <u/>
        <sz val="10"/>
        <rFont val="Calibri"/>
        <family val="2"/>
      </rPr>
      <t>/</t>
    </r>
    <r>
      <rPr>
        <u/>
        <sz val="10"/>
        <rFont val="宋体"/>
        <family val="3"/>
        <charset val="134"/>
      </rPr>
      <t>月，自</t>
    </r>
    <r>
      <rPr>
        <u/>
        <sz val="10"/>
        <rFont val="Calibri"/>
        <family val="2"/>
      </rPr>
      <t>2015</t>
    </r>
    <r>
      <rPr>
        <u/>
        <sz val="10"/>
        <rFont val="宋体"/>
        <family val="3"/>
        <charset val="134"/>
      </rPr>
      <t>年</t>
    </r>
    <r>
      <rPr>
        <u/>
        <sz val="10"/>
        <rFont val="Calibri"/>
        <family val="2"/>
      </rPr>
      <t>1</t>
    </r>
    <r>
      <rPr>
        <u/>
        <sz val="10"/>
        <rFont val="宋体"/>
        <family val="3"/>
        <charset val="134"/>
      </rPr>
      <t>月起由焦点支付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</si>
  <si>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层物业管理费</t>
    </r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</si>
  <si>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层租金（焦点</t>
    </r>
    <r>
      <rPr>
        <sz val="10"/>
        <rFont val="Calibri"/>
        <family val="2"/>
      </rPr>
      <t>76%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</si>
  <si>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从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月起焦点承担</t>
    </r>
    <r>
      <rPr>
        <sz val="10"/>
        <rFont val="Calibri"/>
        <family val="2"/>
      </rPr>
      <t>76%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</si>
  <si>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层物业管理费（焦点</t>
    </r>
    <r>
      <rPr>
        <sz val="10"/>
        <rFont val="Calibri"/>
        <family val="2"/>
      </rPr>
      <t>76%</t>
    </r>
    <r>
      <rPr>
        <sz val="10"/>
        <rFont val="宋体"/>
        <family val="3"/>
        <charset val="134"/>
      </rPr>
      <t>）</t>
    </r>
    <phoneticPr fontId="5" type="noConversion"/>
  </si>
  <si>
    <t>※</t>
    <phoneticPr fontId="6" type="noConversion"/>
  </si>
  <si>
    <t>Parking</t>
    <phoneticPr fontId="6" type="noConversion"/>
  </si>
  <si>
    <r>
      <rPr>
        <sz val="10"/>
        <rFont val="宋体"/>
        <family val="3"/>
        <charset val="134"/>
      </rPr>
      <t>停车费（网络大厦</t>
    </r>
    <r>
      <rPr>
        <sz val="10"/>
        <rFont val="Calibri"/>
        <family val="2"/>
      </rPr>
      <t>-SOHU</t>
    </r>
    <r>
      <rPr>
        <sz val="10"/>
        <rFont val="宋体"/>
        <family val="3"/>
        <charset val="134"/>
      </rPr>
      <t>）</t>
    </r>
    <phoneticPr fontId="6" type="noConversion"/>
  </si>
  <si>
    <r>
      <rPr>
        <sz val="10"/>
        <rFont val="宋体"/>
        <family val="3"/>
        <charset val="134"/>
      </rPr>
      <t>网络大厦搜狐占用</t>
    </r>
    <r>
      <rPr>
        <sz val="10"/>
        <rFont val="Calibri"/>
        <family val="2"/>
      </rPr>
      <t>30</t>
    </r>
    <r>
      <rPr>
        <sz val="10"/>
        <rFont val="宋体"/>
        <family val="3"/>
        <charset val="134"/>
      </rPr>
      <t>个车位，其他原搜狐车位均由搜狗使用，车位费不变</t>
    </r>
    <phoneticPr fontId="5" type="noConversion"/>
  </si>
  <si>
    <r>
      <rPr>
        <sz val="10"/>
        <rFont val="宋体"/>
        <family val="3"/>
        <charset val="134"/>
      </rPr>
      <t>停车费（科技大厦</t>
    </r>
    <r>
      <rPr>
        <sz val="10"/>
        <rFont val="Calibri"/>
        <family val="2"/>
      </rPr>
      <t>-SOHU</t>
    </r>
    <r>
      <rPr>
        <sz val="10"/>
        <rFont val="宋体"/>
        <family val="3"/>
        <charset val="134"/>
      </rPr>
      <t>）</t>
    </r>
    <phoneticPr fontId="6" type="noConversion"/>
  </si>
  <si>
    <r>
      <rPr>
        <sz val="10"/>
        <rFont val="宋体"/>
        <family val="3"/>
        <charset val="134"/>
      </rPr>
      <t>网络大厦</t>
    </r>
    <r>
      <rPr>
        <sz val="10"/>
        <rFont val="Calibri"/>
        <family val="2"/>
      </rPr>
      <t>3</t>
    </r>
    <r>
      <rPr>
        <sz val="10"/>
        <rFont val="宋体"/>
        <family val="3"/>
        <charset val="134"/>
      </rPr>
      <t>层退租后网络大厦车库空出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个停车位，可满足</t>
    </r>
    <r>
      <rPr>
        <sz val="10"/>
        <rFont val="Calibri"/>
        <family val="2"/>
      </rPr>
      <t>15</t>
    </r>
    <r>
      <rPr>
        <sz val="10"/>
        <rFont val="宋体"/>
        <family val="3"/>
        <charset val="134"/>
      </rPr>
      <t>年需要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</si>
  <si>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座地下停车费</t>
    </r>
    <phoneticPr fontId="6" type="noConversion"/>
  </si>
  <si>
    <r>
      <rPr>
        <sz val="10"/>
        <rFont val="宋体"/>
        <family val="3"/>
        <charset val="134"/>
      </rPr>
      <t>车位数量不变，</t>
    </r>
    <r>
      <rPr>
        <sz val="10"/>
        <rFont val="Calibri"/>
        <family val="2"/>
      </rPr>
      <t>13</t>
    </r>
    <r>
      <rPr>
        <sz val="10"/>
        <rFont val="宋体"/>
        <family val="3"/>
        <charset val="134"/>
      </rPr>
      <t>年预算比实际少</t>
    </r>
    <r>
      <rPr>
        <sz val="10"/>
        <rFont val="Calibri"/>
        <family val="2"/>
      </rPr>
      <t>150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个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</si>
  <si>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层停车费（搜狐</t>
    </r>
    <r>
      <rPr>
        <sz val="10"/>
        <rFont val="Calibri"/>
        <family val="2"/>
      </rPr>
      <t>2</t>
    </r>
    <r>
      <rPr>
        <sz val="10"/>
        <rFont val="宋体"/>
        <family val="3"/>
        <charset val="134"/>
      </rPr>
      <t>个）</t>
    </r>
    <phoneticPr fontId="5" type="noConversion"/>
  </si>
  <si>
    <r>
      <rPr>
        <sz val="10"/>
        <rFont val="宋体"/>
        <family val="3"/>
        <charset val="134"/>
      </rPr>
      <t>拆分共</t>
    </r>
    <r>
      <rPr>
        <sz val="10"/>
        <rFont val="Calibri"/>
        <family val="2"/>
      </rPr>
      <t>6</t>
    </r>
    <r>
      <rPr>
        <sz val="10"/>
        <rFont val="宋体"/>
        <family val="3"/>
        <charset val="134"/>
      </rPr>
      <t>个车位，搜狐</t>
    </r>
    <r>
      <rPr>
        <sz val="10"/>
        <rFont val="Calibri"/>
        <family val="2"/>
      </rPr>
      <t>2</t>
    </r>
    <r>
      <rPr>
        <sz val="10"/>
        <rFont val="宋体"/>
        <family val="3"/>
        <charset val="134"/>
      </rPr>
      <t>个</t>
    </r>
    <phoneticPr fontId="5" type="noConversion"/>
  </si>
  <si>
    <t>融科中科资源大厦地下（搜狐15个）</t>
    <phoneticPr fontId="5" type="noConversion"/>
  </si>
  <si>
    <t>2015年1月份开始有焦点支付焦点使用车位费用，搜狐目前租用3个车位，考虑到2015年办公室整合会有员工搬入融科园区办公暂估需要2015年需要租用15个车位</t>
    <phoneticPr fontId="5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</si>
  <si>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层地下停车费</t>
    </r>
    <phoneticPr fontId="6" type="noConversion"/>
  </si>
  <si>
    <r>
      <rPr>
        <sz val="10"/>
        <rFont val="宋体"/>
        <family val="3"/>
        <charset val="134"/>
      </rPr>
      <t>计划于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月开始退租，退租后不在租赁车位</t>
    </r>
    <phoneticPr fontId="5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</si>
  <si>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层地下停车费</t>
    </r>
    <phoneticPr fontId="6" type="noConversion"/>
  </si>
  <si>
    <r>
      <rPr>
        <sz val="10"/>
        <rFont val="宋体"/>
        <family val="3"/>
        <charset val="134"/>
      </rPr>
      <t>计划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月退租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</si>
  <si>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座地下停车费（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层）</t>
    </r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</si>
  <si>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层停车费（焦点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个）</t>
    </r>
    <phoneticPr fontId="5" type="noConversion"/>
  </si>
  <si>
    <r>
      <rPr>
        <sz val="10"/>
        <rFont val="宋体"/>
        <family val="3"/>
        <charset val="134"/>
      </rPr>
      <t>拆分共</t>
    </r>
    <r>
      <rPr>
        <sz val="10"/>
        <rFont val="Calibri"/>
        <family val="2"/>
      </rPr>
      <t>6</t>
    </r>
    <r>
      <rPr>
        <sz val="10"/>
        <rFont val="宋体"/>
        <family val="3"/>
        <charset val="134"/>
      </rPr>
      <t>个车位，焦点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个</t>
    </r>
    <phoneticPr fontId="5" type="noConversion"/>
  </si>
  <si>
    <t>融科中科资源大厦地下（焦点23个）</t>
    <phoneticPr fontId="5" type="noConversion"/>
  </si>
  <si>
    <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月份开始由焦点支付焦点使用车位费用目前实际使用</t>
    </r>
    <r>
      <rPr>
        <sz val="10"/>
        <rFont val="Calibri"/>
        <family val="2"/>
      </rPr>
      <t>23</t>
    </r>
    <r>
      <rPr>
        <sz val="10"/>
        <rFont val="宋体"/>
        <family val="3"/>
        <charset val="134"/>
      </rPr>
      <t>个</t>
    </r>
    <phoneticPr fontId="5" type="noConversion"/>
  </si>
  <si>
    <t>Electricity</t>
    <phoneticPr fontId="6" type="noConversion"/>
  </si>
  <si>
    <t>网络大厦电费</t>
    <phoneticPr fontId="6" type="noConversion"/>
  </si>
  <si>
    <r>
      <rPr>
        <sz val="10"/>
        <rFont val="宋体"/>
        <family val="3"/>
        <charset val="134"/>
      </rPr>
      <t>网络大厦费用按照搜狗</t>
    </r>
    <r>
      <rPr>
        <sz val="10"/>
        <rFont val="Calibri"/>
        <family val="2"/>
      </rPr>
      <t>89%</t>
    </r>
    <r>
      <rPr>
        <sz val="10"/>
        <rFont val="宋体"/>
        <family val="3"/>
        <charset val="134"/>
      </rPr>
      <t>、搜狐</t>
    </r>
    <r>
      <rPr>
        <sz val="10"/>
        <rFont val="Calibri"/>
        <family val="2"/>
      </rPr>
      <t>11%</t>
    </r>
    <r>
      <rPr>
        <sz val="10"/>
        <rFont val="宋体"/>
        <family val="3"/>
        <charset val="134"/>
      </rPr>
      <t>的原则拆分，因搜狗夜间加班人员较多，且考虑到</t>
    </r>
    <r>
      <rPr>
        <sz val="10"/>
        <rFont val="Calibri"/>
        <family val="2"/>
      </rPr>
      <t>15</t>
    </r>
    <r>
      <rPr>
        <sz val="10"/>
        <rFont val="宋体"/>
        <family val="3"/>
        <charset val="134"/>
      </rPr>
      <t>年的人员增长因素，按照比例拆分后搜狐承担的分拆电费略高于</t>
    </r>
    <r>
      <rPr>
        <sz val="10"/>
        <rFont val="Calibri"/>
        <family val="2"/>
      </rPr>
      <t>14</t>
    </r>
    <r>
      <rPr>
        <sz val="10"/>
        <rFont val="宋体"/>
        <family val="3"/>
        <charset val="134"/>
      </rPr>
      <t>年</t>
    </r>
    <phoneticPr fontId="5" type="noConversion"/>
  </si>
  <si>
    <t>媒体大厦电费</t>
    <phoneticPr fontId="6" type="noConversion"/>
  </si>
  <si>
    <r>
      <t>2014</t>
    </r>
    <r>
      <rPr>
        <sz val="10"/>
        <rFont val="宋体"/>
        <family val="3"/>
        <charset val="134"/>
      </rPr>
      <t>年首次预估费用过于实际发生</t>
    </r>
    <phoneticPr fontId="5" type="noConversion"/>
  </si>
  <si>
    <t>媒体大厦水费</t>
    <phoneticPr fontId="6" type="noConversion"/>
  </si>
  <si>
    <r>
      <t>2013</t>
    </r>
    <r>
      <rPr>
        <sz val="10"/>
        <rFont val="宋体"/>
        <family val="3"/>
        <charset val="134"/>
      </rPr>
      <t>年度南计量表出现故障计量读数偏少，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9</t>
    </r>
    <r>
      <rPr>
        <sz val="10"/>
        <rFont val="宋体"/>
        <family val="3"/>
        <charset val="134"/>
      </rPr>
      <t>月自来水公司更换新水表，度数正常后用量增加，根据融科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座实际用水量预计每月在在</t>
    </r>
    <r>
      <rPr>
        <sz val="10"/>
        <rFont val="Calibri"/>
        <family val="2"/>
      </rPr>
      <t>3300</t>
    </r>
    <r>
      <rPr>
        <sz val="10"/>
        <rFont val="宋体"/>
        <family val="3"/>
        <charset val="134"/>
      </rPr>
      <t>吨左右</t>
    </r>
    <phoneticPr fontId="5" type="noConversion"/>
  </si>
  <si>
    <t>媒体大厦供暖费</t>
    <phoneticPr fontId="6" type="noConversion"/>
  </si>
  <si>
    <t>媒体大厦生活热水费</t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</si>
  <si>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层电费</t>
    </r>
    <phoneticPr fontId="6" type="noConversion"/>
  </si>
  <si>
    <r>
      <rPr>
        <sz val="10"/>
        <rFont val="宋体"/>
        <family val="3"/>
        <charset val="134"/>
      </rPr>
      <t>自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2</t>
    </r>
    <r>
      <rPr>
        <sz val="10"/>
        <rFont val="宋体"/>
        <family val="3"/>
        <charset val="134"/>
      </rPr>
      <t>月单价由</t>
    </r>
    <r>
      <rPr>
        <sz val="10"/>
        <rFont val="Calibri"/>
        <family val="2"/>
      </rPr>
      <t>1.15</t>
    </r>
    <r>
      <rPr>
        <sz val="10"/>
        <rFont val="宋体"/>
        <family val="3"/>
        <charset val="134"/>
      </rPr>
      <t>元调整为</t>
    </r>
    <r>
      <rPr>
        <sz val="10"/>
        <rFont val="Calibri"/>
        <family val="2"/>
      </rPr>
      <t>1.26</t>
    </r>
    <r>
      <rPr>
        <sz val="10"/>
        <rFont val="宋体"/>
        <family val="3"/>
        <charset val="134"/>
      </rPr>
      <t>元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</si>
  <si>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层电费（搜狐</t>
    </r>
    <r>
      <rPr>
        <sz val="10"/>
        <rFont val="Calibri"/>
        <family val="2"/>
      </rPr>
      <t>24%</t>
    </r>
    <r>
      <rPr>
        <sz val="10"/>
        <rFont val="宋体"/>
        <family val="3"/>
        <charset val="134"/>
      </rPr>
      <t>）</t>
    </r>
    <phoneticPr fontId="6" type="noConversion"/>
  </si>
  <si>
    <r>
      <rPr>
        <sz val="10"/>
        <rFont val="宋体"/>
        <family val="3"/>
        <charset val="134"/>
      </rPr>
      <t>从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月起焦点承担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层的</t>
    </r>
    <r>
      <rPr>
        <sz val="10"/>
        <rFont val="Calibri"/>
        <family val="2"/>
      </rPr>
      <t>76%</t>
    </r>
    <r>
      <rPr>
        <sz val="10"/>
        <rFont val="宋体"/>
        <family val="3"/>
        <charset val="134"/>
      </rPr>
      <t>和</t>
    </r>
    <r>
      <rPr>
        <sz val="10"/>
        <rFont val="Calibri"/>
        <family val="2"/>
      </rPr>
      <t>C19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电费，搜狐承担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的</t>
    </r>
    <r>
      <rPr>
        <sz val="10"/>
        <rFont val="Calibri"/>
        <family val="2"/>
      </rPr>
      <t>24%</t>
    </r>
    <phoneticPr fontId="5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</si>
  <si>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层电费</t>
    </r>
    <phoneticPr fontId="6" type="noConversion"/>
  </si>
  <si>
    <r>
      <rPr>
        <sz val="10"/>
        <rFont val="宋体"/>
        <family val="3"/>
        <charset val="134"/>
      </rPr>
      <t>计划于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月开始退租，退租后不在有电费产生</t>
    </r>
    <phoneticPr fontId="5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</si>
  <si>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层电费</t>
    </r>
    <phoneticPr fontId="6" type="noConversion"/>
  </si>
  <si>
    <r>
      <rPr>
        <sz val="10"/>
        <rFont val="宋体"/>
        <family val="3"/>
        <charset val="134"/>
      </rPr>
      <t>同方计划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租，</t>
    </r>
    <r>
      <rPr>
        <sz val="10"/>
        <rFont val="Calibri"/>
        <family val="2"/>
      </rPr>
      <t>5</t>
    </r>
    <r>
      <rPr>
        <sz val="10"/>
        <rFont val="宋体"/>
        <family val="3"/>
        <charset val="134"/>
      </rPr>
      <t>月之后不再产生电费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</si>
  <si>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</t>
    </r>
    <r>
      <rPr>
        <sz val="10"/>
        <rFont val="Calibri"/>
        <family val="2"/>
      </rPr>
      <t>(76%)</t>
    </r>
    <r>
      <rPr>
        <sz val="10"/>
        <rFont val="宋体"/>
        <family val="3"/>
        <charset val="134"/>
      </rPr>
      <t>和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层电费</t>
    </r>
    <phoneticPr fontId="6" type="noConversion"/>
  </si>
  <si>
    <r>
      <rPr>
        <sz val="10"/>
        <rFont val="宋体"/>
        <family val="3"/>
        <charset val="134"/>
      </rPr>
      <t>从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月起焦点承担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层的</t>
    </r>
    <r>
      <rPr>
        <sz val="10"/>
        <rFont val="Calibri"/>
        <family val="2"/>
      </rPr>
      <t>76%</t>
    </r>
    <r>
      <rPr>
        <sz val="10"/>
        <rFont val="宋体"/>
        <family val="3"/>
        <charset val="134"/>
      </rPr>
      <t>和</t>
    </r>
    <r>
      <rPr>
        <sz val="10"/>
        <rFont val="Calibri"/>
        <family val="2"/>
      </rPr>
      <t>C19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电费</t>
    </r>
    <phoneticPr fontId="5" type="noConversion"/>
  </si>
  <si>
    <t>Drinking Water</t>
    <phoneticPr fontId="6" type="noConversion"/>
  </si>
  <si>
    <t>网络大厦饮用水</t>
    <phoneticPr fontId="6" type="noConversion"/>
  </si>
  <si>
    <r>
      <rPr>
        <sz val="10"/>
        <rFont val="宋体"/>
        <family val="3"/>
        <charset val="134"/>
      </rPr>
      <t>价格上涨</t>
    </r>
    <r>
      <rPr>
        <sz val="10"/>
        <rFont val="Calibri"/>
        <family val="2"/>
      </rPr>
      <t>12.5%</t>
    </r>
    <r>
      <rPr>
        <sz val="10"/>
        <rFont val="宋体"/>
        <family val="3"/>
        <charset val="134"/>
      </rPr>
      <t>，按照</t>
    </r>
    <r>
      <rPr>
        <sz val="10"/>
        <rFont val="Calibri"/>
        <family val="2"/>
      </rPr>
      <t>7~15</t>
    </r>
    <r>
      <rPr>
        <sz val="10"/>
        <rFont val="宋体"/>
        <family val="3"/>
        <charset val="134"/>
      </rPr>
      <t>层搜狗</t>
    </r>
    <r>
      <rPr>
        <sz val="10"/>
        <rFont val="Calibri"/>
        <family val="2"/>
      </rPr>
      <t>89%</t>
    </r>
    <r>
      <rPr>
        <sz val="10"/>
        <rFont val="宋体"/>
        <family val="3"/>
        <charset val="134"/>
      </rPr>
      <t>、搜狐</t>
    </r>
    <r>
      <rPr>
        <sz val="10"/>
        <rFont val="Calibri"/>
        <family val="2"/>
      </rPr>
      <t>11%</t>
    </r>
    <r>
      <rPr>
        <sz val="10"/>
        <rFont val="宋体"/>
        <family val="3"/>
        <charset val="134"/>
      </rPr>
      <t>的原则拆分，搜狗人员增加相应搜狐分摊的费用增加，</t>
    </r>
    <phoneticPr fontId="5" type="noConversion"/>
  </si>
  <si>
    <t>媒体大厦饮用水</t>
    <phoneticPr fontId="5" type="noConversion"/>
  </si>
  <si>
    <t>皂君庙宿舍及公寓饮用水</t>
    <phoneticPr fontId="6" type="noConversion"/>
  </si>
  <si>
    <t>皂君庙退租</t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</si>
  <si>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层饮用水</t>
    </r>
    <phoneticPr fontId="6" type="noConversion"/>
  </si>
  <si>
    <r>
      <rPr>
        <sz val="10"/>
        <rFont val="宋体"/>
        <family val="3"/>
        <charset val="134"/>
      </rPr>
      <t>价格上涨</t>
    </r>
    <r>
      <rPr>
        <sz val="10"/>
        <rFont val="Calibri"/>
        <family val="2"/>
      </rPr>
      <t>12.5%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</si>
  <si>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（搜狐</t>
    </r>
    <r>
      <rPr>
        <sz val="10"/>
        <rFont val="Calibri"/>
        <family val="2"/>
      </rPr>
      <t>24%</t>
    </r>
    <r>
      <rPr>
        <sz val="10"/>
        <rFont val="宋体"/>
        <family val="3"/>
        <charset val="134"/>
      </rPr>
      <t>）</t>
    </r>
    <phoneticPr fontId="6" type="noConversion"/>
  </si>
  <si>
    <r>
      <rPr>
        <sz val="10"/>
        <rFont val="宋体"/>
        <family val="3"/>
        <charset val="134"/>
      </rPr>
      <t>从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月起焦点承担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层的</t>
    </r>
    <r>
      <rPr>
        <sz val="10"/>
        <rFont val="Calibri"/>
        <family val="2"/>
      </rPr>
      <t>76%</t>
    </r>
    <r>
      <rPr>
        <sz val="10"/>
        <rFont val="宋体"/>
        <family val="3"/>
        <charset val="134"/>
      </rPr>
      <t>和</t>
    </r>
    <r>
      <rPr>
        <sz val="10"/>
        <rFont val="Calibri"/>
        <family val="2"/>
      </rPr>
      <t>C19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，搜狐承担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的</t>
    </r>
    <r>
      <rPr>
        <sz val="10"/>
        <rFont val="Calibri"/>
        <family val="2"/>
      </rPr>
      <t>24%</t>
    </r>
    <phoneticPr fontId="5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</si>
  <si>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层饮用水</t>
    </r>
    <phoneticPr fontId="6" type="noConversion"/>
  </si>
  <si>
    <t>退租后无有饮用水产生</t>
    <phoneticPr fontId="5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</si>
  <si>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层饮用水</t>
    </r>
    <phoneticPr fontId="6" type="noConversion"/>
  </si>
  <si>
    <r>
      <rPr>
        <sz val="10"/>
        <rFont val="宋体"/>
        <family val="3"/>
        <charset val="134"/>
      </rPr>
      <t>预计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5</t>
    </r>
    <r>
      <rPr>
        <sz val="10"/>
        <rFont val="宋体"/>
        <family val="3"/>
        <charset val="134"/>
      </rPr>
      <t>月起退租无饮用水费用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</si>
  <si>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（</t>
    </r>
    <r>
      <rPr>
        <sz val="10"/>
        <rFont val="Calibri"/>
        <family val="2"/>
      </rPr>
      <t>76%</t>
    </r>
    <r>
      <rPr>
        <sz val="10"/>
        <rFont val="宋体"/>
        <family val="3"/>
        <charset val="134"/>
      </rPr>
      <t>）和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层饮用水</t>
    </r>
    <phoneticPr fontId="6" type="noConversion"/>
  </si>
  <si>
    <t>Security Service</t>
    <phoneticPr fontId="6" type="noConversion"/>
  </si>
  <si>
    <t>网络大厦保安费</t>
    <phoneticPr fontId="6" type="noConversion"/>
  </si>
  <si>
    <r>
      <t>2014</t>
    </r>
    <r>
      <rPr>
        <sz val="10"/>
        <rFont val="宋体"/>
        <family val="3"/>
        <charset val="134"/>
      </rPr>
      <t>年预算按照网络大厦整体费用按照搜狗</t>
    </r>
    <r>
      <rPr>
        <sz val="10"/>
        <rFont val="Calibri"/>
        <family val="2"/>
      </rPr>
      <t>89%</t>
    </r>
    <r>
      <rPr>
        <sz val="10"/>
        <rFont val="宋体"/>
        <family val="3"/>
        <charset val="134"/>
      </rPr>
      <t>、搜狐</t>
    </r>
    <r>
      <rPr>
        <sz val="10"/>
        <rFont val="Calibri"/>
        <family val="2"/>
      </rPr>
      <t>11%</t>
    </r>
    <r>
      <rPr>
        <sz val="10"/>
        <rFont val="宋体"/>
        <family val="3"/>
        <charset val="134"/>
      </rPr>
      <t>的原则拆分预估，实际为网络大厦</t>
    </r>
    <r>
      <rPr>
        <sz val="10"/>
        <rFont val="Calibri"/>
        <family val="2"/>
      </rPr>
      <t>7~15</t>
    </r>
    <r>
      <rPr>
        <sz val="10"/>
        <rFont val="宋体"/>
        <family val="3"/>
        <charset val="134"/>
      </rPr>
      <t>层保安费按照搜狗</t>
    </r>
    <r>
      <rPr>
        <sz val="10"/>
        <rFont val="Calibri"/>
        <family val="2"/>
      </rPr>
      <t>89%</t>
    </r>
    <r>
      <rPr>
        <sz val="10"/>
        <rFont val="宋体"/>
        <family val="3"/>
        <charset val="134"/>
      </rPr>
      <t>、搜狐</t>
    </r>
    <r>
      <rPr>
        <sz val="10"/>
        <rFont val="Calibri"/>
        <family val="2"/>
      </rPr>
      <t>11%</t>
    </r>
    <r>
      <rPr>
        <sz val="10"/>
        <rFont val="宋体"/>
        <family val="3"/>
        <charset val="134"/>
      </rPr>
      <t>的原则拆分，</t>
    </r>
    <r>
      <rPr>
        <sz val="10"/>
        <rFont val="Calibri"/>
        <family val="2"/>
      </rPr>
      <t>3</t>
    </r>
    <r>
      <rPr>
        <sz val="10"/>
        <rFont val="宋体"/>
        <family val="3"/>
        <charset val="134"/>
      </rPr>
      <t>层保安全部由搜狐支付，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年人均费用由</t>
    </r>
    <r>
      <rPr>
        <sz val="10"/>
        <rFont val="Calibri"/>
        <family val="2"/>
      </rPr>
      <t>3500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月，调整为</t>
    </r>
    <r>
      <rPr>
        <sz val="10"/>
        <rFont val="Calibri"/>
        <family val="2"/>
      </rPr>
      <t>3600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月，三层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3</t>
    </r>
    <r>
      <rPr>
        <sz val="10"/>
        <rFont val="宋体"/>
        <family val="3"/>
        <charset val="134"/>
      </rPr>
      <t>月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日起退租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</si>
  <si>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层保安费</t>
    </r>
    <phoneticPr fontId="6" type="noConversion"/>
  </si>
  <si>
    <r>
      <t>2015</t>
    </r>
    <r>
      <rPr>
        <sz val="10"/>
        <rFont val="宋体"/>
        <family val="3"/>
        <charset val="134"/>
      </rPr>
      <t>年人均费用由</t>
    </r>
    <r>
      <rPr>
        <sz val="10"/>
        <rFont val="Calibri"/>
        <family val="2"/>
      </rPr>
      <t>3500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月，调整为</t>
    </r>
    <r>
      <rPr>
        <sz val="10"/>
        <rFont val="Calibri"/>
        <family val="2"/>
      </rPr>
      <t>3600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月，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年调减活动支持费用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</si>
  <si>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层保安费（搜狐</t>
    </r>
    <r>
      <rPr>
        <sz val="10"/>
        <rFont val="Calibri"/>
        <family val="2"/>
      </rPr>
      <t>24%</t>
    </r>
    <r>
      <rPr>
        <sz val="10"/>
        <rFont val="宋体"/>
        <family val="3"/>
        <charset val="134"/>
      </rPr>
      <t>）</t>
    </r>
    <phoneticPr fontId="5" type="noConversion"/>
  </si>
  <si>
    <r>
      <t>2015</t>
    </r>
    <r>
      <rPr>
        <sz val="10"/>
        <rFont val="宋体"/>
        <family val="3"/>
        <charset val="134"/>
      </rPr>
      <t>年人均费用由</t>
    </r>
    <r>
      <rPr>
        <sz val="10"/>
        <rFont val="Calibri"/>
        <family val="2"/>
      </rPr>
      <t>3500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月，调整为</t>
    </r>
    <r>
      <rPr>
        <sz val="10"/>
        <rFont val="Calibri"/>
        <family val="2"/>
      </rPr>
      <t>3600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月，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年调减活动支持费用，其他由焦点支付，搜狐承担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的</t>
    </r>
    <r>
      <rPr>
        <sz val="10"/>
        <rFont val="Calibri"/>
        <family val="2"/>
      </rPr>
      <t>24%</t>
    </r>
    <phoneticPr fontId="5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</si>
  <si>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层保安费</t>
    </r>
    <phoneticPr fontId="6" type="noConversion"/>
  </si>
  <si>
    <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月开始退租，退租后不在有保安费用产生</t>
    </r>
    <phoneticPr fontId="5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</si>
  <si>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层保安费</t>
    </r>
    <phoneticPr fontId="6" type="noConversion"/>
  </si>
  <si>
    <r>
      <t>2015</t>
    </r>
    <r>
      <rPr>
        <sz val="10"/>
        <rFont val="宋体"/>
        <family val="3"/>
        <charset val="134"/>
      </rPr>
      <t>年人均费用由</t>
    </r>
    <r>
      <rPr>
        <sz val="10"/>
        <rFont val="Calibri"/>
        <family val="2"/>
      </rPr>
      <t>3500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月，调整为</t>
    </r>
    <r>
      <rPr>
        <sz val="10"/>
        <rFont val="Calibri"/>
        <family val="2"/>
      </rPr>
      <t>3600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月，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5</t>
    </r>
    <r>
      <rPr>
        <sz val="10"/>
        <rFont val="宋体"/>
        <family val="3"/>
        <charset val="134"/>
      </rPr>
      <t>月后因退租不在产生此项费用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</si>
  <si>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座（</t>
    </r>
    <r>
      <rPr>
        <sz val="10"/>
        <rFont val="Calibri"/>
        <family val="2"/>
      </rPr>
      <t>76%</t>
    </r>
    <r>
      <rPr>
        <sz val="10"/>
        <rFont val="宋体"/>
        <family val="3"/>
        <charset val="134"/>
      </rPr>
      <t>）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层保安费</t>
    </r>
    <phoneticPr fontId="6" type="noConversion"/>
  </si>
  <si>
    <t xml:space="preserve">Plant </t>
    <phoneticPr fontId="6" type="noConversion"/>
  </si>
  <si>
    <t>网络大厦植物租摆费</t>
    <phoneticPr fontId="6" type="noConversion"/>
  </si>
  <si>
    <r>
      <t>2014</t>
    </r>
    <r>
      <rPr>
        <sz val="10"/>
        <rFont val="宋体"/>
        <family val="3"/>
        <charset val="134"/>
      </rPr>
      <t>年预算按照网络大厦整体费用按照搜狗</t>
    </r>
    <r>
      <rPr>
        <sz val="10"/>
        <rFont val="Calibri"/>
        <family val="2"/>
      </rPr>
      <t>89%</t>
    </r>
    <r>
      <rPr>
        <sz val="10"/>
        <rFont val="宋体"/>
        <family val="3"/>
        <charset val="134"/>
      </rPr>
      <t>、搜狐</t>
    </r>
    <r>
      <rPr>
        <sz val="10"/>
        <rFont val="Calibri"/>
        <family val="2"/>
      </rPr>
      <t>11%</t>
    </r>
    <r>
      <rPr>
        <sz val="10"/>
        <rFont val="宋体"/>
        <family val="3"/>
        <charset val="134"/>
      </rPr>
      <t>的原则拆分</t>
    </r>
    <r>
      <rPr>
        <sz val="10"/>
        <rFont val="Calibri"/>
        <family val="2"/>
      </rPr>
      <t>,2015</t>
    </r>
    <r>
      <rPr>
        <sz val="10"/>
        <rFont val="宋体"/>
        <family val="3"/>
        <charset val="134"/>
      </rPr>
      <t>年绿植按照各自负责区域实际摆放数量各自结算</t>
    </r>
    <phoneticPr fontId="5" type="noConversion"/>
  </si>
  <si>
    <t>公寓植物租摆费</t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</si>
  <si>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层植物租摆费</t>
    </r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</si>
  <si>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层（</t>
    </r>
    <r>
      <rPr>
        <sz val="10"/>
        <rFont val="Calibri"/>
        <family val="2"/>
      </rPr>
      <t>24%</t>
    </r>
    <r>
      <rPr>
        <sz val="10"/>
        <rFont val="宋体"/>
        <family val="3"/>
        <charset val="134"/>
      </rPr>
      <t>）植物租摆费</t>
    </r>
    <phoneticPr fontId="6" type="noConversion"/>
  </si>
  <si>
    <r>
      <t>C19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层和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的</t>
    </r>
    <r>
      <rPr>
        <sz val="10"/>
        <rFont val="Calibri"/>
        <family val="2"/>
      </rPr>
      <t>76%</t>
    </r>
    <r>
      <rPr>
        <sz val="10"/>
        <rFont val="宋体"/>
        <family val="3"/>
        <charset val="134"/>
      </rPr>
      <t>其他由焦点支付，搜狐承担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的</t>
    </r>
    <r>
      <rPr>
        <sz val="10"/>
        <rFont val="Calibri"/>
        <family val="2"/>
      </rPr>
      <t>24%</t>
    </r>
    <phoneticPr fontId="5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</si>
  <si>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层植物租摆费</t>
    </r>
    <phoneticPr fontId="6" type="noConversion"/>
  </si>
  <si>
    <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月开始退租，退租后不在有租摆费用产生</t>
    </r>
    <phoneticPr fontId="5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</si>
  <si>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层植物租摆费</t>
    </r>
    <phoneticPr fontId="6" type="noConversion"/>
  </si>
  <si>
    <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月底退租开始不在产生此项费用。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</si>
  <si>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（</t>
    </r>
    <r>
      <rPr>
        <sz val="10"/>
        <rFont val="Calibri"/>
        <family val="2"/>
      </rPr>
      <t>76%</t>
    </r>
    <r>
      <rPr>
        <sz val="10"/>
        <rFont val="宋体"/>
        <family val="3"/>
        <charset val="134"/>
      </rPr>
      <t>）、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层植物租摆费</t>
    </r>
    <phoneticPr fontId="6" type="noConversion"/>
  </si>
  <si>
    <t>Office Cleaning</t>
    <phoneticPr fontId="6" type="noConversion"/>
  </si>
  <si>
    <t>日常保洁</t>
    <phoneticPr fontId="6" type="noConversion"/>
  </si>
  <si>
    <t>网络大厦日常保洁费用</t>
    <phoneticPr fontId="6" type="noConversion"/>
  </si>
  <si>
    <r>
      <t>7~15</t>
    </r>
    <r>
      <rPr>
        <sz val="10"/>
        <rFont val="宋体"/>
        <family val="3"/>
        <charset val="134"/>
      </rPr>
      <t>层按照搜狗</t>
    </r>
    <r>
      <rPr>
        <sz val="10"/>
        <rFont val="Calibri"/>
        <family val="2"/>
      </rPr>
      <t>89%</t>
    </r>
    <r>
      <rPr>
        <sz val="10"/>
        <rFont val="宋体"/>
        <family val="3"/>
        <charset val="134"/>
      </rPr>
      <t>、搜狐</t>
    </r>
    <r>
      <rPr>
        <sz val="10"/>
        <rFont val="Calibri"/>
        <family val="2"/>
      </rPr>
      <t>11%</t>
    </r>
    <r>
      <rPr>
        <sz val="10"/>
        <rFont val="宋体"/>
        <family val="3"/>
        <charset val="134"/>
      </rPr>
      <t>的原则拆分，</t>
    </r>
    <r>
      <rPr>
        <sz val="10"/>
        <rFont val="Calibri"/>
        <family val="2"/>
      </rPr>
      <t>3</t>
    </r>
    <r>
      <rPr>
        <sz val="10"/>
        <rFont val="宋体"/>
        <family val="3"/>
        <charset val="134"/>
      </rPr>
      <t>层由搜狐全部支付，保洁员工资由</t>
    </r>
    <r>
      <rPr>
        <sz val="10"/>
        <rFont val="Calibri"/>
        <family val="2"/>
      </rPr>
      <t>2300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月，调整为</t>
    </r>
    <r>
      <rPr>
        <sz val="10"/>
        <rFont val="Calibri"/>
        <family val="2"/>
      </rPr>
      <t>2500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</t>
    </r>
    <phoneticPr fontId="5" type="noConversion"/>
  </si>
  <si>
    <t>皂君庙宿舍日常保洁费用</t>
    <phoneticPr fontId="6" type="noConversion"/>
  </si>
  <si>
    <t>退租</t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</si>
  <si>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层日常保洁费用</t>
    </r>
    <phoneticPr fontId="6" type="noConversion"/>
  </si>
  <si>
    <r>
      <rPr>
        <sz val="10"/>
        <rFont val="宋体"/>
        <family val="3"/>
        <charset val="134"/>
      </rPr>
      <t>保洁费单价由</t>
    </r>
    <r>
      <rPr>
        <sz val="10"/>
        <rFont val="Calibri"/>
        <family val="2"/>
      </rPr>
      <t>2300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月，调整为</t>
    </r>
    <r>
      <rPr>
        <sz val="10"/>
        <rFont val="Calibri"/>
        <family val="2"/>
      </rPr>
      <t>2500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月。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</si>
  <si>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层（搜狐</t>
    </r>
    <r>
      <rPr>
        <sz val="10"/>
        <rFont val="Calibri"/>
        <family val="2"/>
      </rPr>
      <t>24%</t>
    </r>
    <r>
      <rPr>
        <sz val="10"/>
        <rFont val="宋体"/>
        <family val="3"/>
        <charset val="134"/>
      </rPr>
      <t>）保洁费用</t>
    </r>
    <phoneticPr fontId="5" type="noConversion"/>
  </si>
  <si>
    <r>
      <rPr>
        <sz val="10"/>
        <rFont val="宋体"/>
        <family val="3"/>
        <charset val="134"/>
      </rPr>
      <t>保洁费单价由</t>
    </r>
    <r>
      <rPr>
        <sz val="10"/>
        <rFont val="Calibri"/>
        <family val="2"/>
      </rPr>
      <t>2300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月，调整为</t>
    </r>
    <r>
      <rPr>
        <sz val="10"/>
        <rFont val="Calibri"/>
        <family val="2"/>
      </rPr>
      <t>2500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月。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的</t>
    </r>
    <r>
      <rPr>
        <sz val="10"/>
        <rFont val="Calibri"/>
        <family val="2"/>
      </rPr>
      <t>76%</t>
    </r>
    <r>
      <rPr>
        <sz val="10"/>
        <rFont val="宋体"/>
        <family val="3"/>
        <charset val="134"/>
      </rPr>
      <t>及</t>
    </r>
    <r>
      <rPr>
        <sz val="10"/>
        <rFont val="Calibri"/>
        <family val="2"/>
      </rPr>
      <t>C19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 xml:space="preserve">20 </t>
    </r>
    <r>
      <rPr>
        <sz val="10"/>
        <rFont val="宋体"/>
        <family val="3"/>
        <charset val="134"/>
      </rPr>
      <t>由焦点承担</t>
    </r>
    <phoneticPr fontId="5" type="noConversion"/>
  </si>
  <si>
    <t>焦点</t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</si>
  <si>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（</t>
    </r>
    <r>
      <rPr>
        <sz val="10"/>
        <rFont val="Calibri"/>
        <family val="2"/>
      </rPr>
      <t>76%</t>
    </r>
    <r>
      <rPr>
        <sz val="10"/>
        <rFont val="宋体"/>
        <family val="3"/>
        <charset val="134"/>
      </rPr>
      <t>）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层日常保洁费用</t>
    </r>
    <phoneticPr fontId="6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</si>
  <si>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层日常保洁费用</t>
    </r>
    <phoneticPr fontId="6" type="noConversion"/>
  </si>
  <si>
    <r>
      <rPr>
        <sz val="10"/>
        <rFont val="宋体"/>
        <family val="3"/>
        <charset val="134"/>
      </rPr>
      <t>计划于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月开始退租，退租后不在有保洁费用产生</t>
    </r>
    <phoneticPr fontId="5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</si>
  <si>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层日常保洁费用</t>
    </r>
    <phoneticPr fontId="6" type="noConversion"/>
  </si>
  <si>
    <t>地毯清洗</t>
    <phoneticPr fontId="6" type="noConversion"/>
  </si>
  <si>
    <t>网络大厦地毯清洗</t>
    <phoneticPr fontId="6" type="noConversion"/>
  </si>
  <si>
    <r>
      <t>7~15</t>
    </r>
    <r>
      <rPr>
        <sz val="10"/>
        <rFont val="宋体"/>
        <family val="3"/>
        <charset val="134"/>
      </rPr>
      <t>层按照搜狗</t>
    </r>
    <r>
      <rPr>
        <sz val="10"/>
        <rFont val="Calibri"/>
        <family val="2"/>
      </rPr>
      <t>89%</t>
    </r>
    <r>
      <rPr>
        <sz val="10"/>
        <rFont val="宋体"/>
        <family val="3"/>
        <charset val="134"/>
      </rPr>
      <t>、搜狐</t>
    </r>
    <r>
      <rPr>
        <sz val="10"/>
        <rFont val="Calibri"/>
        <family val="2"/>
      </rPr>
      <t>11%</t>
    </r>
    <r>
      <rPr>
        <sz val="10"/>
        <rFont val="宋体"/>
        <family val="3"/>
        <charset val="134"/>
      </rPr>
      <t>的原则拆分，单价由</t>
    </r>
    <r>
      <rPr>
        <sz val="10"/>
        <rFont val="Calibri"/>
        <family val="2"/>
      </rPr>
      <t>5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/m2</t>
    </r>
    <r>
      <rPr>
        <sz val="10"/>
        <rFont val="宋体"/>
        <family val="3"/>
        <charset val="134"/>
      </rPr>
      <t>上涨至</t>
    </r>
    <r>
      <rPr>
        <sz val="10"/>
        <rFont val="Calibri"/>
        <family val="2"/>
      </rPr>
      <t>5.5/m2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</si>
  <si>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层地毯清洗</t>
    </r>
    <phoneticPr fontId="6" type="noConversion"/>
  </si>
  <si>
    <r>
      <rPr>
        <sz val="10"/>
        <rFont val="宋体"/>
        <family val="3"/>
        <charset val="134"/>
      </rPr>
      <t>单价由</t>
    </r>
    <r>
      <rPr>
        <sz val="10"/>
        <rFont val="Calibri"/>
        <family val="2"/>
      </rPr>
      <t>5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/m2</t>
    </r>
    <r>
      <rPr>
        <sz val="10"/>
        <rFont val="宋体"/>
        <family val="3"/>
        <charset val="134"/>
      </rPr>
      <t>上涨至</t>
    </r>
    <r>
      <rPr>
        <sz val="10"/>
        <rFont val="Calibri"/>
        <family val="2"/>
      </rPr>
      <t>5.5/m2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</si>
  <si>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</t>
    </r>
    <r>
      <rPr>
        <sz val="10"/>
        <rFont val="Calibri"/>
        <family val="2"/>
      </rPr>
      <t>(24%)</t>
    </r>
    <r>
      <rPr>
        <sz val="10"/>
        <rFont val="宋体"/>
        <family val="3"/>
        <charset val="134"/>
      </rPr>
      <t>地毯清洗</t>
    </r>
    <phoneticPr fontId="5" type="noConversion"/>
  </si>
  <si>
    <r>
      <rPr>
        <sz val="10"/>
        <rFont val="宋体"/>
        <family val="3"/>
        <charset val="134"/>
      </rPr>
      <t>去年因是新增办公区只做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次清洗，</t>
    </r>
    <r>
      <rPr>
        <sz val="10"/>
        <rFont val="Calibri"/>
        <family val="2"/>
      </rPr>
      <t>15</t>
    </r>
    <r>
      <rPr>
        <sz val="10"/>
        <rFont val="宋体"/>
        <family val="3"/>
        <charset val="134"/>
      </rPr>
      <t>年按照</t>
    </r>
    <r>
      <rPr>
        <sz val="10"/>
        <rFont val="Calibri"/>
        <family val="2"/>
      </rPr>
      <t>3</t>
    </r>
    <r>
      <rPr>
        <sz val="10"/>
        <rFont val="宋体"/>
        <family val="3"/>
        <charset val="134"/>
      </rPr>
      <t>次计算</t>
    </r>
    <r>
      <rPr>
        <sz val="10"/>
        <rFont val="Calibri"/>
        <family val="2"/>
      </rPr>
      <t>,C10</t>
    </r>
    <r>
      <rPr>
        <sz val="10"/>
        <rFont val="宋体"/>
        <family val="3"/>
        <charset val="134"/>
      </rPr>
      <t>的</t>
    </r>
    <r>
      <rPr>
        <sz val="10"/>
        <rFont val="Calibri"/>
        <family val="2"/>
      </rPr>
      <t>76%</t>
    </r>
    <r>
      <rPr>
        <sz val="10"/>
        <rFont val="宋体"/>
        <family val="3"/>
        <charset val="134"/>
      </rPr>
      <t>和</t>
    </r>
    <r>
      <rPr>
        <sz val="10"/>
        <rFont val="Calibri"/>
        <family val="2"/>
      </rPr>
      <t>C19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由焦点承担</t>
    </r>
    <phoneticPr fontId="5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</si>
  <si>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层地毯清洗</t>
    </r>
    <phoneticPr fontId="6" type="noConversion"/>
  </si>
  <si>
    <r>
      <rPr>
        <sz val="10"/>
        <rFont val="宋体"/>
        <family val="3"/>
        <charset val="134"/>
      </rPr>
      <t>计划于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月开始退租，退租后不在有地毯清洗费用产生</t>
    </r>
    <phoneticPr fontId="5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</si>
  <si>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层地毯清洗</t>
    </r>
    <phoneticPr fontId="6" type="noConversion"/>
  </si>
  <si>
    <t>计划退租不安排清洗</t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</si>
  <si>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10(76%)19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层地毯清洗</t>
    </r>
    <phoneticPr fontId="6" type="noConversion"/>
  </si>
  <si>
    <t>所有办公区杀虫除蟑</t>
    <phoneticPr fontId="6" type="noConversion"/>
  </si>
  <si>
    <t xml:space="preserve">Pantry Service </t>
    <phoneticPr fontId="6" type="noConversion"/>
  </si>
  <si>
    <t>网络大厦自聘茶水间阿姨费用</t>
    <phoneticPr fontId="6" type="noConversion"/>
  </si>
  <si>
    <t>减少4名茶水间阿姨</t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</si>
  <si>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层自聘茶水间阿姨费用</t>
    </r>
    <phoneticPr fontId="6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</si>
  <si>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层自聘茶水间阿姨费用</t>
    </r>
    <phoneticPr fontId="6" type="noConversion"/>
  </si>
  <si>
    <r>
      <rPr>
        <sz val="10"/>
        <rFont val="宋体"/>
        <family val="3"/>
        <charset val="134"/>
      </rPr>
      <t>今年焦点自行配备无需</t>
    </r>
    <r>
      <rPr>
        <sz val="10"/>
        <rFont val="Calibri"/>
        <family val="2"/>
      </rPr>
      <t>ES</t>
    </r>
    <r>
      <rPr>
        <sz val="10"/>
        <rFont val="宋体"/>
        <family val="3"/>
        <charset val="134"/>
      </rPr>
      <t>负责</t>
    </r>
    <phoneticPr fontId="5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</si>
  <si>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层自聘茶水间阿姨费用</t>
    </r>
    <phoneticPr fontId="6" type="noConversion"/>
  </si>
  <si>
    <t>2015年4月底退租开始不在产生此项费用。</t>
    <phoneticPr fontId="5" type="noConversion"/>
  </si>
  <si>
    <t>Shuttle Bus</t>
    <phoneticPr fontId="6" type="noConversion"/>
  </si>
  <si>
    <t>北京班车费用</t>
    <phoneticPr fontId="6" type="noConversion"/>
  </si>
  <si>
    <r>
      <rPr>
        <sz val="10"/>
        <rFont val="宋体"/>
        <family val="3"/>
        <charset val="134"/>
      </rPr>
      <t>有</t>
    </r>
    <r>
      <rPr>
        <sz val="10"/>
        <rFont val="Calibri"/>
        <family val="2"/>
      </rPr>
      <t>2</t>
    </r>
    <r>
      <rPr>
        <sz val="10"/>
        <rFont val="宋体"/>
        <family val="3"/>
        <charset val="134"/>
      </rPr>
      <t>辆车费用由搜狗承担，计划取消一个同方摆渡车，</t>
    </r>
    <r>
      <rPr>
        <sz val="10"/>
        <rFont val="Calibri"/>
        <family val="2"/>
      </rPr>
      <t>1.5</t>
    </r>
    <r>
      <rPr>
        <sz val="10"/>
        <rFont val="宋体"/>
        <family val="3"/>
        <charset val="134"/>
      </rPr>
      <t>辆班车由焦点承担</t>
    </r>
    <phoneticPr fontId="5" type="noConversion"/>
  </si>
  <si>
    <t>焦点班车费用（1.5辆）</t>
    <phoneticPr fontId="6" type="noConversion"/>
  </si>
  <si>
    <t>Pantry Supplies:</t>
    <phoneticPr fontId="6" type="noConversion"/>
  </si>
  <si>
    <t>茶水间费用</t>
    <phoneticPr fontId="6" type="noConversion"/>
  </si>
  <si>
    <t>网络大厦茶水间费用</t>
    <phoneticPr fontId="6" type="noConversion"/>
  </si>
  <si>
    <r>
      <t>7~15</t>
    </r>
    <r>
      <rPr>
        <sz val="10"/>
        <rFont val="宋体"/>
        <family val="3"/>
        <charset val="134"/>
      </rPr>
      <t>层按照搜狗</t>
    </r>
    <r>
      <rPr>
        <sz val="10"/>
        <rFont val="Calibri"/>
        <family val="2"/>
      </rPr>
      <t>89%</t>
    </r>
    <r>
      <rPr>
        <sz val="10"/>
        <rFont val="宋体"/>
        <family val="3"/>
        <charset val="134"/>
      </rPr>
      <t>、搜狐</t>
    </r>
    <r>
      <rPr>
        <sz val="10"/>
        <rFont val="Calibri"/>
        <family val="2"/>
      </rPr>
      <t>11%</t>
    </r>
    <r>
      <rPr>
        <sz val="10"/>
        <rFont val="宋体"/>
        <family val="3"/>
        <charset val="134"/>
      </rPr>
      <t>，</t>
    </r>
    <r>
      <rPr>
        <sz val="10"/>
        <rFont val="Calibri"/>
        <family val="2"/>
      </rPr>
      <t>3</t>
    </r>
    <r>
      <rPr>
        <sz val="10"/>
        <rFont val="宋体"/>
        <family val="3"/>
        <charset val="134"/>
      </rPr>
      <t>层整层有搜狐支付的原则拆分</t>
    </r>
    <phoneticPr fontId="5" type="noConversion"/>
  </si>
  <si>
    <t>媒体大厦茶水间费用</t>
    <phoneticPr fontId="5" type="noConversion"/>
  </si>
  <si>
    <r>
      <t>2014</t>
    </r>
    <r>
      <rPr>
        <sz val="10"/>
        <rFont val="宋体"/>
        <family val="3"/>
        <charset val="134"/>
      </rPr>
      <t>年首次预估无参照标准，预估较高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</si>
  <si>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层茶水间费用</t>
    </r>
    <phoneticPr fontId="6" type="noConversion"/>
  </si>
  <si>
    <r>
      <t>13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月开始调整库存和发放原则，减少实际消耗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</si>
  <si>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层（</t>
    </r>
    <r>
      <rPr>
        <sz val="10"/>
        <rFont val="Calibri"/>
        <family val="2"/>
      </rPr>
      <t>24%</t>
    </r>
    <r>
      <rPr>
        <sz val="10"/>
        <rFont val="宋体"/>
        <family val="3"/>
        <charset val="134"/>
      </rPr>
      <t>）茶水间费用</t>
    </r>
    <phoneticPr fontId="6" type="noConversion"/>
  </si>
  <si>
    <r>
      <t>C10</t>
    </r>
    <r>
      <rPr>
        <sz val="10"/>
        <rFont val="宋体"/>
        <family val="3"/>
        <charset val="134"/>
      </rPr>
      <t>的</t>
    </r>
    <r>
      <rPr>
        <sz val="10"/>
        <rFont val="Calibri"/>
        <family val="2"/>
      </rPr>
      <t>76%</t>
    </r>
    <r>
      <rPr>
        <sz val="10"/>
        <rFont val="宋体"/>
        <family val="3"/>
        <charset val="134"/>
      </rPr>
      <t>和</t>
    </r>
    <r>
      <rPr>
        <sz val="10"/>
        <rFont val="Calibri"/>
        <family val="2"/>
      </rPr>
      <t>C19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由焦点承担</t>
    </r>
    <phoneticPr fontId="5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</si>
  <si>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（</t>
    </r>
    <r>
      <rPr>
        <sz val="10"/>
        <rFont val="Calibri"/>
        <family val="2"/>
      </rPr>
      <t>76%</t>
    </r>
    <r>
      <rPr>
        <sz val="10"/>
        <rFont val="宋体"/>
        <family val="3"/>
        <charset val="134"/>
      </rPr>
      <t>）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层茶水间费用</t>
    </r>
    <phoneticPr fontId="6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</si>
  <si>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层茶水间费用</t>
    </r>
    <phoneticPr fontId="6" type="noConversion"/>
  </si>
  <si>
    <r>
      <rPr>
        <sz val="10"/>
        <rFont val="宋体"/>
        <family val="3"/>
        <charset val="134"/>
      </rPr>
      <t>计划于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月开始退租，退租后不在有茶水间费用产生</t>
    </r>
    <phoneticPr fontId="5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</si>
  <si>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层茶水间费用</t>
    </r>
    <phoneticPr fontId="6" type="noConversion"/>
  </si>
  <si>
    <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5</t>
    </r>
    <r>
      <rPr>
        <sz val="10"/>
        <rFont val="宋体"/>
        <family val="3"/>
        <charset val="134"/>
      </rPr>
      <t>月退租无此项费用</t>
    </r>
    <phoneticPr fontId="5" type="noConversion"/>
  </si>
  <si>
    <t>杯具制作</t>
    <phoneticPr fontId="6" type="noConversion"/>
  </si>
  <si>
    <t>瓷杯制作</t>
    <phoneticPr fontId="6" type="noConversion"/>
  </si>
  <si>
    <t>纸杯制作</t>
    <phoneticPr fontId="6" type="noConversion"/>
  </si>
  <si>
    <t>纸杯的使用量降低，瓷杯子库存根据损耗进行补充</t>
    <phoneticPr fontId="5" type="noConversion"/>
  </si>
  <si>
    <t>Office consumables</t>
    <phoneticPr fontId="6" type="noConversion"/>
  </si>
  <si>
    <t>办公用品费用</t>
    <phoneticPr fontId="6" type="noConversion"/>
  </si>
  <si>
    <t>现有办公区更换工位牌、坐席卡卡壳等费用</t>
    <phoneticPr fontId="6" type="noConversion"/>
  </si>
  <si>
    <r>
      <t>2014</t>
    </r>
    <r>
      <rPr>
        <sz val="10"/>
        <rFont val="宋体"/>
        <family val="3"/>
        <charset val="134"/>
      </rPr>
      <t>年实际发生低于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年预估预算，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年增长率工卡按</t>
    </r>
    <r>
      <rPr>
        <sz val="10"/>
        <rFont val="Calibri"/>
        <family val="2"/>
      </rPr>
      <t>25%</t>
    </r>
    <r>
      <rPr>
        <sz val="10"/>
        <rFont val="宋体"/>
        <family val="3"/>
        <charset val="134"/>
      </rPr>
      <t>物价增长因素，其他项目没有费用增长。</t>
    </r>
    <phoneticPr fontId="5" type="noConversion"/>
  </si>
  <si>
    <r>
      <t>RFID</t>
    </r>
    <r>
      <rPr>
        <sz val="10"/>
        <rFont val="宋体"/>
        <family val="3"/>
        <charset val="134"/>
      </rPr>
      <t>标签</t>
    </r>
    <phoneticPr fontId="6" type="noConversion"/>
  </si>
  <si>
    <r>
      <t>RFID</t>
    </r>
    <r>
      <rPr>
        <sz val="10"/>
        <rFont val="宋体"/>
        <family val="3"/>
        <charset val="134"/>
      </rPr>
      <t xml:space="preserve">标签方面，由于新系统上线，抛弃旧的电子标签，所以明年的采购预算可以相对减少。
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年：横版</t>
    </r>
    <r>
      <rPr>
        <sz val="10"/>
        <rFont val="Calibri"/>
        <family val="2"/>
      </rPr>
      <t>2500</t>
    </r>
    <r>
      <rPr>
        <sz val="10"/>
        <rFont val="宋体"/>
        <family val="3"/>
        <charset val="134"/>
      </rPr>
      <t>张、竖版</t>
    </r>
    <r>
      <rPr>
        <sz val="10"/>
        <rFont val="Calibri"/>
        <family val="2"/>
      </rPr>
      <t>1500</t>
    </r>
    <r>
      <rPr>
        <sz val="10"/>
        <rFont val="宋体"/>
        <family val="3"/>
        <charset val="134"/>
      </rPr>
      <t>张，共</t>
    </r>
    <r>
      <rPr>
        <sz val="10"/>
        <rFont val="Calibri"/>
        <family val="2"/>
      </rPr>
      <t>4000</t>
    </r>
    <r>
      <rPr>
        <sz val="10"/>
        <rFont val="宋体"/>
        <family val="3"/>
        <charset val="134"/>
      </rPr>
      <t>账（单价</t>
    </r>
    <r>
      <rPr>
        <sz val="10"/>
        <rFont val="Calibri"/>
        <family val="2"/>
      </rPr>
      <t>10.9</t>
    </r>
    <r>
      <rPr>
        <sz val="10"/>
        <rFont val="宋体"/>
        <family val="3"/>
        <charset val="134"/>
      </rPr>
      <t>元）；每季度平均</t>
    </r>
    <r>
      <rPr>
        <sz val="10"/>
        <rFont val="Calibri"/>
        <family val="2"/>
      </rPr>
      <t>1000</t>
    </r>
    <r>
      <rPr>
        <sz val="10"/>
        <rFont val="宋体"/>
        <family val="3"/>
        <charset val="134"/>
      </rPr>
      <t>张，整体比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9000</t>
    </r>
    <r>
      <rPr>
        <sz val="10"/>
        <rFont val="宋体"/>
        <family val="3"/>
        <charset val="134"/>
      </rPr>
      <t>张减少了</t>
    </r>
    <r>
      <rPr>
        <sz val="10"/>
        <rFont val="Calibri"/>
        <family val="2"/>
      </rPr>
      <t>5000</t>
    </r>
    <r>
      <rPr>
        <sz val="10"/>
        <rFont val="宋体"/>
        <family val="3"/>
        <charset val="134"/>
      </rPr>
      <t>张（往年平均每</t>
    </r>
    <r>
      <rPr>
        <sz val="10"/>
        <rFont val="Calibri"/>
        <family val="2"/>
      </rPr>
      <t>Q</t>
    </r>
    <r>
      <rPr>
        <sz val="10"/>
        <rFont val="宋体"/>
        <family val="3"/>
        <charset val="134"/>
      </rPr>
      <t>使用横版</t>
    </r>
    <r>
      <rPr>
        <sz val="10"/>
        <rFont val="Calibri"/>
        <family val="2"/>
      </rPr>
      <t>800</t>
    </r>
    <r>
      <rPr>
        <sz val="10"/>
        <rFont val="宋体"/>
        <family val="3"/>
        <charset val="134"/>
      </rPr>
      <t>张、竖版</t>
    </r>
    <r>
      <rPr>
        <sz val="10"/>
        <rFont val="Calibri"/>
        <family val="2"/>
      </rPr>
      <t>400</t>
    </r>
    <r>
      <rPr>
        <sz val="10"/>
        <rFont val="宋体"/>
        <family val="3"/>
        <charset val="134"/>
      </rPr>
      <t>张）</t>
    </r>
    <phoneticPr fontId="5" type="noConversion"/>
  </si>
  <si>
    <t>Facility Maintenance</t>
    <phoneticPr fontId="6" type="noConversion"/>
  </si>
  <si>
    <t>家具维修</t>
    <phoneticPr fontId="6" type="noConversion"/>
  </si>
  <si>
    <t>所有办公区家具维修</t>
    <phoneticPr fontId="6" type="noConversion"/>
  </si>
  <si>
    <t>新大厦的家具比较新，维修成本降低。</t>
    <phoneticPr fontId="5" type="noConversion"/>
  </si>
  <si>
    <t>Office Maintenance</t>
    <phoneticPr fontId="6" type="noConversion"/>
  </si>
  <si>
    <t>各项维护合同费用</t>
    <phoneticPr fontId="5" type="noConversion"/>
  </si>
  <si>
    <r>
      <t>C10</t>
    </r>
    <r>
      <rPr>
        <sz val="10"/>
        <rFont val="宋体"/>
        <family val="3"/>
        <charset val="134"/>
      </rPr>
      <t>的</t>
    </r>
    <r>
      <rPr>
        <sz val="10"/>
        <rFont val="Calibri"/>
        <family val="2"/>
      </rPr>
      <t>76%</t>
    </r>
    <r>
      <rPr>
        <sz val="10"/>
        <rFont val="宋体"/>
        <family val="3"/>
        <charset val="134"/>
      </rPr>
      <t>和</t>
    </r>
    <r>
      <rPr>
        <sz val="10"/>
        <rFont val="Calibri"/>
        <family val="2"/>
      </rPr>
      <t>C19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由焦点承担，退租同方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层、网络大厦</t>
    </r>
    <r>
      <rPr>
        <sz val="10"/>
        <rFont val="Calibri"/>
        <family val="2"/>
      </rPr>
      <t>3</t>
    </r>
    <r>
      <rPr>
        <sz val="10"/>
        <rFont val="宋体"/>
        <family val="3"/>
        <charset val="134"/>
      </rPr>
      <t>层维护费用减少</t>
    </r>
    <r>
      <rPr>
        <sz val="10"/>
        <color rgb="FFFF0000"/>
        <rFont val="宋体"/>
        <family val="3"/>
        <charset val="134"/>
      </rPr>
      <t>（因实际花费中，包含媒体大厦部分，未在预算中，故费用超预算）</t>
    </r>
    <phoneticPr fontId="5" type="noConversion"/>
  </si>
  <si>
    <t>焦点各项维护合同费用</t>
    <phoneticPr fontId="5" type="noConversion"/>
  </si>
  <si>
    <t>日常维护材料费用</t>
    <phoneticPr fontId="5" type="noConversion"/>
  </si>
  <si>
    <r>
      <t>1</t>
    </r>
    <r>
      <rPr>
        <sz val="10"/>
        <rFont val="宋体"/>
        <family val="3"/>
        <charset val="134"/>
      </rPr>
      <t>、网络大厦更换门禁系统；</t>
    </r>
    <r>
      <rPr>
        <sz val="10"/>
        <rFont val="Calibri"/>
        <family val="2"/>
      </rPr>
      <t>2</t>
    </r>
    <r>
      <rPr>
        <sz val="10"/>
        <rFont val="宋体"/>
        <family val="3"/>
        <charset val="134"/>
      </rPr>
      <t>、网络大厦更换楼顶</t>
    </r>
    <r>
      <rPr>
        <sz val="10"/>
        <rFont val="Calibri"/>
        <family val="2"/>
      </rPr>
      <t>LOGO</t>
    </r>
    <r>
      <rPr>
        <sz val="10"/>
        <rFont val="宋体"/>
        <family val="3"/>
        <charset val="134"/>
      </rPr>
      <t>；</t>
    </r>
    <r>
      <rPr>
        <sz val="10"/>
        <rFont val="Calibri"/>
        <family val="2"/>
      </rPr>
      <t>3</t>
    </r>
    <r>
      <rPr>
        <sz val="10"/>
        <rFont val="宋体"/>
        <family val="3"/>
        <charset val="134"/>
      </rPr>
      <t>、物业空调管道清洗（约</t>
    </r>
    <r>
      <rPr>
        <sz val="10"/>
        <rFont val="Calibri"/>
        <family val="2"/>
      </rPr>
      <t>90</t>
    </r>
    <r>
      <rPr>
        <sz val="10"/>
        <rFont val="宋体"/>
        <family val="3"/>
        <charset val="134"/>
      </rPr>
      <t>万）</t>
    </r>
    <r>
      <rPr>
        <sz val="10"/>
        <rFont val="Calibri"/>
        <family val="2"/>
      </rPr>
      <t/>
    </r>
    <phoneticPr fontId="5" type="noConversion"/>
  </si>
  <si>
    <t>焦点日常维护材料费用</t>
    <phoneticPr fontId="5" type="noConversion"/>
  </si>
  <si>
    <t>卫星电视维护及使用费</t>
    <phoneticPr fontId="6" type="noConversion"/>
  </si>
  <si>
    <t>2014年费用减少欧亚体育15330元/年</t>
    <phoneticPr fontId="5" type="noConversion"/>
  </si>
  <si>
    <t>Insurance</t>
    <phoneticPr fontId="5" type="noConversion"/>
  </si>
  <si>
    <t>焦点财产保险</t>
    <phoneticPr fontId="5" type="noConversion"/>
  </si>
  <si>
    <t>Capex</t>
    <phoneticPr fontId="5" type="noConversion"/>
  </si>
  <si>
    <t>焦点资产</t>
    <phoneticPr fontId="5" type="noConversion"/>
  </si>
  <si>
    <t>家具更新</t>
    <phoneticPr fontId="5" type="noConversion"/>
  </si>
  <si>
    <t>▲</t>
    <phoneticPr fontId="6" type="noConversion"/>
  </si>
  <si>
    <t>Company Vehicle</t>
    <phoneticPr fontId="6" type="noConversion"/>
  </si>
  <si>
    <t>搜狐车辆保险</t>
    <phoneticPr fontId="6" type="noConversion"/>
  </si>
  <si>
    <t>明细见2015公车保险及养护，车辆数减少从25辆变为23量，减少2辆（去掉搜狗的3辆奥迪、无锡1辆埃尔法，增加曾怿1辆奥迪，Carol老板1辆宝马），导致保险费降低</t>
    <phoneticPr fontId="6" type="noConversion"/>
  </si>
  <si>
    <t>搜狐车辆维修保养</t>
    <phoneticPr fontId="6" type="noConversion"/>
  </si>
  <si>
    <t>按照四个季度均分，京K29226已转给沈岩岭领导使用，ES车辆数减少，导致维修保养费用降低</t>
    <phoneticPr fontId="6" type="noConversion"/>
  </si>
  <si>
    <t>※</t>
    <phoneticPr fontId="6" type="noConversion"/>
  </si>
  <si>
    <t>媒体大厦新增项</t>
    <phoneticPr fontId="6" type="noConversion"/>
  </si>
  <si>
    <t>企业文化建设</t>
    <phoneticPr fontId="5" type="noConversion"/>
  </si>
  <si>
    <r>
      <rPr>
        <b/>
        <sz val="10"/>
        <color rgb="FFFF0000"/>
        <rFont val="宋体"/>
        <family val="3"/>
        <charset val="134"/>
      </rPr>
      <t>合计</t>
    </r>
    <r>
      <rPr>
        <b/>
        <sz val="10"/>
        <color rgb="FFFF0000"/>
        <rFont val="Calibri"/>
        <family val="2"/>
      </rPr>
      <t>1</t>
    </r>
    <phoneticPr fontId="5" type="noConversion"/>
  </si>
  <si>
    <r>
      <rPr>
        <b/>
        <sz val="10"/>
        <color rgb="FFFF0000"/>
        <rFont val="宋体"/>
        <family val="3"/>
        <charset val="134"/>
      </rPr>
      <t>（北京全部办公区以及焦点</t>
    </r>
    <r>
      <rPr>
        <sz val="10"/>
        <rFont val="宋体"/>
        <family val="3"/>
        <charset val="134"/>
      </rPr>
      <t>，不含武汉研发中心及搜狗）</t>
    </r>
    <phoneticPr fontId="5" type="noConversion"/>
  </si>
  <si>
    <t>验算</t>
    <phoneticPr fontId="5" type="noConversion"/>
  </si>
  <si>
    <t>注</t>
    <phoneticPr fontId="6" type="noConversion"/>
  </si>
  <si>
    <t>焦点合计：</t>
    <phoneticPr fontId="5" type="noConversion"/>
  </si>
  <si>
    <t>武汉研发中心</t>
    <phoneticPr fontId="5" type="noConversion"/>
  </si>
  <si>
    <t>武汉研发中心
日常费用</t>
    <phoneticPr fontId="6" type="noConversion"/>
  </si>
  <si>
    <r>
      <t>2014</t>
    </r>
    <r>
      <rPr>
        <b/>
        <sz val="10"/>
        <rFont val="宋体"/>
        <family val="3"/>
        <charset val="134"/>
      </rPr>
      <t>年实际发生</t>
    </r>
    <phoneticPr fontId="5" type="noConversion"/>
  </si>
  <si>
    <t>租金</t>
    <phoneticPr fontId="6" type="noConversion"/>
  </si>
  <si>
    <r>
      <rPr>
        <sz val="10"/>
        <rFont val="宋体"/>
        <family val="3"/>
        <charset val="134"/>
      </rPr>
      <t>每季度结算，</t>
    </r>
    <r>
      <rPr>
        <sz val="10"/>
        <rFont val="Calibri"/>
        <family val="2"/>
      </rPr>
      <t>2014.11.3</t>
    </r>
    <r>
      <rPr>
        <sz val="10"/>
        <rFont val="宋体"/>
        <family val="3"/>
        <charset val="134"/>
      </rPr>
      <t>开始租金上调</t>
    </r>
    <r>
      <rPr>
        <sz val="10"/>
        <rFont val="Calibri"/>
        <family val="2"/>
      </rPr>
      <t>2000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月，</t>
    </r>
    <r>
      <rPr>
        <sz val="10"/>
        <color rgb="FFFF0000"/>
        <rFont val="Calibri"/>
        <family val="2"/>
      </rPr>
      <t>2015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11</t>
    </r>
    <r>
      <rPr>
        <sz val="10"/>
        <color rgb="FFFF0000"/>
        <rFont val="宋体"/>
        <family val="3"/>
        <charset val="134"/>
      </rPr>
      <t>月起，租金上调</t>
    </r>
    <r>
      <rPr>
        <sz val="10"/>
        <color rgb="FFFF0000"/>
        <rFont val="Calibri"/>
        <family val="2"/>
      </rPr>
      <t>800</t>
    </r>
    <r>
      <rPr>
        <sz val="10"/>
        <color rgb="FFFF0000"/>
        <rFont val="宋体"/>
        <family val="3"/>
        <charset val="134"/>
      </rPr>
      <t>元</t>
    </r>
    <r>
      <rPr>
        <sz val="10"/>
        <color rgb="FFFF0000"/>
        <rFont val="Calibri"/>
        <family val="2"/>
      </rPr>
      <t>/</t>
    </r>
    <r>
      <rPr>
        <sz val="10"/>
        <color rgb="FFFF0000"/>
        <rFont val="宋体"/>
        <family val="3"/>
        <charset val="134"/>
      </rPr>
      <t>月</t>
    </r>
    <phoneticPr fontId="5" type="noConversion"/>
  </si>
  <si>
    <t>租赁税</t>
    <phoneticPr fontId="5" type="noConversion"/>
  </si>
  <si>
    <t>物业费</t>
    <phoneticPr fontId="5" type="noConversion"/>
  </si>
  <si>
    <r>
      <t>3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平方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Calibri"/>
        <family val="2"/>
      </rPr>
      <t>*817.12</t>
    </r>
    <r>
      <rPr>
        <sz val="10"/>
        <rFont val="宋体"/>
        <family val="3"/>
        <charset val="134"/>
      </rPr>
      <t>平</t>
    </r>
    <phoneticPr fontId="5" type="noConversion"/>
  </si>
  <si>
    <t>电梯补偿金</t>
    <phoneticPr fontId="5" type="noConversion"/>
  </si>
  <si>
    <t>水费</t>
    <phoneticPr fontId="6" type="noConversion"/>
  </si>
  <si>
    <t>每半年一收、3元/吨、预计因人员及物价上涨增长20%</t>
    <phoneticPr fontId="5" type="noConversion"/>
  </si>
  <si>
    <t>电费</t>
    <phoneticPr fontId="6" type="noConversion"/>
  </si>
  <si>
    <r>
      <t>0.983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度；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年预计费用因物价上涨增长</t>
    </r>
    <r>
      <rPr>
        <sz val="10"/>
        <rFont val="Calibri"/>
        <family val="2"/>
      </rPr>
      <t>20%</t>
    </r>
    <phoneticPr fontId="5" type="noConversion"/>
  </si>
  <si>
    <t>电话费</t>
    <phoneticPr fontId="6" type="noConversion"/>
  </si>
  <si>
    <r>
      <t>2013</t>
    </r>
    <r>
      <rPr>
        <sz val="10"/>
        <rFont val="宋体"/>
        <family val="3"/>
        <charset val="134"/>
      </rPr>
      <t>年每月固定电话费</t>
    </r>
    <r>
      <rPr>
        <sz val="10"/>
        <rFont val="Calibri"/>
        <family val="2"/>
      </rPr>
      <t>156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月；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年费用预计因物价上涨增长</t>
    </r>
    <r>
      <rPr>
        <sz val="10"/>
        <rFont val="Calibri"/>
        <family val="2"/>
      </rPr>
      <t>15%</t>
    </r>
    <phoneticPr fontId="5" type="noConversion"/>
  </si>
  <si>
    <t>日常工程维修</t>
    <phoneticPr fontId="5" type="noConversion"/>
  </si>
  <si>
    <t>日常保洁费</t>
    <phoneticPr fontId="5" type="noConversion"/>
  </si>
  <si>
    <t>门卡、桌牌等</t>
    <phoneticPr fontId="6" type="noConversion"/>
  </si>
  <si>
    <r>
      <t>2015</t>
    </r>
    <r>
      <rPr>
        <sz val="10"/>
        <rFont val="宋体"/>
        <family val="3"/>
        <charset val="134"/>
      </rPr>
      <t>年费用预计因人员及物价上涨增长</t>
    </r>
    <r>
      <rPr>
        <sz val="10"/>
        <rFont val="Calibri"/>
        <family val="2"/>
      </rPr>
      <t>15%</t>
    </r>
    <phoneticPr fontId="5" type="noConversion"/>
  </si>
  <si>
    <t>文具耗材及茶间用品</t>
    <phoneticPr fontId="6" type="noConversion"/>
  </si>
  <si>
    <t>绿植费</t>
    <phoneticPr fontId="5" type="noConversion"/>
  </si>
  <si>
    <t>洗涤费</t>
    <phoneticPr fontId="5" type="noConversion"/>
  </si>
  <si>
    <t>饮用水</t>
    <phoneticPr fontId="6" type="noConversion"/>
  </si>
  <si>
    <r>
      <t>18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桶；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年费用预计因人员及物价上涨增长</t>
    </r>
    <r>
      <rPr>
        <sz val="10"/>
        <rFont val="Calibri"/>
        <family val="2"/>
      </rPr>
      <t>10%</t>
    </r>
    <phoneticPr fontId="5" type="noConversion"/>
  </si>
  <si>
    <r>
      <rPr>
        <b/>
        <sz val="10"/>
        <color rgb="FFFF0000"/>
        <rFont val="宋体"/>
        <family val="3"/>
        <charset val="134"/>
      </rPr>
      <t>合计</t>
    </r>
    <r>
      <rPr>
        <b/>
        <sz val="10"/>
        <color rgb="FFFF0000"/>
        <rFont val="Calibri"/>
        <family val="2"/>
      </rPr>
      <t>2</t>
    </r>
    <phoneticPr fontId="5" type="noConversion"/>
  </si>
  <si>
    <t>（北京全办公区以及焦点和武汉研发中心，不含搜狗）</t>
    <phoneticPr fontId="5" type="noConversion"/>
  </si>
  <si>
    <t>※物业租</t>
    <phoneticPr fontId="6" type="noConversion"/>
  </si>
  <si>
    <t>★资产组</t>
    <phoneticPr fontId="6" type="noConversion"/>
  </si>
  <si>
    <r>
      <t>2016</t>
    </r>
    <r>
      <rPr>
        <b/>
        <sz val="10"/>
        <rFont val="宋体"/>
        <family val="3"/>
        <charset val="134"/>
      </rPr>
      <t>年行政预算计算依据表（不含搜狗及视频天津）</t>
    </r>
    <phoneticPr fontId="6" type="noConversion"/>
  </si>
  <si>
    <t>网络大厦3层租期2015年2月28日到期后不续租</t>
    <phoneticPr fontId="5" type="noConversion"/>
  </si>
  <si>
    <r>
      <t>2015.5</t>
    </r>
    <r>
      <rPr>
        <sz val="10"/>
        <rFont val="宋体"/>
        <family val="3"/>
        <charset val="134"/>
      </rPr>
      <t>起按照新的费用标准</t>
    </r>
    <phoneticPr fontId="5" type="noConversion"/>
  </si>
  <si>
    <t>2015年4月30日退租</t>
    <phoneticPr fontId="5" type="noConversion"/>
  </si>
  <si>
    <t>车位数量不变</t>
    <phoneticPr fontId="5" type="noConversion"/>
  </si>
  <si>
    <t>融科中科资源大厦地下（搜狐10个）</t>
    <phoneticPr fontId="5" type="noConversion"/>
  </si>
  <si>
    <r>
      <rPr>
        <sz val="10"/>
        <rFont val="宋体"/>
        <family val="3"/>
        <charset val="134"/>
      </rPr>
      <t>于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月</t>
    </r>
    <r>
      <rPr>
        <sz val="10"/>
        <rFont val="Calibri"/>
        <family val="2"/>
      </rPr>
      <t>30</t>
    </r>
    <r>
      <rPr>
        <sz val="10"/>
        <rFont val="宋体"/>
        <family val="3"/>
        <charset val="134"/>
      </rPr>
      <t>日退租</t>
    </r>
    <phoneticPr fontId="5" type="noConversion"/>
  </si>
  <si>
    <r>
      <rPr>
        <sz val="10"/>
        <rFont val="宋体"/>
        <family val="3"/>
        <charset val="134"/>
      </rPr>
      <t>从</t>
    </r>
    <r>
      <rPr>
        <sz val="10"/>
        <rFont val="Calibri"/>
        <family val="2"/>
      </rPr>
      <t>2016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月起焦点承担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层由</t>
    </r>
    <r>
      <rPr>
        <sz val="10"/>
        <rFont val="Calibri"/>
        <family val="2"/>
      </rPr>
      <t>76%</t>
    </r>
    <r>
      <rPr>
        <sz val="10"/>
        <rFont val="宋体"/>
        <family val="3"/>
        <charset val="134"/>
      </rPr>
      <t>降低为</t>
    </r>
    <r>
      <rPr>
        <sz val="10"/>
        <rFont val="Calibri"/>
        <family val="2"/>
      </rPr>
      <t>62%,2016</t>
    </r>
    <r>
      <rPr>
        <sz val="10"/>
        <rFont val="宋体"/>
        <family val="3"/>
        <charset val="134"/>
      </rPr>
      <t>年在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年实际发生费用基础上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增长</t>
    </r>
    <r>
      <rPr>
        <sz val="10"/>
        <rFont val="Calibri"/>
        <family val="2"/>
      </rPr>
      <t>21%</t>
    </r>
    <r>
      <rPr>
        <sz val="10"/>
        <rFont val="宋体"/>
        <family val="3"/>
        <charset val="134"/>
      </rPr>
      <t>，</t>
    </r>
    <r>
      <rPr>
        <sz val="10"/>
        <rFont val="Calibri"/>
        <family val="2"/>
      </rPr>
      <t>C19/20</t>
    </r>
    <r>
      <rPr>
        <sz val="10"/>
        <rFont val="宋体"/>
        <family val="3"/>
        <charset val="134"/>
      </rPr>
      <t>增长</t>
    </r>
    <r>
      <rPr>
        <sz val="10"/>
        <rFont val="Calibri"/>
        <family val="2"/>
      </rPr>
      <t>18%</t>
    </r>
    <phoneticPr fontId="5" type="noConversion"/>
  </si>
  <si>
    <r>
      <rPr>
        <sz val="10"/>
        <rFont val="宋体"/>
        <family val="3"/>
        <charset val="134"/>
      </rPr>
      <t>从</t>
    </r>
    <r>
      <rPr>
        <sz val="10"/>
        <rFont val="Calibri"/>
        <family val="2"/>
      </rPr>
      <t>2016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月起焦点承担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层的由</t>
    </r>
    <r>
      <rPr>
        <sz val="10"/>
        <rFont val="Calibri"/>
        <family val="2"/>
      </rPr>
      <t>76%</t>
    </r>
    <r>
      <rPr>
        <sz val="10"/>
        <rFont val="宋体"/>
        <family val="3"/>
        <charset val="134"/>
      </rPr>
      <t>降低为</t>
    </r>
    <r>
      <rPr>
        <sz val="10"/>
        <rFont val="Calibri"/>
        <family val="2"/>
      </rPr>
      <t>62%</t>
    </r>
    <r>
      <rPr>
        <sz val="10"/>
        <rFont val="宋体"/>
        <family val="3"/>
        <charset val="134"/>
      </rPr>
      <t>，</t>
    </r>
    <r>
      <rPr>
        <sz val="10"/>
        <rFont val="Calibri"/>
        <family val="2"/>
      </rPr>
      <t>2016</t>
    </r>
    <r>
      <rPr>
        <sz val="10"/>
        <rFont val="宋体"/>
        <family val="3"/>
        <charset val="134"/>
      </rPr>
      <t>年在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年实际发生费用基础上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增长</t>
    </r>
    <r>
      <rPr>
        <sz val="10"/>
        <rFont val="Calibri"/>
        <family val="2"/>
      </rPr>
      <t>21%</t>
    </r>
    <r>
      <rPr>
        <sz val="10"/>
        <rFont val="宋体"/>
        <family val="3"/>
        <charset val="134"/>
      </rPr>
      <t>，</t>
    </r>
    <r>
      <rPr>
        <sz val="10"/>
        <rFont val="Calibri"/>
        <family val="2"/>
      </rPr>
      <t>C19/20</t>
    </r>
    <r>
      <rPr>
        <sz val="10"/>
        <rFont val="宋体"/>
        <family val="3"/>
        <charset val="134"/>
      </rPr>
      <t>增长</t>
    </r>
    <r>
      <rPr>
        <sz val="10"/>
        <rFont val="Calibri"/>
        <family val="2"/>
      </rPr>
      <t>18%</t>
    </r>
    <phoneticPr fontId="5" type="noConversion"/>
  </si>
  <si>
    <r>
      <rPr>
        <sz val="10"/>
        <rFont val="宋体"/>
        <family val="3"/>
        <charset val="134"/>
      </rPr>
      <t>于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月</t>
    </r>
    <r>
      <rPr>
        <sz val="10"/>
        <rFont val="Calibri"/>
        <family val="2"/>
      </rPr>
      <t>30</t>
    </r>
    <r>
      <rPr>
        <sz val="10"/>
        <rFont val="宋体"/>
        <family val="3"/>
        <charset val="134"/>
      </rPr>
      <t>日退租，之后不再产生此项费用</t>
    </r>
    <phoneticPr fontId="5" type="noConversion"/>
  </si>
  <si>
    <r>
      <rPr>
        <sz val="10"/>
        <rFont val="宋体"/>
        <family val="3"/>
        <charset val="134"/>
      </rPr>
      <t>同方于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月</t>
    </r>
    <r>
      <rPr>
        <sz val="10"/>
        <rFont val="Calibri"/>
        <family val="2"/>
      </rPr>
      <t>30</t>
    </r>
    <r>
      <rPr>
        <sz val="10"/>
        <rFont val="宋体"/>
        <family val="3"/>
        <charset val="134"/>
      </rPr>
      <t>日退租，之后不再产生此项费用</t>
    </r>
    <phoneticPr fontId="5" type="noConversion"/>
  </si>
  <si>
    <r>
      <t>2016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月起，焦点承担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的由</t>
    </r>
    <r>
      <rPr>
        <sz val="10"/>
        <rFont val="Calibri"/>
        <family val="2"/>
      </rPr>
      <t>76%</t>
    </r>
    <r>
      <rPr>
        <sz val="10"/>
        <rFont val="宋体"/>
        <family val="3"/>
        <charset val="134"/>
      </rPr>
      <t>降低为</t>
    </r>
    <r>
      <rPr>
        <sz val="10"/>
        <rFont val="Calibri"/>
        <family val="2"/>
      </rPr>
      <t>62%</t>
    </r>
    <r>
      <rPr>
        <sz val="10"/>
        <rFont val="宋体"/>
        <family val="3"/>
        <charset val="134"/>
      </rPr>
      <t>，且调动岗位人数，降低费用</t>
    </r>
    <phoneticPr fontId="5" type="noConversion"/>
  </si>
  <si>
    <r>
      <t>2016</t>
    </r>
    <r>
      <rPr>
        <b/>
        <sz val="10"/>
        <rFont val="宋体"/>
        <family val="3"/>
        <charset val="134"/>
      </rPr>
      <t>年</t>
    </r>
    <r>
      <rPr>
        <b/>
        <sz val="10"/>
        <rFont val="Calibri"/>
        <family val="2"/>
      </rPr>
      <t>Capex</t>
    </r>
    <r>
      <rPr>
        <b/>
        <sz val="10"/>
        <rFont val="宋体"/>
        <family val="3"/>
        <charset val="134"/>
      </rPr>
      <t>预算明细</t>
    </r>
    <phoneticPr fontId="6" type="noConversion"/>
  </si>
  <si>
    <r>
      <rPr>
        <b/>
        <sz val="10"/>
        <rFont val="宋体"/>
        <family val="3"/>
        <charset val="134"/>
      </rPr>
      <t>项</t>
    </r>
    <r>
      <rPr>
        <b/>
        <sz val="10"/>
        <rFont val="Calibri"/>
        <family val="2"/>
      </rPr>
      <t xml:space="preserve">      </t>
    </r>
    <r>
      <rPr>
        <b/>
        <sz val="10"/>
        <rFont val="宋体"/>
        <family val="3"/>
        <charset val="134"/>
      </rPr>
      <t>目</t>
    </r>
    <phoneticPr fontId="6" type="noConversion"/>
  </si>
  <si>
    <t>16Q1</t>
    <phoneticPr fontId="6" type="noConversion"/>
  </si>
  <si>
    <t>16Q2</t>
    <phoneticPr fontId="6" type="noConversion"/>
  </si>
  <si>
    <t>16Q3</t>
    <phoneticPr fontId="6" type="noConversion"/>
  </si>
  <si>
    <t>16Q4</t>
    <phoneticPr fontId="6" type="noConversion"/>
  </si>
  <si>
    <r>
      <rPr>
        <sz val="10"/>
        <rFont val="宋体"/>
        <family val="3"/>
        <charset val="134"/>
      </rPr>
      <t>备注</t>
    </r>
    <phoneticPr fontId="5" type="noConversion"/>
  </si>
  <si>
    <t>数量</t>
    <phoneticPr fontId="6" type="noConversion"/>
  </si>
  <si>
    <t>金额</t>
    <phoneticPr fontId="6" type="noConversion"/>
  </si>
  <si>
    <t>新员工</t>
    <phoneticPr fontId="5" type="noConversion"/>
  </si>
  <si>
    <t>类别</t>
    <phoneticPr fontId="6" type="noConversion"/>
  </si>
  <si>
    <t>ALL</t>
    <phoneticPr fontId="5" type="noConversion"/>
  </si>
  <si>
    <t>PC</t>
    <phoneticPr fontId="6" type="noConversion"/>
  </si>
  <si>
    <t>NB</t>
    <phoneticPr fontId="6" type="noConversion"/>
  </si>
  <si>
    <t>Sohu</t>
    <phoneticPr fontId="5" type="noConversion"/>
  </si>
  <si>
    <t>视频</t>
    <phoneticPr fontId="5" type="noConversion"/>
  </si>
  <si>
    <t>PC/NB报废更新</t>
    <phoneticPr fontId="5" type="noConversion"/>
  </si>
  <si>
    <t>业务线特殊需求</t>
    <phoneticPr fontId="5" type="noConversion"/>
  </si>
  <si>
    <t>PC/NB/OE</t>
    <phoneticPr fontId="5" type="noConversion"/>
  </si>
  <si>
    <t>IP电话</t>
    <phoneticPr fontId="5" type="noConversion"/>
  </si>
  <si>
    <t>小计</t>
    <phoneticPr fontId="6" type="noConversion"/>
  </si>
  <si>
    <t>办公设备报废更新小计</t>
    <phoneticPr fontId="6" type="noConversion"/>
  </si>
  <si>
    <t>一体机报废更新</t>
    <phoneticPr fontId="6" type="noConversion"/>
  </si>
  <si>
    <t>投影仪报废更新</t>
    <phoneticPr fontId="6" type="noConversion"/>
  </si>
  <si>
    <t>sohu</t>
    <phoneticPr fontId="5" type="noConversion"/>
  </si>
  <si>
    <t>一体机报废更新</t>
    <phoneticPr fontId="5" type="noConversion"/>
  </si>
  <si>
    <r>
      <rPr>
        <sz val="10"/>
        <rFont val="宋体"/>
        <family val="3"/>
        <charset val="134"/>
      </rPr>
      <t>租赁办公区新增资产</t>
    </r>
    <r>
      <rPr>
        <sz val="10"/>
        <rFont val="Calibri"/>
        <family val="2"/>
      </rPr>
      <t xml:space="preserve"> </t>
    </r>
    <phoneticPr fontId="6" type="noConversion"/>
  </si>
  <si>
    <r>
      <t xml:space="preserve">Capex </t>
    </r>
    <r>
      <rPr>
        <b/>
        <sz val="10"/>
        <color rgb="FFFF0000"/>
        <rFont val="宋体"/>
        <family val="3"/>
        <charset val="134"/>
      </rPr>
      <t>合计</t>
    </r>
    <phoneticPr fontId="6" type="noConversion"/>
  </si>
  <si>
    <t>家具更新小计</t>
    <phoneticPr fontId="5" type="noConversion"/>
  </si>
  <si>
    <t>日常家具更换</t>
    <phoneticPr fontId="6" type="noConversion"/>
  </si>
  <si>
    <t>日常家具采购</t>
    <phoneticPr fontId="5" type="noConversion"/>
  </si>
  <si>
    <t>Leasehold</t>
  </si>
  <si>
    <t>新租办公室装修</t>
    <phoneticPr fontId="6" type="noConversion"/>
  </si>
  <si>
    <t>新租办公室家具</t>
    <phoneticPr fontId="6" type="noConversion"/>
  </si>
  <si>
    <t>改造办公室家具</t>
    <phoneticPr fontId="6" type="noConversion"/>
  </si>
  <si>
    <r>
      <t xml:space="preserve">Leasehold </t>
    </r>
    <r>
      <rPr>
        <b/>
        <sz val="10"/>
        <rFont val="宋体"/>
        <family val="3"/>
        <charset val="134"/>
      </rPr>
      <t>合计</t>
    </r>
    <phoneticPr fontId="6" type="noConversion"/>
  </si>
  <si>
    <t>Remark 1:</t>
    <phoneticPr fontId="6" type="noConversion"/>
  </si>
  <si>
    <r>
      <rPr>
        <b/>
        <sz val="10"/>
        <rFont val="宋体"/>
        <family val="3"/>
        <charset val="134"/>
      </rPr>
      <t>人员增量计算</t>
    </r>
    <r>
      <rPr>
        <b/>
        <sz val="10"/>
        <rFont val="Calibri"/>
        <family val="2"/>
      </rPr>
      <t/>
    </r>
    <phoneticPr fontId="6" type="noConversion"/>
  </si>
  <si>
    <t>预估增幅</t>
    <phoneticPr fontId="5" type="noConversion"/>
  </si>
  <si>
    <r>
      <t>Q1</t>
    </r>
    <r>
      <rPr>
        <b/>
        <sz val="10"/>
        <rFont val="宋体"/>
        <family val="3"/>
        <charset val="134"/>
      </rPr>
      <t>占比</t>
    </r>
    <phoneticPr fontId="5" type="noConversion"/>
  </si>
  <si>
    <r>
      <t>Q2</t>
    </r>
    <r>
      <rPr>
        <b/>
        <sz val="10"/>
        <rFont val="宋体"/>
        <family val="3"/>
        <charset val="134"/>
      </rPr>
      <t>占比</t>
    </r>
    <phoneticPr fontId="5" type="noConversion"/>
  </si>
  <si>
    <r>
      <t>Q3</t>
    </r>
    <r>
      <rPr>
        <b/>
        <sz val="10"/>
        <rFont val="宋体"/>
        <family val="3"/>
        <charset val="134"/>
      </rPr>
      <t>占比</t>
    </r>
    <phoneticPr fontId="5" type="noConversion"/>
  </si>
  <si>
    <r>
      <t>Q4</t>
    </r>
    <r>
      <rPr>
        <b/>
        <sz val="10"/>
        <rFont val="宋体"/>
        <family val="3"/>
        <charset val="134"/>
      </rPr>
      <t>占比</t>
    </r>
    <phoneticPr fontId="5" type="noConversion"/>
  </si>
  <si>
    <r>
      <t>2015</t>
    </r>
    <r>
      <rPr>
        <b/>
        <sz val="10"/>
        <rFont val="宋体"/>
        <family val="3"/>
        <charset val="134"/>
      </rPr>
      <t>年新入职数量（统计数据来自于</t>
    </r>
    <r>
      <rPr>
        <b/>
        <sz val="10"/>
        <rFont val="Calibri"/>
        <family val="2"/>
      </rPr>
      <t>HR</t>
    </r>
    <r>
      <rPr>
        <b/>
        <sz val="10"/>
        <rFont val="宋体"/>
        <family val="3"/>
        <charset val="134"/>
      </rPr>
      <t>每月的《变动明细》），入职发放数量参考《</t>
    </r>
    <r>
      <rPr>
        <b/>
        <sz val="10"/>
        <rFont val="Calibri"/>
        <family val="2"/>
      </rPr>
      <t>2015</t>
    </r>
    <r>
      <rPr>
        <b/>
        <sz val="10"/>
        <rFont val="宋体"/>
        <family val="3"/>
        <charset val="134"/>
      </rPr>
      <t>新员工领用统计》）</t>
    </r>
    <phoneticPr fontId="5" type="noConversion"/>
  </si>
  <si>
    <t>Business</t>
    <phoneticPr fontId="5" type="noConversion"/>
  </si>
  <si>
    <t>2015Q1
新员工</t>
    <phoneticPr fontId="5" type="noConversion"/>
  </si>
  <si>
    <t>2015Q2
新员工</t>
    <phoneticPr fontId="5" type="noConversion"/>
  </si>
  <si>
    <t>2015Q3
新员工</t>
    <phoneticPr fontId="5" type="noConversion"/>
  </si>
  <si>
    <t>2015Q4
新员工</t>
    <phoneticPr fontId="5" type="noConversion"/>
  </si>
  <si>
    <t>2015入职领用</t>
    <phoneticPr fontId="5" type="noConversion"/>
  </si>
  <si>
    <t>2016新员工领用预估</t>
    <phoneticPr fontId="5" type="noConversion"/>
  </si>
  <si>
    <t>新入职</t>
    <phoneticPr fontId="5" type="noConversion"/>
  </si>
  <si>
    <t>比例</t>
    <phoneticPr fontId="5" type="noConversion"/>
  </si>
  <si>
    <r>
      <t xml:space="preserve">1. </t>
    </r>
    <r>
      <rPr>
        <sz val="10"/>
        <color theme="1"/>
        <rFont val="宋体"/>
        <family val="3"/>
        <charset val="134"/>
      </rPr>
      <t>新员工入职数量包括</t>
    </r>
    <r>
      <rPr>
        <sz val="10"/>
        <color theme="1"/>
        <rFont val="Calibri"/>
        <family val="2"/>
      </rPr>
      <t>New HC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Calibri"/>
        <family val="2"/>
      </rPr>
      <t xml:space="preserve">replacement.
2. </t>
    </r>
    <r>
      <rPr>
        <sz val="10"/>
        <color theme="1"/>
        <rFont val="宋体"/>
        <family val="3"/>
        <charset val="134"/>
      </rPr>
      <t>新员工入职数量和资产实际领用差额主要在于外地站资产转移。员工在离职前将名下资产转移给部门同事，然后安排新员工入职时领用。这部分资产基本上都在循环转移，所以</t>
    </r>
    <r>
      <rPr>
        <sz val="10"/>
        <color theme="1"/>
        <rFont val="Calibri"/>
        <family val="2"/>
      </rPr>
      <t>ES</t>
    </r>
    <r>
      <rPr>
        <sz val="10"/>
        <color theme="1"/>
        <rFont val="宋体"/>
        <family val="3"/>
        <charset val="134"/>
      </rPr>
      <t>基本上无须备机</t>
    </r>
    <r>
      <rPr>
        <sz val="10"/>
        <color theme="1"/>
        <rFont val="Calibri"/>
        <family val="2"/>
      </rPr>
      <t>.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theme="1"/>
        <rFont val="Calibri"/>
        <family val="2"/>
      </rPr>
      <t xml:space="preserve">3. </t>
    </r>
    <r>
      <rPr>
        <sz val="10"/>
        <color theme="1"/>
        <rFont val="宋体"/>
        <family val="3"/>
        <charset val="134"/>
      </rPr>
      <t>目前库存电脑基本满足</t>
    </r>
    <r>
      <rPr>
        <sz val="10"/>
        <color theme="1"/>
        <rFont val="Calibri"/>
        <family val="2"/>
      </rPr>
      <t>2016</t>
    </r>
    <r>
      <rPr>
        <sz val="10"/>
        <color theme="1"/>
        <rFont val="宋体"/>
        <family val="3"/>
        <charset val="134"/>
      </rPr>
      <t>年新员工入职时的领用预估数量</t>
    </r>
    <r>
      <rPr>
        <sz val="10"/>
        <color theme="1"/>
        <rFont val="Calibri"/>
        <family val="2"/>
      </rPr>
      <t>.</t>
    </r>
    <phoneticPr fontId="5" type="noConversion"/>
  </si>
  <si>
    <r>
      <t>2015</t>
    </r>
    <r>
      <rPr>
        <b/>
        <sz val="10"/>
        <rFont val="宋体"/>
        <family val="3"/>
        <charset val="134"/>
      </rPr>
      <t>年</t>
    </r>
    <r>
      <rPr>
        <b/>
        <sz val="10"/>
        <rFont val="Calibri"/>
        <family val="2"/>
      </rPr>
      <t>HC</t>
    </r>
    <r>
      <rPr>
        <b/>
        <sz val="10"/>
        <rFont val="宋体"/>
        <family val="3"/>
        <charset val="134"/>
      </rPr>
      <t>（统计数据来自于《</t>
    </r>
    <r>
      <rPr>
        <b/>
        <sz val="10"/>
        <rFont val="Calibri"/>
        <family val="2"/>
      </rPr>
      <t>HC2015-Oct</t>
    </r>
    <r>
      <rPr>
        <b/>
        <sz val="10"/>
        <rFont val="宋体"/>
        <family val="3"/>
        <charset val="134"/>
      </rPr>
      <t>》</t>
    </r>
    <r>
      <rPr>
        <b/>
        <sz val="10"/>
        <rFont val="Calibri"/>
        <family val="2"/>
      </rPr>
      <t>"</t>
    </r>
    <r>
      <rPr>
        <b/>
        <sz val="10"/>
        <rFont val="宋体"/>
        <family val="3"/>
        <charset val="134"/>
      </rPr>
      <t>期末数</t>
    </r>
    <r>
      <rPr>
        <b/>
        <sz val="10"/>
        <rFont val="Calibri"/>
        <family val="2"/>
      </rPr>
      <t>"</t>
    </r>
    <r>
      <rPr>
        <b/>
        <sz val="10"/>
        <rFont val="宋体"/>
        <family val="3"/>
        <charset val="134"/>
      </rPr>
      <t>及《</t>
    </r>
    <r>
      <rPr>
        <b/>
        <sz val="10"/>
        <rFont val="Calibri"/>
        <family val="2"/>
      </rPr>
      <t>HC2015-Jan</t>
    </r>
    <r>
      <rPr>
        <b/>
        <sz val="10"/>
        <rFont val="宋体"/>
        <family val="3"/>
        <charset val="134"/>
      </rPr>
      <t>》</t>
    </r>
    <r>
      <rPr>
        <b/>
        <sz val="10"/>
        <rFont val="Calibri"/>
        <family val="2"/>
      </rPr>
      <t>"</t>
    </r>
    <r>
      <rPr>
        <b/>
        <sz val="10"/>
        <rFont val="宋体"/>
        <family val="3"/>
        <charset val="134"/>
      </rPr>
      <t>期初数</t>
    </r>
    <r>
      <rPr>
        <b/>
        <sz val="10"/>
        <rFont val="Calibri"/>
        <family val="2"/>
      </rPr>
      <t>"</t>
    </r>
    <r>
      <rPr>
        <b/>
        <sz val="10"/>
        <rFont val="宋体"/>
        <family val="3"/>
        <charset val="134"/>
      </rPr>
      <t>）</t>
    </r>
    <phoneticPr fontId="5" type="noConversion"/>
  </si>
  <si>
    <t>2015
期末数</t>
    <phoneticPr fontId="5" type="noConversion"/>
  </si>
  <si>
    <t>HC Allocation</t>
    <phoneticPr fontId="5" type="noConversion"/>
  </si>
  <si>
    <t>2015
期初数</t>
    <phoneticPr fontId="5" type="noConversion"/>
  </si>
  <si>
    <t>HC增长</t>
    <phoneticPr fontId="5" type="noConversion"/>
  </si>
  <si>
    <t>SH</t>
    <phoneticPr fontId="5" type="noConversion"/>
  </si>
  <si>
    <t>GZ</t>
    <phoneticPr fontId="5" type="noConversion"/>
  </si>
  <si>
    <t>Others</t>
    <phoneticPr fontId="5" type="noConversion"/>
  </si>
  <si>
    <t>BJ</t>
    <phoneticPr fontId="5" type="noConversion"/>
  </si>
  <si>
    <r>
      <t xml:space="preserve"> 2015</t>
    </r>
    <r>
      <rPr>
        <sz val="10"/>
        <color theme="1"/>
        <rFont val="宋体"/>
        <family val="3"/>
        <charset val="134"/>
      </rPr>
      <t>年入职</t>
    </r>
    <r>
      <rPr>
        <sz val="10"/>
        <color theme="1"/>
        <rFont val="Calibri"/>
        <family val="2"/>
      </rPr>
      <t>1677</t>
    </r>
    <r>
      <rPr>
        <sz val="10"/>
        <color theme="1"/>
        <rFont val="宋体"/>
        <family val="3"/>
        <charset val="134"/>
      </rPr>
      <t>人，离职</t>
    </r>
    <r>
      <rPr>
        <sz val="10"/>
        <color theme="1"/>
        <rFont val="Calibri"/>
        <family val="2"/>
      </rPr>
      <t>2600</t>
    </r>
    <r>
      <rPr>
        <sz val="10"/>
        <color theme="1"/>
        <rFont val="宋体"/>
        <family val="3"/>
        <charset val="134"/>
      </rPr>
      <t>人</t>
    </r>
    <r>
      <rPr>
        <sz val="10"/>
        <color theme="1"/>
        <rFont val="Calibri"/>
        <family val="2"/>
      </rPr>
      <t>.</t>
    </r>
    <phoneticPr fontId="5" type="noConversion"/>
  </si>
  <si>
    <t>统计数据来自于HR《HC2015-Oct》</t>
    <phoneticPr fontId="5" type="noConversion"/>
  </si>
  <si>
    <r>
      <rPr>
        <b/>
        <sz val="10"/>
        <rFont val="宋体"/>
        <family val="3"/>
        <charset val="134"/>
      </rPr>
      <t>集团总部</t>
    </r>
    <r>
      <rPr>
        <b/>
        <sz val="10"/>
        <rFont val="Calibri"/>
        <family val="2"/>
      </rPr>
      <t>&amp;</t>
    </r>
    <r>
      <rPr>
        <b/>
        <sz val="10"/>
        <rFont val="宋体"/>
        <family val="3"/>
        <charset val="134"/>
      </rPr>
      <t>搜狐媒体</t>
    </r>
    <phoneticPr fontId="5" type="noConversion"/>
  </si>
  <si>
    <t>2015 Q4
期末数</t>
    <phoneticPr fontId="5" type="noConversion"/>
  </si>
  <si>
    <t xml:space="preserve"> </t>
    <phoneticPr fontId="5" type="noConversion"/>
  </si>
  <si>
    <t>财务中心</t>
  </si>
  <si>
    <t>法律中心</t>
    <phoneticPr fontId="6" type="noConversion"/>
  </si>
  <si>
    <t>内部审计部</t>
    <phoneticPr fontId="6" type="noConversion"/>
  </si>
  <si>
    <t>人力资源中心</t>
    <phoneticPr fontId="6" type="noConversion"/>
  </si>
  <si>
    <t>市场部</t>
    <phoneticPr fontId="6" type="noConversion"/>
  </si>
  <si>
    <t>搜狐采购部</t>
    <phoneticPr fontId="6" type="noConversion"/>
  </si>
  <si>
    <t>投资者关系部</t>
    <phoneticPr fontId="6" type="noConversion"/>
  </si>
  <si>
    <t>员工服务中心</t>
    <phoneticPr fontId="6" type="noConversion"/>
  </si>
  <si>
    <t>支付中心</t>
    <phoneticPr fontId="6" type="noConversion"/>
  </si>
  <si>
    <t>北京研发中心</t>
    <phoneticPr fontId="6" type="noConversion"/>
  </si>
  <si>
    <t>网络运营部</t>
    <phoneticPr fontId="6" type="noConversion"/>
  </si>
  <si>
    <t>大数据中心</t>
    <phoneticPr fontId="6" type="noConversion"/>
  </si>
  <si>
    <t>政府事务部</t>
    <phoneticPr fontId="6" type="noConversion"/>
  </si>
  <si>
    <t>ERP部</t>
    <phoneticPr fontId="6" type="noConversion"/>
  </si>
  <si>
    <t>MIS部</t>
    <phoneticPr fontId="6" type="noConversion"/>
  </si>
  <si>
    <t>集团管理中心</t>
    <phoneticPr fontId="6" type="noConversion"/>
  </si>
  <si>
    <t>搜狐农场</t>
    <phoneticPr fontId="6" type="noConversion"/>
  </si>
  <si>
    <t>媒体内容部</t>
    <phoneticPr fontId="6" type="noConversion"/>
  </si>
  <si>
    <t>网安中心</t>
    <phoneticPr fontId="6" type="noConversion"/>
  </si>
  <si>
    <t>社交产品中心</t>
    <phoneticPr fontId="6" type="noConversion"/>
  </si>
  <si>
    <t>快站</t>
    <phoneticPr fontId="6" type="noConversion"/>
  </si>
  <si>
    <t>产品技术部</t>
    <phoneticPr fontId="6" type="noConversion"/>
  </si>
  <si>
    <t>广告营销</t>
    <phoneticPr fontId="6" type="noConversion"/>
  </si>
  <si>
    <t>手机搜狐网</t>
    <phoneticPr fontId="6" type="noConversion"/>
  </si>
  <si>
    <t>新闻客户端</t>
    <phoneticPr fontId="6" type="noConversion"/>
  </si>
  <si>
    <t>汽车区域</t>
    <phoneticPr fontId="6" type="noConversion"/>
  </si>
  <si>
    <t>汽车总部</t>
    <phoneticPr fontId="6" type="noConversion"/>
  </si>
  <si>
    <t>焦点</t>
    <phoneticPr fontId="6" type="noConversion"/>
  </si>
  <si>
    <t>全国业务支持</t>
  </si>
  <si>
    <t>二手房业务线</t>
  </si>
  <si>
    <t>新房业务线</t>
  </si>
  <si>
    <t>家居业务线</t>
  </si>
  <si>
    <t>视频</t>
    <phoneticPr fontId="6" type="noConversion"/>
  </si>
  <si>
    <t>产品技术中心</t>
    <phoneticPr fontId="6" type="noConversion"/>
  </si>
  <si>
    <t>版权影视中心</t>
  </si>
  <si>
    <t>员工中心</t>
  </si>
  <si>
    <t>广告销售中心</t>
  </si>
  <si>
    <t>内容运营中心</t>
  </si>
  <si>
    <t>市场推广中心</t>
    <phoneticPr fontId="6" type="noConversion"/>
  </si>
  <si>
    <t>商业产品技术中心</t>
    <phoneticPr fontId="6" type="noConversion"/>
  </si>
  <si>
    <t>法律事务中心</t>
    <phoneticPr fontId="6" type="noConversion"/>
  </si>
  <si>
    <t>56视频</t>
    <phoneticPr fontId="6" type="noConversion"/>
  </si>
  <si>
    <t>多屏互动云平台中心</t>
    <phoneticPr fontId="6" type="noConversion"/>
  </si>
  <si>
    <r>
      <t>Remark 2:</t>
    </r>
    <r>
      <rPr>
        <b/>
        <sz val="10"/>
        <rFont val="宋体"/>
        <family val="3"/>
        <charset val="134"/>
      </rPr>
      <t>采购价格备注</t>
    </r>
    <phoneticPr fontId="6" type="noConversion"/>
  </si>
  <si>
    <t>2016电脑及电话采购标准</t>
    <phoneticPr fontId="6" type="noConversion"/>
  </si>
  <si>
    <r>
      <rPr>
        <sz val="10"/>
        <rFont val="宋体"/>
        <family val="3"/>
        <charset val="134"/>
      </rPr>
      <t>标准台式机（元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套）</t>
    </r>
    <phoneticPr fontId="6" type="noConversion"/>
  </si>
  <si>
    <t>设计台式机（元/套）</t>
    <phoneticPr fontId="5" type="noConversion"/>
  </si>
  <si>
    <r>
      <t>IP</t>
    </r>
    <r>
      <rPr>
        <sz val="10"/>
        <rFont val="宋体"/>
        <family val="3"/>
        <charset val="134"/>
      </rPr>
      <t>电话（元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台）</t>
    </r>
    <phoneticPr fontId="6" type="noConversion"/>
  </si>
  <si>
    <t>2016打印一体复印机及投影机资产采购标准：</t>
    <phoneticPr fontId="5" type="noConversion"/>
  </si>
  <si>
    <r>
      <rPr>
        <sz val="10"/>
        <rFont val="宋体"/>
        <family val="3"/>
        <charset val="134"/>
      </rPr>
      <t>普通型（元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台）</t>
    </r>
    <phoneticPr fontId="5" type="noConversion"/>
  </si>
  <si>
    <t>1900-4900</t>
    <phoneticPr fontId="5" type="noConversion"/>
  </si>
  <si>
    <r>
      <rPr>
        <sz val="10"/>
        <rFont val="宋体"/>
        <family val="3"/>
        <charset val="134"/>
      </rPr>
      <t>中型（元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台）</t>
    </r>
    <phoneticPr fontId="5" type="noConversion"/>
  </si>
  <si>
    <r>
      <rPr>
        <sz val="10"/>
        <rFont val="宋体"/>
        <family val="3"/>
        <charset val="134"/>
      </rPr>
      <t>大型（元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台）</t>
    </r>
    <phoneticPr fontId="5" type="noConversion"/>
  </si>
  <si>
    <r>
      <rPr>
        <sz val="10"/>
        <rFont val="宋体"/>
        <family val="3"/>
        <charset val="134"/>
      </rPr>
      <t>投影机（元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台）</t>
    </r>
    <r>
      <rPr>
        <sz val="10"/>
        <rFont val="Calibri"/>
        <family val="2"/>
      </rPr>
      <t xml:space="preserve"> </t>
    </r>
    <phoneticPr fontId="5" type="noConversion"/>
  </si>
  <si>
    <r>
      <t>3500-5900</t>
    </r>
    <r>
      <rPr>
        <sz val="10"/>
        <rFont val="宋体"/>
        <family val="3"/>
        <charset val="134"/>
      </rPr>
      <t/>
    </r>
    <phoneticPr fontId="5" type="noConversion"/>
  </si>
  <si>
    <r>
      <t>Remark 3:2016</t>
    </r>
    <r>
      <rPr>
        <b/>
        <sz val="10"/>
        <rFont val="宋体"/>
        <family val="3"/>
        <charset val="134"/>
      </rPr>
      <t>年新员工领用预估（以</t>
    </r>
    <r>
      <rPr>
        <b/>
        <sz val="10"/>
        <rFont val="Calibri"/>
        <family val="2"/>
      </rPr>
      <t>2015</t>
    </r>
    <r>
      <rPr>
        <b/>
        <sz val="10"/>
        <rFont val="宋体"/>
        <family val="3"/>
        <charset val="134"/>
      </rPr>
      <t>实际领用数量为参考），库存数据参考《</t>
    </r>
    <r>
      <rPr>
        <b/>
        <sz val="10"/>
        <rFont val="Calibri"/>
        <family val="2"/>
      </rPr>
      <t>Capex</t>
    </r>
    <r>
      <rPr>
        <b/>
        <sz val="10"/>
        <rFont val="宋体"/>
        <family val="3"/>
        <charset val="134"/>
      </rPr>
      <t>库存分析》中</t>
    </r>
    <r>
      <rPr>
        <b/>
        <sz val="10"/>
        <rFont val="Calibri"/>
        <family val="2"/>
      </rPr>
      <t>2013-2015</t>
    </r>
    <r>
      <rPr>
        <b/>
        <sz val="10"/>
        <rFont val="宋体"/>
        <family val="3"/>
        <charset val="134"/>
      </rPr>
      <t>购置机器</t>
    </r>
    <r>
      <rPr>
        <b/>
        <sz val="10"/>
        <rFont val="Calibri"/>
        <family val="2"/>
      </rPr>
      <t>.</t>
    </r>
    <phoneticPr fontId="5" type="noConversion"/>
  </si>
  <si>
    <t>PC</t>
    <phoneticPr fontId="5" type="noConversion"/>
  </si>
  <si>
    <t>入职发放需求预估</t>
    <phoneticPr fontId="5" type="noConversion"/>
  </si>
  <si>
    <t>可用库存</t>
    <phoneticPr fontId="5" type="noConversion"/>
  </si>
  <si>
    <t>购置需求预估</t>
    <phoneticPr fontId="5" type="noConversion"/>
  </si>
  <si>
    <r>
      <t>Q1HC</t>
    </r>
    <r>
      <rPr>
        <b/>
        <sz val="10"/>
        <rFont val="宋体"/>
        <family val="3"/>
        <charset val="134"/>
      </rPr>
      <t>预估</t>
    </r>
    <phoneticPr fontId="5" type="noConversion"/>
  </si>
  <si>
    <r>
      <t>Q2HC</t>
    </r>
    <r>
      <rPr>
        <b/>
        <sz val="10"/>
        <rFont val="宋体"/>
        <family val="3"/>
        <charset val="134"/>
      </rPr>
      <t>预估</t>
    </r>
    <phoneticPr fontId="5" type="noConversion"/>
  </si>
  <si>
    <r>
      <t>Q3HC</t>
    </r>
    <r>
      <rPr>
        <b/>
        <sz val="10"/>
        <rFont val="宋体"/>
        <family val="3"/>
        <charset val="134"/>
      </rPr>
      <t>预估</t>
    </r>
    <phoneticPr fontId="5" type="noConversion"/>
  </si>
  <si>
    <r>
      <t>Q4HC</t>
    </r>
    <r>
      <rPr>
        <b/>
        <sz val="10"/>
        <rFont val="宋体"/>
        <family val="3"/>
        <charset val="134"/>
      </rPr>
      <t>预估</t>
    </r>
    <phoneticPr fontId="5" type="noConversion"/>
  </si>
  <si>
    <t>Sohu</t>
  </si>
  <si>
    <t>焦点</t>
  </si>
  <si>
    <t>视频</t>
  </si>
  <si>
    <t>总计</t>
    <phoneticPr fontId="5" type="noConversion"/>
  </si>
  <si>
    <t>NB</t>
    <phoneticPr fontId="5" type="noConversion"/>
  </si>
  <si>
    <r>
      <t>Remark 4: 2016</t>
    </r>
    <r>
      <rPr>
        <b/>
        <sz val="10"/>
        <rFont val="宋体"/>
        <family val="3"/>
        <charset val="134"/>
      </rPr>
      <t>年</t>
    </r>
    <r>
      <rPr>
        <b/>
        <sz val="10"/>
        <rFont val="Calibri"/>
        <family val="2"/>
      </rPr>
      <t>PC/NB</t>
    </r>
    <r>
      <rPr>
        <b/>
        <sz val="10"/>
        <rFont val="宋体"/>
        <family val="3"/>
        <charset val="134"/>
      </rPr>
      <t>报废更新预估</t>
    </r>
    <r>
      <rPr>
        <b/>
        <sz val="10"/>
        <rFont val="Calibri"/>
        <family val="2"/>
      </rPr>
      <t>,</t>
    </r>
    <r>
      <rPr>
        <b/>
        <sz val="10"/>
        <rFont val="宋体"/>
        <family val="3"/>
        <charset val="134"/>
      </rPr>
      <t>可参照《年度报废计划表》</t>
    </r>
    <phoneticPr fontId="5" type="noConversion"/>
  </si>
  <si>
    <t>预计报废比例</t>
    <phoneticPr fontId="5" type="noConversion"/>
  </si>
  <si>
    <t>报废更新需求</t>
    <phoneticPr fontId="5" type="noConversion"/>
  </si>
  <si>
    <t>已回库</t>
    <phoneticPr fontId="5" type="noConversion"/>
  </si>
  <si>
    <t>使用中</t>
    <phoneticPr fontId="5" type="noConversion"/>
  </si>
  <si>
    <r>
      <t>Remark 5: 2016</t>
    </r>
    <r>
      <rPr>
        <b/>
        <sz val="10"/>
        <rFont val="宋体"/>
        <family val="3"/>
        <charset val="134"/>
      </rPr>
      <t>年办公设备报废更新预估，可参照《年度报废计划表》</t>
    </r>
    <phoneticPr fontId="5" type="noConversion"/>
  </si>
  <si>
    <t>打印一体机</t>
    <phoneticPr fontId="5" type="noConversion"/>
  </si>
  <si>
    <t>投影仪</t>
    <phoneticPr fontId="5" type="noConversion"/>
  </si>
  <si>
    <t>公司</t>
  </si>
  <si>
    <t>说明</t>
  </si>
  <si>
    <r>
      <rPr>
        <sz val="10"/>
        <rFont val="Times New Roman"/>
        <family val="1"/>
      </rPr>
      <t>新媒体</t>
    </r>
  </si>
  <si>
    <t>TOTAL</t>
  </si>
  <si>
    <r>
      <rPr>
        <sz val="10"/>
        <rFont val="宋体"/>
        <family val="3"/>
        <charset val="134"/>
      </rPr>
      <t>于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月底退租，之后不再产生此项费用。</t>
    </r>
    <phoneticPr fontId="5" type="noConversion"/>
  </si>
  <si>
    <t>2015年未出险，但车龄较长保费增加30%</t>
    <phoneticPr fontId="6" type="noConversion"/>
  </si>
  <si>
    <t>2015年未出险，按规则1预估</t>
    <phoneticPr fontId="6" type="noConversion"/>
  </si>
  <si>
    <t>2015年出险2次，按规则2预估，上浮10%左右</t>
    <phoneticPr fontId="6" type="noConversion"/>
  </si>
  <si>
    <t>2015年未出险，按规则1预估</t>
    <phoneticPr fontId="6" type="noConversion"/>
  </si>
  <si>
    <t>别克GL8</t>
    <phoneticPr fontId="6" type="noConversion"/>
  </si>
  <si>
    <t>依维柯</t>
    <phoneticPr fontId="5" type="noConversion"/>
  </si>
  <si>
    <t>总计</t>
    <phoneticPr fontId="6" type="noConversion"/>
  </si>
  <si>
    <t>合计</t>
    <phoneticPr fontId="5" type="noConversion"/>
  </si>
  <si>
    <t>Q1</t>
    <phoneticPr fontId="5" type="noConversion"/>
  </si>
  <si>
    <t>Q2</t>
    <phoneticPr fontId="5" type="noConversion"/>
  </si>
  <si>
    <t>Q3</t>
    <phoneticPr fontId="5" type="noConversion"/>
  </si>
  <si>
    <t>Q4</t>
    <phoneticPr fontId="5" type="noConversion"/>
  </si>
  <si>
    <t>全年</t>
    <phoneticPr fontId="5" type="noConversion"/>
  </si>
  <si>
    <t>每月</t>
    <phoneticPr fontId="5" type="noConversion"/>
  </si>
  <si>
    <t>保险</t>
    <phoneticPr fontId="5" type="noConversion"/>
  </si>
  <si>
    <t>维修保养</t>
    <phoneticPr fontId="5" type="noConversion"/>
  </si>
  <si>
    <t>填充黄色为2015年内新增的车辆</t>
    <phoneticPr fontId="5" type="noConversion"/>
  </si>
  <si>
    <t>车险费预估规则（除劳斯莱斯外公司全部车辆）：</t>
    <phoneticPr fontId="5" type="noConversion"/>
  </si>
  <si>
    <t>劳斯莱斯车险费评估规则：</t>
    <phoneticPr fontId="5" type="noConversion"/>
  </si>
  <si>
    <t>1.出险0次，第二年保费为上年的85%；</t>
    <phoneticPr fontId="5" type="noConversion"/>
  </si>
  <si>
    <t>2.出险1-2次，第二年保费与上年基本持平；</t>
    <phoneticPr fontId="5" type="noConversion"/>
  </si>
  <si>
    <t>3.出险3次，第二年保费上浮10%；</t>
    <phoneticPr fontId="5" type="noConversion"/>
  </si>
  <si>
    <t>4.出险4次，第二年保费上浮20%；</t>
    <phoneticPr fontId="5" type="noConversion"/>
  </si>
  <si>
    <t>5.出险5次，第二年保费上浮50%；</t>
    <phoneticPr fontId="5" type="noConversion"/>
  </si>
  <si>
    <t>6.出险6次，第二年保费上浮100%；</t>
    <phoneticPr fontId="5" type="noConversion"/>
  </si>
  <si>
    <t>7.出险7次，第二年保费上浮150%；</t>
    <phoneticPr fontId="5" type="noConversion"/>
  </si>
  <si>
    <t>8.出险8次及以上，第二年保费上浮300%；</t>
    <phoneticPr fontId="5" type="noConversion"/>
  </si>
  <si>
    <t>于2015年4月30日退租，之后不再产生此项费用</t>
    <phoneticPr fontId="5" type="noConversion"/>
  </si>
  <si>
    <r>
      <rPr>
        <sz val="10"/>
        <rFont val="宋体"/>
        <family val="3"/>
        <charset val="134"/>
      </rPr>
      <t>保洁费单价由</t>
    </r>
    <r>
      <rPr>
        <sz val="10"/>
        <rFont val="Calibri"/>
        <family val="2"/>
      </rPr>
      <t>2500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月，调整为</t>
    </r>
    <r>
      <rPr>
        <sz val="10"/>
        <rFont val="Calibri"/>
        <family val="2"/>
      </rPr>
      <t>2700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月；焦点承担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的由</t>
    </r>
    <r>
      <rPr>
        <sz val="10"/>
        <rFont val="Calibri"/>
        <family val="2"/>
      </rPr>
      <t>76%</t>
    </r>
    <r>
      <rPr>
        <sz val="10"/>
        <rFont val="宋体"/>
        <family val="3"/>
        <charset val="134"/>
      </rPr>
      <t>降低为</t>
    </r>
    <r>
      <rPr>
        <sz val="10"/>
        <rFont val="Calibri"/>
        <family val="2"/>
      </rPr>
      <t>62%</t>
    </r>
    <phoneticPr fontId="5" type="noConversion"/>
  </si>
  <si>
    <t>于2015年4月30日退租，不再产生此项费用。</t>
    <phoneticPr fontId="5" type="noConversion"/>
  </si>
  <si>
    <t>2015年10月起取消班车，之后不再产生此费用</t>
    <phoneticPr fontId="5" type="noConversion"/>
  </si>
  <si>
    <t>焦点班车费用</t>
    <phoneticPr fontId="6" type="noConversion"/>
  </si>
  <si>
    <r>
      <t>3</t>
    </r>
    <r>
      <rPr>
        <sz val="10"/>
        <rFont val="宋体"/>
        <family val="3"/>
        <charset val="134"/>
      </rPr>
      <t>层退租后，由搜狗承担</t>
    </r>
    <phoneticPr fontId="5" type="noConversion"/>
  </si>
  <si>
    <t>增加2个车位</t>
    <phoneticPr fontId="5" type="noConversion"/>
  </si>
  <si>
    <r>
      <rPr>
        <sz val="10"/>
        <rFont val="宋体"/>
        <family val="3"/>
        <charset val="134"/>
      </rPr>
      <t>从</t>
    </r>
    <r>
      <rPr>
        <sz val="10"/>
        <rFont val="Calibri"/>
        <family val="2"/>
      </rPr>
      <t>2016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月起焦点承担部分由</t>
    </r>
    <r>
      <rPr>
        <sz val="10"/>
        <rFont val="Calibri"/>
        <family val="2"/>
      </rPr>
      <t>76%</t>
    </r>
    <r>
      <rPr>
        <sz val="10"/>
        <rFont val="宋体"/>
        <family val="3"/>
        <charset val="134"/>
      </rPr>
      <t>降低为</t>
    </r>
    <r>
      <rPr>
        <sz val="10"/>
        <rFont val="Calibri"/>
        <family val="2"/>
      </rPr>
      <t>62%</t>
    </r>
    <phoneticPr fontId="5" type="noConversion"/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</si>
  <si>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2015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1-10</t>
    </r>
    <r>
      <rPr>
        <sz val="11"/>
        <rFont val="宋体"/>
        <family val="3"/>
        <charset val="134"/>
      </rPr>
      <t>月文具费用统计</t>
    </r>
    <phoneticPr fontId="6" type="noConversion"/>
  </si>
  <si>
    <r>
      <t>2016</t>
    </r>
    <r>
      <rPr>
        <sz val="10"/>
        <rFont val="宋体"/>
        <family val="3"/>
        <charset val="134"/>
      </rPr>
      <t>年预计月平均费用</t>
    </r>
    <phoneticPr fontId="5" type="noConversion"/>
  </si>
  <si>
    <r>
      <t>2016</t>
    </r>
    <r>
      <rPr>
        <sz val="10"/>
        <rFont val="宋体"/>
        <family val="3"/>
        <charset val="134"/>
      </rPr>
      <t>年预计年费用</t>
    </r>
    <phoneticPr fontId="5" type="noConversion"/>
  </si>
  <si>
    <r>
      <t>2016</t>
    </r>
    <r>
      <rPr>
        <sz val="10"/>
        <color rgb="FF000000"/>
        <rFont val="宋体"/>
        <family val="3"/>
        <charset val="134"/>
      </rPr>
      <t>年预计月费用</t>
    </r>
    <phoneticPr fontId="5" type="noConversion"/>
  </si>
  <si>
    <r>
      <rPr>
        <sz val="10"/>
        <rFont val="宋体"/>
        <family val="3"/>
        <charset val="134"/>
      </rPr>
      <t>媒体大厦、网络大厦、融科</t>
    </r>
    <r>
      <rPr>
        <sz val="10"/>
        <rFont val="Calibri"/>
        <family val="2"/>
      </rPr>
      <t>A4</t>
    </r>
    <r>
      <rPr>
        <sz val="10"/>
        <rFont val="宋体"/>
        <family val="3"/>
        <charset val="134"/>
      </rPr>
      <t>、融科</t>
    </r>
    <r>
      <rPr>
        <sz val="10"/>
        <rFont val="Calibri"/>
        <family val="2"/>
      </rPr>
      <t>C10,C19-20</t>
    </r>
    <r>
      <rPr>
        <sz val="10"/>
        <rFont val="宋体"/>
        <family val="3"/>
        <charset val="134"/>
      </rPr>
      <t>费用预算</t>
    </r>
    <r>
      <rPr>
        <sz val="10"/>
        <rFont val="Calibri"/>
        <family val="2"/>
      </rPr>
      <t/>
    </r>
    <phoneticPr fontId="5" type="noConversion"/>
  </si>
  <si>
    <r>
      <t>2016</t>
    </r>
    <r>
      <rPr>
        <sz val="10"/>
        <rFont val="宋体"/>
        <family val="3"/>
        <charset val="134"/>
      </rPr>
      <t>年人员增长率</t>
    </r>
    <phoneticPr fontId="5" type="noConversion"/>
  </si>
  <si>
    <r>
      <t>2016</t>
    </r>
    <r>
      <rPr>
        <sz val="10"/>
        <rFont val="宋体"/>
        <family val="3"/>
        <charset val="134"/>
      </rPr>
      <t>年物价增长率</t>
    </r>
    <phoneticPr fontId="5" type="noConversion"/>
  </si>
  <si>
    <r>
      <t>2016</t>
    </r>
    <r>
      <rPr>
        <sz val="10"/>
        <rFont val="宋体"/>
        <family val="3"/>
        <charset val="134"/>
      </rPr>
      <t>年因家具老化维修费增长率</t>
    </r>
    <phoneticPr fontId="5" type="noConversion"/>
  </si>
  <si>
    <r>
      <t>2016</t>
    </r>
    <r>
      <rPr>
        <sz val="10"/>
        <rFont val="宋体"/>
        <family val="3"/>
        <charset val="134"/>
      </rPr>
      <t>年年费用</t>
    </r>
    <phoneticPr fontId="5" type="noConversion"/>
  </si>
  <si>
    <r>
      <rPr>
        <sz val="10"/>
        <color rgb="FF000000"/>
        <rFont val="宋体"/>
        <family val="3"/>
        <charset val="134"/>
      </rPr>
      <t>根据</t>
    </r>
    <r>
      <rPr>
        <sz val="10"/>
        <color rgb="FF000000"/>
        <rFont val="Calibri"/>
        <family val="2"/>
      </rPr>
      <t>2015</t>
    </r>
    <r>
      <rPr>
        <sz val="10"/>
        <color rgb="FF000000"/>
        <rFont val="宋体"/>
        <family val="3"/>
        <charset val="134"/>
      </rPr>
      <t>年</t>
    </r>
    <r>
      <rPr>
        <sz val="10"/>
        <color rgb="FF000000"/>
        <rFont val="Calibri"/>
        <family val="2"/>
      </rPr>
      <t>1-9</t>
    </r>
    <r>
      <rPr>
        <sz val="10"/>
        <color rgb="FF000000"/>
        <rFont val="宋体"/>
        <family val="3"/>
        <charset val="134"/>
      </rPr>
      <t>月家具维修费用统计</t>
    </r>
    <phoneticPr fontId="5" type="noConversion"/>
  </si>
  <si>
    <r>
      <rPr>
        <sz val="10"/>
        <color rgb="FF000000"/>
        <rFont val="宋体"/>
        <family val="3"/>
        <charset val="134"/>
      </rPr>
      <t>根据</t>
    </r>
    <r>
      <rPr>
        <sz val="10"/>
        <color rgb="FF000000"/>
        <rFont val="Calibri"/>
        <family val="2"/>
      </rPr>
      <t>2014</t>
    </r>
    <r>
      <rPr>
        <sz val="10"/>
        <color rgb="FF000000"/>
        <rFont val="宋体"/>
        <family val="3"/>
        <charset val="134"/>
      </rPr>
      <t>年</t>
    </r>
    <r>
      <rPr>
        <sz val="10"/>
        <color rgb="FF000000"/>
        <rFont val="Calibri"/>
        <family val="2"/>
      </rPr>
      <t>1-9</t>
    </r>
    <r>
      <rPr>
        <sz val="10"/>
        <color rgb="FF000000"/>
        <rFont val="宋体"/>
        <family val="3"/>
        <charset val="134"/>
      </rPr>
      <t>月家具维修费用统计</t>
    </r>
    <phoneticPr fontId="5" type="noConversion"/>
  </si>
  <si>
    <r>
      <t>2015</t>
    </r>
    <r>
      <rPr>
        <sz val="10"/>
        <rFont val="宋体"/>
        <family val="3"/>
        <charset val="134"/>
      </rPr>
      <t>年人员增长率</t>
    </r>
    <phoneticPr fontId="5" type="noConversion"/>
  </si>
  <si>
    <r>
      <t>2015</t>
    </r>
    <r>
      <rPr>
        <sz val="10"/>
        <rFont val="宋体"/>
        <family val="3"/>
        <charset val="134"/>
      </rPr>
      <t>年物价增长率</t>
    </r>
    <phoneticPr fontId="5" type="noConversion"/>
  </si>
  <si>
    <r>
      <t>2015</t>
    </r>
    <r>
      <rPr>
        <sz val="10"/>
        <rFont val="宋体"/>
        <family val="3"/>
        <charset val="134"/>
      </rPr>
      <t>年因家具老化维修费增长率</t>
    </r>
    <phoneticPr fontId="5" type="noConversion"/>
  </si>
  <si>
    <r>
      <t>2015</t>
    </r>
    <r>
      <rPr>
        <sz val="10"/>
        <rFont val="宋体"/>
        <family val="3"/>
        <charset val="134"/>
      </rPr>
      <t>年预计月费用</t>
    </r>
    <phoneticPr fontId="5" type="noConversion"/>
  </si>
  <si>
    <t>茶水间阿姨</t>
    <phoneticPr fontId="5" type="noConversion"/>
  </si>
  <si>
    <t>工位牌、坐席卡卡壳等费用</t>
    <phoneticPr fontId="6" type="noConversion"/>
  </si>
  <si>
    <t>车辆</t>
    <phoneticPr fontId="5" type="noConversion"/>
  </si>
  <si>
    <r>
      <rPr>
        <b/>
        <sz val="10"/>
        <rFont val="宋体"/>
        <family val="3"/>
        <charset val="134"/>
      </rPr>
      <t>办公用品</t>
    </r>
    <r>
      <rPr>
        <b/>
        <sz val="10"/>
        <rFont val="Calibri"/>
        <family val="2"/>
      </rPr>
      <t>+</t>
    </r>
    <r>
      <rPr>
        <b/>
        <sz val="10"/>
        <rFont val="宋体"/>
        <family val="3"/>
        <charset val="134"/>
      </rPr>
      <t>工位牌等</t>
    </r>
    <r>
      <rPr>
        <b/>
        <sz val="10"/>
        <rFont val="Calibri"/>
        <family val="2"/>
      </rPr>
      <t>+RFID</t>
    </r>
    <r>
      <rPr>
        <b/>
        <sz val="10"/>
        <rFont val="宋体"/>
        <family val="3"/>
        <charset val="134"/>
      </rPr>
      <t>标签</t>
    </r>
    <phoneticPr fontId="5" type="noConversion"/>
  </si>
  <si>
    <t>Pantry Supplies</t>
    <phoneticPr fontId="6" type="noConversion"/>
  </si>
  <si>
    <t>工程部分</t>
    <phoneticPr fontId="6" type="noConversion"/>
  </si>
  <si>
    <t>张红锁</t>
    <phoneticPr fontId="6" type="noConversion"/>
  </si>
  <si>
    <t>Budget Item</t>
    <phoneticPr fontId="6" type="noConversion"/>
  </si>
  <si>
    <t>Explanation</t>
    <phoneticPr fontId="6" type="noConversion"/>
  </si>
  <si>
    <t>Q1</t>
    <phoneticPr fontId="6" type="noConversion"/>
  </si>
  <si>
    <t>Q2</t>
    <phoneticPr fontId="6" type="noConversion"/>
  </si>
  <si>
    <t>Q3</t>
    <phoneticPr fontId="6" type="noConversion"/>
  </si>
  <si>
    <t>Q4</t>
    <phoneticPr fontId="6" type="noConversion"/>
  </si>
  <si>
    <t xml:space="preserve">Office Maintenance </t>
    <phoneticPr fontId="6" type="noConversion"/>
  </si>
  <si>
    <t>Contract fee &amp; Material Expense</t>
    <phoneticPr fontId="6" type="noConversion"/>
  </si>
  <si>
    <t>(1)</t>
    <phoneticPr fontId="6" type="noConversion"/>
  </si>
  <si>
    <t>日常维保</t>
    <phoneticPr fontId="6" type="noConversion"/>
  </si>
  <si>
    <t>搜狐部分</t>
    <phoneticPr fontId="5" type="noConversion"/>
  </si>
  <si>
    <t>焦点部分</t>
    <phoneticPr fontId="5" type="noConversion"/>
  </si>
  <si>
    <t>(2)</t>
    <phoneticPr fontId="6" type="noConversion"/>
  </si>
  <si>
    <t>门禁、考勤和监控维护</t>
    <phoneticPr fontId="6" type="noConversion"/>
  </si>
  <si>
    <t>搜狐部分</t>
    <phoneticPr fontId="5" type="noConversion"/>
  </si>
  <si>
    <t>(3)</t>
    <phoneticPr fontId="5" type="noConversion"/>
  </si>
  <si>
    <t>电视系统维护</t>
    <phoneticPr fontId="6" type="noConversion"/>
  </si>
  <si>
    <t>(4)</t>
    <phoneticPr fontId="5" type="noConversion"/>
  </si>
  <si>
    <t>VRV空调系统维护</t>
    <phoneticPr fontId="6" type="noConversion"/>
  </si>
  <si>
    <t>(5)</t>
    <phoneticPr fontId="5" type="noConversion"/>
  </si>
  <si>
    <t>搜狐媒体大厦、搜狐网络大厦标识日常维护</t>
    <phoneticPr fontId="5" type="noConversion"/>
  </si>
  <si>
    <t>(6)</t>
    <phoneticPr fontId="5" type="noConversion"/>
  </si>
  <si>
    <t>办公家具日常维护检修</t>
    <phoneticPr fontId="5" type="noConversion"/>
  </si>
  <si>
    <t>搜狐视频VRV空调系统维护</t>
    <phoneticPr fontId="5" type="noConversion"/>
  </si>
  <si>
    <t>搜狐武汉研发中心办公室日常维护（含装修、空调、门禁、监控）</t>
    <phoneticPr fontId="5" type="noConversion"/>
  </si>
  <si>
    <t>每Q合计</t>
    <phoneticPr fontId="6" type="noConversion"/>
  </si>
  <si>
    <t>焦点每Q合计</t>
    <phoneticPr fontId="6" type="noConversion"/>
  </si>
  <si>
    <t>office reconstruction</t>
    <phoneticPr fontId="6" type="noConversion"/>
  </si>
  <si>
    <t>(1)</t>
    <phoneticPr fontId="6" type="noConversion"/>
  </si>
  <si>
    <t>电路维护</t>
    <phoneticPr fontId="6" type="noConversion"/>
  </si>
  <si>
    <t>(2)</t>
    <phoneticPr fontId="6" type="noConversion"/>
  </si>
  <si>
    <t>茶水间维护</t>
    <phoneticPr fontId="6" type="noConversion"/>
  </si>
  <si>
    <t>(3)</t>
    <phoneticPr fontId="6" type="noConversion"/>
  </si>
  <si>
    <t>各层前台维修</t>
    <phoneticPr fontId="6" type="noConversion"/>
  </si>
  <si>
    <t>(4)</t>
    <phoneticPr fontId="6" type="noConversion"/>
  </si>
  <si>
    <t>走廊及办公区墙面开裂修补、吊顶开裂维修机更换</t>
    <phoneticPr fontId="5" type="noConversion"/>
  </si>
  <si>
    <t>(5)</t>
    <phoneticPr fontId="6" type="noConversion"/>
  </si>
  <si>
    <t>石材翻新</t>
    <phoneticPr fontId="6" type="noConversion"/>
  </si>
  <si>
    <t>(6)</t>
    <phoneticPr fontId="6" type="noConversion"/>
  </si>
  <si>
    <t>办公室粉刷</t>
    <phoneticPr fontId="6" type="noConversion"/>
  </si>
  <si>
    <t>(7)</t>
    <phoneticPr fontId="6" type="noConversion"/>
  </si>
  <si>
    <t>窗帘更换</t>
    <phoneticPr fontId="6" type="noConversion"/>
  </si>
  <si>
    <t>(8)</t>
    <phoneticPr fontId="6" type="noConversion"/>
  </si>
  <si>
    <t>玻璃门、木门更换、维修</t>
    <phoneticPr fontId="6" type="noConversion"/>
  </si>
  <si>
    <t>(9)</t>
    <phoneticPr fontId="6" type="noConversion"/>
  </si>
  <si>
    <t>格栅吊顶维修</t>
    <phoneticPr fontId="6" type="noConversion"/>
  </si>
  <si>
    <t>(10)</t>
    <phoneticPr fontId="6" type="noConversion"/>
  </si>
  <si>
    <t>地毯更换</t>
    <phoneticPr fontId="6" type="noConversion"/>
  </si>
  <si>
    <t>(11)</t>
    <phoneticPr fontId="6" type="noConversion"/>
  </si>
  <si>
    <t>空调维修、风口改造</t>
    <phoneticPr fontId="6" type="noConversion"/>
  </si>
  <si>
    <t>(12)</t>
  </si>
  <si>
    <t>门禁及监控更换</t>
    <phoneticPr fontId="6" type="noConversion"/>
  </si>
  <si>
    <t>(13)</t>
    <phoneticPr fontId="5" type="noConversion"/>
  </si>
  <si>
    <t>日常耗材</t>
    <phoneticPr fontId="6" type="noConversion"/>
  </si>
  <si>
    <t>搜狐部分</t>
    <phoneticPr fontId="5" type="noConversion"/>
  </si>
  <si>
    <t>焦点部分</t>
    <phoneticPr fontId="5" type="noConversion"/>
  </si>
  <si>
    <t>(14)</t>
    <phoneticPr fontId="5" type="noConversion"/>
  </si>
  <si>
    <t>灭火器维护</t>
    <phoneticPr fontId="6" type="noConversion"/>
  </si>
  <si>
    <t>(15)</t>
  </si>
  <si>
    <t>软装饰（标识、logo、贴膜、标签）</t>
    <phoneticPr fontId="5" type="noConversion"/>
  </si>
  <si>
    <t>(16)</t>
  </si>
  <si>
    <t>存放办公家具库房租赁及家具安装、运输</t>
    <phoneticPr fontId="5" type="noConversion"/>
  </si>
  <si>
    <t>(17)</t>
  </si>
  <si>
    <t>物业空调管道清洗</t>
    <phoneticPr fontId="5" type="noConversion"/>
  </si>
  <si>
    <t>(18)</t>
  </si>
  <si>
    <t>每Q合计</t>
    <phoneticPr fontId="6" type="noConversion"/>
  </si>
  <si>
    <t>焦点每Q合计</t>
    <phoneticPr fontId="6" type="noConversion"/>
  </si>
  <si>
    <r>
      <t>(1</t>
    </r>
    <r>
      <rPr>
        <sz val="10"/>
        <rFont val="宋体"/>
        <family val="3"/>
        <charset val="134"/>
      </rPr>
      <t>）</t>
    </r>
    <phoneticPr fontId="5" type="noConversion"/>
  </si>
  <si>
    <t>有线电视收看维护费用</t>
    <phoneticPr fontId="5" type="noConversion"/>
  </si>
  <si>
    <t>(2)</t>
    <phoneticPr fontId="6" type="noConversion"/>
  </si>
  <si>
    <t>境外卫星收视费</t>
    <phoneticPr fontId="6" type="noConversion"/>
  </si>
  <si>
    <t>`</t>
    <phoneticPr fontId="5" type="noConversion"/>
  </si>
  <si>
    <t>(7)</t>
  </si>
  <si>
    <t>(8)</t>
  </si>
  <si>
    <t>2016年物业运行预算明细</t>
    <phoneticPr fontId="6" type="noConversion"/>
  </si>
  <si>
    <t>序号</t>
    <phoneticPr fontId="6" type="noConversion"/>
  </si>
  <si>
    <t>预算内容</t>
    <phoneticPr fontId="6" type="noConversion"/>
  </si>
  <si>
    <t>2016年预算</t>
    <phoneticPr fontId="6" type="noConversion"/>
  </si>
  <si>
    <t>Q1</t>
    <phoneticPr fontId="6" type="noConversion"/>
  </si>
  <si>
    <t>Q2</t>
    <phoneticPr fontId="6" type="noConversion"/>
  </si>
  <si>
    <t>Q3</t>
    <phoneticPr fontId="6" type="noConversion"/>
  </si>
  <si>
    <t>Q4</t>
    <phoneticPr fontId="6" type="noConversion"/>
  </si>
  <si>
    <t>备注</t>
    <phoneticPr fontId="6" type="noConversion"/>
  </si>
  <si>
    <t>日常费用</t>
    <phoneticPr fontId="6" type="noConversion"/>
  </si>
  <si>
    <t>综合服务部</t>
    <phoneticPr fontId="6" type="noConversion"/>
  </si>
  <si>
    <r>
      <t>2</t>
    </r>
    <r>
      <rPr>
        <sz val="10"/>
        <color theme="1"/>
        <rFont val="宋体"/>
        <family val="3"/>
        <charset val="134"/>
      </rPr>
      <t>层会议室皮椅清洗</t>
    </r>
    <phoneticPr fontId="6" type="noConversion"/>
  </si>
  <si>
    <r>
      <rPr>
        <sz val="10"/>
        <color theme="1"/>
        <rFont val="宋体"/>
        <family val="3"/>
        <charset val="134"/>
      </rPr>
      <t>大堂单人沙发改造</t>
    </r>
    <phoneticPr fontId="6" type="noConversion"/>
  </si>
  <si>
    <r>
      <rPr>
        <sz val="10"/>
        <color theme="1"/>
        <rFont val="宋体"/>
        <family val="3"/>
        <charset val="134"/>
      </rPr>
      <t>地毯清洗</t>
    </r>
    <phoneticPr fontId="6" type="noConversion"/>
  </si>
  <si>
    <t>楼层沙发清洗</t>
    <phoneticPr fontId="5" type="noConversion"/>
  </si>
  <si>
    <t>员工椅、会议椅子清洗</t>
    <phoneticPr fontId="5" type="noConversion"/>
  </si>
  <si>
    <r>
      <rPr>
        <sz val="10"/>
        <color theme="1"/>
        <rFont val="宋体"/>
        <family val="3"/>
        <charset val="134"/>
      </rPr>
      <t>老板间鱼缸补鱼及水草</t>
    </r>
    <phoneticPr fontId="6" type="noConversion"/>
  </si>
  <si>
    <r>
      <t>VIP</t>
    </r>
    <r>
      <rPr>
        <sz val="10"/>
        <color theme="1"/>
        <rFont val="宋体"/>
        <family val="3"/>
        <charset val="134"/>
      </rPr>
      <t>卫生间用浴巾、毛巾</t>
    </r>
    <phoneticPr fontId="6" type="noConversion"/>
  </si>
  <si>
    <r>
      <rPr>
        <sz val="10"/>
        <color theme="1"/>
        <rFont val="宋体"/>
        <family val="3"/>
        <charset val="134"/>
      </rPr>
      <t>光面大理石研磨</t>
    </r>
    <phoneticPr fontId="6" type="noConversion"/>
  </si>
  <si>
    <t>总裁毛巾清洗费</t>
    <phoneticPr fontId="6" type="noConversion"/>
  </si>
  <si>
    <t>台布清洗</t>
    <phoneticPr fontId="6" type="noConversion"/>
  </si>
  <si>
    <t>按摩室椅套清洗</t>
    <phoneticPr fontId="6" type="noConversion"/>
  </si>
  <si>
    <t>定制送杯车</t>
    <phoneticPr fontId="6" type="noConversion"/>
  </si>
  <si>
    <t>阳光房、影音室地毯清洗</t>
    <phoneticPr fontId="6" type="noConversion"/>
  </si>
  <si>
    <t>空调系统水泵和租户水泵维修</t>
    <phoneticPr fontId="6" type="noConversion"/>
  </si>
  <si>
    <t>空调系统过滤网更换</t>
    <phoneticPr fontId="6" type="noConversion"/>
  </si>
  <si>
    <t>闭门器，地簧</t>
    <phoneticPr fontId="6" type="noConversion"/>
  </si>
  <si>
    <t>发电机维修</t>
    <phoneticPr fontId="6" type="noConversion"/>
  </si>
  <si>
    <t>按摩椅维修</t>
    <phoneticPr fontId="6" type="noConversion"/>
  </si>
  <si>
    <t>保安部</t>
    <phoneticPr fontId="6" type="noConversion"/>
  </si>
  <si>
    <r>
      <rPr>
        <sz val="10"/>
        <color theme="1"/>
        <rFont val="宋体"/>
        <family val="3"/>
        <charset val="134"/>
      </rPr>
      <t>速通门刷卡提示标识</t>
    </r>
    <phoneticPr fontId="6" type="noConversion"/>
  </si>
  <si>
    <r>
      <rPr>
        <sz val="10"/>
        <color theme="1"/>
        <rFont val="宋体"/>
        <family val="3"/>
        <charset val="134"/>
      </rPr>
      <t>消防演习费用</t>
    </r>
    <phoneticPr fontId="6" type="noConversion"/>
  </si>
  <si>
    <t>拉杆</t>
    <phoneticPr fontId="6" type="noConversion"/>
  </si>
  <si>
    <t>对讲机</t>
    <phoneticPr fontId="6" type="noConversion"/>
  </si>
  <si>
    <t>水牌</t>
    <phoneticPr fontId="6" type="noConversion"/>
  </si>
  <si>
    <t>电瓶车维护、电瓶更换</t>
    <phoneticPr fontId="6" type="noConversion"/>
  </si>
  <si>
    <t>执法记录仪</t>
    <phoneticPr fontId="6" type="noConversion"/>
  </si>
  <si>
    <t>工程改造费</t>
    <phoneticPr fontId="6" type="noConversion"/>
  </si>
  <si>
    <t>园林改造</t>
    <phoneticPr fontId="6" type="noConversion"/>
  </si>
  <si>
    <t>工程部</t>
    <phoneticPr fontId="6" type="noConversion"/>
  </si>
  <si>
    <t>电梯轿厢照明改造</t>
    <phoneticPr fontId="6" type="noConversion"/>
  </si>
  <si>
    <t>南侧挡土墙后面硬化</t>
    <phoneticPr fontId="6" type="noConversion"/>
  </si>
  <si>
    <t>东侧草坪处雨水沟加沿</t>
    <phoneticPr fontId="6" type="noConversion"/>
  </si>
  <si>
    <t>西车场车位塌陷和井盖维修</t>
    <phoneticPr fontId="6" type="noConversion"/>
  </si>
  <si>
    <t>南侧铺设横路</t>
    <phoneticPr fontId="6" type="noConversion"/>
  </si>
  <si>
    <t>出库入口坡道石英砂维修</t>
    <phoneticPr fontId="6" type="noConversion"/>
  </si>
  <si>
    <t>3层地面地胶维修</t>
    <phoneticPr fontId="6" type="noConversion"/>
  </si>
  <si>
    <t>室外两个水井加泵</t>
    <phoneticPr fontId="6" type="noConversion"/>
  </si>
  <si>
    <t>2层会议室照明改造</t>
    <phoneticPr fontId="6" type="noConversion"/>
  </si>
  <si>
    <t>1层大堂照明改造</t>
    <phoneticPr fontId="5" type="noConversion"/>
  </si>
  <si>
    <t>污水井控制改造</t>
    <phoneticPr fontId="6" type="noConversion"/>
  </si>
  <si>
    <t>B1单独房间加装空调</t>
    <phoneticPr fontId="6" type="noConversion"/>
  </si>
  <si>
    <t>楼层卫生间、茶水间、清洁间等排风扇更换</t>
    <phoneticPr fontId="6" type="noConversion"/>
  </si>
  <si>
    <t>室外泛光改造维保</t>
    <phoneticPr fontId="6" type="noConversion"/>
  </si>
  <si>
    <t>开水器更换</t>
    <phoneticPr fontId="6" type="noConversion"/>
  </si>
  <si>
    <t>开水器过滤器更换滤芯</t>
    <phoneticPr fontId="6" type="noConversion"/>
  </si>
  <si>
    <t>B1消防水联通自来水改造</t>
    <phoneticPr fontId="6" type="noConversion"/>
  </si>
  <si>
    <t>18层静电集尘器改造</t>
    <phoneticPr fontId="6" type="noConversion"/>
  </si>
  <si>
    <t>18层阳光房地板更换</t>
    <phoneticPr fontId="5" type="noConversion"/>
  </si>
  <si>
    <t>VAV，BOX控制器更换</t>
    <phoneticPr fontId="5" type="noConversion"/>
  </si>
  <si>
    <t>卫生间门加百页</t>
    <phoneticPr fontId="6" type="noConversion"/>
  </si>
  <si>
    <t>电梯轿厢空调改造</t>
    <phoneticPr fontId="6" type="noConversion"/>
  </si>
  <si>
    <t>工程改造费  小计</t>
    <phoneticPr fontId="6" type="noConversion"/>
  </si>
  <si>
    <t>三方合同</t>
    <phoneticPr fontId="6" type="noConversion"/>
  </si>
  <si>
    <r>
      <rPr>
        <sz val="10"/>
        <color theme="1"/>
        <rFont val="宋体"/>
        <family val="3"/>
        <charset val="134"/>
      </rPr>
      <t>园林养护</t>
    </r>
    <phoneticPr fontId="6" type="noConversion"/>
  </si>
  <si>
    <t>物业员工工服制作</t>
    <phoneticPr fontId="6" type="noConversion"/>
  </si>
  <si>
    <r>
      <rPr>
        <sz val="10"/>
        <color theme="1"/>
        <rFont val="宋体"/>
        <family val="3"/>
        <charset val="134"/>
      </rPr>
      <t>香烟报警器维保</t>
    </r>
    <phoneticPr fontId="6" type="noConversion"/>
  </si>
  <si>
    <r>
      <t>3F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 Narrow"/>
        <family val="2"/>
      </rPr>
      <t>18F</t>
    </r>
    <r>
      <rPr>
        <sz val="10"/>
        <color theme="1"/>
        <rFont val="宋体"/>
        <family val="3"/>
        <charset val="134"/>
      </rPr>
      <t>电动平开门、转门维保</t>
    </r>
    <phoneticPr fontId="6" type="noConversion"/>
  </si>
  <si>
    <t>装修装饰</t>
    <phoneticPr fontId="6" type="noConversion"/>
  </si>
  <si>
    <r>
      <rPr>
        <sz val="10"/>
        <color theme="1"/>
        <rFont val="宋体"/>
        <family val="3"/>
        <charset val="134"/>
      </rPr>
      <t>消防系统维保</t>
    </r>
    <phoneticPr fontId="6" type="noConversion"/>
  </si>
  <si>
    <r>
      <rPr>
        <sz val="10"/>
        <color theme="1"/>
        <rFont val="宋体"/>
        <family val="3"/>
        <charset val="134"/>
      </rPr>
      <t>安防监控系统维保</t>
    </r>
    <phoneticPr fontId="6" type="noConversion"/>
  </si>
  <si>
    <r>
      <rPr>
        <sz val="10"/>
        <color theme="1"/>
        <rFont val="宋体"/>
        <family val="3"/>
        <charset val="134"/>
      </rPr>
      <t>楼宇自动化系统维保</t>
    </r>
    <phoneticPr fontId="6" type="noConversion"/>
  </si>
  <si>
    <r>
      <rPr>
        <sz val="10"/>
        <color theme="1"/>
        <rFont val="宋体"/>
        <family val="3"/>
        <charset val="134"/>
      </rPr>
      <t>冷机维保</t>
    </r>
    <phoneticPr fontId="6" type="noConversion"/>
  </si>
  <si>
    <t>空调水和通风系统维保</t>
    <phoneticPr fontId="6" type="noConversion"/>
  </si>
  <si>
    <t>VAV自控系统维保</t>
    <phoneticPr fontId="6" type="noConversion"/>
  </si>
  <si>
    <r>
      <rPr>
        <sz val="10"/>
        <color theme="1"/>
        <rFont val="宋体"/>
        <family val="3"/>
        <charset val="134"/>
      </rPr>
      <t>静电除尘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宋体"/>
        <family val="3"/>
        <charset val="134"/>
      </rPr>
      <t>维保</t>
    </r>
    <phoneticPr fontId="6" type="noConversion"/>
  </si>
  <si>
    <t>板换清洗</t>
    <phoneticPr fontId="6" type="noConversion"/>
  </si>
  <si>
    <r>
      <rPr>
        <sz val="10"/>
        <color theme="1"/>
        <rFont val="宋体"/>
        <family val="3"/>
        <charset val="134"/>
      </rPr>
      <t>空调通风系统清洗</t>
    </r>
    <phoneticPr fontId="6" type="noConversion"/>
  </si>
  <si>
    <t>电梯维保</t>
    <phoneticPr fontId="6" type="noConversion"/>
  </si>
  <si>
    <t>原自采项目</t>
    <phoneticPr fontId="6" type="noConversion"/>
  </si>
  <si>
    <t>3层演播室外包服务费</t>
    <phoneticPr fontId="5" type="noConversion"/>
  </si>
  <si>
    <t>日常维修耗材</t>
    <phoneticPr fontId="5" type="noConversion"/>
  </si>
  <si>
    <t>工程改造及购买主材费</t>
    <phoneticPr fontId="6" type="noConversion"/>
  </si>
  <si>
    <t>三方合同   小计</t>
    <phoneticPr fontId="6" type="noConversion"/>
  </si>
  <si>
    <t>总       计</t>
    <phoneticPr fontId="6" type="noConversion"/>
  </si>
  <si>
    <r>
      <rPr>
        <sz val="10"/>
        <rFont val="宋体"/>
        <family val="3"/>
        <charset val="134"/>
      </rPr>
      <t>网络大厦</t>
    </r>
    <r>
      <rPr>
        <sz val="10"/>
        <rFont val="Calibri"/>
        <family val="2"/>
      </rPr>
      <t>-SOHU</t>
    </r>
    <r>
      <rPr>
        <sz val="10"/>
        <rFont val="宋体"/>
        <family val="3"/>
        <charset val="134"/>
      </rPr>
      <t>停车费</t>
    </r>
    <phoneticPr fontId="6" type="noConversion"/>
  </si>
  <si>
    <t>焦点总计</t>
    <phoneticPr fontId="5" type="noConversion"/>
  </si>
  <si>
    <t>资产标签带</t>
    <phoneticPr fontId="6" type="noConversion"/>
  </si>
  <si>
    <t>Subscription fee</t>
    <phoneticPr fontId="5" type="noConversion"/>
  </si>
  <si>
    <t>Subscription fee</t>
    <phoneticPr fontId="5" type="noConversion"/>
  </si>
  <si>
    <r>
      <rPr>
        <sz val="10"/>
        <rFont val="宋体"/>
        <family val="3"/>
        <charset val="134"/>
      </rPr>
      <t>办公区减少费用较低，</t>
    </r>
    <r>
      <rPr>
        <sz val="10"/>
        <rFont val="Calibri"/>
        <family val="2"/>
      </rPr>
      <t>2016</t>
    </r>
    <r>
      <rPr>
        <sz val="10"/>
        <rFont val="宋体"/>
        <family val="3"/>
        <charset val="134"/>
      </rPr>
      <t>年不做本项目预算</t>
    </r>
    <phoneticPr fontId="5" type="noConversion"/>
  </si>
  <si>
    <r>
      <t>2016</t>
    </r>
    <r>
      <rPr>
        <b/>
        <sz val="10"/>
        <rFont val="宋体"/>
        <family val="3"/>
        <charset val="134"/>
      </rPr>
      <t>年资产保险预算</t>
    </r>
    <phoneticPr fontId="6" type="noConversion"/>
  </si>
  <si>
    <t>预计增幅</t>
    <phoneticPr fontId="5" type="noConversion"/>
  </si>
  <si>
    <t>Total</t>
    <phoneticPr fontId="5" type="noConversion"/>
  </si>
  <si>
    <r>
      <t>2015</t>
    </r>
    <r>
      <rPr>
        <sz val="10"/>
        <color theme="1"/>
        <rFont val="宋体"/>
        <family val="3"/>
        <charset val="134"/>
      </rPr>
      <t>年预算费用</t>
    </r>
    <phoneticPr fontId="5" type="noConversion"/>
  </si>
  <si>
    <r>
      <t>2014Q3</t>
    </r>
    <r>
      <rPr>
        <sz val="10"/>
        <color theme="1"/>
        <rFont val="宋体"/>
        <family val="3"/>
        <charset val="134"/>
      </rPr>
      <t>至</t>
    </r>
    <r>
      <rPr>
        <sz val="10"/>
        <color theme="1"/>
        <rFont val="Calibri"/>
        <family val="2"/>
      </rPr>
      <t>2015Q2</t>
    </r>
    <r>
      <rPr>
        <sz val="10"/>
        <color theme="1"/>
        <rFont val="宋体"/>
        <family val="3"/>
        <charset val="134"/>
      </rPr>
      <t>保费</t>
    </r>
    <phoneticPr fontId="5" type="noConversion"/>
  </si>
  <si>
    <r>
      <rPr>
        <sz val="10"/>
        <color theme="1"/>
        <rFont val="宋体"/>
        <family val="3"/>
        <charset val="134"/>
      </rPr>
      <t>预计</t>
    </r>
    <r>
      <rPr>
        <sz val="10"/>
        <color theme="1"/>
        <rFont val="Calibri"/>
        <family val="2"/>
      </rPr>
      <t>2015</t>
    </r>
    <r>
      <rPr>
        <sz val="10"/>
        <color theme="1"/>
        <rFont val="宋体"/>
        <family val="3"/>
        <charset val="134"/>
      </rPr>
      <t>年保费</t>
    </r>
    <phoneticPr fontId="5" type="noConversion"/>
  </si>
  <si>
    <r>
      <t>2015</t>
    </r>
    <r>
      <rPr>
        <sz val="10"/>
        <color theme="1"/>
        <rFont val="宋体"/>
        <family val="3"/>
        <charset val="134"/>
      </rPr>
      <t>年保费
超预算比例</t>
    </r>
    <phoneticPr fontId="5" type="noConversion"/>
  </si>
  <si>
    <r>
      <t>2015</t>
    </r>
    <r>
      <rPr>
        <sz val="10"/>
        <color theme="1"/>
        <rFont val="宋体"/>
        <family val="3"/>
        <charset val="134"/>
      </rPr>
      <t>年不同种类保费占比</t>
    </r>
    <phoneticPr fontId="5" type="noConversion"/>
  </si>
  <si>
    <r>
      <t>2016</t>
    </r>
    <r>
      <rPr>
        <sz val="10"/>
        <color theme="1"/>
        <rFont val="宋体"/>
        <family val="3"/>
        <charset val="134"/>
      </rPr>
      <t>年预计
保费增长率</t>
    </r>
    <phoneticPr fontId="5" type="noConversion"/>
  </si>
  <si>
    <r>
      <t>2016</t>
    </r>
    <r>
      <rPr>
        <sz val="10"/>
        <color theme="1"/>
        <rFont val="宋体"/>
        <family val="3"/>
        <charset val="134"/>
      </rPr>
      <t>年保费预算</t>
    </r>
    <phoneticPr fontId="5" type="noConversion"/>
  </si>
  <si>
    <t>年度资产保费</t>
    <phoneticPr fontId="5" type="noConversion"/>
  </si>
  <si>
    <t>季度新增资产保费</t>
    <phoneticPr fontId="5" type="noConversion"/>
  </si>
  <si>
    <t>合计</t>
    <phoneticPr fontId="5" type="noConversion"/>
  </si>
  <si>
    <t>年度资产保费占比</t>
    <phoneticPr fontId="5" type="noConversion"/>
  </si>
  <si>
    <t>季度资产保费占比</t>
    <phoneticPr fontId="5" type="noConversion"/>
  </si>
  <si>
    <t>(a)</t>
    <phoneticPr fontId="5" type="noConversion"/>
  </si>
  <si>
    <t>(b)</t>
    <phoneticPr fontId="5" type="noConversion"/>
  </si>
  <si>
    <t>( c)</t>
    <phoneticPr fontId="5" type="noConversion"/>
  </si>
  <si>
    <t>(d=b+c)</t>
    <phoneticPr fontId="5" type="noConversion"/>
  </si>
  <si>
    <t>(e=b+c/4*4)</t>
    <phoneticPr fontId="5" type="noConversion"/>
  </si>
  <si>
    <t>(f=(e-a)/a)</t>
    <phoneticPr fontId="5" type="noConversion"/>
  </si>
  <si>
    <t>(g=b/e)</t>
    <phoneticPr fontId="5" type="noConversion"/>
  </si>
  <si>
    <t>(h=c/4*4/e)</t>
    <phoneticPr fontId="5" type="noConversion"/>
  </si>
  <si>
    <t>(i)</t>
    <phoneticPr fontId="5" type="noConversion"/>
  </si>
  <si>
    <t>(j=e*(1+i))</t>
    <phoneticPr fontId="5" type="noConversion"/>
  </si>
  <si>
    <t>SOHU</t>
    <phoneticPr fontId="5" type="noConversion"/>
  </si>
  <si>
    <t>预计2015年保费</t>
    <phoneticPr fontId="5" type="noConversion"/>
  </si>
  <si>
    <t>焦点</t>
    <phoneticPr fontId="5" type="noConversion"/>
  </si>
  <si>
    <t>视频</t>
    <phoneticPr fontId="5" type="noConversion"/>
  </si>
  <si>
    <r>
      <rPr>
        <sz val="10"/>
        <rFont val="宋体"/>
        <family val="3"/>
        <charset val="134"/>
      </rPr>
      <t>备注：</t>
    </r>
    <r>
      <rPr>
        <sz val="10"/>
        <rFont val="Calibri"/>
        <family val="2"/>
      </rPr>
      <t/>
    </r>
    <phoneticPr fontId="6" type="noConversion"/>
  </si>
  <si>
    <r>
      <t>2016</t>
    </r>
    <r>
      <rPr>
        <sz val="10"/>
        <rFont val="宋体"/>
        <family val="3"/>
        <charset val="134"/>
      </rPr>
      <t>年资产预计增长率来自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年年度资产盘点报告中</t>
    </r>
    <r>
      <rPr>
        <sz val="10"/>
        <rFont val="Calibri"/>
        <family val="2"/>
      </rPr>
      <t>“2014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月至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月集团资产总量增长</t>
    </r>
    <r>
      <rPr>
        <sz val="10"/>
        <rFont val="Calibri"/>
        <family val="2"/>
      </rPr>
      <t>18%”</t>
    </r>
    <phoneticPr fontId="5" type="noConversion"/>
  </si>
  <si>
    <r>
      <rPr>
        <b/>
        <sz val="10"/>
        <color theme="1"/>
        <rFont val="宋体"/>
        <family val="3"/>
        <charset val="134"/>
      </rPr>
      <t>附：</t>
    </r>
    <r>
      <rPr>
        <b/>
        <sz val="10"/>
        <color theme="1"/>
        <rFont val="Calibri"/>
        <family val="2"/>
      </rPr>
      <t>2014Q3-2015Q2</t>
    </r>
    <r>
      <rPr>
        <b/>
        <sz val="10"/>
        <color theme="1"/>
        <rFont val="宋体"/>
        <family val="3"/>
        <charset val="134"/>
      </rPr>
      <t>保费发生记录</t>
    </r>
    <phoneticPr fontId="5" type="noConversion"/>
  </si>
  <si>
    <r>
      <t>2014Q3</t>
    </r>
    <r>
      <rPr>
        <sz val="10"/>
        <rFont val="宋体"/>
        <family val="3"/>
        <charset val="134"/>
      </rPr>
      <t>至</t>
    </r>
    <r>
      <rPr>
        <sz val="10"/>
        <rFont val="Calibri"/>
        <family val="2"/>
      </rPr>
      <t>2015Q2</t>
    </r>
    <r>
      <rPr>
        <sz val="10"/>
        <rFont val="宋体"/>
        <family val="3"/>
        <charset val="134"/>
      </rPr>
      <t>实际发生金额</t>
    </r>
    <phoneticPr fontId="6" type="noConversion"/>
  </si>
  <si>
    <r>
      <t>北京搜狐新媒体信息技术有限公司</t>
    </r>
    <r>
      <rPr>
        <sz val="10"/>
        <color rgb="FFFF0000"/>
        <rFont val="宋体"/>
        <family val="3"/>
        <charset val="134"/>
      </rPr>
      <t>（2014年8月-2014年10月）季度新增</t>
    </r>
    <r>
      <rPr>
        <sz val="10"/>
        <rFont val="宋体"/>
        <family val="3"/>
        <charset val="134"/>
      </rPr>
      <t>资产投保费用</t>
    </r>
    <phoneticPr fontId="5" type="noConversion"/>
  </si>
  <si>
    <r>
      <t>北京搜狐新媒体信息技术有限公司</t>
    </r>
    <r>
      <rPr>
        <sz val="10"/>
        <color rgb="FFFF0000"/>
        <rFont val="宋体"/>
        <family val="3"/>
        <charset val="134"/>
      </rPr>
      <t>（2014年11月-2015年1月）季度新增</t>
    </r>
    <r>
      <rPr>
        <sz val="10"/>
        <rFont val="宋体"/>
        <family val="3"/>
        <charset val="134"/>
      </rPr>
      <t>资产投保费用</t>
    </r>
    <phoneticPr fontId="5" type="noConversion"/>
  </si>
  <si>
    <r>
      <t>北京搜狐新媒体信息技术有限公司</t>
    </r>
    <r>
      <rPr>
        <sz val="10"/>
        <color rgb="FFFF0000"/>
        <rFont val="宋体"/>
        <family val="3"/>
        <charset val="134"/>
      </rPr>
      <t>（2015年2月-2015年4月）季度新增</t>
    </r>
    <r>
      <rPr>
        <sz val="10"/>
        <rFont val="宋体"/>
        <family val="3"/>
        <charset val="134"/>
      </rPr>
      <t>资产投保费用</t>
    </r>
    <phoneticPr fontId="5" type="noConversion"/>
  </si>
  <si>
    <t>新媒体</t>
    <phoneticPr fontId="5" type="noConversion"/>
  </si>
  <si>
    <r>
      <rPr>
        <sz val="10"/>
        <color theme="1"/>
        <rFont val="宋体"/>
        <family val="3"/>
        <charset val="134"/>
      </rPr>
      <t>北京搜狐新媒体信息技术有限公司（</t>
    </r>
    <r>
      <rPr>
        <sz val="10"/>
        <color theme="1"/>
        <rFont val="Calibri"/>
        <family val="2"/>
      </rPr>
      <t>2015.5.16-2016.5.15</t>
    </r>
    <r>
      <rPr>
        <sz val="10"/>
        <color theme="1"/>
        <rFont val="宋体"/>
        <family val="3"/>
        <charset val="134"/>
      </rPr>
      <t>）年度公众责任险投保费用</t>
    </r>
    <phoneticPr fontId="5" type="noConversion"/>
  </si>
  <si>
    <r>
      <rPr>
        <sz val="10"/>
        <color theme="1"/>
        <rFont val="宋体"/>
        <family val="3"/>
        <charset val="134"/>
      </rPr>
      <t>北京搜狐新媒体信息技术有限公司（</t>
    </r>
    <r>
      <rPr>
        <sz val="10"/>
        <color theme="1"/>
        <rFont val="Calibri"/>
        <family val="2"/>
      </rPr>
      <t>2015.5.16-2016.5.15</t>
    </r>
    <r>
      <rPr>
        <sz val="10"/>
        <color theme="1"/>
        <rFont val="宋体"/>
        <family val="3"/>
        <charset val="134"/>
      </rPr>
      <t>）年度财产一切险资产投保费用</t>
    </r>
    <phoneticPr fontId="5" type="noConversion"/>
  </si>
  <si>
    <r>
      <rPr>
        <sz val="10"/>
        <color theme="1"/>
        <rFont val="宋体"/>
        <family val="3"/>
        <charset val="134"/>
      </rPr>
      <t>北京搜狐新媒体信息技术有限公司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Calibri"/>
        <family val="2"/>
      </rPr>
      <t>2015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5</t>
    </r>
    <r>
      <rPr>
        <sz val="10"/>
        <color rgb="FFFF0000"/>
        <rFont val="宋体"/>
        <family val="3"/>
        <charset val="134"/>
      </rPr>
      <t>月</t>
    </r>
    <r>
      <rPr>
        <sz val="10"/>
        <color rgb="FFFF0000"/>
        <rFont val="Calibri"/>
        <family val="2"/>
      </rPr>
      <t>-2015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7</t>
    </r>
    <r>
      <rPr>
        <sz val="10"/>
        <color rgb="FFFF0000"/>
        <rFont val="宋体"/>
        <family val="3"/>
        <charset val="134"/>
      </rPr>
      <t>月）季度新增</t>
    </r>
    <r>
      <rPr>
        <sz val="10"/>
        <rFont val="宋体"/>
        <family val="3"/>
        <charset val="134"/>
      </rPr>
      <t>资产投保费用</t>
    </r>
    <phoneticPr fontId="5" type="noConversion"/>
  </si>
  <si>
    <t>新时代</t>
    <phoneticPr fontId="5" type="noConversion"/>
  </si>
  <si>
    <r>
      <rPr>
        <sz val="10"/>
        <color theme="1"/>
        <rFont val="宋体"/>
        <family val="3"/>
        <charset val="134"/>
      </rPr>
      <t>北京搜狐新时代信息技术有限公司（</t>
    </r>
    <r>
      <rPr>
        <sz val="10"/>
        <color theme="1"/>
        <rFont val="Calibri"/>
        <family val="2"/>
      </rPr>
      <t>2015.5.16-2016.5.15</t>
    </r>
    <r>
      <rPr>
        <sz val="10"/>
        <color theme="1"/>
        <rFont val="宋体"/>
        <family val="3"/>
        <charset val="134"/>
      </rPr>
      <t>）年度财产一切险资产投保费用</t>
    </r>
    <phoneticPr fontId="5" type="noConversion"/>
  </si>
  <si>
    <r>
      <rPr>
        <sz val="10"/>
        <rFont val="Times New Roman"/>
        <family val="1"/>
      </rPr>
      <t>新时代</t>
    </r>
    <phoneticPr fontId="5" type="noConversion"/>
  </si>
  <si>
    <r>
      <t>北京搜狐新时代信息技术有限公司</t>
    </r>
    <r>
      <rPr>
        <sz val="10"/>
        <color rgb="FFFF0000"/>
        <rFont val="宋体"/>
        <family val="3"/>
        <charset val="134"/>
      </rPr>
      <t>（2015年5月-2015年7月）季度</t>
    </r>
    <r>
      <rPr>
        <sz val="10"/>
        <rFont val="宋体"/>
        <family val="3"/>
        <charset val="134"/>
      </rPr>
      <t>新增资产投保费用</t>
    </r>
    <phoneticPr fontId="5" type="noConversion"/>
  </si>
  <si>
    <t>新动力</t>
    <phoneticPr fontId="5" type="noConversion"/>
  </si>
  <si>
    <r>
      <rPr>
        <sz val="10"/>
        <color theme="1"/>
        <rFont val="宋体"/>
        <family val="3"/>
        <charset val="134"/>
      </rPr>
      <t>北京搜狐新动力信息技术有限公司（</t>
    </r>
    <r>
      <rPr>
        <sz val="10"/>
        <color theme="1"/>
        <rFont val="Calibri"/>
        <family val="2"/>
      </rPr>
      <t>2015.5.16-2016.5.15</t>
    </r>
    <r>
      <rPr>
        <sz val="10"/>
        <color theme="1"/>
        <rFont val="宋体"/>
        <family val="3"/>
        <charset val="134"/>
      </rPr>
      <t>）年度财产一切险资产投保费用</t>
    </r>
    <phoneticPr fontId="5" type="noConversion"/>
  </si>
  <si>
    <t>互联网</t>
    <phoneticPr fontId="5" type="noConversion"/>
  </si>
  <si>
    <r>
      <rPr>
        <sz val="10"/>
        <color theme="1"/>
        <rFont val="宋体"/>
        <family val="3"/>
        <charset val="134"/>
      </rPr>
      <t>北京搜狐互联网信息服务有限公司（</t>
    </r>
    <r>
      <rPr>
        <sz val="10"/>
        <color theme="1"/>
        <rFont val="Calibri"/>
        <family val="2"/>
      </rPr>
      <t>2015.5.16-2016.5.15</t>
    </r>
    <r>
      <rPr>
        <sz val="10"/>
        <color theme="1"/>
        <rFont val="宋体"/>
        <family val="3"/>
        <charset val="134"/>
      </rPr>
      <t>）年度财产一切险资产投保费用</t>
    </r>
    <phoneticPr fontId="5" type="noConversion"/>
  </si>
  <si>
    <t>搜狐支付</t>
    <phoneticPr fontId="5" type="noConversion"/>
  </si>
  <si>
    <r>
      <t>搜狐支付科技有限公司</t>
    </r>
    <r>
      <rPr>
        <sz val="10"/>
        <color rgb="FFFF0000"/>
        <rFont val="宋体"/>
        <family val="3"/>
        <charset val="134"/>
      </rPr>
      <t>（2014年8月-2014年10月）季度新增</t>
    </r>
    <r>
      <rPr>
        <sz val="10"/>
        <rFont val="宋体"/>
        <family val="3"/>
        <charset val="134"/>
      </rPr>
      <t>资产投保费用</t>
    </r>
    <phoneticPr fontId="5" type="noConversion"/>
  </si>
  <si>
    <r>
      <t>搜狐支付科技有限公司</t>
    </r>
    <r>
      <rPr>
        <sz val="10"/>
        <color rgb="FFFF0000"/>
        <rFont val="宋体"/>
        <family val="3"/>
        <charset val="134"/>
      </rPr>
      <t>（2015年2月-2015年4月）季度新增</t>
    </r>
    <r>
      <rPr>
        <sz val="10"/>
        <rFont val="宋体"/>
        <family val="3"/>
        <charset val="134"/>
      </rPr>
      <t>资产投保费用</t>
    </r>
    <phoneticPr fontId="5" type="noConversion"/>
  </si>
  <si>
    <r>
      <rPr>
        <sz val="10"/>
        <color theme="1"/>
        <rFont val="宋体"/>
        <family val="3"/>
        <charset val="134"/>
      </rPr>
      <t>搜狐支付科技有限公司（</t>
    </r>
    <r>
      <rPr>
        <sz val="10"/>
        <color theme="1"/>
        <rFont val="Calibri"/>
        <family val="2"/>
      </rPr>
      <t>2015.5.16-2016.5.15</t>
    </r>
    <r>
      <rPr>
        <sz val="10"/>
        <color theme="1"/>
        <rFont val="宋体"/>
        <family val="3"/>
        <charset val="134"/>
      </rPr>
      <t>）年度财产一切险资产投保费用</t>
    </r>
    <phoneticPr fontId="5" type="noConversion"/>
  </si>
  <si>
    <r>
      <rPr>
        <sz val="10"/>
        <rFont val="宋体"/>
        <family val="3"/>
        <charset val="134"/>
      </rPr>
      <t>新媒体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视频</t>
    </r>
    <r>
      <rPr>
        <sz val="10"/>
        <rFont val="Calibri"/>
        <family val="2"/>
      </rPr>
      <t>)</t>
    </r>
    <phoneticPr fontId="5" type="noConversion"/>
  </si>
  <si>
    <r>
      <rPr>
        <sz val="10"/>
        <rFont val="宋体"/>
        <family val="3"/>
        <charset val="134"/>
      </rPr>
      <t>新动力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视频</t>
    </r>
    <r>
      <rPr>
        <sz val="10"/>
        <rFont val="Calibri"/>
        <family val="2"/>
      </rPr>
      <t>)</t>
    </r>
    <phoneticPr fontId="5" type="noConversion"/>
  </si>
  <si>
    <r>
      <t>北京搜狐新动力信息技术有限公司</t>
    </r>
    <r>
      <rPr>
        <sz val="10"/>
        <color rgb="FFFF0000"/>
        <rFont val="宋体"/>
        <family val="3"/>
        <charset val="134"/>
      </rPr>
      <t>（2014年8月-2014年10月）季度新增</t>
    </r>
    <r>
      <rPr>
        <sz val="10"/>
        <rFont val="宋体"/>
        <family val="3"/>
        <charset val="134"/>
      </rPr>
      <t>资产投保费用</t>
    </r>
    <phoneticPr fontId="5" type="noConversion"/>
  </si>
  <si>
    <r>
      <t>北京搜狐新动力信息技术有限公司</t>
    </r>
    <r>
      <rPr>
        <sz val="10"/>
        <color rgb="FFFF0000"/>
        <rFont val="宋体"/>
        <family val="3"/>
        <charset val="134"/>
      </rPr>
      <t>（2014年11月-2015年1月）季度新增</t>
    </r>
    <r>
      <rPr>
        <sz val="10"/>
        <rFont val="宋体"/>
        <family val="3"/>
        <charset val="134"/>
      </rPr>
      <t>资产投保费用</t>
    </r>
    <phoneticPr fontId="5" type="noConversion"/>
  </si>
  <si>
    <r>
      <t>北京搜狐新动力信息技术有限公司</t>
    </r>
    <r>
      <rPr>
        <sz val="10"/>
        <color rgb="FFFF0000"/>
        <rFont val="宋体"/>
        <family val="3"/>
        <charset val="134"/>
      </rPr>
      <t>（2015年2月-2015年4月）季度新增</t>
    </r>
    <r>
      <rPr>
        <sz val="10"/>
        <rFont val="宋体"/>
        <family val="3"/>
        <charset val="134"/>
      </rPr>
      <t>资产投保费用</t>
    </r>
    <phoneticPr fontId="5" type="noConversion"/>
  </si>
  <si>
    <t>飞狐</t>
    <phoneticPr fontId="5" type="noConversion"/>
  </si>
  <si>
    <r>
      <t>飞狐信息技术（天津）有限公司</t>
    </r>
    <r>
      <rPr>
        <sz val="10"/>
        <color rgb="FFFF0000"/>
        <rFont val="宋体"/>
        <family val="3"/>
        <charset val="134"/>
      </rPr>
      <t>（2014年8月-2014年10月）季度新增</t>
    </r>
    <r>
      <rPr>
        <sz val="10"/>
        <rFont val="宋体"/>
        <family val="3"/>
        <charset val="134"/>
      </rPr>
      <t>资产投保费用</t>
    </r>
    <phoneticPr fontId="5" type="noConversion"/>
  </si>
  <si>
    <r>
      <t>飞狐信息技术（天津）有限公司</t>
    </r>
    <r>
      <rPr>
        <sz val="10"/>
        <color rgb="FFFF0000"/>
        <rFont val="宋体"/>
        <family val="3"/>
        <charset val="134"/>
      </rPr>
      <t>（2014年11月-2015年1月）季度新增</t>
    </r>
    <r>
      <rPr>
        <sz val="10"/>
        <rFont val="宋体"/>
        <family val="3"/>
        <charset val="134"/>
      </rPr>
      <t>资产投保费用</t>
    </r>
    <phoneticPr fontId="5" type="noConversion"/>
  </si>
  <si>
    <r>
      <t>飞狐信息技术（天津）有限公司</t>
    </r>
    <r>
      <rPr>
        <sz val="10"/>
        <color rgb="FFFF0000"/>
        <rFont val="宋体"/>
        <family val="3"/>
        <charset val="134"/>
      </rPr>
      <t>（2015年2月-2015年4月）季度新增</t>
    </r>
    <r>
      <rPr>
        <sz val="10"/>
        <rFont val="宋体"/>
        <family val="3"/>
        <charset val="134"/>
      </rPr>
      <t>资产投保费用</t>
    </r>
    <phoneticPr fontId="5" type="noConversion"/>
  </si>
  <si>
    <r>
      <rPr>
        <sz val="10"/>
        <color theme="1"/>
        <rFont val="宋体"/>
        <family val="3"/>
        <charset val="134"/>
      </rPr>
      <t>飞狐信息技术（天津）有限公司（</t>
    </r>
    <r>
      <rPr>
        <sz val="10"/>
        <color theme="1"/>
        <rFont val="Calibri"/>
        <family val="2"/>
      </rPr>
      <t>2015.5.16-2016.5.15</t>
    </r>
    <r>
      <rPr>
        <sz val="10"/>
        <color theme="1"/>
        <rFont val="宋体"/>
        <family val="3"/>
        <charset val="134"/>
      </rPr>
      <t>）年度财产一切险资产投保费用</t>
    </r>
    <phoneticPr fontId="5" type="noConversion"/>
  </si>
  <si>
    <r>
      <t>飞狐信息技术（天津）有限公司</t>
    </r>
    <r>
      <rPr>
        <sz val="10"/>
        <color rgb="FFFF0000"/>
        <rFont val="宋体"/>
        <family val="3"/>
        <charset val="134"/>
      </rPr>
      <t>（2015年5月-2015年7月）季度新增</t>
    </r>
    <r>
      <rPr>
        <sz val="10"/>
        <rFont val="宋体"/>
        <family val="3"/>
        <charset val="134"/>
      </rPr>
      <t>资产投保费用</t>
    </r>
    <phoneticPr fontId="5" type="noConversion"/>
  </si>
  <si>
    <t>千钧</t>
    <phoneticPr fontId="5" type="noConversion"/>
  </si>
  <si>
    <r>
      <rPr>
        <sz val="10"/>
        <color theme="1"/>
        <rFont val="宋体"/>
        <family val="3"/>
        <charset val="134"/>
      </rPr>
      <t>广州市千钧网络科技有限公司（</t>
    </r>
    <r>
      <rPr>
        <sz val="10"/>
        <color theme="1"/>
        <rFont val="Calibri"/>
        <family val="2"/>
      </rPr>
      <t>2015.5.16-2016.5.15</t>
    </r>
    <r>
      <rPr>
        <sz val="10"/>
        <color theme="1"/>
        <rFont val="宋体"/>
        <family val="3"/>
        <charset val="134"/>
      </rPr>
      <t>）年度财产一切险资产投保费用</t>
    </r>
    <phoneticPr fontId="5" type="noConversion"/>
  </si>
  <si>
    <r>
      <t>广州市千钧网络科技有限公司</t>
    </r>
    <r>
      <rPr>
        <sz val="10"/>
        <color rgb="FFFF0000"/>
        <rFont val="宋体"/>
        <family val="3"/>
        <charset val="134"/>
      </rPr>
      <t>（2015年5月-2015年7月）季度</t>
    </r>
    <r>
      <rPr>
        <sz val="10"/>
        <rFont val="宋体"/>
        <family val="3"/>
        <charset val="134"/>
      </rPr>
      <t>新增资产投保费用</t>
    </r>
    <phoneticPr fontId="5" type="noConversion"/>
  </si>
  <si>
    <t>天津金狐</t>
    <phoneticPr fontId="5" type="noConversion"/>
  </si>
  <si>
    <r>
      <rPr>
        <sz val="10"/>
        <color theme="1"/>
        <rFont val="宋体"/>
        <family val="3"/>
        <charset val="134"/>
      </rPr>
      <t>天津金狐文化传播有限公司（</t>
    </r>
    <r>
      <rPr>
        <sz val="10"/>
        <color theme="1"/>
        <rFont val="Calibri"/>
        <family val="2"/>
      </rPr>
      <t>2015.5.16-2016.5.15</t>
    </r>
    <r>
      <rPr>
        <sz val="10"/>
        <color theme="1"/>
        <rFont val="宋体"/>
        <family val="3"/>
        <charset val="134"/>
      </rPr>
      <t>）年度财产一切险资产投保费用</t>
    </r>
    <phoneticPr fontId="5" type="noConversion"/>
  </si>
  <si>
    <t>汽车</t>
    <phoneticPr fontId="5" type="noConversion"/>
  </si>
  <si>
    <r>
      <rPr>
        <sz val="10"/>
        <rFont val="宋体"/>
        <family val="3"/>
        <charset val="134"/>
      </rPr>
      <t>北京搜狐新媒体（汽车）公司</t>
    </r>
    <r>
      <rPr>
        <sz val="10"/>
        <rFont val="Calibri"/>
        <family val="2"/>
      </rPr>
      <t xml:space="preserve">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Calibri"/>
        <family val="2"/>
      </rPr>
      <t>2014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8</t>
    </r>
    <r>
      <rPr>
        <sz val="10"/>
        <color rgb="FFFF0000"/>
        <rFont val="宋体"/>
        <family val="3"/>
        <charset val="134"/>
      </rPr>
      <t>月至</t>
    </r>
    <r>
      <rPr>
        <sz val="10"/>
        <color rgb="FFFF0000"/>
        <rFont val="Calibri"/>
        <family val="2"/>
      </rPr>
      <t>2014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10</t>
    </r>
    <r>
      <rPr>
        <sz val="10"/>
        <color rgb="FFFF0000"/>
        <rFont val="宋体"/>
        <family val="3"/>
        <charset val="134"/>
      </rPr>
      <t>月）季度新增</t>
    </r>
    <r>
      <rPr>
        <sz val="10"/>
        <rFont val="宋体"/>
        <family val="3"/>
        <charset val="134"/>
      </rPr>
      <t>资产投保费用付款</t>
    </r>
    <r>
      <rPr>
        <sz val="10"/>
        <rFont val="Calibri"/>
        <family val="2"/>
      </rPr>
      <t>.</t>
    </r>
    <phoneticPr fontId="5" type="noConversion"/>
  </si>
  <si>
    <r>
      <rPr>
        <sz val="10"/>
        <rFont val="宋体"/>
        <family val="3"/>
        <charset val="134"/>
      </rPr>
      <t>北京搜狐新媒体（汽车）公司</t>
    </r>
    <r>
      <rPr>
        <sz val="10"/>
        <rFont val="Calibri"/>
        <family val="2"/>
      </rPr>
      <t xml:space="preserve">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Calibri"/>
        <family val="2"/>
      </rPr>
      <t>2014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11</t>
    </r>
    <r>
      <rPr>
        <sz val="10"/>
        <color rgb="FFFF0000"/>
        <rFont val="宋体"/>
        <family val="3"/>
        <charset val="134"/>
      </rPr>
      <t>月至</t>
    </r>
    <r>
      <rPr>
        <sz val="10"/>
        <color rgb="FFFF0000"/>
        <rFont val="Calibri"/>
        <family val="2"/>
      </rPr>
      <t>2015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1</t>
    </r>
    <r>
      <rPr>
        <sz val="10"/>
        <color rgb="FFFF0000"/>
        <rFont val="宋体"/>
        <family val="3"/>
        <charset val="134"/>
      </rPr>
      <t>月）季度新增</t>
    </r>
    <r>
      <rPr>
        <sz val="10"/>
        <rFont val="宋体"/>
        <family val="3"/>
        <charset val="134"/>
      </rPr>
      <t>资产投保费用付款</t>
    </r>
    <r>
      <rPr>
        <sz val="10"/>
        <rFont val="Calibri"/>
        <family val="2"/>
      </rPr>
      <t>.</t>
    </r>
    <phoneticPr fontId="5" type="noConversion"/>
  </si>
  <si>
    <r>
      <rPr>
        <sz val="10"/>
        <rFont val="宋体"/>
        <family val="3"/>
        <charset val="134"/>
      </rPr>
      <t>北京搜狐新媒体（汽车）公司</t>
    </r>
    <r>
      <rPr>
        <sz val="10"/>
        <rFont val="Calibri"/>
        <family val="2"/>
      </rPr>
      <t xml:space="preserve">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Calibri"/>
        <family val="2"/>
      </rPr>
      <t>2015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2</t>
    </r>
    <r>
      <rPr>
        <sz val="10"/>
        <color rgb="FFFF0000"/>
        <rFont val="宋体"/>
        <family val="3"/>
        <charset val="134"/>
      </rPr>
      <t>月至</t>
    </r>
    <r>
      <rPr>
        <sz val="10"/>
        <color rgb="FFFF0000"/>
        <rFont val="Calibri"/>
        <family val="2"/>
      </rPr>
      <t>2015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4</t>
    </r>
    <r>
      <rPr>
        <sz val="10"/>
        <color rgb="FFFF0000"/>
        <rFont val="宋体"/>
        <family val="3"/>
        <charset val="134"/>
      </rPr>
      <t>月）季度新增</t>
    </r>
    <r>
      <rPr>
        <sz val="10"/>
        <rFont val="宋体"/>
        <family val="3"/>
        <charset val="134"/>
      </rPr>
      <t>资产投保费用付款</t>
    </r>
    <r>
      <rPr>
        <sz val="10"/>
        <rFont val="Calibri"/>
        <family val="2"/>
      </rPr>
      <t>.</t>
    </r>
    <phoneticPr fontId="5" type="noConversion"/>
  </si>
  <si>
    <r>
      <rPr>
        <sz val="10"/>
        <rFont val="宋体"/>
        <family val="3"/>
        <charset val="134"/>
      </rPr>
      <t>北京搜狐新媒体（汽车）公司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（</t>
    </r>
    <r>
      <rPr>
        <sz val="10"/>
        <rFont val="Calibri"/>
        <family val="2"/>
      </rPr>
      <t>2015.5.16-2016.5.15</t>
    </r>
    <r>
      <rPr>
        <sz val="10"/>
        <rFont val="宋体"/>
        <family val="3"/>
        <charset val="134"/>
      </rPr>
      <t>）年度财产一切险资产投保费用付款</t>
    </r>
    <phoneticPr fontId="5" type="noConversion"/>
  </si>
  <si>
    <t>焦点新干线</t>
    <phoneticPr fontId="5" type="noConversion"/>
  </si>
  <si>
    <r>
      <rPr>
        <sz val="10"/>
        <color theme="1"/>
        <rFont val="宋体"/>
        <family val="3"/>
        <charset val="134"/>
      </rPr>
      <t>北京焦点新干线信息技术有限公司（</t>
    </r>
    <r>
      <rPr>
        <sz val="10"/>
        <color theme="1"/>
        <rFont val="Calibri"/>
        <family val="2"/>
      </rPr>
      <t>2015.5.16-2016.5.15</t>
    </r>
    <r>
      <rPr>
        <sz val="10"/>
        <color theme="1"/>
        <rFont val="宋体"/>
        <family val="3"/>
        <charset val="134"/>
      </rPr>
      <t>）年度财产一切险资产投保费用付款</t>
    </r>
    <r>
      <rPr>
        <sz val="10"/>
        <color theme="1"/>
        <rFont val="Calibri"/>
        <family val="2"/>
      </rPr>
      <t>.</t>
    </r>
    <phoneticPr fontId="5" type="noConversion"/>
  </si>
  <si>
    <r>
      <rPr>
        <sz val="10"/>
        <rFont val="宋体"/>
        <family val="3"/>
        <charset val="134"/>
      </rPr>
      <t>北京焦点新干线信息技术有限公司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Calibri"/>
        <family val="2"/>
      </rPr>
      <t>2015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5</t>
    </r>
    <r>
      <rPr>
        <sz val="10"/>
        <color rgb="FFFF0000"/>
        <rFont val="宋体"/>
        <family val="3"/>
        <charset val="134"/>
      </rPr>
      <t>月至</t>
    </r>
    <r>
      <rPr>
        <sz val="10"/>
        <color rgb="FFFF0000"/>
        <rFont val="Calibri"/>
        <family val="2"/>
      </rPr>
      <t>2015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7</t>
    </r>
    <r>
      <rPr>
        <sz val="10"/>
        <color rgb="FFFF0000"/>
        <rFont val="宋体"/>
        <family val="3"/>
        <charset val="134"/>
      </rPr>
      <t>月）季度新增</t>
    </r>
    <r>
      <rPr>
        <sz val="10"/>
        <rFont val="宋体"/>
        <family val="3"/>
        <charset val="134"/>
      </rPr>
      <t>资产投保费用付款</t>
    </r>
    <r>
      <rPr>
        <sz val="10"/>
        <rFont val="Calibri"/>
        <family val="2"/>
      </rPr>
      <t>.</t>
    </r>
    <phoneticPr fontId="5" type="noConversion"/>
  </si>
  <si>
    <t>焦点互动</t>
    <phoneticPr fontId="5" type="noConversion"/>
  </si>
  <si>
    <r>
      <t>北京焦点互动信息服务有限公司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2015.5.16-2016.5.15</t>
    </r>
    <r>
      <rPr>
        <sz val="10"/>
        <color theme="1"/>
        <rFont val="宋体"/>
        <family val="3"/>
        <charset val="134"/>
      </rPr>
      <t>）年度财产一切险资产投保费用付款</t>
    </r>
    <r>
      <rPr>
        <sz val="10"/>
        <color theme="1"/>
        <rFont val="Calibri"/>
        <family val="2"/>
      </rPr>
      <t>.</t>
    </r>
    <phoneticPr fontId="5" type="noConversion"/>
  </si>
  <si>
    <r>
      <rPr>
        <sz val="10"/>
        <rFont val="宋体"/>
        <family val="3"/>
        <charset val="134"/>
      </rPr>
      <t>北京焦点互动信息服务有限公司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Calibri"/>
        <family val="2"/>
      </rPr>
      <t>2015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5</t>
    </r>
    <r>
      <rPr>
        <sz val="10"/>
        <color rgb="FFFF0000"/>
        <rFont val="宋体"/>
        <family val="3"/>
        <charset val="134"/>
      </rPr>
      <t>月至</t>
    </r>
    <r>
      <rPr>
        <sz val="10"/>
        <color rgb="FFFF0000"/>
        <rFont val="Calibri"/>
        <family val="2"/>
      </rPr>
      <t>2015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7</t>
    </r>
    <r>
      <rPr>
        <sz val="10"/>
        <color rgb="FFFF0000"/>
        <rFont val="宋体"/>
        <family val="3"/>
        <charset val="134"/>
      </rPr>
      <t>月）季度新增</t>
    </r>
    <r>
      <rPr>
        <sz val="10"/>
        <rFont val="宋体"/>
        <family val="3"/>
        <charset val="134"/>
      </rPr>
      <t>资产投保费用付款</t>
    </r>
    <r>
      <rPr>
        <sz val="10"/>
        <rFont val="Calibri"/>
        <family val="2"/>
      </rPr>
      <t>.</t>
    </r>
    <phoneticPr fontId="5" type="noConversion"/>
  </si>
  <si>
    <t>焦点宜居</t>
    <phoneticPr fontId="5" type="noConversion"/>
  </si>
  <si>
    <r>
      <rPr>
        <sz val="10"/>
        <rFont val="宋体"/>
        <family val="3"/>
        <charset val="134"/>
      </rPr>
      <t>北京焦点宜居网络信息技术有限公司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Calibri"/>
        <family val="2"/>
      </rPr>
      <t>2014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8</t>
    </r>
    <r>
      <rPr>
        <sz val="10"/>
        <color rgb="FFFF0000"/>
        <rFont val="宋体"/>
        <family val="3"/>
        <charset val="134"/>
      </rPr>
      <t>月至</t>
    </r>
    <r>
      <rPr>
        <sz val="10"/>
        <color rgb="FFFF0000"/>
        <rFont val="Calibri"/>
        <family val="2"/>
      </rPr>
      <t>2014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10</t>
    </r>
    <r>
      <rPr>
        <sz val="10"/>
        <color rgb="FFFF0000"/>
        <rFont val="宋体"/>
        <family val="3"/>
        <charset val="134"/>
      </rPr>
      <t>月）季度新增</t>
    </r>
    <r>
      <rPr>
        <sz val="10"/>
        <rFont val="宋体"/>
        <family val="3"/>
        <charset val="134"/>
      </rPr>
      <t>资产投保费用付款</t>
    </r>
    <r>
      <rPr>
        <sz val="10"/>
        <rFont val="Calibri"/>
        <family val="2"/>
      </rPr>
      <t>.</t>
    </r>
    <phoneticPr fontId="5" type="noConversion"/>
  </si>
  <si>
    <r>
      <rPr>
        <sz val="10"/>
        <rFont val="宋体"/>
        <family val="3"/>
        <charset val="134"/>
      </rPr>
      <t>北京焦点宜居网络信息技术有限公司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Calibri"/>
        <family val="2"/>
      </rPr>
      <t>2014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11</t>
    </r>
    <r>
      <rPr>
        <sz val="10"/>
        <color rgb="FFFF0000"/>
        <rFont val="宋体"/>
        <family val="3"/>
        <charset val="134"/>
      </rPr>
      <t>月至</t>
    </r>
    <r>
      <rPr>
        <sz val="10"/>
        <color rgb="FFFF0000"/>
        <rFont val="Calibri"/>
        <family val="2"/>
      </rPr>
      <t>2015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1</t>
    </r>
    <r>
      <rPr>
        <sz val="10"/>
        <color rgb="FFFF0000"/>
        <rFont val="宋体"/>
        <family val="3"/>
        <charset val="134"/>
      </rPr>
      <t>月）季度新增</t>
    </r>
    <r>
      <rPr>
        <sz val="10"/>
        <rFont val="宋体"/>
        <family val="3"/>
        <charset val="134"/>
      </rPr>
      <t>资产投保费用付款</t>
    </r>
    <r>
      <rPr>
        <sz val="10"/>
        <rFont val="Calibri"/>
        <family val="2"/>
      </rPr>
      <t>.</t>
    </r>
    <phoneticPr fontId="5" type="noConversion"/>
  </si>
  <si>
    <r>
      <t>北京焦点宜居网络信息技术有限公司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Calibri"/>
        <family val="2"/>
      </rPr>
      <t>2015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2</t>
    </r>
    <r>
      <rPr>
        <sz val="10"/>
        <color rgb="FFFF0000"/>
        <rFont val="宋体"/>
        <family val="3"/>
        <charset val="134"/>
      </rPr>
      <t>月至</t>
    </r>
    <r>
      <rPr>
        <sz val="10"/>
        <color rgb="FFFF0000"/>
        <rFont val="Calibri"/>
        <family val="2"/>
      </rPr>
      <t>2015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4</t>
    </r>
    <r>
      <rPr>
        <sz val="10"/>
        <color rgb="FFFF0000"/>
        <rFont val="宋体"/>
        <family val="3"/>
        <charset val="134"/>
      </rPr>
      <t>月）季度新增</t>
    </r>
    <r>
      <rPr>
        <sz val="10"/>
        <rFont val="宋体"/>
        <family val="3"/>
        <charset val="134"/>
      </rPr>
      <t>资产投保费用付款</t>
    </r>
    <r>
      <rPr>
        <sz val="10"/>
        <rFont val="Calibri"/>
        <family val="2"/>
      </rPr>
      <t>.</t>
    </r>
    <phoneticPr fontId="5" type="noConversion"/>
  </si>
  <si>
    <r>
      <rPr>
        <sz val="10"/>
        <color theme="1"/>
        <rFont val="宋体"/>
        <family val="3"/>
        <charset val="134"/>
      </rPr>
      <t>北京焦点宜居网络信息技术有限公司（</t>
    </r>
    <r>
      <rPr>
        <sz val="10"/>
        <color theme="1"/>
        <rFont val="Calibri"/>
        <family val="2"/>
      </rPr>
      <t>2015.5.16-2016.5.15</t>
    </r>
    <r>
      <rPr>
        <sz val="10"/>
        <color theme="1"/>
        <rFont val="宋体"/>
        <family val="3"/>
        <charset val="134"/>
      </rPr>
      <t>）年度财产一切险资产投保费用付款</t>
    </r>
    <r>
      <rPr>
        <sz val="10"/>
        <color theme="1"/>
        <rFont val="Calibri"/>
        <family val="2"/>
      </rPr>
      <t>.</t>
    </r>
    <phoneticPr fontId="5" type="noConversion"/>
  </si>
  <si>
    <t>焦点时间</t>
    <phoneticPr fontId="5" type="noConversion"/>
  </si>
  <si>
    <r>
      <rPr>
        <sz val="10"/>
        <color theme="1"/>
        <rFont val="宋体"/>
        <family val="3"/>
        <charset val="134"/>
      </rPr>
      <t>北京焦点时间广告传媒有限公司（</t>
    </r>
    <r>
      <rPr>
        <sz val="10"/>
        <color theme="1"/>
        <rFont val="Calibri"/>
        <family val="2"/>
      </rPr>
      <t>2015.5.16-2016.5.15</t>
    </r>
    <r>
      <rPr>
        <sz val="10"/>
        <color theme="1"/>
        <rFont val="宋体"/>
        <family val="3"/>
        <charset val="134"/>
      </rPr>
      <t>）年度财产一切险资产投保费用付款</t>
    </r>
    <r>
      <rPr>
        <sz val="10"/>
        <color theme="1"/>
        <rFont val="Calibri"/>
        <family val="2"/>
      </rPr>
      <t>.</t>
    </r>
    <phoneticPr fontId="5" type="noConversion"/>
  </si>
  <si>
    <t>新媒体焦点</t>
    <phoneticPr fontId="5" type="noConversion"/>
  </si>
  <si>
    <r>
      <t>新媒体焦点公司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Calibri"/>
        <family val="2"/>
      </rPr>
      <t>2014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11</t>
    </r>
    <r>
      <rPr>
        <sz val="10"/>
        <color rgb="FFFF0000"/>
        <rFont val="宋体"/>
        <family val="3"/>
        <charset val="134"/>
      </rPr>
      <t>月至</t>
    </r>
    <r>
      <rPr>
        <sz val="10"/>
        <color rgb="FFFF0000"/>
        <rFont val="Calibri"/>
        <family val="2"/>
      </rPr>
      <t>2015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Calibri"/>
        <family val="2"/>
      </rPr>
      <t>1</t>
    </r>
    <r>
      <rPr>
        <sz val="10"/>
        <color rgb="FFFF0000"/>
        <rFont val="宋体"/>
        <family val="3"/>
        <charset val="134"/>
      </rPr>
      <t>月）季度新增</t>
    </r>
    <r>
      <rPr>
        <sz val="10"/>
        <rFont val="宋体"/>
        <family val="3"/>
        <charset val="134"/>
      </rPr>
      <t>资产投保费用付款</t>
    </r>
    <r>
      <rPr>
        <sz val="10"/>
        <rFont val="Calibri"/>
        <family val="2"/>
      </rPr>
      <t>.</t>
    </r>
    <phoneticPr fontId="5" type="noConversion"/>
  </si>
  <si>
    <r>
      <rPr>
        <sz val="10"/>
        <color theme="1"/>
        <rFont val="宋体"/>
        <family val="3"/>
        <charset val="134"/>
      </rPr>
      <t>新媒体焦点公司（</t>
    </r>
    <r>
      <rPr>
        <sz val="10"/>
        <color theme="1"/>
        <rFont val="Calibri"/>
        <family val="2"/>
      </rPr>
      <t>2015.5.16-2016.5.15</t>
    </r>
    <r>
      <rPr>
        <sz val="10"/>
        <color theme="1"/>
        <rFont val="宋体"/>
        <family val="3"/>
        <charset val="134"/>
      </rPr>
      <t>）年度财产一切险资产投保费用付款</t>
    </r>
    <r>
      <rPr>
        <sz val="10"/>
        <color theme="1"/>
        <rFont val="Calibri"/>
        <family val="2"/>
      </rPr>
      <t>.</t>
    </r>
    <phoneticPr fontId="5" type="noConversion"/>
  </si>
  <si>
    <r>
      <rPr>
        <b/>
        <sz val="11"/>
        <rFont val="宋体"/>
        <family val="3"/>
        <charset val="134"/>
      </rPr>
      <t>文具采购（</t>
    </r>
    <r>
      <rPr>
        <b/>
        <sz val="11"/>
        <rFont val="Calibri"/>
        <family val="2"/>
      </rPr>
      <t>sohu</t>
    </r>
    <r>
      <rPr>
        <b/>
        <sz val="11"/>
        <rFont val="宋体"/>
        <family val="3"/>
        <charset val="134"/>
      </rPr>
      <t>）</t>
    </r>
    <phoneticPr fontId="5" type="noConversion"/>
  </si>
  <si>
    <r>
      <t>2015</t>
    </r>
    <r>
      <rPr>
        <sz val="10"/>
        <rFont val="宋体"/>
        <family val="3"/>
        <charset val="134"/>
      </rPr>
      <t>年实际消耗少于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年，故</t>
    </r>
    <r>
      <rPr>
        <sz val="10"/>
        <rFont val="Calibri"/>
        <family val="2"/>
      </rPr>
      <t>2016</t>
    </r>
    <r>
      <rPr>
        <sz val="10"/>
        <rFont val="宋体"/>
        <family val="3"/>
        <charset val="134"/>
      </rPr>
      <t>年费用预估减少</t>
    </r>
    <phoneticPr fontId="5" type="noConversion"/>
  </si>
  <si>
    <t>武汉光谷国际</t>
    <phoneticPr fontId="5" type="noConversion"/>
  </si>
  <si>
    <t>武汉日常费用</t>
    <phoneticPr fontId="6" type="noConversion"/>
  </si>
  <si>
    <t>每季度结算，2015年Q4清洗地毯1次</t>
    <phoneticPr fontId="5" type="noConversion"/>
  </si>
  <si>
    <t>半年一结算</t>
    <phoneticPr fontId="5" type="noConversion"/>
  </si>
  <si>
    <t>小计</t>
    <phoneticPr fontId="5" type="noConversion"/>
  </si>
  <si>
    <t>变化比例</t>
    <phoneticPr fontId="5" type="noConversion"/>
  </si>
  <si>
    <r>
      <t>2015</t>
    </r>
    <r>
      <rPr>
        <b/>
        <sz val="10"/>
        <color theme="1"/>
        <rFont val="宋体"/>
        <family val="3"/>
        <charset val="134"/>
      </rPr>
      <t>年行政预算计算依据表（不含搜狗及视频天津）</t>
    </r>
    <phoneticPr fontId="6" type="noConversion"/>
  </si>
  <si>
    <t>地点</t>
    <phoneticPr fontId="5" type="noConversion"/>
  </si>
  <si>
    <t>费用类别</t>
    <phoneticPr fontId="5" type="noConversion"/>
  </si>
  <si>
    <r>
      <t>Price</t>
    </r>
    <r>
      <rPr>
        <b/>
        <sz val="10"/>
        <color theme="1"/>
        <rFont val="Arial Unicode MS"/>
        <family val="2"/>
        <charset val="134"/>
      </rPr>
      <t>（</t>
    </r>
    <r>
      <rPr>
        <b/>
        <sz val="10"/>
        <color theme="1"/>
        <rFont val="Calibri"/>
        <family val="2"/>
      </rPr>
      <t>ES</t>
    </r>
    <r>
      <rPr>
        <b/>
        <sz val="10"/>
        <color theme="1"/>
        <rFont val="Arial Unicode MS"/>
        <family val="2"/>
        <charset val="134"/>
      </rPr>
      <t>）</t>
    </r>
    <phoneticPr fontId="6" type="noConversion"/>
  </si>
  <si>
    <t>Remark</t>
    <phoneticPr fontId="6" type="noConversion"/>
  </si>
  <si>
    <t>TOTAL</t>
    <phoneticPr fontId="6" type="noConversion"/>
  </si>
  <si>
    <t xml:space="preserve">per month in RMB </t>
    <phoneticPr fontId="6" type="noConversion"/>
  </si>
  <si>
    <t>year in RMB</t>
    <phoneticPr fontId="6" type="noConversion"/>
  </si>
  <si>
    <r>
      <t>2014</t>
    </r>
    <r>
      <rPr>
        <b/>
        <sz val="10"/>
        <color theme="1"/>
        <rFont val="宋体"/>
        <family val="3"/>
        <charset val="134"/>
      </rPr>
      <t>预算</t>
    </r>
    <phoneticPr fontId="6" type="noConversion"/>
  </si>
  <si>
    <r>
      <rPr>
        <b/>
        <sz val="10"/>
        <color theme="1"/>
        <rFont val="宋体"/>
        <family val="3"/>
        <charset val="134"/>
      </rPr>
      <t>与</t>
    </r>
    <r>
      <rPr>
        <b/>
        <sz val="10"/>
        <color theme="1"/>
        <rFont val="Calibri"/>
        <family val="2"/>
      </rPr>
      <t>2014</t>
    </r>
    <r>
      <rPr>
        <b/>
        <sz val="10"/>
        <color theme="1"/>
        <rFont val="宋体"/>
        <family val="3"/>
        <charset val="134"/>
      </rPr>
      <t>金额差异</t>
    </r>
    <phoneticPr fontId="5" type="noConversion"/>
  </si>
  <si>
    <t>变化比例</t>
    <phoneticPr fontId="6" type="noConversion"/>
  </si>
  <si>
    <t>details</t>
    <phoneticPr fontId="6" type="noConversion"/>
  </si>
  <si>
    <r>
      <rPr>
        <sz val="10"/>
        <color theme="1"/>
        <rFont val="Arial Unicode MS"/>
        <family val="2"/>
        <charset val="134"/>
      </rPr>
      <t>（</t>
    </r>
    <r>
      <rPr>
        <sz val="10"/>
        <color theme="1"/>
        <rFont val="Calibri"/>
        <family val="2"/>
      </rPr>
      <t>a</t>
    </r>
    <r>
      <rPr>
        <sz val="10"/>
        <color theme="1"/>
        <rFont val="Arial Unicode MS"/>
        <family val="2"/>
        <charset val="134"/>
      </rPr>
      <t>）</t>
    </r>
    <phoneticPr fontId="6" type="noConversion"/>
  </si>
  <si>
    <r>
      <rPr>
        <sz val="10"/>
        <color theme="1"/>
        <rFont val="Arial Unicode MS"/>
        <family val="2"/>
        <charset val="134"/>
      </rPr>
      <t>（</t>
    </r>
    <r>
      <rPr>
        <sz val="10"/>
        <color theme="1"/>
        <rFont val="Calibri"/>
        <family val="2"/>
      </rPr>
      <t>b</t>
    </r>
    <r>
      <rPr>
        <sz val="10"/>
        <color theme="1"/>
        <rFont val="Arial Unicode MS"/>
        <family val="2"/>
        <charset val="134"/>
      </rPr>
      <t>）</t>
    </r>
    <r>
      <rPr>
        <sz val="10"/>
        <color theme="1"/>
        <rFont val="Calibri"/>
        <family val="2"/>
      </rPr>
      <t>=</t>
    </r>
    <r>
      <rPr>
        <sz val="10"/>
        <color theme="1"/>
        <rFont val="Arial Unicode MS"/>
        <family val="2"/>
        <charset val="134"/>
      </rPr>
      <t>（</t>
    </r>
    <r>
      <rPr>
        <sz val="10"/>
        <color theme="1"/>
        <rFont val="Calibri"/>
        <family val="2"/>
      </rPr>
      <t>a</t>
    </r>
    <r>
      <rPr>
        <sz val="10"/>
        <color theme="1"/>
        <rFont val="Arial Unicode MS"/>
        <family val="2"/>
        <charset val="134"/>
      </rPr>
      <t>）</t>
    </r>
    <r>
      <rPr>
        <sz val="10"/>
        <color theme="1"/>
        <rFont val="Calibri"/>
        <family val="2"/>
      </rPr>
      <t>*12</t>
    </r>
    <phoneticPr fontId="6" type="noConversion"/>
  </si>
  <si>
    <t>Rental</t>
    <phoneticPr fontId="6" type="noConversion"/>
  </si>
  <si>
    <t>网络大厦租金</t>
    <phoneticPr fontId="6" type="noConversion"/>
  </si>
  <si>
    <t>搜狐网络大厦</t>
  </si>
  <si>
    <t>租金</t>
  </si>
  <si>
    <r>
      <t>2</t>
    </r>
    <r>
      <rPr>
        <sz val="10"/>
        <rFont val="宋体"/>
        <family val="3"/>
        <charset val="134"/>
      </rPr>
      <t>月底退租</t>
    </r>
    <phoneticPr fontId="6" type="noConversion"/>
  </si>
  <si>
    <r>
      <rPr>
        <sz val="10"/>
        <color theme="1"/>
        <rFont val="宋体"/>
        <family val="3"/>
        <charset val="134"/>
      </rPr>
      <t>网络大厦物业管理费</t>
    </r>
    <r>
      <rPr>
        <sz val="10"/>
        <rFont val="Arial"/>
        <family val="2"/>
      </rPr>
      <t/>
    </r>
    <phoneticPr fontId="6" type="noConversion"/>
  </si>
  <si>
    <t>物业费</t>
  </si>
  <si>
    <t>搜狐媒体大厦</t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</si>
  <si>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3"/>
        <charset val="134"/>
      </rPr>
      <t>层租金</t>
    </r>
    <phoneticPr fontId="6" type="noConversion"/>
  </si>
  <si>
    <t>融科A座4层</t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</si>
  <si>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3"/>
        <charset val="134"/>
      </rPr>
      <t>层物业管理费</t>
    </r>
    <phoneticPr fontId="6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</si>
  <si>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20</t>
    </r>
    <r>
      <rPr>
        <sz val="10"/>
        <color theme="1"/>
        <rFont val="宋体"/>
        <family val="3"/>
        <charset val="134"/>
      </rPr>
      <t>层租金</t>
    </r>
    <phoneticPr fontId="6" type="noConversion"/>
  </si>
  <si>
    <t>融科C座19-20层</t>
  </si>
  <si>
    <t>属焦点</t>
    <phoneticPr fontId="6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</si>
  <si>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20</t>
    </r>
    <r>
      <rPr>
        <sz val="10"/>
        <color theme="1"/>
        <rFont val="宋体"/>
        <family val="3"/>
        <charset val="134"/>
      </rPr>
      <t>层物业管理费</t>
    </r>
    <phoneticPr fontId="6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</si>
  <si>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层租金</t>
    </r>
    <phoneticPr fontId="5" type="noConversion"/>
  </si>
  <si>
    <t>融科C座10层</t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</si>
  <si>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层物业管理费</t>
    </r>
    <phoneticPr fontId="5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</si>
  <si>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7</t>
    </r>
    <r>
      <rPr>
        <sz val="10"/>
        <color theme="1"/>
        <rFont val="宋体"/>
        <family val="3"/>
        <charset val="134"/>
      </rPr>
      <t>层租金</t>
    </r>
    <phoneticPr fontId="6" type="noConversion"/>
  </si>
  <si>
    <t>同方D座7层</t>
  </si>
  <si>
    <r>
      <t>14</t>
    </r>
    <r>
      <rPr>
        <sz val="10"/>
        <rFont val="宋体"/>
        <family val="3"/>
        <charset val="134"/>
      </rPr>
      <t>年底退租</t>
    </r>
    <phoneticPr fontId="6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</si>
  <si>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7</t>
    </r>
    <r>
      <rPr>
        <sz val="10"/>
        <color theme="1"/>
        <rFont val="宋体"/>
        <family val="3"/>
        <charset val="134"/>
      </rPr>
      <t>层物业管理费</t>
    </r>
    <phoneticPr fontId="6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</si>
  <si>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8</t>
    </r>
    <r>
      <rPr>
        <sz val="10"/>
        <color theme="1"/>
        <rFont val="宋体"/>
        <family val="3"/>
        <charset val="134"/>
      </rPr>
      <t>层租金</t>
    </r>
    <phoneticPr fontId="6" type="noConversion"/>
  </si>
  <si>
    <t>同方D座8层</t>
  </si>
  <si>
    <r>
      <t>4</t>
    </r>
    <r>
      <rPr>
        <sz val="10"/>
        <rFont val="宋体"/>
        <family val="3"/>
        <charset val="134"/>
      </rPr>
      <t>月底退租</t>
    </r>
    <phoneticPr fontId="6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</si>
  <si>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8</t>
    </r>
    <r>
      <rPr>
        <sz val="10"/>
        <color theme="1"/>
        <rFont val="宋体"/>
        <family val="3"/>
        <charset val="134"/>
      </rPr>
      <t>层物业管理费</t>
    </r>
    <phoneticPr fontId="6" type="noConversion"/>
  </si>
  <si>
    <t>租金物业合计</t>
    <phoneticPr fontId="6" type="noConversion"/>
  </si>
  <si>
    <r>
      <rPr>
        <sz val="10"/>
        <color theme="1"/>
        <rFont val="宋体"/>
        <family val="3"/>
        <charset val="134"/>
      </rPr>
      <t>停车费（网络大厦</t>
    </r>
    <r>
      <rPr>
        <sz val="10"/>
        <color theme="1"/>
        <rFont val="Calibri"/>
        <family val="2"/>
      </rPr>
      <t>-SOHU</t>
    </r>
    <r>
      <rPr>
        <sz val="10"/>
        <color theme="1"/>
        <rFont val="宋体"/>
        <family val="3"/>
        <charset val="134"/>
      </rPr>
      <t>）</t>
    </r>
    <phoneticPr fontId="6" type="noConversion"/>
  </si>
  <si>
    <t>车位费</t>
  </si>
  <si>
    <r>
      <rPr>
        <sz val="10"/>
        <color theme="1"/>
        <rFont val="宋体"/>
        <family val="3"/>
        <charset val="134"/>
      </rPr>
      <t>停车费（科技大厦</t>
    </r>
    <r>
      <rPr>
        <sz val="10"/>
        <color theme="1"/>
        <rFont val="Calibri"/>
        <family val="2"/>
      </rPr>
      <t>-SOHU</t>
    </r>
    <r>
      <rPr>
        <sz val="10"/>
        <color theme="1"/>
        <rFont val="宋体"/>
        <family val="3"/>
        <charset val="134"/>
      </rPr>
      <t>）</t>
    </r>
    <phoneticPr fontId="6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</si>
  <si>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family val="3"/>
        <charset val="134"/>
      </rPr>
      <t>座地下停车费</t>
    </r>
    <phoneticPr fontId="6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</si>
  <si>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座地下停车费（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20</t>
    </r>
    <r>
      <rPr>
        <sz val="10"/>
        <color theme="1"/>
        <rFont val="宋体"/>
        <family val="3"/>
        <charset val="134"/>
      </rPr>
      <t>层）</t>
    </r>
    <phoneticPr fontId="6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</si>
  <si>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层停车费</t>
    </r>
    <phoneticPr fontId="5" type="noConversion"/>
  </si>
  <si>
    <r>
      <t>融科中科资源大厦地下</t>
    </r>
    <r>
      <rPr>
        <sz val="10"/>
        <color theme="1"/>
        <rFont val="Calibri"/>
        <family val="2"/>
      </rPr>
      <t>3</t>
    </r>
    <r>
      <rPr>
        <sz val="10"/>
        <color theme="1"/>
        <rFont val="宋体"/>
        <family val="3"/>
        <charset val="134"/>
      </rPr>
      <t>车位</t>
    </r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</si>
  <si>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7</t>
    </r>
    <r>
      <rPr>
        <sz val="10"/>
        <color theme="1"/>
        <rFont val="宋体"/>
        <family val="3"/>
        <charset val="134"/>
      </rPr>
      <t>层地下停车费</t>
    </r>
    <phoneticPr fontId="6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</si>
  <si>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8</t>
    </r>
    <r>
      <rPr>
        <sz val="10"/>
        <color theme="1"/>
        <rFont val="宋体"/>
        <family val="3"/>
        <charset val="134"/>
      </rPr>
      <t>层地下停车费</t>
    </r>
    <phoneticPr fontId="6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</si>
  <si>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Arial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Arial"/>
        <family val="2"/>
      </rPr>
      <t>8</t>
    </r>
    <r>
      <rPr>
        <sz val="10"/>
        <color theme="1"/>
        <rFont val="宋体"/>
        <family val="3"/>
        <charset val="134"/>
      </rPr>
      <t>层</t>
    </r>
    <phoneticPr fontId="5" type="noConversion"/>
  </si>
  <si>
    <t>车位费合计</t>
    <phoneticPr fontId="6" type="noConversion"/>
  </si>
  <si>
    <t>水电费</t>
  </si>
  <si>
    <t>取暖费</t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</si>
  <si>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3"/>
        <charset val="134"/>
      </rPr>
      <t>层电费</t>
    </r>
    <phoneticPr fontId="6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</si>
  <si>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20</t>
    </r>
    <r>
      <rPr>
        <sz val="10"/>
        <color theme="1"/>
        <rFont val="宋体"/>
        <family val="3"/>
        <charset val="134"/>
      </rPr>
      <t>层电费</t>
    </r>
    <phoneticPr fontId="6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</si>
  <si>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7</t>
    </r>
    <r>
      <rPr>
        <sz val="10"/>
        <color theme="1"/>
        <rFont val="宋体"/>
        <family val="3"/>
        <charset val="134"/>
      </rPr>
      <t>层电费</t>
    </r>
    <phoneticPr fontId="6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</si>
  <si>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8</t>
    </r>
    <r>
      <rPr>
        <sz val="10"/>
        <color theme="1"/>
        <rFont val="宋体"/>
        <family val="3"/>
        <charset val="134"/>
      </rPr>
      <t>层电费</t>
    </r>
    <phoneticPr fontId="6" type="noConversion"/>
  </si>
  <si>
    <t>水电费合计</t>
    <phoneticPr fontId="6" type="noConversion"/>
  </si>
  <si>
    <t>茶水费、饮水费等</t>
    <phoneticPr fontId="5" type="noConversion"/>
  </si>
  <si>
    <t>茶水费、饮水费等</t>
  </si>
  <si>
    <t>皂君庙</t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</si>
  <si>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3"/>
        <charset val="134"/>
      </rPr>
      <t>层饮用水</t>
    </r>
    <phoneticPr fontId="6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</si>
  <si>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20</t>
    </r>
    <r>
      <rPr>
        <sz val="10"/>
        <color theme="1"/>
        <rFont val="宋体"/>
        <family val="3"/>
        <charset val="134"/>
      </rPr>
      <t>层饮用水</t>
    </r>
    <phoneticPr fontId="6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</si>
  <si>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7</t>
    </r>
    <r>
      <rPr>
        <sz val="10"/>
        <color theme="1"/>
        <rFont val="宋体"/>
        <family val="3"/>
        <charset val="134"/>
      </rPr>
      <t>层饮用水</t>
    </r>
    <phoneticPr fontId="6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</si>
  <si>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8</t>
    </r>
    <r>
      <rPr>
        <sz val="10"/>
        <color theme="1"/>
        <rFont val="宋体"/>
        <family val="3"/>
        <charset val="134"/>
      </rPr>
      <t>层饮用水</t>
    </r>
    <phoneticPr fontId="6" type="noConversion"/>
  </si>
  <si>
    <t>饮用水合计</t>
    <phoneticPr fontId="6" type="noConversion"/>
  </si>
  <si>
    <t>含茶间用品</t>
    <phoneticPr fontId="6" type="noConversion"/>
  </si>
  <si>
    <t>保安费</t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</si>
  <si>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3"/>
        <charset val="134"/>
      </rPr>
      <t>层保安费</t>
    </r>
    <phoneticPr fontId="6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</si>
  <si>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20</t>
    </r>
    <r>
      <rPr>
        <sz val="10"/>
        <color theme="1"/>
        <rFont val="宋体"/>
        <family val="3"/>
        <charset val="134"/>
      </rPr>
      <t>层保安费</t>
    </r>
    <phoneticPr fontId="6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</si>
  <si>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层保安费</t>
    </r>
    <phoneticPr fontId="5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</si>
  <si>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7</t>
    </r>
    <r>
      <rPr>
        <sz val="10"/>
        <color theme="1"/>
        <rFont val="宋体"/>
        <family val="3"/>
        <charset val="134"/>
      </rPr>
      <t>层保安费</t>
    </r>
    <phoneticPr fontId="6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</si>
  <si>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8</t>
    </r>
    <r>
      <rPr>
        <sz val="10"/>
        <color theme="1"/>
        <rFont val="宋体"/>
        <family val="3"/>
        <charset val="134"/>
      </rPr>
      <t>层保安费</t>
    </r>
    <phoneticPr fontId="6" type="noConversion"/>
  </si>
  <si>
    <t>保安费合计</t>
    <phoneticPr fontId="6" type="noConversion"/>
  </si>
  <si>
    <t>绿植租摆</t>
  </si>
  <si>
    <t>全公司</t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</si>
  <si>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3"/>
        <charset val="134"/>
      </rPr>
      <t>层植物租摆费</t>
    </r>
    <phoneticPr fontId="6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</si>
  <si>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20</t>
    </r>
    <r>
      <rPr>
        <sz val="10"/>
        <color theme="1"/>
        <rFont val="宋体"/>
        <family val="3"/>
        <charset val="134"/>
      </rPr>
      <t>层植物租摆费</t>
    </r>
    <phoneticPr fontId="6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</si>
  <si>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7</t>
    </r>
    <r>
      <rPr>
        <sz val="10"/>
        <color theme="1"/>
        <rFont val="宋体"/>
        <family val="3"/>
        <charset val="134"/>
      </rPr>
      <t>层植物租摆费</t>
    </r>
    <phoneticPr fontId="6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</si>
  <si>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8</t>
    </r>
    <r>
      <rPr>
        <sz val="10"/>
        <color theme="1"/>
        <rFont val="宋体"/>
        <family val="3"/>
        <charset val="134"/>
      </rPr>
      <t>层植物租摆费</t>
    </r>
    <phoneticPr fontId="6" type="noConversion"/>
  </si>
  <si>
    <t>绿植租摆费合计</t>
    <phoneticPr fontId="6" type="noConversion"/>
  </si>
  <si>
    <t>保洁费</t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</si>
  <si>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3"/>
        <charset val="134"/>
      </rPr>
      <t>层日常保洁费用</t>
    </r>
    <phoneticPr fontId="6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</si>
  <si>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20</t>
    </r>
    <r>
      <rPr>
        <sz val="10"/>
        <color theme="1"/>
        <rFont val="宋体"/>
        <family val="3"/>
        <charset val="134"/>
      </rPr>
      <t>层日常保洁费用</t>
    </r>
    <phoneticPr fontId="6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</si>
  <si>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层保洁费用</t>
    </r>
    <phoneticPr fontId="5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</si>
  <si>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7</t>
    </r>
    <r>
      <rPr>
        <sz val="10"/>
        <color theme="1"/>
        <rFont val="宋体"/>
        <family val="3"/>
        <charset val="134"/>
      </rPr>
      <t>层日常保洁费用</t>
    </r>
    <phoneticPr fontId="6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</si>
  <si>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8</t>
    </r>
    <r>
      <rPr>
        <sz val="10"/>
        <color theme="1"/>
        <rFont val="宋体"/>
        <family val="3"/>
        <charset val="134"/>
      </rPr>
      <t>层日常保洁费用</t>
    </r>
    <phoneticPr fontId="6" type="noConversion"/>
  </si>
  <si>
    <t>清洗地毯及石材保养</t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</si>
  <si>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3"/>
        <charset val="134"/>
      </rPr>
      <t>层地毯清洗</t>
    </r>
    <phoneticPr fontId="6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</si>
  <si>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20</t>
    </r>
    <r>
      <rPr>
        <sz val="10"/>
        <color theme="1"/>
        <rFont val="宋体"/>
        <family val="3"/>
        <charset val="134"/>
      </rPr>
      <t>层地毯清洗</t>
    </r>
    <phoneticPr fontId="6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</si>
  <si>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层地毯清洗</t>
    </r>
    <phoneticPr fontId="5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</si>
  <si>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7</t>
    </r>
    <r>
      <rPr>
        <sz val="10"/>
        <color theme="1"/>
        <rFont val="宋体"/>
        <family val="3"/>
        <charset val="134"/>
      </rPr>
      <t>层地毯清洗</t>
    </r>
    <phoneticPr fontId="6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</si>
  <si>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8</t>
    </r>
    <r>
      <rPr>
        <sz val="10"/>
        <color theme="1"/>
        <rFont val="宋体"/>
        <family val="3"/>
        <charset val="134"/>
      </rPr>
      <t>层地毯清洗</t>
    </r>
    <phoneticPr fontId="6" type="noConversion"/>
  </si>
  <si>
    <t>Others日常</t>
  </si>
  <si>
    <t>保洁费清洗地毯石材保养费</t>
    <phoneticPr fontId="6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</si>
  <si>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3"/>
        <charset val="134"/>
      </rPr>
      <t>层自聘茶水间阿姨费用</t>
    </r>
    <phoneticPr fontId="6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</si>
  <si>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层自聘茶水间阿姨费用</t>
    </r>
    <phoneticPr fontId="6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</si>
  <si>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8</t>
    </r>
    <r>
      <rPr>
        <sz val="10"/>
        <color theme="1"/>
        <rFont val="宋体"/>
        <family val="3"/>
        <charset val="134"/>
      </rPr>
      <t>层自聘茶水间阿姨费用</t>
    </r>
    <phoneticPr fontId="6" type="noConversion"/>
  </si>
  <si>
    <t>班车</t>
  </si>
  <si>
    <t>十月起停用</t>
    <phoneticPr fontId="6" type="noConversion"/>
  </si>
  <si>
    <t>搜狐媒体大厦</t>
    <phoneticPr fontId="5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</si>
  <si>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3"/>
        <charset val="134"/>
      </rPr>
      <t>层茶水间费用</t>
    </r>
    <phoneticPr fontId="6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</si>
  <si>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20</t>
    </r>
    <r>
      <rPr>
        <sz val="10"/>
        <color theme="1"/>
        <rFont val="宋体"/>
        <family val="3"/>
        <charset val="134"/>
      </rPr>
      <t>层茶水间费用</t>
    </r>
    <phoneticPr fontId="6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</si>
  <si>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7</t>
    </r>
    <r>
      <rPr>
        <sz val="10"/>
        <color theme="1"/>
        <rFont val="宋体"/>
        <family val="3"/>
        <charset val="134"/>
      </rPr>
      <t>层茶水间费用</t>
    </r>
    <phoneticPr fontId="6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</si>
  <si>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8</t>
    </r>
    <r>
      <rPr>
        <sz val="10"/>
        <color theme="1"/>
        <rFont val="宋体"/>
        <family val="3"/>
        <charset val="134"/>
      </rPr>
      <t>层茶水间费用</t>
    </r>
    <phoneticPr fontId="6" type="noConversion"/>
  </si>
  <si>
    <t>全公司</t>
  </si>
  <si>
    <r>
      <t>RFID</t>
    </r>
    <r>
      <rPr>
        <sz val="10"/>
        <color theme="1"/>
        <rFont val="宋体"/>
        <family val="3"/>
        <charset val="134"/>
      </rPr>
      <t>标签</t>
    </r>
    <phoneticPr fontId="6" type="noConversion"/>
  </si>
  <si>
    <t>复印机及家具维护费</t>
  </si>
  <si>
    <t>Others维护费</t>
  </si>
  <si>
    <t>含日常家具维修</t>
    <phoneticPr fontId="6" type="noConversion"/>
  </si>
  <si>
    <r>
      <t>同方</t>
    </r>
    <r>
      <rPr>
        <sz val="10"/>
        <color theme="1"/>
        <rFont val="Calibri"/>
        <family val="2"/>
      </rPr>
      <t>7</t>
    </r>
    <r>
      <rPr>
        <sz val="10"/>
        <color theme="1"/>
        <rFont val="宋体"/>
        <family val="3"/>
        <charset val="134"/>
      </rPr>
      <t>层退租恢复费用</t>
    </r>
    <phoneticPr fontId="5" type="noConversion"/>
  </si>
  <si>
    <t>Others日常</t>
    <phoneticPr fontId="5" type="noConversion"/>
  </si>
  <si>
    <t>卫星收视费</t>
  </si>
  <si>
    <t>维修和卫星维护费</t>
    <phoneticPr fontId="6" type="noConversion"/>
  </si>
  <si>
    <t>Insurance</t>
  </si>
  <si>
    <t>全公司财产保险等</t>
  </si>
  <si>
    <t>财产保险费</t>
    <phoneticPr fontId="6" type="noConversion"/>
  </si>
  <si>
    <t>Capex</t>
  </si>
  <si>
    <t>资产</t>
    <phoneticPr fontId="6" type="noConversion"/>
  </si>
  <si>
    <t>家具</t>
    <phoneticPr fontId="5" type="noConversion"/>
  </si>
  <si>
    <t>资产合计（不含汽车焦点视频）</t>
    <phoneticPr fontId="6" type="noConversion"/>
  </si>
  <si>
    <t>车辆保险/保养等</t>
  </si>
  <si>
    <t>车辆保险费</t>
    <phoneticPr fontId="6" type="noConversion"/>
  </si>
  <si>
    <r>
      <rPr>
        <b/>
        <sz val="10"/>
        <color theme="1"/>
        <rFont val="宋体"/>
        <family val="3"/>
        <charset val="134"/>
      </rPr>
      <t>（北京全部办公区以及新增融科</t>
    </r>
    <r>
      <rPr>
        <sz val="10"/>
        <color theme="1"/>
        <rFont val="Calibri"/>
        <family val="2"/>
      </rPr>
      <t>C10F</t>
    </r>
    <r>
      <rPr>
        <sz val="10"/>
        <color theme="1"/>
        <rFont val="宋体"/>
        <family val="3"/>
        <charset val="134"/>
      </rPr>
      <t>及新增预留工位以及文化建设，不含武汉研发中心及搜狗）</t>
    </r>
    <phoneticPr fontId="5" type="noConversion"/>
  </si>
  <si>
    <t>check</t>
    <phoneticPr fontId="6" type="noConversion"/>
  </si>
  <si>
    <t>▲差旅前台组</t>
    <phoneticPr fontId="6" type="noConversion"/>
  </si>
  <si>
    <t>◆工程组</t>
    <phoneticPr fontId="6" type="noConversion"/>
  </si>
  <si>
    <r>
      <rPr>
        <sz val="10"/>
        <color rgb="FFFF0000"/>
        <rFont val="宋体"/>
        <family val="3"/>
        <charset val="134"/>
      </rPr>
      <t>数据口径：</t>
    </r>
    <r>
      <rPr>
        <sz val="10"/>
        <color rgb="FFFF0000"/>
        <rFont val="Arial"/>
        <family val="2"/>
      </rPr>
      <t>Q1-Q3</t>
    </r>
    <r>
      <rPr>
        <sz val="10"/>
        <color rgb="FFFF0000"/>
        <rFont val="宋体"/>
        <family val="3"/>
        <charset val="134"/>
      </rPr>
      <t>为实际数，</t>
    </r>
    <r>
      <rPr>
        <sz val="10"/>
        <color rgb="FFFF0000"/>
        <rFont val="Arial"/>
        <family val="2"/>
      </rPr>
      <t>Q4</t>
    </r>
    <r>
      <rPr>
        <sz val="10"/>
        <color rgb="FFFF0000"/>
        <rFont val="宋体"/>
        <family val="3"/>
        <charset val="134"/>
      </rPr>
      <t>为预算数；其中</t>
    </r>
    <r>
      <rPr>
        <sz val="10"/>
        <color rgb="FFFF0000"/>
        <rFont val="Arial"/>
        <family val="2"/>
      </rPr>
      <t>ES Capex Q1-Q3</t>
    </r>
    <r>
      <rPr>
        <sz val="10"/>
        <color rgb="FFFF0000"/>
        <rFont val="宋体"/>
        <family val="3"/>
        <charset val="134"/>
      </rPr>
      <t>为每</t>
    </r>
    <r>
      <rPr>
        <sz val="10"/>
        <color rgb="FFFF0000"/>
        <rFont val="Arial"/>
        <family val="2"/>
      </rPr>
      <t>Q</t>
    </r>
    <r>
      <rPr>
        <sz val="10"/>
        <color rgb="FFFF0000"/>
        <rFont val="宋体"/>
        <family val="3"/>
        <charset val="134"/>
      </rPr>
      <t>入库实际数，</t>
    </r>
    <r>
      <rPr>
        <sz val="10"/>
        <color rgb="FFFF0000"/>
        <rFont val="Arial"/>
        <family val="2"/>
      </rPr>
      <t>Q4</t>
    </r>
    <r>
      <rPr>
        <sz val="10"/>
        <color rgb="FFFF0000"/>
        <rFont val="宋体"/>
        <family val="3"/>
        <charset val="134"/>
      </rPr>
      <t>为预算数</t>
    </r>
    <phoneticPr fontId="6" type="noConversion"/>
  </si>
  <si>
    <r>
      <rPr>
        <sz val="10"/>
        <rFont val="宋体"/>
        <family val="3"/>
        <charset val="134"/>
      </rPr>
      <t>每季度结算，</t>
    </r>
    <r>
      <rPr>
        <sz val="10"/>
        <rFont val="Calibri"/>
        <family val="2"/>
      </rPr>
      <t>2014.11.3</t>
    </r>
    <r>
      <rPr>
        <sz val="10"/>
        <rFont val="宋体"/>
        <family val="3"/>
        <charset val="134"/>
      </rPr>
      <t>开始租金上调</t>
    </r>
    <r>
      <rPr>
        <sz val="10"/>
        <rFont val="Calibri"/>
        <family val="2"/>
      </rPr>
      <t>2000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</t>
    </r>
    <phoneticPr fontId="5" type="noConversion"/>
  </si>
  <si>
    <r>
      <rPr>
        <b/>
        <sz val="10"/>
        <color rgb="FFFF0000"/>
        <rFont val="宋体"/>
        <family val="3"/>
        <charset val="134"/>
      </rPr>
      <t>（北京全办公区以及新增融科</t>
    </r>
    <r>
      <rPr>
        <b/>
        <sz val="10"/>
        <color rgb="FFFF0000"/>
        <rFont val="Calibri"/>
        <family val="2"/>
      </rPr>
      <t>C10F</t>
    </r>
    <r>
      <rPr>
        <b/>
        <sz val="10"/>
        <color rgb="FFFF0000"/>
        <rFont val="宋体"/>
        <family val="3"/>
        <charset val="134"/>
      </rPr>
      <t>及武汉研发中心、新增预留工位以及文化建设，不含搜狗）</t>
    </r>
    <phoneticPr fontId="5" type="noConversion"/>
  </si>
  <si>
    <r>
      <rPr>
        <b/>
        <sz val="10"/>
        <rFont val="宋体"/>
        <family val="3"/>
        <charset val="134"/>
      </rPr>
      <t>与</t>
    </r>
    <r>
      <rPr>
        <b/>
        <sz val="10"/>
        <rFont val="Calibri"/>
        <family val="2"/>
      </rPr>
      <t>2015</t>
    </r>
    <r>
      <rPr>
        <b/>
        <sz val="10"/>
        <rFont val="宋体"/>
        <family val="3"/>
        <charset val="134"/>
      </rPr>
      <t>预算差异</t>
    </r>
    <phoneticPr fontId="5" type="noConversion"/>
  </si>
  <si>
    <t>预算执行率</t>
    <phoneticPr fontId="5" type="noConversion"/>
  </si>
  <si>
    <t>融科中科资源大厦地下（焦点11个）</t>
    <phoneticPr fontId="5" type="noConversion"/>
  </si>
  <si>
    <r>
      <t>2016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月份开始焦点支付车位费由</t>
    </r>
    <r>
      <rPr>
        <sz val="10"/>
        <rFont val="Calibri"/>
        <family val="2"/>
      </rPr>
      <t>23</t>
    </r>
    <r>
      <rPr>
        <sz val="10"/>
        <rFont val="宋体"/>
        <family val="3"/>
        <charset val="134"/>
      </rPr>
      <t>个减少为</t>
    </r>
    <r>
      <rPr>
        <sz val="10"/>
        <rFont val="Calibri"/>
        <family val="2"/>
      </rPr>
      <t>11</t>
    </r>
    <r>
      <rPr>
        <sz val="10"/>
        <rFont val="宋体"/>
        <family val="3"/>
        <charset val="134"/>
      </rPr>
      <t>个</t>
    </r>
    <phoneticPr fontId="5" type="noConversion"/>
  </si>
  <si>
    <r>
      <rPr>
        <sz val="10"/>
        <rFont val="宋体"/>
        <family val="3"/>
        <charset val="134"/>
      </rPr>
      <t>使用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年剩余</t>
    </r>
    <phoneticPr fontId="5" type="noConversion"/>
  </si>
  <si>
    <t>日常费用  小计（算入物业结余）</t>
    <phoneticPr fontId="6" type="noConversion"/>
  </si>
  <si>
    <t>房租物业费小计（焦点）</t>
    <phoneticPr fontId="5" type="noConversion"/>
  </si>
  <si>
    <t>停车费小计（焦点）</t>
    <phoneticPr fontId="5" type="noConversion"/>
  </si>
  <si>
    <t>停车费小计（集团）</t>
    <phoneticPr fontId="5" type="noConversion"/>
  </si>
  <si>
    <t>电费小计（焦点）</t>
    <phoneticPr fontId="5" type="noConversion"/>
  </si>
  <si>
    <t>电费小计（集团）</t>
    <phoneticPr fontId="5" type="noConversion"/>
  </si>
  <si>
    <t>饮用水费小计（焦点）</t>
    <phoneticPr fontId="5" type="noConversion"/>
  </si>
  <si>
    <t>饮用水费小计（集团）</t>
    <phoneticPr fontId="5" type="noConversion"/>
  </si>
  <si>
    <t>保安费小计（焦点）</t>
    <phoneticPr fontId="5" type="noConversion"/>
  </si>
  <si>
    <t>保安费小计（集团）</t>
    <phoneticPr fontId="5" type="noConversion"/>
  </si>
  <si>
    <t>绿植费小计（焦点）</t>
    <phoneticPr fontId="5" type="noConversion"/>
  </si>
  <si>
    <t>绿植费小计（集团）</t>
    <phoneticPr fontId="5" type="noConversion"/>
  </si>
  <si>
    <t>保洁费小计（焦点）</t>
    <phoneticPr fontId="5" type="noConversion"/>
  </si>
  <si>
    <t>保洁费小计（集团）</t>
    <phoneticPr fontId="5" type="noConversion"/>
  </si>
  <si>
    <t>地毯清洗费小计（焦点）</t>
    <phoneticPr fontId="5" type="noConversion"/>
  </si>
  <si>
    <t>地毯清洗费小计（集团）</t>
    <phoneticPr fontId="5" type="noConversion"/>
  </si>
  <si>
    <t>班车费小计（焦点）</t>
    <phoneticPr fontId="5" type="noConversion"/>
  </si>
  <si>
    <t>班车费小计（集团）</t>
    <phoneticPr fontId="5" type="noConversion"/>
  </si>
  <si>
    <t>茶间用品费小计（集团）</t>
    <phoneticPr fontId="5" type="noConversion"/>
  </si>
  <si>
    <t>杯具费用</t>
    <phoneticPr fontId="5" type="noConversion"/>
  </si>
  <si>
    <t>茶间用品费小计（焦点）</t>
    <phoneticPr fontId="5" type="noConversion"/>
  </si>
  <si>
    <t>工程维护小计（集团）</t>
    <phoneticPr fontId="5" type="noConversion"/>
  </si>
  <si>
    <t>工程维护小计（焦点）</t>
    <phoneticPr fontId="5" type="noConversion"/>
  </si>
  <si>
    <t>工程维护费用</t>
    <phoneticPr fontId="5" type="noConversion"/>
  </si>
  <si>
    <t>焦点工程维护费用</t>
    <phoneticPr fontId="5" type="noConversion"/>
  </si>
  <si>
    <t>地毯</t>
    <phoneticPr fontId="5" type="noConversion"/>
  </si>
  <si>
    <t>财产保险小计（焦点）</t>
    <phoneticPr fontId="5" type="noConversion"/>
  </si>
  <si>
    <t>财产保险小计（集团）</t>
    <phoneticPr fontId="5" type="noConversion"/>
  </si>
  <si>
    <t>资产小计（焦点）</t>
    <phoneticPr fontId="5" type="noConversion"/>
  </si>
  <si>
    <t>资产+家具更新小计（集团）</t>
    <phoneticPr fontId="5" type="noConversion"/>
  </si>
  <si>
    <t>焦点合计</t>
    <phoneticPr fontId="5" type="noConversion"/>
  </si>
  <si>
    <t>集团合计（不含焦点）</t>
    <phoneticPr fontId="5" type="noConversion"/>
  </si>
  <si>
    <t>因物价上涨及家具老化，各增加预估20%</t>
    <phoneticPr fontId="5" type="noConversion"/>
  </si>
  <si>
    <t>根据座位可使用率预估增长</t>
    <phoneticPr fontId="5" type="noConversion"/>
  </si>
  <si>
    <r>
      <t>2015</t>
    </r>
    <r>
      <rPr>
        <sz val="10"/>
        <rFont val="宋体"/>
        <family val="3"/>
        <charset val="134"/>
      </rPr>
      <t>年</t>
    </r>
    <r>
      <rPr>
        <sz val="10"/>
        <rFont val="宋体"/>
        <family val="3"/>
        <charset val="134"/>
      </rPr>
      <t>因同方退租，剩余大量茶间用品转至媒体大厦及</t>
    </r>
    <r>
      <rPr>
        <sz val="10"/>
        <rFont val="Calibri"/>
        <family val="2"/>
      </rPr>
      <t>A4</t>
    </r>
    <r>
      <rPr>
        <sz val="10"/>
        <rFont val="宋体"/>
        <family val="3"/>
        <charset val="134"/>
      </rPr>
      <t>使用，约</t>
    </r>
    <r>
      <rPr>
        <sz val="10"/>
        <rFont val="Calibri"/>
        <family val="2"/>
      </rPr>
      <t>3</t>
    </r>
    <r>
      <rPr>
        <sz val="10"/>
        <rFont val="宋体"/>
        <family val="3"/>
        <charset val="134"/>
      </rPr>
      <t>个月少量采购</t>
    </r>
    <phoneticPr fontId="5" type="noConversion"/>
  </si>
  <si>
    <t>在2015年实际费用基础上根据可使用率及物价上涨因素预估上调</t>
    <phoneticPr fontId="5" type="noConversion"/>
  </si>
  <si>
    <t>纸杯的使用量降低，瓷杯库存根据损耗进行补充</t>
    <phoneticPr fontId="5" type="noConversion"/>
  </si>
  <si>
    <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5</t>
    </r>
    <r>
      <rPr>
        <sz val="10"/>
        <rFont val="宋体"/>
        <family val="3"/>
        <charset val="134"/>
      </rPr>
      <t>月前质保期内媒体大厦所有维护及材料由开发商承担，</t>
    </r>
    <r>
      <rPr>
        <sz val="10"/>
        <rFont val="Calibri"/>
        <family val="2"/>
      </rPr>
      <t>5</t>
    </r>
    <r>
      <rPr>
        <sz val="10"/>
        <rFont val="宋体"/>
        <family val="3"/>
        <charset val="134"/>
      </rPr>
      <t>月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日起由搜狐单独签订质保合同，故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年仅发生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个月费用，</t>
    </r>
    <r>
      <rPr>
        <sz val="10"/>
        <rFont val="Calibri"/>
        <family val="2"/>
      </rPr>
      <t>2016</t>
    </r>
    <r>
      <rPr>
        <sz val="10"/>
        <rFont val="宋体"/>
        <family val="3"/>
        <charset val="134"/>
      </rPr>
      <t>年费用为全年</t>
    </r>
    <r>
      <rPr>
        <sz val="10"/>
        <rFont val="Calibri"/>
        <family val="2"/>
      </rPr>
      <t>12</t>
    </r>
    <r>
      <rPr>
        <sz val="10"/>
        <rFont val="宋体"/>
        <family val="3"/>
        <charset val="134"/>
      </rPr>
      <t>个月</t>
    </r>
    <phoneticPr fontId="5" type="noConversion"/>
  </si>
  <si>
    <t>员工活动</t>
    <phoneticPr fontId="5" type="noConversion"/>
  </si>
  <si>
    <r>
      <t>5F、6F、</t>
    </r>
    <r>
      <rPr>
        <sz val="10"/>
        <color theme="3"/>
        <rFont val="宋体"/>
        <family val="3"/>
        <charset val="134"/>
      </rPr>
      <t>18F</t>
    </r>
    <r>
      <rPr>
        <sz val="10"/>
        <color rgb="FFFF0000"/>
        <rFont val="宋体"/>
        <family val="3"/>
        <charset val="134"/>
      </rPr>
      <t>散热器改造</t>
    </r>
    <phoneticPr fontId="6" type="noConversion"/>
  </si>
  <si>
    <r>
      <rPr>
        <sz val="10"/>
        <rFont val="宋体"/>
        <family val="3"/>
        <charset val="134"/>
      </rPr>
      <t>技术笔记本（元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台）</t>
    </r>
    <phoneticPr fontId="6" type="noConversion"/>
  </si>
  <si>
    <t>销售笔记本（元/台）</t>
    <phoneticPr fontId="5" type="noConversion"/>
  </si>
  <si>
    <t>预计报废更新</t>
    <phoneticPr fontId="5" type="noConversion"/>
  </si>
  <si>
    <t>明细</t>
    <phoneticPr fontId="6" type="noConversion"/>
  </si>
  <si>
    <r>
      <t>2016</t>
    </r>
    <r>
      <rPr>
        <b/>
        <sz val="10"/>
        <rFont val="宋体"/>
        <family val="3"/>
        <charset val="134"/>
      </rPr>
      <t>年预算</t>
    </r>
    <phoneticPr fontId="6" type="noConversion"/>
  </si>
  <si>
    <r>
      <t>2015</t>
    </r>
    <r>
      <rPr>
        <b/>
        <sz val="10"/>
        <rFont val="宋体"/>
        <family val="3"/>
        <charset val="134"/>
      </rPr>
      <t>年实际费用</t>
    </r>
    <phoneticPr fontId="5" type="noConversion"/>
  </si>
  <si>
    <r>
      <rPr>
        <b/>
        <sz val="10"/>
        <rFont val="宋体"/>
        <family val="3"/>
        <charset val="134"/>
      </rPr>
      <t>与</t>
    </r>
    <r>
      <rPr>
        <b/>
        <sz val="10"/>
        <rFont val="Calibri"/>
        <family val="2"/>
      </rPr>
      <t>2015</t>
    </r>
    <r>
      <rPr>
        <b/>
        <sz val="10"/>
        <rFont val="宋体"/>
        <family val="3"/>
        <charset val="134"/>
      </rPr>
      <t>年实际费用差异
（不含焦点）</t>
    </r>
    <phoneticPr fontId="5" type="noConversion"/>
  </si>
  <si>
    <t>总计</t>
    <phoneticPr fontId="5" type="noConversion"/>
  </si>
  <si>
    <t>Q1</t>
    <phoneticPr fontId="5" type="noConversion"/>
  </si>
  <si>
    <t>Q2</t>
    <phoneticPr fontId="5" type="noConversion"/>
  </si>
  <si>
    <t>Q3</t>
    <phoneticPr fontId="5" type="noConversion"/>
  </si>
  <si>
    <t>Q4</t>
    <phoneticPr fontId="5" type="noConversion"/>
  </si>
  <si>
    <t>Office Cleaning</t>
    <phoneticPr fontId="5" type="noConversion"/>
  </si>
  <si>
    <t>工程维护总计（含焦点）</t>
    <phoneticPr fontId="5" type="noConversion"/>
  </si>
  <si>
    <t>财产保险合计（含焦点）</t>
    <phoneticPr fontId="5" type="noConversion"/>
  </si>
  <si>
    <t>资产+家具更新合计（含焦点）</t>
    <phoneticPr fontId="5" type="noConversion"/>
  </si>
  <si>
    <t>合计1（含焦点，不含武汉研发中心及搜狗）</t>
    <phoneticPr fontId="5" type="noConversion"/>
  </si>
  <si>
    <t>茶间用品总计（含焦点）</t>
    <phoneticPr fontId="5" type="noConversion"/>
  </si>
  <si>
    <t>班车费合计（含焦点）</t>
    <phoneticPr fontId="5" type="noConversion"/>
  </si>
  <si>
    <t>地毯清洗费合计（含焦点）</t>
    <phoneticPr fontId="5" type="noConversion"/>
  </si>
  <si>
    <t>保洁费合计（含焦点）</t>
    <phoneticPr fontId="5" type="noConversion"/>
  </si>
  <si>
    <t>绿植费合计（含焦点）</t>
    <phoneticPr fontId="5" type="noConversion"/>
  </si>
  <si>
    <t>保安费合计（含焦点）</t>
    <phoneticPr fontId="5" type="noConversion"/>
  </si>
  <si>
    <t>饮用水费合计（含焦点）</t>
    <phoneticPr fontId="5" type="noConversion"/>
  </si>
  <si>
    <t>电费合计（含焦点）</t>
    <phoneticPr fontId="5" type="noConversion"/>
  </si>
  <si>
    <t>停车费合计（含焦点）</t>
    <phoneticPr fontId="5" type="noConversion"/>
  </si>
  <si>
    <t>房租物业费合计（含焦点）</t>
    <phoneticPr fontId="5" type="noConversion"/>
  </si>
  <si>
    <t>房租物业费小计（集团）</t>
    <phoneticPr fontId="5" type="noConversion"/>
  </si>
  <si>
    <t>单价</t>
  </si>
  <si>
    <r>
      <t>7-15</t>
    </r>
    <r>
      <rPr>
        <sz val="10"/>
        <color rgb="FFFF0000"/>
        <rFont val="宋体"/>
        <family val="3"/>
        <charset val="134"/>
      </rPr>
      <t>层按套内使用面积计算，共</t>
    </r>
    <r>
      <rPr>
        <sz val="10"/>
        <color rgb="FFFF0000"/>
        <rFont val="Calibri"/>
        <family val="2"/>
      </rPr>
      <t>9008</t>
    </r>
    <r>
      <rPr>
        <sz val="10"/>
        <color rgb="FFFF0000"/>
        <rFont val="宋体"/>
        <family val="3"/>
        <charset val="134"/>
      </rPr>
      <t>平米，每年</t>
    </r>
    <r>
      <rPr>
        <sz val="10"/>
        <color rgb="FFFF0000"/>
        <rFont val="Calibri"/>
        <family val="2"/>
      </rPr>
      <t>Q1</t>
    </r>
    <r>
      <rPr>
        <sz val="10"/>
        <color rgb="FFFF0000"/>
        <rFont val="宋体"/>
        <family val="3"/>
        <charset val="134"/>
      </rPr>
      <t>、</t>
    </r>
    <r>
      <rPr>
        <sz val="10"/>
        <color rgb="FFFF0000"/>
        <rFont val="Calibri"/>
        <family val="2"/>
      </rPr>
      <t>Q2</t>
    </r>
    <r>
      <rPr>
        <sz val="10"/>
        <color rgb="FFFF0000"/>
        <rFont val="宋体"/>
        <family val="3"/>
        <charset val="134"/>
      </rPr>
      <t>、</t>
    </r>
    <r>
      <rPr>
        <sz val="10"/>
        <color rgb="FFFF0000"/>
        <rFont val="Calibri"/>
        <family val="2"/>
      </rPr>
      <t>Q4</t>
    </r>
    <r>
      <rPr>
        <sz val="10"/>
        <color rgb="FFFF0000"/>
        <rFont val="宋体"/>
        <family val="3"/>
        <charset val="134"/>
      </rPr>
      <t>各清洗</t>
    </r>
    <r>
      <rPr>
        <sz val="10"/>
        <color rgb="FFFF0000"/>
        <rFont val="Calibri"/>
        <family val="2"/>
      </rPr>
      <t>1</t>
    </r>
    <r>
      <rPr>
        <sz val="10"/>
        <color rgb="FFFF0000"/>
        <rFont val="宋体"/>
        <family val="3"/>
        <charset val="134"/>
      </rPr>
      <t>次，搜狐承担其中的</t>
    </r>
    <r>
      <rPr>
        <sz val="10"/>
        <color rgb="FFFF0000"/>
        <rFont val="Calibri"/>
        <family val="2"/>
      </rPr>
      <t>0.2%</t>
    </r>
    <phoneticPr fontId="5" type="noConversion"/>
  </si>
  <si>
    <t>老板间水果</t>
    <phoneticPr fontId="6" type="noConversion"/>
  </si>
  <si>
    <t>A</t>
    <phoneticPr fontId="5" type="noConversion"/>
  </si>
  <si>
    <t>B</t>
    <phoneticPr fontId="5" type="noConversion"/>
  </si>
  <si>
    <t>C</t>
    <phoneticPr fontId="5" type="noConversion"/>
  </si>
  <si>
    <t>C</t>
    <phoneticPr fontId="5" type="noConversion"/>
  </si>
  <si>
    <t>2015年未出险，按规则1预估</t>
    <phoneticPr fontId="6" type="noConversion"/>
  </si>
  <si>
    <t>奥迪A6L</t>
    <phoneticPr fontId="6" type="noConversion"/>
  </si>
  <si>
    <t>B</t>
    <phoneticPr fontId="5" type="noConversion"/>
  </si>
  <si>
    <r>
      <rPr>
        <sz val="10"/>
        <rFont val="宋体"/>
        <family val="3"/>
        <charset val="134"/>
      </rPr>
      <t>网络大厦搜狐占用的车位由</t>
    </r>
    <r>
      <rPr>
        <sz val="10"/>
        <rFont val="Calibri"/>
        <family val="2"/>
      </rPr>
      <t>x</t>
    </r>
    <r>
      <rPr>
        <sz val="10"/>
        <rFont val="宋体"/>
        <family val="3"/>
        <charset val="134"/>
      </rPr>
      <t>个降低为</t>
    </r>
    <r>
      <rPr>
        <sz val="10"/>
        <rFont val="Calibri"/>
        <family val="2"/>
      </rPr>
      <t>3</t>
    </r>
    <r>
      <rPr>
        <sz val="10"/>
        <rFont val="宋体"/>
        <family val="3"/>
        <charset val="134"/>
      </rPr>
      <t>个，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个付费，</t>
    </r>
    <r>
      <rPr>
        <sz val="10"/>
        <rFont val="Calibri"/>
        <family val="2"/>
      </rPr>
      <t>2</t>
    </r>
    <r>
      <rPr>
        <sz val="10"/>
        <rFont val="宋体"/>
        <family val="3"/>
        <charset val="134"/>
      </rPr>
      <t>个不付费</t>
    </r>
    <phoneticPr fontId="5" type="noConversion"/>
  </si>
  <si>
    <t>搜狐2015年预计租用X个车位，2016年预计租用1C个车位，车位费由D元/个增长至H元/个</t>
    <phoneticPr fontId="5" type="noConversion"/>
  </si>
  <si>
    <r>
      <rPr>
        <sz val="10"/>
        <rFont val="宋体"/>
        <family val="3"/>
        <charset val="134"/>
      </rPr>
      <t>共</t>
    </r>
    <r>
      <rPr>
        <sz val="10"/>
        <rFont val="Calibri"/>
        <family val="2"/>
      </rPr>
      <t>R</t>
    </r>
    <r>
      <rPr>
        <sz val="10"/>
        <rFont val="宋体"/>
        <family val="3"/>
        <charset val="134"/>
      </rPr>
      <t>个车位，搜狐承担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个</t>
    </r>
    <phoneticPr fontId="5" type="noConversion"/>
  </si>
  <si>
    <r>
      <rPr>
        <sz val="10"/>
        <rFont val="宋体"/>
        <family val="3"/>
        <charset val="134"/>
      </rPr>
      <t>从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5</t>
    </r>
    <r>
      <rPr>
        <sz val="10"/>
        <rFont val="宋体"/>
        <family val="3"/>
        <charset val="134"/>
      </rPr>
      <t>月调增费用比例由</t>
    </r>
    <r>
      <rPr>
        <sz val="10"/>
        <rFont val="Calibri"/>
        <family val="2"/>
      </rPr>
      <t>x%</t>
    </r>
    <r>
      <rPr>
        <sz val="10"/>
        <rFont val="宋体"/>
        <family val="3"/>
        <charset val="134"/>
      </rPr>
      <t>调整至</t>
    </r>
    <r>
      <rPr>
        <sz val="10"/>
        <rFont val="Calibri"/>
        <family val="2"/>
      </rPr>
      <t>T%</t>
    </r>
    <r>
      <rPr>
        <sz val="10"/>
        <rFont val="宋体"/>
        <family val="3"/>
        <charset val="134"/>
      </rPr>
      <t>，故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年实际花费超出预算；从</t>
    </r>
    <r>
      <rPr>
        <sz val="10"/>
        <rFont val="Calibri"/>
        <family val="2"/>
      </rPr>
      <t>2016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月起搜狐承担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的由</t>
    </r>
    <r>
      <rPr>
        <sz val="10"/>
        <rFont val="Calibri"/>
        <family val="2"/>
      </rPr>
      <t>r%</t>
    </r>
    <r>
      <rPr>
        <sz val="10"/>
        <rFont val="宋体"/>
        <family val="3"/>
        <charset val="134"/>
      </rPr>
      <t>增长至</t>
    </r>
    <r>
      <rPr>
        <sz val="10"/>
        <rFont val="Calibri"/>
        <family val="2"/>
      </rPr>
      <t>n%</t>
    </r>
    <phoneticPr fontId="5" type="noConversion"/>
  </si>
  <si>
    <r>
      <rPr>
        <sz val="10"/>
        <rFont val="宋体"/>
        <family val="3"/>
        <charset val="134"/>
      </rPr>
      <t>从</t>
    </r>
    <r>
      <rPr>
        <sz val="10"/>
        <rFont val="Calibri"/>
        <family val="2"/>
      </rPr>
      <t>2016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月起搜狐承担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比例的由</t>
    </r>
    <r>
      <rPr>
        <sz val="10"/>
        <rFont val="Calibri"/>
        <family val="2"/>
      </rPr>
      <t>r%</t>
    </r>
    <r>
      <rPr>
        <sz val="10"/>
        <rFont val="宋体"/>
        <family val="3"/>
        <charset val="134"/>
      </rPr>
      <t>增长至</t>
    </r>
    <r>
      <rPr>
        <sz val="10"/>
        <rFont val="Calibri"/>
        <family val="2"/>
      </rPr>
      <t>T%</t>
    </r>
    <phoneticPr fontId="5" type="noConversion"/>
  </si>
  <si>
    <r>
      <t>2015.5</t>
    </r>
    <r>
      <rPr>
        <sz val="10"/>
        <rFont val="宋体"/>
        <family val="3"/>
        <charset val="134"/>
      </rPr>
      <t>起搜狐承担部分由</t>
    </r>
    <r>
      <rPr>
        <sz val="10"/>
        <rFont val="Calibri"/>
        <family val="2"/>
      </rPr>
      <t>E%</t>
    </r>
    <r>
      <rPr>
        <sz val="10"/>
        <rFont val="宋体"/>
        <family val="3"/>
        <charset val="134"/>
      </rPr>
      <t>降低为</t>
    </r>
    <r>
      <rPr>
        <sz val="10"/>
        <rFont val="Calibri"/>
        <family val="2"/>
      </rPr>
      <t>V9%</t>
    </r>
    <r>
      <rPr>
        <sz val="10"/>
        <rFont val="宋体"/>
        <family val="3"/>
        <charset val="134"/>
      </rPr>
      <t>，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2</t>
    </r>
    <r>
      <rPr>
        <sz val="10"/>
        <rFont val="宋体"/>
        <family val="3"/>
        <charset val="134"/>
      </rPr>
      <t>月起</t>
    </r>
    <r>
      <rPr>
        <sz val="10"/>
        <rFont val="Calibri"/>
        <family val="2"/>
      </rPr>
      <t>3</t>
    </r>
    <r>
      <rPr>
        <sz val="10"/>
        <rFont val="宋体"/>
        <family val="3"/>
        <charset val="134"/>
      </rPr>
      <t>层退租</t>
    </r>
    <phoneticPr fontId="5" type="noConversion"/>
  </si>
  <si>
    <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5</t>
    </r>
    <r>
      <rPr>
        <sz val="10"/>
        <rFont val="宋体"/>
        <family val="3"/>
        <charset val="134"/>
      </rPr>
      <t>月起搜狐承担融科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的费用比例由</t>
    </r>
    <r>
      <rPr>
        <sz val="10"/>
        <rFont val="Calibri"/>
        <family val="2"/>
      </rPr>
      <t>c%</t>
    </r>
    <r>
      <rPr>
        <sz val="10"/>
        <rFont val="宋体"/>
        <family val="3"/>
        <charset val="134"/>
      </rPr>
      <t>调增至</t>
    </r>
    <r>
      <rPr>
        <sz val="10"/>
        <rFont val="Calibri"/>
        <family val="2"/>
      </rPr>
      <t>h%</t>
    </r>
    <r>
      <rPr>
        <sz val="10"/>
        <rFont val="宋体"/>
        <family val="3"/>
        <charset val="134"/>
      </rPr>
      <t>，</t>
    </r>
    <r>
      <rPr>
        <sz val="10"/>
        <rFont val="Calibri"/>
        <family val="2"/>
      </rPr>
      <t>2016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月起，由</t>
    </r>
    <r>
      <rPr>
        <sz val="10"/>
        <rFont val="Calibri"/>
        <family val="2"/>
      </rPr>
      <t>n%</t>
    </r>
    <r>
      <rPr>
        <sz val="10"/>
        <rFont val="宋体"/>
        <family val="3"/>
        <charset val="134"/>
      </rPr>
      <t>增长至</t>
    </r>
    <r>
      <rPr>
        <sz val="10"/>
        <rFont val="Calibri"/>
        <family val="2"/>
      </rPr>
      <t>j%</t>
    </r>
    <phoneticPr fontId="5" type="noConversion"/>
  </si>
  <si>
    <r>
      <t>C19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层和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的</t>
    </r>
    <r>
      <rPr>
        <sz val="10"/>
        <rFont val="Calibri"/>
        <family val="2"/>
      </rPr>
      <t>B%</t>
    </r>
    <r>
      <rPr>
        <sz val="10"/>
        <rFont val="宋体"/>
        <family val="3"/>
        <charset val="134"/>
      </rPr>
      <t>由焦点支付，搜狐承担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的</t>
    </r>
    <r>
      <rPr>
        <sz val="10"/>
        <rFont val="Calibri"/>
        <family val="2"/>
      </rPr>
      <t>e%</t>
    </r>
    <r>
      <rPr>
        <sz val="10"/>
        <rFont val="宋体"/>
        <family val="3"/>
        <charset val="134"/>
      </rPr>
      <t>，后期绿植较前期减少</t>
    </r>
    <phoneticPr fontId="5" type="noConversion"/>
  </si>
  <si>
    <r>
      <rPr>
        <sz val="10"/>
        <rFont val="宋体"/>
        <family val="3"/>
        <charset val="134"/>
      </rPr>
      <t>搜狐承担由</t>
    </r>
    <r>
      <rPr>
        <sz val="10"/>
        <rFont val="Calibri"/>
        <family val="2"/>
      </rPr>
      <t>B%</t>
    </r>
    <r>
      <rPr>
        <sz val="10"/>
        <rFont val="宋体"/>
        <family val="3"/>
        <charset val="134"/>
      </rPr>
      <t>降低为</t>
    </r>
    <r>
      <rPr>
        <sz val="10"/>
        <rFont val="Calibri"/>
        <family val="2"/>
      </rPr>
      <t>E%</t>
    </r>
    <phoneticPr fontId="5" type="noConversion"/>
  </si>
  <si>
    <t>2016年1月起，融科C10搜狐承担比例由G%增长至A%</t>
    <phoneticPr fontId="5" type="noConversion"/>
  </si>
  <si>
    <r>
      <rPr>
        <sz val="10"/>
        <rFont val="宋体"/>
        <family val="3"/>
        <charset val="134"/>
      </rPr>
      <t>从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5</t>
    </r>
    <r>
      <rPr>
        <sz val="10"/>
        <rFont val="宋体"/>
        <family val="3"/>
        <charset val="134"/>
      </rPr>
      <t>月调增费用比例由</t>
    </r>
    <r>
      <rPr>
        <sz val="10"/>
        <rFont val="Calibri"/>
        <family val="2"/>
      </rPr>
      <t>E%</t>
    </r>
    <r>
      <rPr>
        <sz val="10"/>
        <rFont val="宋体"/>
        <family val="3"/>
        <charset val="134"/>
      </rPr>
      <t>调整至</t>
    </r>
    <r>
      <rPr>
        <sz val="10"/>
        <rFont val="Calibri"/>
        <family val="2"/>
      </rPr>
      <t>G%</t>
    </r>
    <r>
      <rPr>
        <sz val="10"/>
        <rFont val="宋体"/>
        <family val="3"/>
        <charset val="134"/>
      </rPr>
      <t>，故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年实际花费超出预算；</t>
    </r>
    <r>
      <rPr>
        <sz val="10"/>
        <rFont val="Calibri"/>
        <family val="2"/>
      </rPr>
      <t>2016</t>
    </r>
    <r>
      <rPr>
        <sz val="10"/>
        <rFont val="宋体"/>
        <family val="3"/>
        <charset val="134"/>
      </rPr>
      <t>年保洁费单价由</t>
    </r>
    <r>
      <rPr>
        <sz val="10"/>
        <rFont val="Calibri"/>
        <family val="2"/>
      </rPr>
      <t>G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月，调整为</t>
    </r>
    <r>
      <rPr>
        <sz val="10"/>
        <rFont val="Calibri"/>
        <family val="2"/>
      </rPr>
      <t>E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月；搜狐承担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的由</t>
    </r>
    <r>
      <rPr>
        <sz val="10"/>
        <rFont val="Calibri"/>
        <family val="2"/>
      </rPr>
      <t>E%</t>
    </r>
    <r>
      <rPr>
        <sz val="10"/>
        <rFont val="宋体"/>
        <family val="3"/>
        <charset val="134"/>
      </rPr>
      <t>增长至</t>
    </r>
    <r>
      <rPr>
        <sz val="10"/>
        <rFont val="Calibri"/>
        <family val="2"/>
      </rPr>
      <t>H%</t>
    </r>
    <r>
      <rPr>
        <sz val="10"/>
        <rFont val="宋体"/>
        <family val="3"/>
        <charset val="134"/>
      </rPr>
      <t>，故预算增涨</t>
    </r>
    <phoneticPr fontId="5" type="noConversion"/>
  </si>
  <si>
    <t>减少一名自聘茶水间阿姨，调薪H元/月</t>
    <phoneticPr fontId="5" type="noConversion"/>
  </si>
  <si>
    <t>2015年实际消耗较2014年降低约H%，故费用预估较2015年预算降低H%左右；2016年预算在2015年实际费用基础上根据可使用率及物价上涨因素预估上调</t>
    <phoneticPr fontId="5" type="noConversion"/>
  </si>
  <si>
    <r>
      <rPr>
        <sz val="10"/>
        <rFont val="宋体"/>
        <family val="3"/>
        <charset val="134"/>
      </rPr>
      <t>新系统上线后所使用的资产标签带，每卷可打印</t>
    </r>
    <r>
      <rPr>
        <sz val="10"/>
        <rFont val="Calibri"/>
        <family val="2"/>
      </rPr>
      <t>E</t>
    </r>
    <r>
      <rPr>
        <sz val="10"/>
        <rFont val="宋体"/>
        <family val="3"/>
        <charset val="134"/>
      </rPr>
      <t>个标签，折算下来单个标签的价格比</t>
    </r>
    <r>
      <rPr>
        <sz val="10"/>
        <rFont val="Calibri"/>
        <family val="2"/>
      </rPr>
      <t>RFID</t>
    </r>
    <r>
      <rPr>
        <sz val="10"/>
        <rFont val="宋体"/>
        <family val="3"/>
        <charset val="134"/>
      </rPr>
      <t>黄签低，因此</t>
    </r>
    <r>
      <rPr>
        <sz val="10"/>
        <rFont val="Calibri"/>
        <family val="2"/>
      </rPr>
      <t>2016</t>
    </r>
    <r>
      <rPr>
        <sz val="10"/>
        <rFont val="宋体"/>
        <family val="3"/>
        <charset val="134"/>
      </rPr>
      <t>年采购预算可以相对减少。</t>
    </r>
    <r>
      <rPr>
        <sz val="10"/>
        <rFont val="Calibri"/>
        <family val="2"/>
      </rPr>
      <t>2016</t>
    </r>
    <r>
      <rPr>
        <sz val="10"/>
        <rFont val="宋体"/>
        <family val="3"/>
        <charset val="134"/>
      </rPr>
      <t>年：单价</t>
    </r>
    <r>
      <rPr>
        <sz val="10"/>
        <rFont val="Calibri"/>
        <family val="2"/>
      </rPr>
      <t>H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卷；每季度平均</t>
    </r>
    <r>
      <rPr>
        <sz val="10"/>
        <rFont val="Calibri"/>
        <family val="2"/>
      </rPr>
      <t>4Q</t>
    </r>
    <r>
      <rPr>
        <sz val="10"/>
        <rFont val="宋体"/>
        <family val="3"/>
        <charset val="134"/>
      </rPr>
      <t>张，用于新增资产标签和报废资产标记等，总体降幅</t>
    </r>
    <r>
      <rPr>
        <sz val="10"/>
        <rFont val="Calibri"/>
        <family val="2"/>
      </rPr>
      <t>H%.</t>
    </r>
    <phoneticPr fontId="5" type="noConversion"/>
  </si>
  <si>
    <r>
      <t>两辆CAR2016年预计更换四个轮胎，约W</t>
    </r>
    <r>
      <rPr>
        <sz val="11"/>
        <color theme="1"/>
        <rFont val="宋体"/>
        <family val="2"/>
        <charset val="134"/>
        <scheme val="minor"/>
      </rPr>
      <t>元/辆</t>
    </r>
    <phoneticPr fontId="5" type="noConversion"/>
  </si>
  <si>
    <r>
      <rPr>
        <b/>
        <sz val="10"/>
        <color indexed="10"/>
        <rFont val="宋体"/>
        <family val="3"/>
        <charset val="134"/>
      </rPr>
      <t>共建设</t>
    </r>
    <r>
      <rPr>
        <b/>
        <sz val="10"/>
        <color indexed="10"/>
        <rFont val="Calibri"/>
        <family val="2"/>
      </rPr>
      <t>c</t>
    </r>
    <r>
      <rPr>
        <b/>
        <sz val="10"/>
        <color indexed="10"/>
        <rFont val="宋体"/>
        <family val="3"/>
        <charset val="134"/>
      </rPr>
      <t>个工位，搜狐使用</t>
    </r>
    <r>
      <rPr>
        <b/>
        <sz val="10"/>
        <color indexed="10"/>
        <rFont val="Calibri"/>
        <family val="2"/>
      </rPr>
      <t>B</t>
    </r>
    <r>
      <rPr>
        <b/>
        <sz val="10"/>
        <color indexed="10"/>
        <rFont val="宋体"/>
        <family val="3"/>
        <charset val="134"/>
      </rPr>
      <t>个</t>
    </r>
    <phoneticPr fontId="5" type="noConversion"/>
  </si>
  <si>
    <t>财务提供的付款金额（虚拟数据）</t>
    <phoneticPr fontId="5" type="noConversion"/>
  </si>
  <si>
    <r>
      <t>2015.5</t>
    </r>
    <r>
      <rPr>
        <sz val="10"/>
        <rFont val="宋体"/>
        <family val="3"/>
        <charset val="134"/>
      </rPr>
      <t>起搜狐承担部分由</t>
    </r>
    <r>
      <rPr>
        <sz val="10"/>
        <rFont val="Calibri"/>
        <family val="2"/>
      </rPr>
      <t>Z%</t>
    </r>
    <r>
      <rPr>
        <sz val="10"/>
        <rFont val="宋体"/>
        <family val="3"/>
        <charset val="134"/>
      </rPr>
      <t>降低为</t>
    </r>
    <r>
      <rPr>
        <sz val="10"/>
        <rFont val="Calibri"/>
        <family val="2"/>
      </rPr>
      <t>C%</t>
    </r>
    <r>
      <rPr>
        <sz val="10"/>
        <rFont val="宋体"/>
        <family val="3"/>
        <charset val="134"/>
      </rPr>
      <t>，因预算根据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年实际发生费用预估，能源较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年节约，故费用降低</t>
    </r>
    <phoneticPr fontId="5" type="noConversion"/>
  </si>
  <si>
    <t>调薪1元/月</t>
    <phoneticPr fontId="5" type="noConversion"/>
  </si>
  <si>
    <t>2016与2015预算对比分析：：业务特需涨幅C%+电脑到期报废更新降幅E%+新员工资产降幅Q%+办公设备报废更新降幅Q%+IP电话降幅0%
2016与2015实际费用对比分析：1.2016 PC/NB员工在用且到报废期共计X0台，预算按报废更新X%计算，2015年报废更新及新员工用机基本使用库存，未做采购，2016年库存无法满足，预算加入此项费用；2.2016年预计的业务特需比2015增长X%；3.IP电话发放主要使用库存.</t>
    <phoneticPr fontId="5" type="noConversion"/>
  </si>
  <si>
    <r>
      <t>3</t>
    </r>
    <r>
      <rPr>
        <sz val="10"/>
        <rFont val="宋体"/>
        <family val="3"/>
        <charset val="134"/>
      </rPr>
      <t>层退租，</t>
    </r>
    <r>
      <rPr>
        <sz val="10"/>
        <rFont val="Calibri"/>
        <family val="2"/>
      </rPr>
      <t>7-15</t>
    </r>
    <r>
      <rPr>
        <sz val="10"/>
        <rFont val="宋体"/>
        <family val="3"/>
        <charset val="134"/>
      </rPr>
      <t>搜狐承担的由</t>
    </r>
    <r>
      <rPr>
        <sz val="10"/>
        <rFont val="Calibri"/>
        <family val="2"/>
      </rPr>
      <t>W%</t>
    </r>
    <r>
      <rPr>
        <sz val="10"/>
        <rFont val="宋体"/>
        <family val="3"/>
        <charset val="134"/>
      </rPr>
      <t>降低为</t>
    </r>
    <r>
      <rPr>
        <sz val="10"/>
        <rFont val="Calibri"/>
        <family val="2"/>
      </rPr>
      <t>E%</t>
    </r>
    <r>
      <rPr>
        <sz val="10"/>
        <rFont val="宋体"/>
        <family val="3"/>
        <charset val="134"/>
      </rPr>
      <t>，保洁员工资由</t>
    </r>
    <r>
      <rPr>
        <sz val="10"/>
        <rFont val="Calibri"/>
        <family val="2"/>
      </rPr>
      <t>R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月，调整为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</t>
    </r>
    <phoneticPr fontId="5" type="noConversion"/>
  </si>
  <si>
    <r>
      <rPr>
        <sz val="10"/>
        <rFont val="宋体"/>
        <family val="3"/>
        <charset val="134"/>
      </rPr>
      <t>保洁费单价由</t>
    </r>
    <r>
      <rPr>
        <sz val="10"/>
        <rFont val="Calibri"/>
        <family val="2"/>
      </rPr>
      <t>R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月，调整为</t>
    </r>
    <r>
      <rPr>
        <sz val="10"/>
        <rFont val="Calibri"/>
        <family val="2"/>
      </rPr>
      <t>T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月。</t>
    </r>
    <phoneticPr fontId="5" type="noConversion"/>
  </si>
  <si>
    <r>
      <rPr>
        <sz val="10"/>
        <rFont val="宋体"/>
        <family val="3"/>
        <charset val="134"/>
      </rPr>
      <t>从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5</t>
    </r>
    <r>
      <rPr>
        <sz val="10"/>
        <rFont val="宋体"/>
        <family val="3"/>
        <charset val="134"/>
      </rPr>
      <t>月调增费用比例由</t>
    </r>
    <r>
      <rPr>
        <sz val="10"/>
        <rFont val="Calibri"/>
        <family val="2"/>
      </rPr>
      <t>T%</t>
    </r>
    <r>
      <rPr>
        <sz val="10"/>
        <rFont val="宋体"/>
        <family val="3"/>
        <charset val="134"/>
      </rPr>
      <t>调整至</t>
    </r>
    <r>
      <rPr>
        <sz val="10"/>
        <rFont val="Calibri"/>
        <family val="2"/>
      </rPr>
      <t>Q%</t>
    </r>
    <r>
      <rPr>
        <sz val="10"/>
        <rFont val="宋体"/>
        <family val="3"/>
        <charset val="134"/>
      </rPr>
      <t>，故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 xml:space="preserve">年实际花费超出预算；
</t>
    </r>
    <r>
      <rPr>
        <sz val="10"/>
        <rFont val="Calibri"/>
        <family val="2"/>
      </rPr>
      <t>2016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月起搜狐承担由</t>
    </r>
    <r>
      <rPr>
        <sz val="10"/>
        <rFont val="Calibri"/>
        <family val="2"/>
      </rPr>
      <t>T%</t>
    </r>
    <r>
      <rPr>
        <sz val="10"/>
        <rFont val="宋体"/>
        <family val="3"/>
        <charset val="134"/>
      </rPr>
      <t>增长为</t>
    </r>
    <r>
      <rPr>
        <sz val="10"/>
        <rFont val="Calibri"/>
        <family val="2"/>
      </rPr>
      <t>W%,</t>
    </r>
    <r>
      <rPr>
        <sz val="10"/>
        <rFont val="宋体"/>
        <family val="3"/>
        <charset val="134"/>
      </rPr>
      <t>租金由</t>
    </r>
    <r>
      <rPr>
        <sz val="10"/>
        <rFont val="Calibri"/>
        <family val="2"/>
      </rPr>
      <t>X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㎡增长为</t>
    </r>
    <r>
      <rPr>
        <sz val="10"/>
        <rFont val="Calibri"/>
        <family val="2"/>
      </rPr>
      <t>Z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㎡</t>
    </r>
    <phoneticPr fontId="5" type="noConversion"/>
  </si>
  <si>
    <t>1.各业务线报废数量=2011年12月31日以前购置的机器数量*C%+2011年12月31日-13年12月31日以前购置的机器数量*C%；
2.2016年到期报废机器多集中在外地办公区使用.
3.北京融科A、C工区在用设备如到期后，可用库存替换.</t>
    <phoneticPr fontId="5" type="noConversion"/>
  </si>
  <si>
    <t>1.各业务线报废数量=2011年12月31日以前购置的机器数量*C%+2011年12月31日-13年12月31日以前购置的机器数量*A%；
2.2016年到期报废机器都集中在XXXX
3.北京融科A、C工区在用设备如到期后，可用库存替换.</t>
    <phoneticPr fontId="5" type="noConversion"/>
  </si>
  <si>
    <t>每季度结算，2015年费用预计因物价上涨增长10%        2015年预计一年清洗两次地毯，故Q2填写费用110</t>
    <phoneticPr fontId="5" type="noConversion"/>
  </si>
  <si>
    <t>每季度结算，2015.11.3开始租金上调X00元/月</t>
    <phoneticPr fontId="5" type="noConversion"/>
  </si>
  <si>
    <t>2015.11.3开始租金上调X00元/月</t>
    <phoneticPr fontId="5" type="noConversion"/>
  </si>
  <si>
    <t>合同</t>
    <phoneticPr fontId="5" type="noConversion"/>
  </si>
  <si>
    <t>合同内</t>
    <phoneticPr fontId="5" type="noConversion"/>
  </si>
  <si>
    <t>合同内</t>
    <phoneticPr fontId="5" type="noConversion"/>
  </si>
  <si>
    <t>合同内</t>
    <phoneticPr fontId="5" type="noConversion"/>
  </si>
  <si>
    <t>历史数据（手工修改）</t>
    <phoneticPr fontId="5" type="noConversion"/>
  </si>
  <si>
    <t>历史数据（手工修改）</t>
    <phoneticPr fontId="5" type="noConversion"/>
  </si>
  <si>
    <r>
      <rPr>
        <sz val="10"/>
        <color rgb="FFFF0000"/>
        <rFont val="宋体"/>
        <family val="3"/>
        <charset val="134"/>
      </rPr>
      <t>单价</t>
    </r>
    <r>
      <rPr>
        <sz val="10"/>
        <color rgb="FFFF0000"/>
        <rFont val="Calibri"/>
        <family val="2"/>
      </rPr>
      <t>*</t>
    </r>
    <r>
      <rPr>
        <sz val="10"/>
        <color rgb="FFFF0000"/>
        <rFont val="宋体"/>
        <family val="3"/>
        <charset val="134"/>
      </rPr>
      <t>人员增长数量（手工修改）</t>
    </r>
    <phoneticPr fontId="5" type="noConversion"/>
  </si>
  <si>
    <t>合同内和非合同手动修改</t>
    <phoneticPr fontId="5" type="noConversion"/>
  </si>
  <si>
    <r>
      <t xml:space="preserve">Capex
</t>
    </r>
    <r>
      <rPr>
        <sz val="9"/>
        <color rgb="FFFF0000"/>
        <rFont val="宋体"/>
        <family val="3"/>
        <charset val="134"/>
      </rPr>
      <t>去年实际发生，手动输入增长率，按去年实际发生的比例分配到</t>
    </r>
    <r>
      <rPr>
        <sz val="9"/>
        <color rgb="FFFF0000"/>
        <rFont val="Calibri"/>
        <family val="2"/>
      </rPr>
      <t>Q</t>
    </r>
    <r>
      <rPr>
        <sz val="9"/>
        <color rgb="FFFF0000"/>
        <rFont val="宋体"/>
        <family val="3"/>
        <charset val="134"/>
      </rPr>
      <t>（根据财务规则按</t>
    </r>
    <r>
      <rPr>
        <sz val="9"/>
        <color rgb="FFFF0000"/>
        <rFont val="Calibri"/>
        <family val="2"/>
      </rPr>
      <t>Q</t>
    </r>
    <r>
      <rPr>
        <sz val="9"/>
        <color rgb="FFFF0000"/>
        <rFont val="宋体"/>
        <family val="3"/>
        <charset val="134"/>
      </rPr>
      <t>分还是要总数）</t>
    </r>
    <phoneticPr fontId="5" type="noConversion"/>
  </si>
  <si>
    <t>手工修改</t>
    <phoneticPr fontId="5" type="noConversion"/>
  </si>
  <si>
    <r>
      <rPr>
        <sz val="10"/>
        <color rgb="FFFF0000"/>
        <rFont val="宋体"/>
        <family val="3"/>
        <charset val="134"/>
      </rPr>
      <t>实际使用</t>
    </r>
    <r>
      <rPr>
        <sz val="10"/>
        <color rgb="FFFF0000"/>
        <rFont val="Calibri"/>
        <family val="2"/>
      </rPr>
      <t>*</t>
    </r>
    <r>
      <rPr>
        <sz val="10"/>
        <color rgb="FFFF0000"/>
        <rFont val="宋体"/>
        <family val="3"/>
        <charset val="134"/>
      </rPr>
      <t>人员增长率</t>
    </r>
    <phoneticPr fontId="5" type="noConversion"/>
  </si>
  <si>
    <r>
      <rPr>
        <sz val="10"/>
        <color rgb="FFFF0000"/>
        <rFont val="宋体"/>
        <family val="3"/>
        <charset val="134"/>
      </rPr>
      <t>实际发生</t>
    </r>
    <r>
      <rPr>
        <sz val="10"/>
        <color rgb="FFFF0000"/>
        <rFont val="Calibri"/>
        <family val="2"/>
      </rPr>
      <t>*</t>
    </r>
    <r>
      <rPr>
        <sz val="10"/>
        <color rgb="FFFF0000"/>
        <rFont val="宋体"/>
        <family val="3"/>
        <charset val="134"/>
      </rPr>
      <t>增长率</t>
    </r>
    <phoneticPr fontId="5" type="noConversion"/>
  </si>
  <si>
    <r>
      <rPr>
        <sz val="10"/>
        <color rgb="FFFF0000"/>
        <rFont val="宋体"/>
        <family val="3"/>
        <charset val="134"/>
      </rPr>
      <t>实际支出</t>
    </r>
    <r>
      <rPr>
        <sz val="10"/>
        <color rgb="FFFF0000"/>
        <rFont val="Calibri"/>
        <family val="2"/>
      </rPr>
      <t>=</t>
    </r>
    <r>
      <rPr>
        <sz val="10"/>
        <color rgb="FFFF0000"/>
        <rFont val="宋体"/>
        <family val="3"/>
        <charset val="134"/>
      </rPr>
      <t>单价（手动调）</t>
    </r>
    <r>
      <rPr>
        <sz val="10"/>
        <color rgb="FFFF0000"/>
        <rFont val="Calibri"/>
        <family val="2"/>
      </rPr>
      <t>*</t>
    </r>
    <r>
      <rPr>
        <sz val="10"/>
        <color rgb="FFFF0000"/>
        <rFont val="宋体"/>
        <family val="3"/>
        <charset val="134"/>
      </rPr>
      <t>度数量</t>
    </r>
    <r>
      <rPr>
        <sz val="10"/>
        <color rgb="FFFF0000"/>
        <rFont val="Calibri"/>
        <family val="2"/>
      </rPr>
      <t>*</t>
    </r>
    <r>
      <rPr>
        <sz val="10"/>
        <color rgb="FFFF0000"/>
        <rFont val="宋体"/>
        <family val="3"/>
        <charset val="134"/>
      </rPr>
      <t>综合增长率（如物价增长率）</t>
    </r>
    <phoneticPr fontId="5" type="noConversion"/>
  </si>
  <si>
    <t>合同</t>
    <phoneticPr fontId="5" type="noConversion"/>
  </si>
  <si>
    <t>实际发生</t>
    <phoneticPr fontId="5" type="noConversion"/>
  </si>
  <si>
    <t>实际发生</t>
    <phoneticPr fontId="5" type="noConversion"/>
  </si>
  <si>
    <t>※ 保留业务明细科目和财务科目并有对应关系 ；</t>
    <phoneticPr fontId="5" type="noConversion"/>
  </si>
  <si>
    <t>※ 和各系统的对接关联，比如资产系统,PR系统，付款和报销系统</t>
    <phoneticPr fontId="5" type="noConversion"/>
  </si>
  <si>
    <r>
      <t>※ 能体现本年支出和年预算、PR单和往年实际同期实际发生的</t>
    </r>
    <r>
      <rPr>
        <u/>
        <sz val="11"/>
        <color theme="1"/>
        <rFont val="微软雅黑"/>
        <family val="2"/>
        <charset val="134"/>
      </rPr>
      <t>对比数据；所有的预算保留Remark</t>
    </r>
    <phoneticPr fontId="5" type="noConversion"/>
  </si>
  <si>
    <t>合同内</t>
    <phoneticPr fontId="5" type="noConversion"/>
  </si>
  <si>
    <t>关联合同号，提取并依据具体合同期限内的单价和数量单位</t>
    <phoneticPr fontId="5" type="noConversion"/>
  </si>
  <si>
    <t>非合同内</t>
    <phoneticPr fontId="5" type="noConversion"/>
  </si>
  <si>
    <t>实际发生反推回单价*数量*增长率/  （如资产类）
（上一年固定值【反推单价*数量】+今年实际每个季度新增的）*增长率</t>
    <phoneticPr fontId="5" type="noConversion"/>
  </si>
  <si>
    <t>单价（手动调）*数量（如电表度数）*综合增长率（如物价增长率）</t>
    <phoneticPr fontId="5" type="noConversion"/>
  </si>
  <si>
    <t xml:space="preserve"> </t>
    <phoneticPr fontId="5" type="noConversion"/>
  </si>
  <si>
    <t>实际发生</t>
    <phoneticPr fontId="5" type="noConversion"/>
  </si>
  <si>
    <t>上一年实际发生的历史数据</t>
    <phoneticPr fontId="5" type="noConversion"/>
  </si>
  <si>
    <t>手动输入</t>
    <phoneticPr fontId="5" type="noConversion"/>
  </si>
  <si>
    <t>实际使用*增长率（或增长数）并按上一年Q比例分配（如饮用水）</t>
    <phoneticPr fontId="5" type="noConversion"/>
  </si>
  <si>
    <t>无规则无运算逻辑，仅根据第三方提供的报价录入（如车险）</t>
    <phoneticPr fontId="5" type="noConversion"/>
  </si>
  <si>
    <t>※ 年预算与PR预算以及付款、报销相关联-有实际支出要从财务确认后返回对应ES的年预算科目做支出做减并体现结余</t>
    <phoneticPr fontId="5" type="noConversion"/>
  </si>
  <si>
    <t>※ 合同业务相关信息库建立：包含合同有效期，合同期内单价及数量（如数量、面积等）、合同范围，以便做“合同内”运算并提示合同有效期到期日所需update新合同的单价及数量相关信息</t>
    <phoneticPr fontId="5" type="noConversion"/>
  </si>
  <si>
    <t>我、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</si>
</sst>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3">
    <numFmt numFmtId="41" formatCode="_ * #,##0_ ;_ * \-#,##0_ ;_ * &quot;-&quot;_ ;_ @_ "/>
    <numFmt numFmtId="43" formatCode="_ * #,##0.00_ ;_ * \-#,##0.00_ ;_ * &quot;-&quot;??_ ;_ @_ "/>
    <numFmt numFmtId="176" formatCode="#,##0_);[Red]\(#,##0\)"/>
    <numFmt numFmtId="177" formatCode="0.00_);[Red]\(0.00\)"/>
    <numFmt numFmtId="178" formatCode="#,##0_ ;[Red]\-#,##0\ "/>
    <numFmt numFmtId="179" formatCode="_-* #,##0.00_-;\-* #,##0.00_-;_-* &quot;-&quot;??_-;_-@_-"/>
    <numFmt numFmtId="180" formatCode="dd\-mmm\-yy_)"/>
    <numFmt numFmtId="181" formatCode="0.0%"/>
    <numFmt numFmtId="182" formatCode="_-* #,##0&quot;¥&quot;_-;\-* #,##0&quot;¥&quot;_-;_-* &quot;-&quot;&quot;¥&quot;_-;_-@_-"/>
    <numFmt numFmtId="183" formatCode="yymmmmdd"/>
    <numFmt numFmtId="184" formatCode="&quot;$&quot;#,##0;[Red]\-&quot;$&quot;#,##0"/>
    <numFmt numFmtId="185" formatCode="&quot;$&quot;#,##0;\-&quot;$&quot;#,##0"/>
    <numFmt numFmtId="186" formatCode="&quot;$&quot;#,##0.00;\-&quot;$&quot;#,##0.00"/>
    <numFmt numFmtId="187" formatCode="#,##0.0_);\(#,##0.0\)"/>
    <numFmt numFmtId="188" formatCode="_(* #,##0_);_(* \(#,##0\);_(* &quot;-&quot;_);_(@_)"/>
    <numFmt numFmtId="189" formatCode="&quot;$&quot;#,##0_);[Red]\(&quot;$&quot;#,##0\)"/>
    <numFmt numFmtId="190" formatCode="&quot;$&quot;#,##0.00_);[Red]\(&quot;$&quot;#,##0.00\)"/>
    <numFmt numFmtId="191" formatCode="_ &quot;\&quot;* #,##0.00_ ;_ &quot;\&quot;* \-#,##0.00_ ;_ &quot;\&quot;* &quot;-&quot;??_ ;_ @_ "/>
    <numFmt numFmtId="192" formatCode="&quot;$&quot;#,##0.0_);\(&quot;$&quot;#,##0.0\)"/>
    <numFmt numFmtId="193" formatCode="_(&quot;$&quot;* #,##0.00_);_(&quot;$&quot;* \(#,##0.00\);_(&quot;$&quot;* &quot;-&quot;??_);_(@_)"/>
    <numFmt numFmtId="194" formatCode="_(&quot;$&quot;* #,##0_);_(&quot;$&quot;* \(#,##0\);_(&quot;$&quot;* &quot;-&quot;_);_(@_)"/>
    <numFmt numFmtId="195" formatCode="_-&quot;$&quot;* #,##0_-;\-&quot;$&quot;* #,##0_-;_-&quot;$&quot;* &quot;-&quot;_-;_-@_-"/>
    <numFmt numFmtId="196" formatCode="_-&quot;$&quot;* #,##0.00_-;\-&quot;$&quot;* #,##0.00_-;_-&quot;$&quot;* &quot;-&quot;??_-;_-@_-"/>
    <numFmt numFmtId="197" formatCode="_-* #,##0_-;\-* #,##0_-;_-* &quot;-&quot;_-;_-@_-"/>
    <numFmt numFmtId="198" formatCode="_(* #,##0.00_);_(* \(#,##0.00\);_(* &quot;-&quot;??_);_(@_)"/>
    <numFmt numFmtId="199" formatCode="_ * #,##0_ ;_ * \-#,##0_ ;_ * &quot;-&quot;??_ ;_ @_ "/>
    <numFmt numFmtId="200" formatCode="#,##0_ "/>
    <numFmt numFmtId="201" formatCode="0_ "/>
    <numFmt numFmtId="202" formatCode="_ * #,##0.000_ ;_ * \-#,##0.000_ ;_ * &quot;-&quot;???_ ;_ @_ "/>
    <numFmt numFmtId="203" formatCode="0.00_);\(0.00\)"/>
    <numFmt numFmtId="204" formatCode="0.00_ "/>
    <numFmt numFmtId="205" formatCode="0_);[Red]\(0\)"/>
    <numFmt numFmtId="206" formatCode="#,##0.00_ "/>
  </numFmts>
  <fonts count="1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Times New Roman"/>
      <family val="1"/>
    </font>
    <font>
      <b/>
      <sz val="10"/>
      <name val="Calibri"/>
      <family val="2"/>
    </font>
    <font>
      <b/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Calibri"/>
      <family val="2"/>
    </font>
    <font>
      <sz val="12"/>
      <name val="宋体"/>
      <family val="3"/>
      <charset val="134"/>
    </font>
    <font>
      <b/>
      <sz val="10"/>
      <name val="Arial Unicode MS"/>
      <family val="2"/>
      <charset val="134"/>
    </font>
    <font>
      <sz val="10"/>
      <name val="Arial Unicode MS"/>
      <family val="2"/>
      <charset val="134"/>
    </font>
    <font>
      <b/>
      <sz val="11"/>
      <name val="Arial"/>
      <family val="2"/>
    </font>
    <font>
      <u/>
      <sz val="10"/>
      <name val="Calibri"/>
      <family val="2"/>
    </font>
    <font>
      <u/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u/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Calibri"/>
      <family val="2"/>
    </font>
    <font>
      <b/>
      <u val="singleAccounting"/>
      <sz val="10"/>
      <name val="Calibri"/>
      <family val="2"/>
    </font>
    <font>
      <b/>
      <u val="singleAccounting"/>
      <sz val="10"/>
      <color rgb="FFFF0000"/>
      <name val="Calibri"/>
      <family val="2"/>
    </font>
    <font>
      <sz val="10"/>
      <color rgb="FFFF0066"/>
      <name val="Calibri"/>
      <family val="2"/>
    </font>
    <font>
      <b/>
      <sz val="10"/>
      <color rgb="FFFF33CC"/>
      <name val="Calibri"/>
      <family val="2"/>
    </font>
    <font>
      <sz val="10"/>
      <color rgb="FFFF33CC"/>
      <name val="Calibri"/>
      <family val="2"/>
    </font>
    <font>
      <u/>
      <sz val="10"/>
      <color rgb="FFFF0000"/>
      <name val="Calibri"/>
      <family val="2"/>
    </font>
    <font>
      <b/>
      <sz val="10"/>
      <color rgb="FFFF0000"/>
      <name val="Calibri"/>
      <family val="2"/>
    </font>
    <font>
      <b/>
      <sz val="10"/>
      <color rgb="FFFF0000"/>
      <name val="宋体"/>
      <family val="3"/>
      <charset val="134"/>
    </font>
    <font>
      <sz val="10"/>
      <color theme="1"/>
      <name val="Calibri"/>
      <family val="2"/>
    </font>
    <font>
      <b/>
      <u/>
      <sz val="10"/>
      <color rgb="FFFF0000"/>
      <name val="Calibri"/>
      <family val="2"/>
    </font>
    <font>
      <sz val="12"/>
      <name val="Times New Roman"/>
      <family val="1"/>
    </font>
    <font>
      <sz val="10"/>
      <name val="Helv"/>
      <family val="2"/>
    </font>
    <font>
      <sz val="10"/>
      <name val="Geneva"/>
      <family val="2"/>
    </font>
    <font>
      <sz val="13"/>
      <name val="Tms Rmn"/>
      <family val="1"/>
    </font>
    <font>
      <sz val="12"/>
      <name val="??ì?"/>
      <family val="1"/>
    </font>
    <font>
      <sz val="8"/>
      <name val="Times New Roman"/>
      <family val="1"/>
    </font>
    <font>
      <sz val="12"/>
      <name val="Tms Rmn"/>
      <family val="1"/>
    </font>
    <font>
      <b/>
      <sz val="10"/>
      <name val="Helv"/>
      <family val="2"/>
    </font>
    <font>
      <b/>
      <sz val="13"/>
      <name val="Tms Rmn"/>
      <family val="1"/>
    </font>
    <font>
      <b/>
      <sz val="8"/>
      <name val="Arial"/>
      <family val="2"/>
    </font>
    <font>
      <sz val="10"/>
      <name val="MS Sans Serif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sz val="11"/>
      <name val="Helv"/>
      <family val="2"/>
    </font>
    <font>
      <sz val="7"/>
      <name val="Small Fonts"/>
      <family val="2"/>
    </font>
    <font>
      <sz val="11"/>
      <color indexed="8"/>
      <name val="宋体"/>
      <family val="3"/>
      <charset val="134"/>
    </font>
    <font>
      <b/>
      <sz val="10"/>
      <name val="MS Sans Serif"/>
      <family val="2"/>
    </font>
    <font>
      <sz val="8"/>
      <name val="Wingdings"/>
      <charset val="2"/>
    </font>
    <font>
      <sz val="8"/>
      <name val="MS Sans Serif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8"/>
      <color indexed="8"/>
      <name val="Helv"/>
      <family val="2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</font>
    <font>
      <b/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Calibri"/>
      <family val="2"/>
    </font>
    <font>
      <sz val="10"/>
      <color indexed="8"/>
      <name val="宋体"/>
      <family val="3"/>
      <charset val="134"/>
    </font>
    <font>
      <b/>
      <sz val="10"/>
      <color indexed="8"/>
      <name val="Calibri"/>
      <family val="2"/>
    </font>
    <font>
      <b/>
      <sz val="10"/>
      <color indexed="8"/>
      <name val="宋体"/>
      <family val="3"/>
      <charset val="134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宋体"/>
      <family val="3"/>
      <charset val="134"/>
    </font>
    <font>
      <sz val="10.5"/>
      <color theme="1"/>
      <name val="Calibri"/>
      <family val="2"/>
    </font>
    <font>
      <sz val="12"/>
      <color theme="1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宋体"/>
      <family val="3"/>
      <charset val="134"/>
    </font>
    <font>
      <b/>
      <sz val="10"/>
      <color theme="1"/>
      <name val="宋体"/>
      <family val="2"/>
      <charset val="134"/>
    </font>
    <font>
      <b/>
      <sz val="10"/>
      <color theme="1"/>
      <name val="宋体"/>
      <family val="3"/>
      <charset val="134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b/>
      <sz val="11"/>
      <name val="黑体"/>
      <family val="3"/>
      <charset val="134"/>
    </font>
    <font>
      <sz val="10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11"/>
      <color indexed="8"/>
      <name val="Arial Narrow"/>
      <family val="2"/>
    </font>
    <font>
      <b/>
      <sz val="11"/>
      <color theme="1"/>
      <name val="Arial Narrow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indexed="8"/>
      <name val="黑体"/>
      <family val="3"/>
      <charset val="134"/>
    </font>
    <font>
      <b/>
      <sz val="10"/>
      <color theme="1"/>
      <name val="Arial Narrow"/>
      <family val="2"/>
    </font>
    <font>
      <b/>
      <sz val="10"/>
      <color indexed="8"/>
      <name val="黑体"/>
      <family val="3"/>
      <charset val="134"/>
    </font>
    <font>
      <b/>
      <sz val="10"/>
      <color indexed="8"/>
      <name val="Arial Narrow"/>
      <family val="2"/>
    </font>
    <font>
      <sz val="10"/>
      <color theme="1"/>
      <name val="Arial Narrow"/>
      <family val="2"/>
    </font>
    <font>
      <b/>
      <sz val="18"/>
      <color indexed="8"/>
      <name val="Arial Narrow"/>
      <family val="2"/>
    </font>
    <font>
      <sz val="11"/>
      <color rgb="FFFF0000"/>
      <name val="宋体"/>
      <family val="3"/>
      <charset val="134"/>
    </font>
    <font>
      <b/>
      <sz val="16"/>
      <color rgb="FFFF0000"/>
      <name val="黑体"/>
      <family val="3"/>
      <charset val="134"/>
    </font>
    <font>
      <b/>
      <sz val="12"/>
      <color indexed="8"/>
      <name val="Arial Unicode MS"/>
      <family val="2"/>
      <charset val="134"/>
    </font>
    <font>
      <sz val="12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indexed="8"/>
      <name val="Arial Unicode MS"/>
      <family val="2"/>
      <charset val="134"/>
    </font>
    <font>
      <b/>
      <sz val="9"/>
      <color indexed="81"/>
      <name val="Tahoma"/>
      <family val="2"/>
    </font>
    <font>
      <sz val="10"/>
      <color theme="1"/>
      <name val="微软雅黑"/>
      <family val="2"/>
      <charset val="134"/>
    </font>
    <font>
      <sz val="10"/>
      <color indexed="12"/>
      <name val="Calibri"/>
      <family val="2"/>
    </font>
    <font>
      <b/>
      <sz val="8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10"/>
      <color theme="1"/>
      <name val="Arial Unicode MS"/>
      <family val="2"/>
      <charset val="134"/>
    </font>
    <font>
      <sz val="10"/>
      <color rgb="FFFF0000"/>
      <name val="Arial Narrow"/>
      <family val="2"/>
    </font>
    <font>
      <b/>
      <sz val="11"/>
      <name val="宋体"/>
      <family val="3"/>
      <charset val="134"/>
    </font>
    <font>
      <b/>
      <sz val="10"/>
      <color theme="1"/>
      <name val="Arial Unicode MS"/>
      <family val="2"/>
      <charset val="134"/>
    </font>
    <font>
      <u/>
      <sz val="10"/>
      <color theme="1"/>
      <name val="Calibri"/>
      <family val="2"/>
    </font>
    <font>
      <u/>
      <sz val="10"/>
      <color theme="1"/>
      <name val="宋体"/>
      <family val="3"/>
      <charset val="134"/>
    </font>
    <font>
      <sz val="11"/>
      <color indexed="8"/>
      <name val="宋体"/>
      <family val="2"/>
      <scheme val="minor"/>
    </font>
    <font>
      <sz val="10"/>
      <color theme="1"/>
      <name val="Arial"/>
      <family val="2"/>
    </font>
    <font>
      <b/>
      <u val="singleAccounting"/>
      <sz val="10"/>
      <color theme="1"/>
      <name val="Calibri"/>
      <family val="2"/>
    </font>
    <font>
      <sz val="10"/>
      <color rgb="FFFF0000"/>
      <name val="Arial"/>
      <family val="2"/>
    </font>
    <font>
      <sz val="10"/>
      <color indexed="12"/>
      <name val="宋体"/>
      <family val="3"/>
      <charset val="134"/>
    </font>
    <font>
      <b/>
      <sz val="10"/>
      <color rgb="FFFF0066"/>
      <name val="Calibri"/>
      <family val="2"/>
    </font>
    <font>
      <u/>
      <sz val="10"/>
      <color indexed="12"/>
      <name val="宋体"/>
      <family val="3"/>
      <charset val="134"/>
    </font>
    <font>
      <sz val="10"/>
      <color theme="3"/>
      <name val="宋体"/>
      <family val="3"/>
      <charset val="134"/>
    </font>
    <font>
      <sz val="9"/>
      <color rgb="FFFF0000"/>
      <name val="Calibri"/>
      <family val="2"/>
    </font>
    <font>
      <sz val="9"/>
      <color rgb="FFFF0000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darkVertical"/>
    </fill>
    <fill>
      <patternFill patternType="gray0625"/>
    </fill>
    <fill>
      <patternFill patternType="solid">
        <fgColor theme="0" tint="-0.24997711111789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39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/>
    <xf numFmtId="0" fontId="8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5" fillId="0" borderId="0"/>
    <xf numFmtId="179" fontId="15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31" fillId="0" borderId="0"/>
    <xf numFmtId="0" fontId="15" fillId="0" borderId="0" applyBorder="0"/>
    <xf numFmtId="180" fontId="8" fillId="0" borderId="0" applyFont="0" applyFill="0" applyBorder="0" applyAlignment="0" applyProtection="0"/>
    <xf numFmtId="0" fontId="8" fillId="0" borderId="0"/>
    <xf numFmtId="181" fontId="32" fillId="0" borderId="0" applyFont="0" applyFill="0" applyBorder="0" applyAlignment="0" applyProtection="0"/>
    <xf numFmtId="10" fontId="32" fillId="0" borderId="0" applyFont="0" applyFill="0" applyBorder="0" applyAlignment="0" applyProtection="0"/>
    <xf numFmtId="0" fontId="33" fillId="0" borderId="0"/>
    <xf numFmtId="0" fontId="15" fillId="0" borderId="0" applyBorder="0"/>
    <xf numFmtId="0" fontId="30" fillId="0" borderId="0">
      <protection locked="0"/>
    </xf>
    <xf numFmtId="0" fontId="34" fillId="0" borderId="0">
      <alignment horizontal="center" wrapText="1"/>
      <protection locked="0"/>
    </xf>
    <xf numFmtId="0" fontId="35" fillId="0" borderId="0" applyNumberFormat="0" applyFill="0" applyBorder="0" applyAlignment="0" applyProtection="0"/>
    <xf numFmtId="182" fontId="8" fillId="0" borderId="0" applyFill="0" applyBorder="0" applyAlignment="0"/>
    <xf numFmtId="0" fontId="36" fillId="0" borderId="0"/>
    <xf numFmtId="0" fontId="37" fillId="0" borderId="3" applyNumberFormat="0" applyFill="0" applyProtection="0">
      <alignment horizontal="center"/>
    </xf>
    <xf numFmtId="0" fontId="38" fillId="0" borderId="4">
      <alignment horizontal="center"/>
    </xf>
    <xf numFmtId="38" fontId="39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37" fontId="32" fillId="0" borderId="0" applyFont="0" applyFill="0" applyBorder="0" applyAlignment="0" applyProtection="0"/>
    <xf numFmtId="183" fontId="8" fillId="0" borderId="0" applyFont="0" applyFill="0" applyBorder="0" applyAlignment="0" applyProtection="0"/>
    <xf numFmtId="39" fontId="32" fillId="0" borderId="0" applyFont="0" applyFill="0" applyBorder="0" applyAlignment="0" applyProtection="0"/>
    <xf numFmtId="184" fontId="8" fillId="0" borderId="0">
      <protection locked="0"/>
    </xf>
    <xf numFmtId="0" fontId="40" fillId="0" borderId="0" applyNumberFormat="0" applyAlignment="0">
      <alignment horizontal="left"/>
    </xf>
    <xf numFmtId="179" fontId="8" fillId="0" borderId="0" applyFont="0" applyFill="0" applyBorder="0" applyAlignment="0" applyProtection="0"/>
    <xf numFmtId="185" fontId="32" fillId="0" borderId="0" applyFont="0" applyFill="0" applyBorder="0" applyAlignment="0" applyProtection="0"/>
    <xf numFmtId="186" fontId="32" fillId="0" borderId="0" applyFont="0" applyFill="0" applyBorder="0" applyAlignment="0" applyProtection="0"/>
    <xf numFmtId="184" fontId="8" fillId="0" borderId="0">
      <protection locked="0"/>
    </xf>
    <xf numFmtId="15" fontId="39" fillId="0" borderId="0"/>
    <xf numFmtId="0" fontId="41" fillId="0" borderId="0" applyNumberFormat="0" applyAlignment="0">
      <alignment horizontal="left"/>
    </xf>
    <xf numFmtId="184" fontId="8" fillId="0" borderId="0">
      <protection locked="0"/>
    </xf>
    <xf numFmtId="38" fontId="42" fillId="5" borderId="0" applyNumberFormat="0" applyBorder="0" applyAlignment="0" applyProtection="0"/>
    <xf numFmtId="0" fontId="43" fillId="0" borderId="0">
      <alignment horizontal="left"/>
    </xf>
    <xf numFmtId="0" fontId="44" fillId="0" borderId="5" applyNumberFormat="0" applyAlignment="0" applyProtection="0">
      <alignment horizontal="left" vertical="center"/>
    </xf>
    <xf numFmtId="0" fontId="44" fillId="0" borderId="6">
      <alignment horizontal="left" vertical="center"/>
    </xf>
    <xf numFmtId="184" fontId="8" fillId="0" borderId="0">
      <protection locked="0"/>
    </xf>
    <xf numFmtId="184" fontId="8" fillId="0" borderId="0">
      <protection locked="0"/>
    </xf>
    <xf numFmtId="0" fontId="45" fillId="0" borderId="1">
      <alignment horizontal="center"/>
    </xf>
    <xf numFmtId="0" fontId="45" fillId="0" borderId="0">
      <alignment horizontal="center"/>
    </xf>
    <xf numFmtId="10" fontId="42" fillId="6" borderId="7" applyNumberFormat="0" applyBorder="0" applyAlignment="0" applyProtection="0"/>
    <xf numFmtId="187" fontId="46" fillId="7" borderId="0"/>
    <xf numFmtId="0" fontId="31" fillId="0" borderId="0"/>
    <xf numFmtId="187" fontId="47" fillId="8" borderId="0"/>
    <xf numFmtId="0" fontId="8" fillId="0" borderId="0" applyNumberFormat="0" applyBorder="0" applyAlignment="0"/>
    <xf numFmtId="38" fontId="39" fillId="0" borderId="0" applyFont="0" applyFill="0" applyBorder="0" applyAlignment="0" applyProtection="0"/>
    <xf numFmtId="40" fontId="39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48" fillId="0" borderId="1"/>
    <xf numFmtId="189" fontId="39" fillId="0" borderId="0" applyFont="0" applyFill="0" applyBorder="0" applyAlignment="0" applyProtection="0"/>
    <xf numFmtId="190" fontId="39" fillId="0" borderId="0" applyFont="0" applyFill="0" applyBorder="0" applyAlignment="0" applyProtection="0"/>
    <xf numFmtId="191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" fillId="0" borderId="0"/>
    <xf numFmtId="37" fontId="49" fillId="0" borderId="0"/>
    <xf numFmtId="0" fontId="2" fillId="0" borderId="0"/>
    <xf numFmtId="0" fontId="1" fillId="0" borderId="0">
      <alignment vertical="center"/>
      <protection locked="0"/>
    </xf>
    <xf numFmtId="0" fontId="50" fillId="0" borderId="0">
      <alignment vertical="center"/>
    </xf>
    <xf numFmtId="14" fontId="34" fillId="0" borderId="0">
      <alignment horizontal="center" wrapText="1"/>
      <protection locked="0"/>
    </xf>
    <xf numFmtId="10" fontId="15" fillId="0" borderId="0" applyFont="0" applyFill="0" applyBorder="0" applyAlignment="0" applyProtection="0"/>
    <xf numFmtId="13" fontId="15" fillId="0" borderId="0" applyFont="0" applyFill="0" applyProtection="0"/>
    <xf numFmtId="0" fontId="39" fillId="0" borderId="0" applyNumberFormat="0">
      <alignment horizontal="left"/>
    </xf>
    <xf numFmtId="0" fontId="39" fillId="0" borderId="0" applyNumberFormat="0" applyFont="0" applyFill="0" applyBorder="0" applyAlignment="0" applyProtection="0">
      <alignment horizontal="left"/>
    </xf>
    <xf numFmtId="15" fontId="39" fillId="0" borderId="0" applyFont="0" applyFill="0" applyBorder="0" applyAlignment="0" applyProtection="0"/>
    <xf numFmtId="4" fontId="39" fillId="0" borderId="0" applyFont="0" applyFill="0" applyBorder="0" applyAlignment="0" applyProtection="0"/>
    <xf numFmtId="0" fontId="51" fillId="0" borderId="1">
      <alignment horizontal="center"/>
    </xf>
    <xf numFmtId="3" fontId="39" fillId="0" borderId="0" applyFont="0" applyFill="0" applyBorder="0" applyAlignment="0" applyProtection="0"/>
    <xf numFmtId="0" fontId="39" fillId="9" borderId="0" applyNumberFormat="0" applyFont="0" applyBorder="0" applyAlignment="0" applyProtection="0"/>
    <xf numFmtId="0" fontId="52" fillId="10" borderId="0" applyNumberFormat="0" applyFont="0" applyBorder="0" applyAlignment="0">
      <alignment horizontal="center"/>
    </xf>
    <xf numFmtId="192" fontId="8" fillId="0" borderId="0" applyNumberFormat="0" applyFill="0" applyBorder="0" applyAlignment="0" applyProtection="0">
      <alignment horizontal="left"/>
    </xf>
    <xf numFmtId="0" fontId="52" fillId="1" borderId="6" applyNumberFormat="0" applyFont="0" applyAlignment="0">
      <alignment horizontal="center"/>
    </xf>
    <xf numFmtId="0" fontId="53" fillId="0" borderId="0" applyNumberFormat="0" applyFill="0" applyBorder="0" applyAlignment="0">
      <alignment horizontal="center"/>
    </xf>
    <xf numFmtId="0" fontId="54" fillId="11" borderId="8">
      <protection locked="0"/>
    </xf>
    <xf numFmtId="0" fontId="55" fillId="0" borderId="0"/>
    <xf numFmtId="0" fontId="48" fillId="0" borderId="0"/>
    <xf numFmtId="40" fontId="56" fillId="0" borderId="0" applyBorder="0">
      <alignment horizontal="right"/>
    </xf>
    <xf numFmtId="0" fontId="54" fillId="11" borderId="8">
      <protection locked="0"/>
    </xf>
    <xf numFmtId="0" fontId="54" fillId="11" borderId="8">
      <protection locked="0"/>
    </xf>
    <xf numFmtId="184" fontId="8" fillId="0" borderId="9">
      <protection locked="0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193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0" fontId="57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57" fillId="0" borderId="0">
      <alignment vertical="center"/>
    </xf>
    <xf numFmtId="0" fontId="8" fillId="0" borderId="0"/>
    <xf numFmtId="0" fontId="8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8" fillId="0" borderId="0"/>
    <xf numFmtId="0" fontId="57" fillId="0" borderId="0">
      <alignment vertical="center"/>
    </xf>
    <xf numFmtId="0" fontId="57" fillId="0" borderId="0">
      <alignment vertical="center"/>
    </xf>
    <xf numFmtId="0" fontId="8" fillId="0" borderId="0"/>
    <xf numFmtId="3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95" fontId="42" fillId="0" borderId="0" applyFont="0" applyFill="0" applyBorder="0" applyAlignment="0" applyProtection="0"/>
    <xf numFmtId="196" fontId="42" fillId="0" borderId="0" applyFont="0" applyFill="0" applyBorder="0" applyAlignment="0" applyProtection="0"/>
    <xf numFmtId="0" fontId="29" fillId="0" borderId="0"/>
    <xf numFmtId="197" fontId="42" fillId="0" borderId="0" applyFont="0" applyFill="0" applyBorder="0" applyAlignment="0" applyProtection="0"/>
    <xf numFmtId="179" fontId="42" fillId="0" borderId="0" applyFont="0" applyFill="0" applyBorder="0" applyAlignment="0" applyProtection="0"/>
    <xf numFmtId="197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43" fontId="8" fillId="0" borderId="0" applyFont="0" applyFill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30" fillId="0" borderId="0"/>
    <xf numFmtId="0" fontId="15" fillId="0" borderId="0"/>
    <xf numFmtId="0" fontId="39" fillId="0" borderId="0"/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0" fontId="29" fillId="0" borderId="0"/>
    <xf numFmtId="0" fontId="30" fillId="0" borderId="0"/>
    <xf numFmtId="0" fontId="121" fillId="0" borderId="0">
      <alignment vertical="center"/>
    </xf>
    <xf numFmtId="9" fontId="121" fillId="0" borderId="0" applyFont="0" applyFill="0" applyBorder="0" applyAlignment="0" applyProtection="0">
      <alignment vertical="center"/>
    </xf>
    <xf numFmtId="43" fontId="121" fillId="0" borderId="0" applyFont="0" applyFill="0" applyBorder="0" applyAlignment="0" applyProtection="0">
      <alignment vertical="center"/>
    </xf>
  </cellStyleXfs>
  <cellXfs count="1735">
    <xf numFmtId="0" fontId="0" fillId="0" borderId="0" xfId="0">
      <alignment vertical="center"/>
    </xf>
    <xf numFmtId="0" fontId="3" fillId="0" borderId="0" xfId="2" applyFont="1" applyFill="1" applyAlignment="1">
      <alignment horizontal="left" vertical="center"/>
    </xf>
    <xf numFmtId="49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1" fontId="7" fillId="0" borderId="0" xfId="0" applyNumberFormat="1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10" fontId="7" fillId="0" borderId="0" xfId="1" applyNumberFormat="1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49" fontId="3" fillId="0" borderId="1" xfId="3" applyNumberFormat="1" applyFont="1" applyFill="1" applyBorder="1" applyAlignment="1">
      <alignment horizontal="center" vertical="center"/>
    </xf>
    <xf numFmtId="49" fontId="3" fillId="0" borderId="1" xfId="3" applyNumberFormat="1" applyFont="1" applyFill="1" applyBorder="1" applyAlignment="1">
      <alignment horizontal="left" vertical="center"/>
    </xf>
    <xf numFmtId="41" fontId="3" fillId="0" borderId="1" xfId="3" applyNumberFormat="1" applyFont="1" applyFill="1" applyBorder="1" applyAlignment="1">
      <alignment horizontal="center" vertical="center"/>
    </xf>
    <xf numFmtId="40" fontId="3" fillId="0" borderId="1" xfId="3" applyNumberFormat="1" applyFont="1" applyFill="1" applyBorder="1" applyAlignment="1">
      <alignment horizontal="center" vertical="center"/>
    </xf>
    <xf numFmtId="49" fontId="3" fillId="0" borderId="1" xfId="3" applyNumberFormat="1" applyFont="1" applyFill="1" applyBorder="1" applyAlignment="1">
      <alignment horizontal="center" vertical="center" wrapText="1"/>
    </xf>
    <xf numFmtId="41" fontId="7" fillId="0" borderId="0" xfId="3" applyNumberFormat="1" applyFont="1" applyFill="1" applyAlignment="1">
      <alignment horizontal="center" vertical="center"/>
    </xf>
    <xf numFmtId="176" fontId="7" fillId="0" borderId="0" xfId="3" applyNumberFormat="1" applyFont="1" applyFill="1" applyAlignment="1">
      <alignment horizontal="center" vertical="center"/>
    </xf>
    <xf numFmtId="49" fontId="7" fillId="0" borderId="0" xfId="3" applyNumberFormat="1" applyFont="1" applyFill="1" applyAlignment="1">
      <alignment horizontal="center" vertical="center" wrapText="1"/>
    </xf>
    <xf numFmtId="0" fontId="7" fillId="0" borderId="0" xfId="3" applyFont="1" applyFill="1" applyAlignment="1">
      <alignment vertical="center"/>
    </xf>
    <xf numFmtId="49" fontId="3" fillId="0" borderId="0" xfId="3" applyNumberFormat="1" applyFont="1" applyFill="1" applyAlignment="1">
      <alignment vertical="center"/>
    </xf>
    <xf numFmtId="49" fontId="3" fillId="0" borderId="0" xfId="3" applyNumberFormat="1" applyFont="1" applyFill="1" applyAlignment="1">
      <alignment horizontal="left" vertical="center" wrapText="1"/>
    </xf>
    <xf numFmtId="177" fontId="11" fillId="0" borderId="0" xfId="4" applyNumberFormat="1" applyFont="1" applyBorder="1" applyAlignment="1">
      <alignment horizontal="center" vertical="center"/>
    </xf>
    <xf numFmtId="49" fontId="12" fillId="0" borderId="0" xfId="3" applyNumberFormat="1" applyFont="1" applyFill="1" applyAlignment="1">
      <alignment vertical="center"/>
    </xf>
    <xf numFmtId="49" fontId="7" fillId="0" borderId="0" xfId="3" applyNumberFormat="1" applyFont="1" applyFill="1" applyAlignment="1">
      <alignment horizontal="left" vertical="center"/>
    </xf>
    <xf numFmtId="43" fontId="7" fillId="0" borderId="0" xfId="0" applyNumberFormat="1" applyFont="1" applyFill="1" applyAlignment="1">
      <alignment vertical="center"/>
    </xf>
    <xf numFmtId="41" fontId="7" fillId="0" borderId="0" xfId="3" applyNumberFormat="1" applyFont="1" applyFill="1" applyAlignment="1">
      <alignment vertical="center"/>
    </xf>
    <xf numFmtId="9" fontId="7" fillId="0" borderId="0" xfId="3" applyNumberFormat="1" applyFont="1" applyFill="1" applyAlignment="1">
      <alignment vertical="center"/>
    </xf>
    <xf numFmtId="0" fontId="14" fillId="0" borderId="0" xfId="5" applyNumberFormat="1" applyFont="1" applyFill="1" applyBorder="1" applyAlignment="1" applyProtection="1">
      <alignment vertical="center" wrapText="1"/>
    </xf>
    <xf numFmtId="0" fontId="7" fillId="0" borderId="0" xfId="5" applyNumberFormat="1" applyFont="1" applyFill="1" applyBorder="1" applyAlignment="1" applyProtection="1">
      <alignment vertical="center" wrapText="1"/>
    </xf>
    <xf numFmtId="0" fontId="3" fillId="0" borderId="0" xfId="3" applyFont="1" applyFill="1" applyAlignment="1">
      <alignment vertical="center"/>
    </xf>
    <xf numFmtId="49" fontId="14" fillId="0" borderId="0" xfId="3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vertical="center" wrapText="1"/>
    </xf>
    <xf numFmtId="0" fontId="14" fillId="0" borderId="0" xfId="0" applyNumberFormat="1" applyFont="1" applyFill="1" applyAlignment="1">
      <alignment vertical="center" wrapText="1"/>
    </xf>
    <xf numFmtId="0" fontId="12" fillId="0" borderId="0" xfId="5" applyNumberFormat="1" applyFont="1" applyFill="1" applyAlignment="1" applyProtection="1">
      <alignment horizontal="left" vertical="center" wrapText="1"/>
    </xf>
    <xf numFmtId="41" fontId="7" fillId="0" borderId="0" xfId="3" applyNumberFormat="1" applyFont="1" applyFill="1" applyAlignment="1">
      <alignment horizontal="right" vertical="center"/>
    </xf>
    <xf numFmtId="43" fontId="7" fillId="0" borderId="0" xfId="3" applyNumberFormat="1" applyFont="1" applyFill="1" applyAlignment="1">
      <alignment vertical="center"/>
    </xf>
    <xf numFmtId="0" fontId="14" fillId="0" borderId="0" xfId="3" applyFont="1" applyFill="1" applyAlignment="1">
      <alignment vertical="center"/>
    </xf>
    <xf numFmtId="41" fontId="7" fillId="3" borderId="0" xfId="3" applyNumberFormat="1" applyFont="1" applyFill="1" applyAlignment="1">
      <alignment horizontal="center" vertical="center"/>
    </xf>
    <xf numFmtId="9" fontId="7" fillId="0" borderId="0" xfId="3" applyNumberFormat="1" applyFont="1" applyFill="1" applyAlignment="1">
      <alignment horizontal="center" vertical="center"/>
    </xf>
    <xf numFmtId="41" fontId="19" fillId="0" borderId="0" xfId="3" applyNumberFormat="1" applyFont="1" applyFill="1" applyAlignment="1">
      <alignment vertical="center"/>
    </xf>
    <xf numFmtId="41" fontId="20" fillId="0" borderId="0" xfId="3" applyNumberFormat="1" applyFont="1" applyFill="1" applyAlignment="1">
      <alignment vertical="center"/>
    </xf>
    <xf numFmtId="41" fontId="20" fillId="3" borderId="0" xfId="3" applyNumberFormat="1" applyFont="1" applyFill="1" applyAlignment="1">
      <alignment vertical="center"/>
    </xf>
    <xf numFmtId="41" fontId="3" fillId="0" borderId="0" xfId="3" applyNumberFormat="1" applyFont="1" applyFill="1" applyAlignment="1">
      <alignment vertical="center"/>
    </xf>
    <xf numFmtId="9" fontId="3" fillId="0" borderId="0" xfId="3" applyNumberFormat="1" applyFont="1" applyFill="1" applyAlignment="1">
      <alignment vertical="center"/>
    </xf>
    <xf numFmtId="41" fontId="7" fillId="3" borderId="0" xfId="3" applyNumberFormat="1" applyFont="1" applyFill="1" applyAlignment="1">
      <alignment vertical="center"/>
    </xf>
    <xf numFmtId="0" fontId="7" fillId="4" borderId="0" xfId="0" applyFont="1" applyFill="1" applyAlignment="1">
      <alignment vertical="center" wrapText="1"/>
    </xf>
    <xf numFmtId="49" fontId="7" fillId="0" borderId="0" xfId="3" applyNumberFormat="1" applyFont="1" applyFill="1" applyAlignment="1">
      <alignment horizontal="left" vertical="center" wrapText="1"/>
    </xf>
    <xf numFmtId="49" fontId="14" fillId="0" borderId="0" xfId="3" applyNumberFormat="1" applyFont="1" applyFill="1" applyAlignment="1">
      <alignment horizontal="left" vertical="center" wrapText="1"/>
    </xf>
    <xf numFmtId="176" fontId="7" fillId="0" borderId="0" xfId="3" applyNumberFormat="1" applyFont="1" applyFill="1" applyAlignment="1">
      <alignment vertical="center"/>
    </xf>
    <xf numFmtId="49" fontId="12" fillId="0" borderId="0" xfId="3" applyNumberFormat="1" applyFont="1" applyFill="1" applyAlignment="1">
      <alignment horizontal="left" vertical="center" wrapText="1"/>
    </xf>
    <xf numFmtId="41" fontId="3" fillId="0" borderId="0" xfId="0" applyNumberFormat="1" applyFont="1" applyFill="1" applyAlignment="1">
      <alignment vertical="center"/>
    </xf>
    <xf numFmtId="0" fontId="14" fillId="0" borderId="0" xfId="5" applyNumberFormat="1" applyFont="1" applyFill="1" applyAlignment="1" applyProtection="1">
      <alignment horizontal="left" vertical="center" wrapText="1"/>
    </xf>
    <xf numFmtId="0" fontId="21" fillId="0" borderId="0" xfId="3" applyFont="1" applyFill="1" applyAlignment="1">
      <alignment vertical="center"/>
    </xf>
    <xf numFmtId="49" fontId="12" fillId="0" borderId="0" xfId="3" applyNumberFormat="1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14" fillId="0" borderId="0" xfId="3" applyFont="1" applyFill="1" applyAlignment="1">
      <alignment horizontal="left" vertical="center" wrapText="1"/>
    </xf>
    <xf numFmtId="41" fontId="7" fillId="0" borderId="0" xfId="0" applyNumberFormat="1" applyFont="1" applyFill="1" applyAlignment="1">
      <alignment horizontal="center" vertical="center"/>
    </xf>
    <xf numFmtId="41" fontId="19" fillId="0" borderId="0" xfId="0" applyNumberFormat="1" applyFont="1" applyFill="1" applyAlignment="1">
      <alignment vertical="center"/>
    </xf>
    <xf numFmtId="41" fontId="20" fillId="0" borderId="0" xfId="0" applyNumberFormat="1" applyFont="1" applyFill="1" applyAlignment="1">
      <alignment vertical="center"/>
    </xf>
    <xf numFmtId="41" fontId="20" fillId="3" borderId="0" xfId="0" applyNumberFormat="1" applyFont="1" applyFill="1" applyAlignment="1">
      <alignment vertical="center"/>
    </xf>
    <xf numFmtId="41" fontId="7" fillId="0" borderId="0" xfId="0" applyNumberFormat="1" applyFont="1" applyFill="1" applyAlignment="1">
      <alignment vertical="top" wrapText="1"/>
    </xf>
    <xf numFmtId="0" fontId="7" fillId="0" borderId="0" xfId="3" applyFont="1" applyFill="1" applyBorder="1" applyAlignment="1">
      <alignment vertical="center"/>
    </xf>
    <xf numFmtId="49" fontId="7" fillId="0" borderId="0" xfId="3" applyNumberFormat="1" applyFont="1" applyFill="1" applyBorder="1" applyAlignment="1">
      <alignment horizontal="left" vertical="center" wrapText="1"/>
    </xf>
    <xf numFmtId="0" fontId="14" fillId="0" borderId="0" xfId="3" applyFont="1" applyFill="1" applyBorder="1" applyAlignment="1">
      <alignment vertical="center"/>
    </xf>
    <xf numFmtId="49" fontId="14" fillId="0" borderId="0" xfId="3" applyNumberFormat="1" applyFont="1" applyFill="1" applyBorder="1" applyAlignment="1">
      <alignment horizontal="left" vertical="center" wrapText="1"/>
    </xf>
    <xf numFmtId="0" fontId="7" fillId="0" borderId="0" xfId="5" applyNumberFormat="1" applyFont="1" applyFill="1" applyAlignment="1" applyProtection="1">
      <alignment vertical="center" wrapText="1"/>
    </xf>
    <xf numFmtId="0" fontId="22" fillId="0" borderId="0" xfId="3" applyFont="1" applyFill="1" applyAlignment="1">
      <alignment vertical="center"/>
    </xf>
    <xf numFmtId="0" fontId="7" fillId="0" borderId="0" xfId="0" applyNumberFormat="1" applyFont="1" applyFill="1" applyAlignment="1">
      <alignment horizontal="left" vertical="center" wrapText="1"/>
    </xf>
    <xf numFmtId="0" fontId="23" fillId="0" borderId="0" xfId="0" applyFont="1" applyFill="1" applyAlignment="1">
      <alignment vertical="center"/>
    </xf>
    <xf numFmtId="0" fontId="7" fillId="0" borderId="0" xfId="5" applyNumberFormat="1" applyFont="1" applyFill="1" applyAlignment="1" applyProtection="1">
      <alignment wrapText="1"/>
    </xf>
    <xf numFmtId="0" fontId="18" fillId="0" borderId="0" xfId="3" applyFont="1" applyFill="1" applyAlignment="1">
      <alignment vertical="center"/>
    </xf>
    <xf numFmtId="49" fontId="24" fillId="0" borderId="0" xfId="3" applyNumberFormat="1" applyFont="1" applyFill="1" applyAlignment="1">
      <alignment vertical="center"/>
    </xf>
    <xf numFmtId="0" fontId="7" fillId="0" borderId="0" xfId="0" applyNumberFormat="1" applyFont="1" applyFill="1">
      <alignment vertical="center"/>
    </xf>
    <xf numFmtId="0" fontId="18" fillId="0" borderId="0" xfId="0" applyFont="1" applyFill="1" applyAlignment="1">
      <alignment vertical="center"/>
    </xf>
    <xf numFmtId="41" fontId="7" fillId="0" borderId="0" xfId="0" applyNumberFormat="1" applyFont="1" applyFill="1">
      <alignment vertical="center"/>
    </xf>
    <xf numFmtId="0" fontId="7" fillId="0" borderId="0" xfId="0" applyFont="1" applyFill="1" applyAlignment="1">
      <alignment horizontal="left" vertical="center"/>
    </xf>
    <xf numFmtId="41" fontId="19" fillId="0" borderId="0" xfId="0" applyNumberFormat="1" applyFont="1" applyFill="1" applyBorder="1" applyAlignment="1">
      <alignment vertical="center"/>
    </xf>
    <xf numFmtId="41" fontId="20" fillId="0" borderId="0" xfId="0" applyNumberFormat="1" applyFont="1" applyFill="1" applyBorder="1" applyAlignment="1">
      <alignment vertical="center"/>
    </xf>
    <xf numFmtId="49" fontId="16" fillId="0" borderId="0" xfId="3" applyNumberFormat="1" applyFont="1" applyFill="1" applyAlignment="1">
      <alignment horizontal="left" vertical="center"/>
    </xf>
    <xf numFmtId="49" fontId="7" fillId="0" borderId="0" xfId="3" applyNumberFormat="1" applyFont="1" applyFill="1" applyAlignment="1">
      <alignment horizontal="right" vertical="center"/>
    </xf>
    <xf numFmtId="41" fontId="19" fillId="0" borderId="0" xfId="3" applyNumberFormat="1" applyFont="1" applyFill="1" applyBorder="1" applyAlignment="1">
      <alignment vertical="center"/>
    </xf>
    <xf numFmtId="41" fontId="20" fillId="0" borderId="0" xfId="3" applyNumberFormat="1" applyFont="1" applyFill="1" applyBorder="1" applyAlignment="1">
      <alignment vertical="center"/>
    </xf>
    <xf numFmtId="41" fontId="7" fillId="0" borderId="0" xfId="0" applyNumberFormat="1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5" applyNumberFormat="1" applyFont="1" applyFill="1" applyAlignment="1" applyProtection="1">
      <alignment vertical="center" wrapText="1"/>
    </xf>
    <xf numFmtId="176" fontId="20" fillId="0" borderId="0" xfId="0" applyNumberFormat="1" applyFont="1" applyFill="1" applyBorder="1" applyAlignment="1">
      <alignment vertical="center"/>
    </xf>
    <xf numFmtId="176" fontId="20" fillId="0" borderId="0" xfId="0" applyNumberFormat="1" applyFont="1" applyFill="1" applyAlignment="1">
      <alignment vertical="center"/>
    </xf>
    <xf numFmtId="176" fontId="7" fillId="0" borderId="0" xfId="0" applyNumberFormat="1" applyFont="1" applyFill="1">
      <alignment vertical="center"/>
    </xf>
    <xf numFmtId="0" fontId="12" fillId="0" borderId="0" xfId="5" applyFont="1" applyFill="1" applyAlignment="1" applyProtection="1">
      <alignment vertical="center"/>
    </xf>
    <xf numFmtId="41" fontId="19" fillId="0" borderId="0" xfId="0" applyNumberFormat="1" applyFont="1" applyFill="1" applyBorder="1" applyAlignment="1">
      <alignment horizontal="right" vertical="center"/>
    </xf>
    <xf numFmtId="176" fontId="20" fillId="0" borderId="0" xfId="0" applyNumberFormat="1" applyFont="1" applyFill="1" applyBorder="1" applyAlignment="1">
      <alignment horizontal="right" vertical="center"/>
    </xf>
    <xf numFmtId="49" fontId="7" fillId="0" borderId="0" xfId="3" applyNumberFormat="1" applyFont="1" applyFill="1" applyAlignment="1">
      <alignment vertical="center"/>
    </xf>
    <xf numFmtId="49" fontId="16" fillId="0" borderId="0" xfId="0" applyNumberFormat="1" applyFont="1" applyFill="1" applyAlignment="1">
      <alignment horizontal="left" vertical="center"/>
    </xf>
    <xf numFmtId="41" fontId="20" fillId="0" borderId="0" xfId="0" applyNumberFormat="1" applyFont="1" applyFill="1" applyBorder="1" applyAlignment="1">
      <alignment horizontal="right" vertical="center"/>
    </xf>
    <xf numFmtId="49" fontId="25" fillId="0" borderId="0" xfId="0" applyNumberFormat="1" applyFont="1" applyFill="1" applyAlignment="1">
      <alignment horizontal="left" vertical="center"/>
    </xf>
    <xf numFmtId="41" fontId="25" fillId="0" borderId="0" xfId="0" applyNumberFormat="1" applyFont="1" applyFill="1" applyAlignment="1">
      <alignment vertical="center"/>
    </xf>
    <xf numFmtId="41" fontId="7" fillId="0" borderId="0" xfId="0" applyNumberFormat="1" applyFont="1" applyFill="1" applyAlignment="1">
      <alignment horizontal="left" vertical="center" wrapText="1"/>
    </xf>
    <xf numFmtId="41" fontId="26" fillId="0" borderId="0" xfId="0" applyNumberFormat="1" applyFont="1" applyFill="1" applyAlignment="1">
      <alignment vertical="center"/>
    </xf>
    <xf numFmtId="178" fontId="7" fillId="0" borderId="0" xfId="0" applyNumberFormat="1" applyFont="1" applyFill="1" applyAlignment="1">
      <alignment vertical="center"/>
    </xf>
    <xf numFmtId="176" fontId="14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41" fontId="21" fillId="0" borderId="0" xfId="0" applyNumberFormat="1" applyFont="1" applyFill="1" applyAlignment="1">
      <alignment vertical="center"/>
    </xf>
    <xf numFmtId="176" fontId="21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7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49" fontId="12" fillId="0" borderId="0" xfId="3" applyNumberFormat="1" applyFont="1" applyFill="1" applyAlignment="1">
      <alignment vertical="center" wrapText="1"/>
    </xf>
    <xf numFmtId="176" fontId="3" fillId="0" borderId="0" xfId="0" applyNumberFormat="1" applyFont="1" applyFill="1" applyAlignment="1">
      <alignment horizontal="right" vertical="center"/>
    </xf>
    <xf numFmtId="0" fontId="27" fillId="0" borderId="0" xfId="0" applyFont="1" applyFill="1" applyBorder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176" fontId="28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>
      <alignment vertical="center"/>
    </xf>
    <xf numFmtId="41" fontId="7" fillId="0" borderId="0" xfId="0" applyNumberFormat="1" applyFont="1" applyFill="1" applyAlignment="1">
      <alignment vertical="center" wrapText="1"/>
    </xf>
    <xf numFmtId="49" fontId="26" fillId="0" borderId="0" xfId="0" applyNumberFormat="1" applyFont="1" applyFill="1" applyAlignment="1">
      <alignment horizontal="left" vertical="center"/>
    </xf>
    <xf numFmtId="0" fontId="60" fillId="0" borderId="0" xfId="0" applyFont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 wrapText="1"/>
    </xf>
    <xf numFmtId="43" fontId="7" fillId="0" borderId="7" xfId="0" applyNumberFormat="1" applyFont="1" applyFill="1" applyBorder="1" applyAlignment="1">
      <alignment horizontal="center" vertical="center" wrapText="1"/>
    </xf>
    <xf numFmtId="43" fontId="7" fillId="0" borderId="0" xfId="0" applyNumberFormat="1" applyFont="1" applyFill="1" applyAlignment="1">
      <alignment vertical="center" wrapText="1"/>
    </xf>
    <xf numFmtId="49" fontId="7" fillId="0" borderId="7" xfId="0" applyNumberFormat="1" applyFont="1" applyFill="1" applyBorder="1" applyAlignment="1">
      <alignment vertical="center" wrapText="1"/>
    </xf>
    <xf numFmtId="41" fontId="7" fillId="0" borderId="7" xfId="0" applyNumberFormat="1" applyFont="1" applyFill="1" applyBorder="1" applyAlignment="1">
      <alignment vertical="center" wrapText="1"/>
    </xf>
    <xf numFmtId="41" fontId="7" fillId="4" borderId="7" xfId="0" applyNumberFormat="1" applyFont="1" applyFill="1" applyBorder="1" applyAlignment="1">
      <alignment vertical="center" wrapText="1"/>
    </xf>
    <xf numFmtId="43" fontId="7" fillId="0" borderId="0" xfId="0" applyNumberFormat="1" applyFont="1" applyFill="1" applyAlignment="1">
      <alignment horizontal="right" vertical="center" wrapText="1"/>
    </xf>
    <xf numFmtId="49" fontId="7" fillId="0" borderId="0" xfId="0" applyNumberFormat="1" applyFont="1" applyFill="1" applyAlignment="1">
      <alignment vertical="center" wrapText="1"/>
    </xf>
    <xf numFmtId="0" fontId="7" fillId="0" borderId="4" xfId="0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49" fontId="7" fillId="0" borderId="12" xfId="0" applyNumberFormat="1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vertical="center"/>
    </xf>
    <xf numFmtId="9" fontId="7" fillId="0" borderId="7" xfId="1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/>
    </xf>
    <xf numFmtId="9" fontId="7" fillId="4" borderId="7" xfId="1" applyFont="1" applyFill="1" applyBorder="1" applyAlignment="1">
      <alignment vertical="center" wrapText="1"/>
    </xf>
    <xf numFmtId="43" fontId="61" fillId="0" borderId="0" xfId="0" applyNumberFormat="1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9" fontId="7" fillId="0" borderId="7" xfId="0" applyNumberFormat="1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center" vertical="center" wrapText="1"/>
    </xf>
    <xf numFmtId="41" fontId="7" fillId="2" borderId="7" xfId="0" applyNumberFormat="1" applyFont="1" applyFill="1" applyBorder="1" applyAlignment="1">
      <alignment vertical="center" wrapText="1"/>
    </xf>
    <xf numFmtId="0" fontId="3" fillId="12" borderId="7" xfId="0" applyFont="1" applyFill="1" applyBorder="1" applyAlignment="1">
      <alignment vertical="center" wrapText="1"/>
    </xf>
    <xf numFmtId="41" fontId="3" fillId="12" borderId="7" xfId="0" applyNumberFormat="1" applyFont="1" applyFill="1" applyBorder="1" applyAlignment="1">
      <alignment vertical="center" wrapText="1"/>
    </xf>
    <xf numFmtId="0" fontId="3" fillId="13" borderId="0" xfId="0" applyFont="1" applyFill="1" applyAlignment="1">
      <alignment horizontal="center" vertical="center"/>
    </xf>
    <xf numFmtId="0" fontId="60" fillId="13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 wrapText="1"/>
    </xf>
    <xf numFmtId="43" fontId="7" fillId="0" borderId="0" xfId="0" applyNumberFormat="1" applyFont="1" applyFill="1" applyAlignment="1">
      <alignment horizontal="center" vertical="center" wrapText="1"/>
    </xf>
    <xf numFmtId="0" fontId="27" fillId="0" borderId="0" xfId="0" applyFont="1" applyFill="1" applyAlignment="1">
      <alignment vertical="center"/>
    </xf>
    <xf numFmtId="0" fontId="7" fillId="12" borderId="7" xfId="0" applyFont="1" applyFill="1" applyBorder="1" applyAlignment="1">
      <alignment vertical="center"/>
    </xf>
    <xf numFmtId="43" fontId="3" fillId="12" borderId="7" xfId="0" applyNumberFormat="1" applyFont="1" applyFill="1" applyBorder="1" applyAlignment="1">
      <alignment vertical="center"/>
    </xf>
    <xf numFmtId="0" fontId="64" fillId="0" borderId="0" xfId="3" applyFont="1" applyBorder="1" applyAlignment="1">
      <alignment vertical="center"/>
    </xf>
    <xf numFmtId="0" fontId="64" fillId="0" borderId="0" xfId="3" applyFont="1" applyAlignment="1">
      <alignment horizontal="center" vertical="center"/>
    </xf>
    <xf numFmtId="0" fontId="64" fillId="0" borderId="0" xfId="3" applyFont="1" applyFill="1" applyAlignment="1">
      <alignment horizontal="center" vertical="center"/>
    </xf>
    <xf numFmtId="0" fontId="64" fillId="0" borderId="4" xfId="3" applyFont="1" applyBorder="1" applyAlignment="1">
      <alignment horizontal="center" vertical="center"/>
    </xf>
    <xf numFmtId="0" fontId="7" fillId="0" borderId="8" xfId="111" applyFont="1" applyBorder="1" applyAlignment="1">
      <alignment horizontal="center" vertical="center"/>
    </xf>
    <xf numFmtId="0" fontId="7" fillId="0" borderId="12" xfId="111" applyFont="1" applyBorder="1" applyAlignment="1">
      <alignment horizontal="center" vertical="center"/>
    </xf>
    <xf numFmtId="0" fontId="7" fillId="0" borderId="7" xfId="111" applyFont="1" applyBorder="1" applyAlignment="1">
      <alignment horizontal="center"/>
    </xf>
    <xf numFmtId="43" fontId="64" fillId="0" borderId="7" xfId="3" applyNumberFormat="1" applyFont="1" applyBorder="1" applyAlignment="1">
      <alignment vertical="center"/>
    </xf>
    <xf numFmtId="9" fontId="7" fillId="0" borderId="7" xfId="1" applyFont="1" applyFill="1" applyBorder="1" applyAlignment="1">
      <alignment wrapText="1"/>
    </xf>
    <xf numFmtId="0" fontId="14" fillId="0" borderId="7" xfId="111" applyFont="1" applyFill="1" applyBorder="1" applyAlignment="1"/>
    <xf numFmtId="0" fontId="7" fillId="0" borderId="7" xfId="111" applyFont="1" applyFill="1" applyBorder="1" applyAlignment="1">
      <alignment horizontal="center" vertical="center"/>
    </xf>
    <xf numFmtId="49" fontId="7" fillId="0" borderId="7" xfId="111" applyNumberFormat="1" applyFont="1" applyBorder="1" applyAlignment="1"/>
    <xf numFmtId="0" fontId="7" fillId="0" borderId="7" xfId="111" applyFont="1" applyFill="1" applyBorder="1" applyAlignment="1">
      <alignment horizontal="center"/>
    </xf>
    <xf numFmtId="49" fontId="7" fillId="0" borderId="7" xfId="111" applyNumberFormat="1" applyFont="1" applyBorder="1" applyAlignment="1">
      <alignment horizontal="center"/>
    </xf>
    <xf numFmtId="198" fontId="7" fillId="0" borderId="7" xfId="111" applyNumberFormat="1" applyFont="1" applyBorder="1" applyAlignment="1"/>
    <xf numFmtId="0" fontId="64" fillId="0" borderId="0" xfId="3" applyFont="1" applyAlignment="1">
      <alignment vertical="center"/>
    </xf>
    <xf numFmtId="43" fontId="64" fillId="0" borderId="0" xfId="3" applyNumberFormat="1" applyFont="1" applyFill="1" applyAlignment="1">
      <alignment horizontal="center" vertical="center"/>
    </xf>
    <xf numFmtId="43" fontId="64" fillId="0" borderId="0" xfId="3" applyNumberFormat="1" applyFont="1" applyAlignment="1">
      <alignment horizontal="center" vertical="center"/>
    </xf>
    <xf numFmtId="0" fontId="64" fillId="0" borderId="0" xfId="3" applyFont="1" applyFill="1" applyAlignment="1">
      <alignment vertical="center"/>
    </xf>
    <xf numFmtId="0" fontId="64" fillId="0" borderId="7" xfId="3" applyFont="1" applyBorder="1" applyAlignment="1">
      <alignment horizontal="center" vertical="center"/>
    </xf>
    <xf numFmtId="0" fontId="64" fillId="0" borderId="7" xfId="3" applyFont="1" applyBorder="1" applyAlignment="1">
      <alignment vertical="center"/>
    </xf>
    <xf numFmtId="0" fontId="7" fillId="0" borderId="0" xfId="3" applyFont="1" applyBorder="1" applyAlignment="1">
      <alignment vertical="center"/>
    </xf>
    <xf numFmtId="0" fontId="7" fillId="0" borderId="7" xfId="3" applyFont="1" applyBorder="1" applyAlignment="1">
      <alignment horizontal="center" vertical="center"/>
    </xf>
    <xf numFmtId="43" fontId="7" fillId="0" borderId="0" xfId="3" applyNumberFormat="1" applyFont="1" applyBorder="1" applyAlignment="1">
      <alignment vertical="center"/>
    </xf>
    <xf numFmtId="0" fontId="27" fillId="0" borderId="7" xfId="0" applyFont="1" applyBorder="1">
      <alignment vertical="center"/>
    </xf>
    <xf numFmtId="43" fontId="27" fillId="0" borderId="7" xfId="0" applyNumberFormat="1" applyFont="1" applyBorder="1">
      <alignment vertical="center"/>
    </xf>
    <xf numFmtId="41" fontId="27" fillId="0" borderId="7" xfId="0" applyNumberFormat="1" applyFont="1" applyBorder="1">
      <alignment vertical="center"/>
    </xf>
    <xf numFmtId="0" fontId="27" fillId="0" borderId="7" xfId="0" applyNumberFormat="1" applyFont="1" applyBorder="1">
      <alignment vertical="center"/>
    </xf>
    <xf numFmtId="0" fontId="27" fillId="0" borderId="0" xfId="0" applyFont="1" applyBorder="1">
      <alignment vertical="center"/>
    </xf>
    <xf numFmtId="0" fontId="27" fillId="4" borderId="7" xfId="0" applyFont="1" applyFill="1" applyBorder="1">
      <alignment vertical="center"/>
    </xf>
    <xf numFmtId="41" fontId="27" fillId="4" borderId="7" xfId="0" applyNumberFormat="1" applyFont="1" applyFill="1" applyBorder="1">
      <alignment vertical="center"/>
    </xf>
    <xf numFmtId="0" fontId="27" fillId="16" borderId="7" xfId="0" applyFont="1" applyFill="1" applyBorder="1" applyAlignment="1">
      <alignment horizontal="center" vertical="center"/>
    </xf>
    <xf numFmtId="43" fontId="27" fillId="16" borderId="7" xfId="0" applyNumberFormat="1" applyFont="1" applyFill="1" applyBorder="1">
      <alignment vertical="center"/>
    </xf>
    <xf numFmtId="41" fontId="27" fillId="16" borderId="7" xfId="0" applyNumberFormat="1" applyFont="1" applyFill="1" applyBorder="1">
      <alignment vertical="center"/>
    </xf>
    <xf numFmtId="0" fontId="27" fillId="16" borderId="7" xfId="0" applyNumberFormat="1" applyFont="1" applyFill="1" applyBorder="1">
      <alignment vertical="center"/>
    </xf>
    <xf numFmtId="43" fontId="27" fillId="0" borderId="7" xfId="0" applyNumberFormat="1" applyFont="1" applyFill="1" applyBorder="1">
      <alignment vertical="center"/>
    </xf>
    <xf numFmtId="43" fontId="27" fillId="0" borderId="0" xfId="0" applyNumberFormat="1" applyFont="1" applyBorder="1">
      <alignment vertical="center"/>
    </xf>
    <xf numFmtId="0" fontId="27" fillId="0" borderId="0" xfId="0" applyNumberFormat="1" applyFont="1" applyBorder="1">
      <alignment vertical="center"/>
    </xf>
    <xf numFmtId="43" fontId="27" fillId="0" borderId="0" xfId="0" applyNumberFormat="1" applyFont="1" applyFill="1" applyBorder="1">
      <alignment vertical="center"/>
    </xf>
    <xf numFmtId="41" fontId="27" fillId="0" borderId="0" xfId="0" applyNumberFormat="1" applyFont="1" applyBorder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7" fillId="0" borderId="0" xfId="3" applyNumberFormat="1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4" fillId="0" borderId="0" xfId="3" applyFont="1" applyBorder="1" applyAlignment="1">
      <alignment vertical="center"/>
    </xf>
    <xf numFmtId="0" fontId="66" fillId="0" borderId="0" xfId="3" applyFont="1" applyBorder="1" applyAlignment="1">
      <alignment vertical="center"/>
    </xf>
    <xf numFmtId="0" fontId="7" fillId="4" borderId="0" xfId="3" applyFont="1" applyFill="1" applyAlignment="1">
      <alignment vertical="center"/>
    </xf>
    <xf numFmtId="0" fontId="7" fillId="0" borderId="0" xfId="3" applyFont="1" applyAlignment="1">
      <alignment vertical="center"/>
    </xf>
    <xf numFmtId="0" fontId="7" fillId="4" borderId="0" xfId="3" applyFont="1" applyFill="1" applyAlignment="1">
      <alignment horizontal="justify" vertical="center"/>
    </xf>
    <xf numFmtId="0" fontId="7" fillId="4" borderId="4" xfId="3" applyFont="1" applyFill="1" applyBorder="1" applyAlignment="1">
      <alignment horizontal="center" vertical="center" wrapText="1"/>
    </xf>
    <xf numFmtId="0" fontId="7" fillId="4" borderId="12" xfId="3" applyFont="1" applyFill="1" applyBorder="1" applyAlignment="1">
      <alignment horizontal="center" vertical="center" wrapText="1"/>
    </xf>
    <xf numFmtId="0" fontId="7" fillId="4" borderId="12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vertical="center" wrapText="1"/>
    </xf>
    <xf numFmtId="0" fontId="7" fillId="4" borderId="7" xfId="3" applyFont="1" applyFill="1" applyBorder="1" applyAlignment="1">
      <alignment vertical="center"/>
    </xf>
    <xf numFmtId="41" fontId="7" fillId="4" borderId="16" xfId="3" applyNumberFormat="1" applyFont="1" applyFill="1" applyBorder="1" applyAlignment="1">
      <alignment vertical="center" wrapText="1"/>
    </xf>
    <xf numFmtId="41" fontId="7" fillId="4" borderId="12" xfId="3" applyNumberFormat="1" applyFont="1" applyFill="1" applyBorder="1" applyAlignment="1">
      <alignment vertical="center" wrapText="1"/>
    </xf>
    <xf numFmtId="43" fontId="7" fillId="4" borderId="12" xfId="3" applyNumberFormat="1" applyFont="1" applyFill="1" applyBorder="1" applyAlignment="1">
      <alignment vertical="center" wrapText="1"/>
    </xf>
    <xf numFmtId="43" fontId="7" fillId="4" borderId="0" xfId="3" applyNumberFormat="1" applyFont="1" applyFill="1" applyAlignment="1">
      <alignment vertical="center"/>
    </xf>
    <xf numFmtId="41" fontId="7" fillId="4" borderId="7" xfId="3" applyNumberFormat="1" applyFont="1" applyFill="1" applyBorder="1" applyAlignment="1">
      <alignment vertical="center" wrapText="1"/>
    </xf>
    <xf numFmtId="43" fontId="7" fillId="4" borderId="7" xfId="3" applyNumberFormat="1" applyFont="1" applyFill="1" applyBorder="1" applyAlignment="1">
      <alignment vertical="center" wrapText="1"/>
    </xf>
    <xf numFmtId="41" fontId="7" fillId="4" borderId="4" xfId="3" applyNumberFormat="1" applyFont="1" applyFill="1" applyBorder="1" applyAlignment="1">
      <alignment vertical="center" wrapText="1"/>
    </xf>
    <xf numFmtId="0" fontId="7" fillId="16" borderId="10" xfId="3" applyFont="1" applyFill="1" applyBorder="1" applyAlignment="1">
      <alignment vertical="center"/>
    </xf>
    <xf numFmtId="0" fontId="7" fillId="16" borderId="7" xfId="3" applyFont="1" applyFill="1" applyBorder="1" applyAlignment="1">
      <alignment vertical="center" wrapText="1"/>
    </xf>
    <xf numFmtId="41" fontId="7" fillId="16" borderId="11" xfId="3" applyNumberFormat="1" applyFont="1" applyFill="1" applyBorder="1" applyAlignment="1">
      <alignment vertical="center" wrapText="1"/>
    </xf>
    <xf numFmtId="41" fontId="7" fillId="16" borderId="7" xfId="3" applyNumberFormat="1" applyFont="1" applyFill="1" applyBorder="1" applyAlignment="1">
      <alignment vertical="center" wrapText="1"/>
    </xf>
    <xf numFmtId="43" fontId="7" fillId="16" borderId="7" xfId="3" applyNumberFormat="1" applyFont="1" applyFill="1" applyBorder="1" applyAlignment="1">
      <alignment vertical="center" wrapText="1"/>
    </xf>
    <xf numFmtId="0" fontId="7" fillId="4" borderId="10" xfId="3" applyFont="1" applyFill="1" applyBorder="1" applyAlignment="1">
      <alignment vertical="center"/>
    </xf>
    <xf numFmtId="0" fontId="7" fillId="4" borderId="11" xfId="3" applyFont="1" applyFill="1" applyBorder="1" applyAlignment="1">
      <alignment vertical="center" wrapText="1"/>
    </xf>
    <xf numFmtId="41" fontId="7" fillId="4" borderId="11" xfId="3" applyNumberFormat="1" applyFont="1" applyFill="1" applyBorder="1" applyAlignment="1">
      <alignment vertical="center" wrapText="1"/>
    </xf>
    <xf numFmtId="0" fontId="7" fillId="16" borderId="11" xfId="3" applyFont="1" applyFill="1" applyBorder="1" applyAlignment="1">
      <alignment vertical="center"/>
    </xf>
    <xf numFmtId="0" fontId="7" fillId="0" borderId="0" xfId="3" applyFont="1" applyAlignment="1">
      <alignment horizontal="justify" vertical="center"/>
    </xf>
    <xf numFmtId="0" fontId="7" fillId="0" borderId="3" xfId="3" applyFont="1" applyBorder="1" applyAlignment="1">
      <alignment vertical="center" wrapText="1"/>
    </xf>
    <xf numFmtId="0" fontId="7" fillId="0" borderId="4" xfId="3" applyFont="1" applyBorder="1" applyAlignment="1">
      <alignment horizontal="center" vertical="center" wrapText="1"/>
    </xf>
    <xf numFmtId="0" fontId="7" fillId="0" borderId="12" xfId="3" applyFont="1" applyBorder="1" applyAlignment="1">
      <alignment horizontal="center" vertical="center" wrapText="1"/>
    </xf>
    <xf numFmtId="0" fontId="7" fillId="0" borderId="12" xfId="3" applyFont="1" applyBorder="1" applyAlignment="1">
      <alignment horizontal="center" vertical="center"/>
    </xf>
    <xf numFmtId="0" fontId="7" fillId="0" borderId="7" xfId="3" applyFont="1" applyBorder="1" applyAlignment="1">
      <alignment vertical="center" wrapText="1"/>
    </xf>
    <xf numFmtId="0" fontId="7" fillId="0" borderId="7" xfId="3" applyFont="1" applyBorder="1" applyAlignment="1">
      <alignment vertical="center"/>
    </xf>
    <xf numFmtId="41" fontId="7" fillId="0" borderId="16" xfId="3" applyNumberFormat="1" applyFont="1" applyBorder="1" applyAlignment="1">
      <alignment vertical="center" wrapText="1"/>
    </xf>
    <xf numFmtId="41" fontId="7" fillId="0" borderId="12" xfId="3" applyNumberFormat="1" applyFont="1" applyBorder="1" applyAlignment="1">
      <alignment vertical="center" wrapText="1"/>
    </xf>
    <xf numFmtId="43" fontId="7" fillId="0" borderId="12" xfId="3" applyNumberFormat="1" applyFont="1" applyBorder="1" applyAlignment="1">
      <alignment vertical="center" wrapText="1"/>
    </xf>
    <xf numFmtId="0" fontId="7" fillId="12" borderId="10" xfId="3" applyFont="1" applyFill="1" applyBorder="1" applyAlignment="1">
      <alignment vertical="center"/>
    </xf>
    <xf numFmtId="0" fontId="7" fillId="12" borderId="7" xfId="3" applyFont="1" applyFill="1" applyBorder="1" applyAlignment="1">
      <alignment vertical="center" wrapText="1"/>
    </xf>
    <xf numFmtId="41" fontId="7" fillId="12" borderId="11" xfId="3" applyNumberFormat="1" applyFont="1" applyFill="1" applyBorder="1" applyAlignment="1">
      <alignment vertical="center" wrapText="1"/>
    </xf>
    <xf numFmtId="41" fontId="7" fillId="12" borderId="7" xfId="3" applyNumberFormat="1" applyFont="1" applyFill="1" applyBorder="1" applyAlignment="1">
      <alignment vertical="center" wrapText="1"/>
    </xf>
    <xf numFmtId="43" fontId="7" fillId="12" borderId="7" xfId="3" applyNumberFormat="1" applyFont="1" applyFill="1" applyBorder="1" applyAlignment="1">
      <alignment vertical="center" wrapText="1"/>
    </xf>
    <xf numFmtId="0" fontId="7" fillId="0" borderId="10" xfId="3" applyFont="1" applyFill="1" applyBorder="1" applyAlignment="1">
      <alignment vertical="center"/>
    </xf>
    <xf numFmtId="0" fontId="7" fillId="0" borderId="11" xfId="3" applyFont="1" applyFill="1" applyBorder="1" applyAlignment="1">
      <alignment vertical="center" wrapText="1"/>
    </xf>
    <xf numFmtId="41" fontId="7" fillId="0" borderId="11" xfId="3" applyNumberFormat="1" applyFont="1" applyFill="1" applyBorder="1" applyAlignment="1">
      <alignment vertical="center" wrapText="1"/>
    </xf>
    <xf numFmtId="41" fontId="7" fillId="0" borderId="7" xfId="3" applyNumberFormat="1" applyFont="1" applyFill="1" applyBorder="1" applyAlignment="1">
      <alignment vertical="center" wrapText="1"/>
    </xf>
    <xf numFmtId="43" fontId="7" fillId="0" borderId="7" xfId="3" applyNumberFormat="1" applyFont="1" applyFill="1" applyBorder="1" applyAlignment="1">
      <alignment vertical="center" wrapText="1"/>
    </xf>
    <xf numFmtId="0" fontId="7" fillId="12" borderId="11" xfId="3" applyFont="1" applyFill="1" applyBorder="1" applyAlignment="1">
      <alignment vertical="center"/>
    </xf>
    <xf numFmtId="0" fontId="7" fillId="4" borderId="3" xfId="3" applyFont="1" applyFill="1" applyBorder="1" applyAlignment="1">
      <alignment vertical="center" wrapText="1"/>
    </xf>
    <xf numFmtId="0" fontId="7" fillId="4" borderId="11" xfId="3" applyFont="1" applyFill="1" applyBorder="1" applyAlignment="1">
      <alignment vertical="center"/>
    </xf>
    <xf numFmtId="43" fontId="7" fillId="0" borderId="7" xfId="3" applyNumberFormat="1" applyFont="1" applyBorder="1" applyAlignment="1">
      <alignment vertical="center"/>
    </xf>
    <xf numFmtId="0" fontId="3" fillId="0" borderId="0" xfId="4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4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43" fontId="7" fillId="0" borderId="20" xfId="0" applyNumberFormat="1" applyFont="1" applyBorder="1" applyAlignment="1">
      <alignment horizontal="center" vertical="center" wrapText="1"/>
    </xf>
    <xf numFmtId="43" fontId="7" fillId="0" borderId="21" xfId="0" applyNumberFormat="1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41" fontId="7" fillId="0" borderId="7" xfId="0" applyNumberFormat="1" applyFont="1" applyBorder="1" applyAlignment="1">
      <alignment horizontal="center" vertical="center"/>
    </xf>
    <xf numFmtId="41" fontId="7" fillId="0" borderId="10" xfId="0" applyNumberFormat="1" applyFont="1" applyBorder="1" applyAlignment="1">
      <alignment horizontal="right" vertical="center"/>
    </xf>
    <xf numFmtId="43" fontId="7" fillId="0" borderId="11" xfId="0" applyNumberFormat="1" applyFont="1" applyBorder="1" applyAlignment="1">
      <alignment horizontal="right" vertical="center"/>
    </xf>
    <xf numFmtId="43" fontId="7" fillId="0" borderId="7" xfId="0" applyNumberFormat="1" applyFont="1" applyBorder="1" applyAlignment="1">
      <alignment vertical="center"/>
    </xf>
    <xf numFmtId="49" fontId="7" fillId="15" borderId="7" xfId="0" applyNumberFormat="1" applyFont="1" applyFill="1" applyBorder="1" applyAlignment="1">
      <alignment horizontal="center" vertical="center"/>
    </xf>
    <xf numFmtId="41" fontId="3" fillId="15" borderId="10" xfId="0" applyNumberFormat="1" applyFont="1" applyFill="1" applyBorder="1" applyAlignment="1">
      <alignment horizontal="right" vertical="center"/>
    </xf>
    <xf numFmtId="43" fontId="3" fillId="15" borderId="25" xfId="0" applyNumberFormat="1" applyFont="1" applyFill="1" applyBorder="1" applyAlignment="1">
      <alignment vertical="center"/>
    </xf>
    <xf numFmtId="43" fontId="3" fillId="15" borderId="11" xfId="0" applyNumberFormat="1" applyFont="1" applyFill="1" applyBorder="1" applyAlignment="1">
      <alignment horizontal="right" vertical="center"/>
    </xf>
    <xf numFmtId="49" fontId="7" fillId="0" borderId="7" xfId="0" applyNumberFormat="1" applyFont="1" applyBorder="1" applyAlignment="1">
      <alignment vertical="center"/>
    </xf>
    <xf numFmtId="43" fontId="7" fillId="0" borderId="10" xfId="0" applyNumberFormat="1" applyFont="1" applyBorder="1" applyAlignment="1">
      <alignment horizontal="right" vertical="center"/>
    </xf>
    <xf numFmtId="43" fontId="7" fillId="0" borderId="25" xfId="0" applyNumberFormat="1" applyFont="1" applyBorder="1" applyAlignment="1">
      <alignment vertical="center"/>
    </xf>
    <xf numFmtId="49" fontId="7" fillId="12" borderId="7" xfId="0" applyNumberFormat="1" applyFont="1" applyFill="1" applyBorder="1" applyAlignment="1">
      <alignment vertical="center"/>
    </xf>
    <xf numFmtId="41" fontId="3" fillId="12" borderId="10" xfId="0" applyNumberFormat="1" applyFont="1" applyFill="1" applyBorder="1" applyAlignment="1">
      <alignment horizontal="right" vertical="center"/>
    </xf>
    <xf numFmtId="43" fontId="3" fillId="12" borderId="25" xfId="0" applyNumberFormat="1" applyFont="1" applyFill="1" applyBorder="1" applyAlignment="1">
      <alignment vertical="center"/>
    </xf>
    <xf numFmtId="43" fontId="3" fillId="12" borderId="11" xfId="0" applyNumberFormat="1" applyFont="1" applyFill="1" applyBorder="1" applyAlignment="1">
      <alignment horizontal="right" vertical="center"/>
    </xf>
    <xf numFmtId="49" fontId="7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vertical="center"/>
    </xf>
    <xf numFmtId="43" fontId="7" fillId="0" borderId="0" xfId="0" applyNumberFormat="1" applyFont="1" applyBorder="1" applyAlignment="1">
      <alignment horizontal="right" vertical="center"/>
    </xf>
    <xf numFmtId="0" fontId="7" fillId="0" borderId="0" xfId="4" applyFont="1" applyAlignment="1">
      <alignment horizontal="center" vertical="center"/>
    </xf>
    <xf numFmtId="0" fontId="3" fillId="0" borderId="0" xfId="4" applyFont="1" applyBorder="1" applyAlignment="1">
      <alignment vertical="center"/>
    </xf>
    <xf numFmtId="0" fontId="7" fillId="0" borderId="0" xfId="4" applyFont="1" applyBorder="1" applyAlignment="1">
      <alignment vertical="center"/>
    </xf>
    <xf numFmtId="0" fontId="3" fillId="0" borderId="0" xfId="4" applyFont="1" applyBorder="1" applyAlignment="1">
      <alignment horizontal="center" vertical="center"/>
    </xf>
    <xf numFmtId="0" fontId="3" fillId="0" borderId="0" xfId="4" applyFont="1" applyBorder="1" applyAlignment="1">
      <alignment horizontal="right" vertical="center"/>
    </xf>
    <xf numFmtId="49" fontId="7" fillId="0" borderId="13" xfId="0" applyNumberFormat="1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 wrapText="1"/>
    </xf>
    <xf numFmtId="43" fontId="7" fillId="0" borderId="26" xfId="0" applyNumberFormat="1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43" fontId="7" fillId="0" borderId="28" xfId="0" applyNumberFormat="1" applyFont="1" applyBorder="1" applyAlignment="1">
      <alignment horizontal="center" vertical="center" wrapText="1"/>
    </xf>
    <xf numFmtId="43" fontId="14" fillId="0" borderId="28" xfId="0" applyNumberFormat="1" applyFont="1" applyBorder="1" applyAlignment="1">
      <alignment horizontal="center" vertical="center" wrapText="1"/>
    </xf>
    <xf numFmtId="43" fontId="7" fillId="0" borderId="4" xfId="0" applyNumberFormat="1" applyFont="1" applyBorder="1" applyAlignment="1">
      <alignment vertical="center"/>
    </xf>
    <xf numFmtId="43" fontId="7" fillId="0" borderId="11" xfId="0" applyNumberFormat="1" applyFont="1" applyFill="1" applyBorder="1" applyAlignment="1">
      <alignment vertical="center" wrapText="1"/>
    </xf>
    <xf numFmtId="43" fontId="7" fillId="0" borderId="8" xfId="0" applyNumberFormat="1" applyFont="1" applyBorder="1" applyAlignment="1">
      <alignment vertical="center"/>
    </xf>
    <xf numFmtId="43" fontId="7" fillId="0" borderId="12" xfId="0" applyNumberFormat="1" applyFont="1" applyBorder="1" applyAlignment="1">
      <alignment vertical="center"/>
    </xf>
    <xf numFmtId="0" fontId="7" fillId="15" borderId="7" xfId="0" applyFont="1" applyFill="1" applyBorder="1" applyAlignment="1">
      <alignment horizontal="center" vertical="center" wrapText="1"/>
    </xf>
    <xf numFmtId="43" fontId="7" fillId="15" borderId="11" xfId="0" applyNumberFormat="1" applyFont="1" applyFill="1" applyBorder="1" applyAlignment="1">
      <alignment horizontal="right" vertical="center"/>
    </xf>
    <xf numFmtId="43" fontId="7" fillId="12" borderId="11" xfId="0" applyNumberFormat="1" applyFont="1" applyFill="1" applyBorder="1" applyAlignment="1">
      <alignment horizontal="right" vertical="center"/>
    </xf>
    <xf numFmtId="41" fontId="3" fillId="12" borderId="29" xfId="0" applyNumberFormat="1" applyFont="1" applyFill="1" applyBorder="1" applyAlignment="1">
      <alignment vertical="center"/>
    </xf>
    <xf numFmtId="43" fontId="3" fillId="12" borderId="11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43" fontId="7" fillId="0" borderId="0" xfId="0" applyNumberFormat="1" applyFont="1" applyFill="1" applyBorder="1" applyAlignment="1">
      <alignment horizontal="center" vertical="center" wrapText="1"/>
    </xf>
    <xf numFmtId="43" fontId="7" fillId="0" borderId="0" xfId="0" applyNumberFormat="1" applyFont="1" applyFill="1" applyBorder="1" applyAlignment="1">
      <alignment horizontal="left" vertical="center"/>
    </xf>
    <xf numFmtId="0" fontId="3" fillId="4" borderId="0" xfId="4" applyFont="1" applyFill="1" applyAlignment="1">
      <alignment vertical="center"/>
    </xf>
    <xf numFmtId="0" fontId="7" fillId="4" borderId="0" xfId="4" applyFont="1" applyFill="1" applyBorder="1" applyAlignment="1">
      <alignment vertical="center"/>
    </xf>
    <xf numFmtId="0" fontId="63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4" borderId="4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0" fontId="63" fillId="0" borderId="4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41" fontId="7" fillId="0" borderId="7" xfId="0" quotePrefix="1" applyNumberFormat="1" applyFont="1" applyBorder="1" applyAlignment="1">
      <alignment horizontal="center" vertical="center"/>
    </xf>
    <xf numFmtId="9" fontId="7" fillId="0" borderId="7" xfId="0" applyNumberFormat="1" applyFont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3" fontId="3" fillId="0" borderId="0" xfId="0" applyNumberFormat="1" applyFont="1" applyFill="1" applyBorder="1" applyAlignment="1">
      <alignment vertical="center" wrapText="1"/>
    </xf>
    <xf numFmtId="0" fontId="27" fillId="4" borderId="0" xfId="0" applyFont="1" applyFill="1" applyAlignment="1">
      <alignment vertical="center"/>
    </xf>
    <xf numFmtId="0" fontId="68" fillId="4" borderId="0" xfId="0" applyFont="1" applyFill="1" applyBorder="1" applyAlignment="1">
      <alignment vertical="center"/>
    </xf>
    <xf numFmtId="43" fontId="69" fillId="4" borderId="0" xfId="0" applyNumberFormat="1" applyFont="1" applyFill="1" applyBorder="1" applyAlignment="1">
      <alignment vertical="center"/>
    </xf>
    <xf numFmtId="0" fontId="68" fillId="0" borderId="10" xfId="0" applyFont="1" applyFill="1" applyBorder="1" applyAlignment="1">
      <alignment horizontal="center" vertical="center"/>
    </xf>
    <xf numFmtId="0" fontId="68" fillId="0" borderId="10" xfId="0" applyFont="1" applyFill="1" applyBorder="1" applyAlignment="1">
      <alignment horizontal="center" vertical="center" wrapText="1"/>
    </xf>
    <xf numFmtId="0" fontId="68" fillId="0" borderId="7" xfId="0" applyFont="1" applyFill="1" applyBorder="1" applyAlignment="1">
      <alignment horizontal="center" vertical="center"/>
    </xf>
    <xf numFmtId="0" fontId="68" fillId="0" borderId="7" xfId="0" applyFont="1" applyFill="1" applyBorder="1" applyAlignment="1">
      <alignment vertical="center"/>
    </xf>
    <xf numFmtId="43" fontId="27" fillId="0" borderId="7" xfId="0" applyNumberFormat="1" applyFont="1" applyFill="1" applyBorder="1" applyAlignment="1">
      <alignment horizontal="left" vertical="center"/>
    </xf>
    <xf numFmtId="43" fontId="27" fillId="0" borderId="7" xfId="0" applyNumberFormat="1" applyFont="1" applyFill="1" applyBorder="1" applyAlignment="1">
      <alignment horizontal="left" vertical="center" wrapText="1"/>
    </xf>
    <xf numFmtId="199" fontId="27" fillId="0" borderId="7" xfId="0" applyNumberFormat="1" applyFont="1" applyFill="1" applyBorder="1" applyAlignment="1">
      <alignment vertical="center"/>
    </xf>
    <xf numFmtId="199" fontId="27" fillId="0" borderId="6" xfId="0" applyNumberFormat="1" applyFont="1" applyFill="1" applyBorder="1" applyAlignment="1">
      <alignment vertical="center"/>
    </xf>
    <xf numFmtId="199" fontId="27" fillId="0" borderId="11" xfId="0" applyNumberFormat="1" applyFont="1" applyFill="1" applyBorder="1" applyAlignment="1">
      <alignment vertical="center"/>
    </xf>
    <xf numFmtId="0" fontId="68" fillId="12" borderId="7" xfId="0" applyFont="1" applyFill="1" applyBorder="1" applyAlignment="1">
      <alignment vertical="center"/>
    </xf>
    <xf numFmtId="43" fontId="69" fillId="12" borderId="7" xfId="0" applyNumberFormat="1" applyFont="1" applyFill="1" applyBorder="1" applyAlignment="1">
      <alignment vertical="center"/>
    </xf>
    <xf numFmtId="0" fontId="71" fillId="0" borderId="0" xfId="0" applyFont="1" applyBorder="1" applyAlignment="1">
      <alignment vertical="center"/>
    </xf>
    <xf numFmtId="0" fontId="72" fillId="0" borderId="0" xfId="0" applyFont="1" applyBorder="1" applyAlignment="1">
      <alignment horizontal="left" vertical="center" wrapText="1"/>
    </xf>
    <xf numFmtId="0" fontId="68" fillId="0" borderId="7" xfId="0" applyFont="1" applyFill="1" applyBorder="1" applyAlignment="1">
      <alignment horizontal="center" vertical="center" wrapText="1"/>
    </xf>
    <xf numFmtId="0" fontId="68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 wrapText="1"/>
    </xf>
    <xf numFmtId="0" fontId="70" fillId="4" borderId="7" xfId="0" applyFont="1" applyFill="1" applyBorder="1" applyAlignment="1">
      <alignment horizontal="center" vertical="center"/>
    </xf>
    <xf numFmtId="43" fontId="27" fillId="4" borderId="7" xfId="0" applyNumberFormat="1" applyFont="1" applyFill="1" applyBorder="1" applyAlignment="1">
      <alignment horizontal="left" vertical="center"/>
    </xf>
    <xf numFmtId="43" fontId="27" fillId="4" borderId="0" xfId="0" applyNumberFormat="1" applyFont="1" applyFill="1" applyBorder="1" applyAlignment="1">
      <alignment horizontal="left" vertical="center"/>
    </xf>
    <xf numFmtId="0" fontId="68" fillId="0" borderId="7" xfId="0" applyFont="1" applyBorder="1" applyAlignment="1">
      <alignment vertical="center"/>
    </xf>
    <xf numFmtId="9" fontId="27" fillId="0" borderId="7" xfId="0" applyNumberFormat="1" applyFont="1" applyBorder="1" applyAlignment="1">
      <alignment vertical="center"/>
    </xf>
    <xf numFmtId="9" fontId="27" fillId="0" borderId="0" xfId="0" applyNumberFormat="1" applyFont="1" applyBorder="1" applyAlignment="1">
      <alignment vertical="center"/>
    </xf>
    <xf numFmtId="43" fontId="71" fillId="0" borderId="0" xfId="0" applyNumberFormat="1" applyFont="1" applyBorder="1" applyAlignment="1">
      <alignment vertical="center"/>
    </xf>
    <xf numFmtId="0" fontId="73" fillId="0" borderId="0" xfId="0" applyFont="1" applyBorder="1" applyAlignment="1">
      <alignment vertical="center"/>
    </xf>
    <xf numFmtId="0" fontId="68" fillId="0" borderId="0" xfId="0" applyFont="1" applyBorder="1" applyAlignment="1">
      <alignment vertical="center"/>
    </xf>
    <xf numFmtId="0" fontId="73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3" fontId="7" fillId="0" borderId="7" xfId="0" applyNumberFormat="1" applyFont="1" applyBorder="1" applyAlignment="1">
      <alignment horizontal="left" vertical="center"/>
    </xf>
    <xf numFmtId="0" fontId="7" fillId="15" borderId="7" xfId="0" applyFont="1" applyFill="1" applyBorder="1" applyAlignment="1">
      <alignment horizontal="center" vertical="center"/>
    </xf>
    <xf numFmtId="43" fontId="3" fillId="15" borderId="7" xfId="0" applyNumberFormat="1" applyFont="1" applyFill="1" applyBorder="1" applyAlignment="1">
      <alignment horizontal="left" vertical="center"/>
    </xf>
    <xf numFmtId="0" fontId="7" fillId="0" borderId="7" xfId="0" applyFont="1" applyBorder="1" applyAlignment="1">
      <alignment vertical="center"/>
    </xf>
    <xf numFmtId="43" fontId="3" fillId="12" borderId="7" xfId="0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43" fontId="7" fillId="0" borderId="0" xfId="0" applyNumberFormat="1" applyFont="1" applyBorder="1" applyAlignment="1">
      <alignment horizontal="left" vertical="center"/>
    </xf>
    <xf numFmtId="0" fontId="74" fillId="0" borderId="0" xfId="4" applyFont="1" applyAlignment="1">
      <alignment horizontal="center" vertical="center"/>
    </xf>
    <xf numFmtId="0" fontId="75" fillId="0" borderId="0" xfId="4" applyFont="1" applyFill="1" applyAlignment="1">
      <alignment horizontal="right" vertical="center"/>
    </xf>
    <xf numFmtId="200" fontId="75" fillId="0" borderId="0" xfId="4" applyNumberFormat="1" applyFont="1" applyFill="1" applyAlignment="1">
      <alignment horizontal="right" vertical="center"/>
    </xf>
    <xf numFmtId="0" fontId="7" fillId="0" borderId="0" xfId="4" applyFont="1" applyFill="1" applyBorder="1" applyAlignment="1">
      <alignment vertical="center"/>
    </xf>
    <xf numFmtId="0" fontId="76" fillId="0" borderId="0" xfId="4" applyFont="1" applyBorder="1" applyAlignment="1">
      <alignment horizontal="left" vertical="center"/>
    </xf>
    <xf numFmtId="0" fontId="74" fillId="0" borderId="0" xfId="4" applyFont="1" applyBorder="1" applyAlignment="1">
      <alignment horizontal="center" vertical="center"/>
    </xf>
    <xf numFmtId="0" fontId="3" fillId="17" borderId="0" xfId="4" applyFont="1" applyFill="1" applyBorder="1" applyAlignment="1">
      <alignment vertical="center"/>
    </xf>
    <xf numFmtId="0" fontId="7" fillId="17" borderId="0" xfId="4" applyFont="1" applyFill="1" applyBorder="1" applyAlignment="1">
      <alignment vertical="center"/>
    </xf>
    <xf numFmtId="0" fontId="74" fillId="0" borderId="0" xfId="4" applyFont="1" applyBorder="1" applyAlignment="1">
      <alignment horizontal="left" vertical="center"/>
    </xf>
    <xf numFmtId="0" fontId="74" fillId="0" borderId="7" xfId="4" applyFont="1" applyBorder="1" applyAlignment="1">
      <alignment horizontal="center" vertical="center"/>
    </xf>
    <xf numFmtId="0" fontId="7" fillId="0" borderId="7" xfId="4" applyFont="1" applyBorder="1" applyAlignment="1">
      <alignment vertical="center"/>
    </xf>
    <xf numFmtId="0" fontId="7" fillId="17" borderId="7" xfId="4" applyFont="1" applyFill="1" applyBorder="1" applyAlignment="1">
      <alignment vertical="center"/>
    </xf>
    <xf numFmtId="0" fontId="74" fillId="17" borderId="7" xfId="4" applyFont="1" applyFill="1" applyBorder="1" applyAlignment="1">
      <alignment horizontal="center" vertical="center"/>
    </xf>
    <xf numFmtId="0" fontId="7" fillId="0" borderId="7" xfId="4" applyFont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vertical="center"/>
    </xf>
    <xf numFmtId="201" fontId="7" fillId="17" borderId="7" xfId="4" applyNumberFormat="1" applyFont="1" applyFill="1" applyBorder="1" applyAlignment="1">
      <alignment vertical="center"/>
    </xf>
    <xf numFmtId="0" fontId="7" fillId="14" borderId="0" xfId="4" applyFont="1" applyFill="1" applyBorder="1" applyAlignment="1">
      <alignment vertical="center"/>
    </xf>
    <xf numFmtId="0" fontId="71" fillId="14" borderId="0" xfId="0" applyFont="1" applyFill="1" applyBorder="1" applyAlignment="1">
      <alignment vertical="center"/>
    </xf>
    <xf numFmtId="0" fontId="68" fillId="14" borderId="7" xfId="0" applyFont="1" applyFill="1" applyBorder="1" applyAlignment="1">
      <alignment horizontal="center" vertical="center"/>
    </xf>
    <xf numFmtId="0" fontId="68" fillId="14" borderId="7" xfId="0" applyFont="1" applyFill="1" applyBorder="1" applyAlignment="1">
      <alignment horizontal="center" vertical="center" wrapText="1"/>
    </xf>
    <xf numFmtId="0" fontId="70" fillId="14" borderId="7" xfId="0" applyFont="1" applyFill="1" applyBorder="1" applyAlignment="1">
      <alignment horizontal="center" vertical="center"/>
    </xf>
    <xf numFmtId="43" fontId="27" fillId="14" borderId="7" xfId="0" applyNumberFormat="1" applyFont="1" applyFill="1" applyBorder="1" applyAlignment="1">
      <alignment horizontal="left" vertical="center"/>
    </xf>
    <xf numFmtId="9" fontId="27" fillId="14" borderId="7" xfId="0" applyNumberFormat="1" applyFont="1" applyFill="1" applyBorder="1" applyAlignment="1">
      <alignment vertical="center"/>
    </xf>
    <xf numFmtId="0" fontId="73" fillId="14" borderId="0" xfId="0" applyFont="1" applyFill="1" applyBorder="1" applyAlignment="1">
      <alignment vertical="center"/>
    </xf>
    <xf numFmtId="0" fontId="68" fillId="14" borderId="0" xfId="0" applyFont="1" applyFill="1" applyBorder="1" applyAlignment="1">
      <alignment vertical="center"/>
    </xf>
    <xf numFmtId="0" fontId="73" fillId="14" borderId="0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43" fontId="7" fillId="0" borderId="7" xfId="0" applyNumberFormat="1" applyFont="1" applyFill="1" applyBorder="1" applyAlignment="1">
      <alignment horizontal="left" vertical="center"/>
    </xf>
    <xf numFmtId="43" fontId="7" fillId="0" borderId="0" xfId="4" applyNumberFormat="1" applyFont="1" applyAlignment="1">
      <alignment vertical="center"/>
    </xf>
    <xf numFmtId="0" fontId="76" fillId="14" borderId="0" xfId="4" applyFont="1" applyFill="1" applyBorder="1" applyAlignment="1">
      <alignment horizontal="left" vertical="center"/>
    </xf>
    <xf numFmtId="0" fontId="7" fillId="14" borderId="0" xfId="4" applyFont="1" applyFill="1" applyAlignment="1">
      <alignment horizontal="center" vertical="center"/>
    </xf>
    <xf numFmtId="0" fontId="7" fillId="14" borderId="0" xfId="4" applyFont="1" applyFill="1" applyAlignment="1">
      <alignment vertical="center"/>
    </xf>
    <xf numFmtId="0" fontId="74" fillId="14" borderId="0" xfId="4" applyFont="1" applyFill="1" applyBorder="1" applyAlignment="1">
      <alignment horizontal="left" vertical="center"/>
    </xf>
    <xf numFmtId="0" fontId="74" fillId="14" borderId="7" xfId="4" applyFont="1" applyFill="1" applyBorder="1" applyAlignment="1">
      <alignment horizontal="center" vertical="center"/>
    </xf>
    <xf numFmtId="0" fontId="7" fillId="14" borderId="7" xfId="4" applyFont="1" applyFill="1" applyBorder="1" applyAlignment="1">
      <alignment vertical="center"/>
    </xf>
    <xf numFmtId="4" fontId="57" fillId="0" borderId="0" xfId="0" applyNumberFormat="1" applyFont="1" applyBorder="1">
      <alignment vertical="center"/>
    </xf>
    <xf numFmtId="0" fontId="7" fillId="14" borderId="7" xfId="4" applyFont="1" applyFill="1" applyBorder="1" applyAlignment="1">
      <alignment horizontal="center" vertical="center"/>
    </xf>
    <xf numFmtId="0" fontId="14" fillId="14" borderId="7" xfId="4" applyFont="1" applyFill="1" applyBorder="1" applyAlignment="1">
      <alignment horizontal="center" vertical="center"/>
    </xf>
    <xf numFmtId="0" fontId="7" fillId="14" borderId="7" xfId="4" applyFont="1" applyFill="1" applyBorder="1" applyAlignment="1">
      <alignment horizontal="left" vertical="center"/>
    </xf>
    <xf numFmtId="0" fontId="14" fillId="0" borderId="0" xfId="4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49" fontId="7" fillId="0" borderId="4" xfId="0" applyNumberFormat="1" applyFont="1" applyFill="1" applyBorder="1" applyAlignment="1">
      <alignment horizontal="center" vertical="center" wrapText="1"/>
    </xf>
    <xf numFmtId="0" fontId="27" fillId="0" borderId="0" xfId="0" applyFont="1">
      <alignment vertical="center"/>
    </xf>
    <xf numFmtId="0" fontId="7" fillId="0" borderId="8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49" fontId="7" fillId="0" borderId="8" xfId="0" applyNumberFormat="1" applyFont="1" applyFill="1" applyBorder="1" applyAlignment="1">
      <alignment horizontal="center" vertical="center" wrapText="1"/>
    </xf>
    <xf numFmtId="49" fontId="7" fillId="0" borderId="8" xfId="0" applyNumberFormat="1" applyFont="1" applyFill="1" applyBorder="1" applyAlignment="1">
      <alignment vertical="center" wrapText="1"/>
    </xf>
    <xf numFmtId="43" fontId="7" fillId="0" borderId="31" xfId="0" applyNumberFormat="1" applyFont="1" applyFill="1" applyBorder="1" applyAlignment="1">
      <alignment horizontal="center" vertical="center" wrapText="1"/>
    </xf>
    <xf numFmtId="43" fontId="7" fillId="0" borderId="32" xfId="0" applyNumberFormat="1" applyFont="1" applyFill="1" applyBorder="1" applyAlignment="1">
      <alignment horizontal="center" vertical="center" wrapText="1"/>
    </xf>
    <xf numFmtId="43" fontId="7" fillId="0" borderId="33" xfId="0" applyNumberFormat="1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49" fontId="7" fillId="0" borderId="12" xfId="0" applyNumberFormat="1" applyFont="1" applyFill="1" applyBorder="1" applyAlignment="1">
      <alignment horizontal="center" vertical="center" wrapText="1"/>
    </xf>
    <xf numFmtId="43" fontId="7" fillId="0" borderId="34" xfId="0" applyNumberFormat="1" applyFont="1" applyFill="1" applyBorder="1" applyAlignment="1">
      <alignment horizontal="center" vertical="center" wrapText="1"/>
    </xf>
    <xf numFmtId="43" fontId="7" fillId="0" borderId="35" xfId="0" quotePrefix="1" applyNumberFormat="1" applyFont="1" applyFill="1" applyBorder="1" applyAlignment="1">
      <alignment horizontal="center" vertical="center" wrapText="1"/>
    </xf>
    <xf numFmtId="43" fontId="7" fillId="0" borderId="36" xfId="0" applyNumberFormat="1" applyFont="1" applyFill="1" applyBorder="1" applyAlignment="1">
      <alignment horizontal="center" vertical="center" wrapText="1"/>
    </xf>
    <xf numFmtId="43" fontId="7" fillId="0" borderId="35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vertical="center"/>
    </xf>
    <xf numFmtId="43" fontId="7" fillId="0" borderId="29" xfId="0" applyNumberFormat="1" applyFont="1" applyFill="1" applyBorder="1" applyAlignment="1">
      <alignment vertical="center" wrapText="1"/>
    </xf>
    <xf numFmtId="43" fontId="7" fillId="0" borderId="37" xfId="0" applyNumberFormat="1" applyFont="1" applyFill="1" applyBorder="1" applyAlignment="1">
      <alignment vertical="center" wrapText="1"/>
    </xf>
    <xf numFmtId="43" fontId="7" fillId="0" borderId="30" xfId="0" applyNumberFormat="1" applyFont="1" applyFill="1" applyBorder="1" applyAlignment="1">
      <alignment vertical="center" wrapText="1"/>
    </xf>
    <xf numFmtId="43" fontId="7" fillId="0" borderId="36" xfId="0" applyNumberFormat="1" applyFont="1" applyFill="1" applyBorder="1" applyAlignment="1">
      <alignment vertical="center" wrapText="1"/>
    </xf>
    <xf numFmtId="49" fontId="7" fillId="4" borderId="7" xfId="0" applyNumberFormat="1" applyFont="1" applyFill="1" applyBorder="1" applyAlignment="1">
      <alignment vertical="center"/>
    </xf>
    <xf numFmtId="43" fontId="7" fillId="4" borderId="29" xfId="0" applyNumberFormat="1" applyFont="1" applyFill="1" applyBorder="1" applyAlignment="1">
      <alignment vertical="center" wrapText="1"/>
    </xf>
    <xf numFmtId="43" fontId="7" fillId="4" borderId="37" xfId="0" applyNumberFormat="1" applyFont="1" applyFill="1" applyBorder="1" applyAlignment="1">
      <alignment vertical="center" wrapText="1"/>
    </xf>
    <xf numFmtId="43" fontId="7" fillId="4" borderId="36" xfId="0" applyNumberFormat="1" applyFont="1" applyFill="1" applyBorder="1" applyAlignment="1">
      <alignment vertical="center" wrapText="1"/>
    </xf>
    <xf numFmtId="43" fontId="7" fillId="4" borderId="30" xfId="0" applyNumberFormat="1" applyFont="1" applyFill="1" applyBorder="1" applyAlignment="1">
      <alignment vertical="center" wrapText="1"/>
    </xf>
    <xf numFmtId="0" fontId="7" fillId="15" borderId="7" xfId="0" applyFont="1" applyFill="1" applyBorder="1" applyAlignment="1">
      <alignment vertical="center" wrapText="1"/>
    </xf>
    <xf numFmtId="49" fontId="7" fillId="15" borderId="7" xfId="0" applyNumberFormat="1" applyFont="1" applyFill="1" applyBorder="1" applyAlignment="1">
      <alignment vertical="center"/>
    </xf>
    <xf numFmtId="43" fontId="7" fillId="15" borderId="7" xfId="0" applyNumberFormat="1" applyFont="1" applyFill="1" applyBorder="1" applyAlignment="1">
      <alignment vertical="center" wrapText="1"/>
    </xf>
    <xf numFmtId="0" fontId="7" fillId="12" borderId="7" xfId="0" applyFont="1" applyFill="1" applyBorder="1" applyAlignment="1">
      <alignment vertical="center" wrapText="1"/>
    </xf>
    <xf numFmtId="49" fontId="7" fillId="12" borderId="10" xfId="0" applyNumberFormat="1" applyFont="1" applyFill="1" applyBorder="1" applyAlignment="1">
      <alignment vertical="center"/>
    </xf>
    <xf numFmtId="43" fontId="7" fillId="12" borderId="6" xfId="0" applyNumberFormat="1" applyFont="1" applyFill="1" applyBorder="1" applyAlignment="1">
      <alignment vertical="center" wrapText="1"/>
    </xf>
    <xf numFmtId="43" fontId="3" fillId="12" borderId="6" xfId="0" applyNumberFormat="1" applyFont="1" applyFill="1" applyBorder="1" applyAlignment="1">
      <alignment vertical="center" wrapText="1"/>
    </xf>
    <xf numFmtId="43" fontId="61" fillId="12" borderId="11" xfId="0" applyNumberFormat="1" applyFont="1" applyFill="1" applyBorder="1" applyAlignment="1">
      <alignment vertical="center" wrapText="1"/>
    </xf>
    <xf numFmtId="0" fontId="7" fillId="4" borderId="0" xfId="0" applyFont="1" applyFill="1" applyAlignment="1">
      <alignment vertical="center"/>
    </xf>
    <xf numFmtId="43" fontId="7" fillId="15" borderId="29" xfId="0" applyNumberFormat="1" applyFont="1" applyFill="1" applyBorder="1" applyAlignment="1">
      <alignment vertical="center" wrapText="1"/>
    </xf>
    <xf numFmtId="43" fontId="7" fillId="15" borderId="37" xfId="0" applyNumberFormat="1" applyFont="1" applyFill="1" applyBorder="1" applyAlignment="1">
      <alignment vertical="center" wrapText="1"/>
    </xf>
    <xf numFmtId="43" fontId="3" fillId="15" borderId="30" xfId="0" applyNumberFormat="1" applyFont="1" applyFill="1" applyBorder="1" applyAlignment="1">
      <alignment vertical="center" wrapText="1"/>
    </xf>
    <xf numFmtId="43" fontId="3" fillId="15" borderId="37" xfId="0" applyNumberFormat="1" applyFont="1" applyFill="1" applyBorder="1" applyAlignment="1">
      <alignment vertical="center" wrapText="1"/>
    </xf>
    <xf numFmtId="43" fontId="3" fillId="0" borderId="37" xfId="0" applyNumberFormat="1" applyFont="1" applyFill="1" applyBorder="1" applyAlignment="1">
      <alignment vertical="center" wrapText="1"/>
    </xf>
    <xf numFmtId="41" fontId="7" fillId="4" borderId="11" xfId="0" applyNumberFormat="1" applyFont="1" applyFill="1" applyBorder="1" applyAlignment="1">
      <alignment vertical="center" wrapText="1"/>
    </xf>
    <xf numFmtId="43" fontId="3" fillId="4" borderId="37" xfId="0" applyNumberFormat="1" applyFont="1" applyFill="1" applyBorder="1" applyAlignment="1">
      <alignment vertical="center" wrapText="1"/>
    </xf>
    <xf numFmtId="41" fontId="7" fillId="15" borderId="7" xfId="0" applyNumberFormat="1" applyFont="1" applyFill="1" applyBorder="1" applyAlignment="1">
      <alignment vertical="center" wrapText="1"/>
    </xf>
    <xf numFmtId="41" fontId="7" fillId="12" borderId="6" xfId="0" applyNumberFormat="1" applyFont="1" applyFill="1" applyBorder="1" applyAlignment="1">
      <alignment vertical="center" wrapText="1"/>
    </xf>
    <xf numFmtId="43" fontId="3" fillId="0" borderId="0" xfId="0" applyNumberFormat="1" applyFont="1" applyFill="1" applyAlignment="1">
      <alignment vertical="center" wrapText="1"/>
    </xf>
    <xf numFmtId="43" fontId="7" fillId="0" borderId="3" xfId="0" applyNumberFormat="1" applyFont="1" applyFill="1" applyBorder="1" applyAlignment="1">
      <alignment vertical="center" wrapText="1"/>
    </xf>
    <xf numFmtId="43" fontId="3" fillId="0" borderId="3" xfId="0" applyNumberFormat="1" applyFont="1" applyFill="1" applyBorder="1" applyAlignment="1">
      <alignment vertical="center" wrapText="1"/>
    </xf>
    <xf numFmtId="0" fontId="14" fillId="0" borderId="0" xfId="0" applyFont="1" applyFill="1" applyAlignment="1">
      <alignment horizontal="center" vertical="center" wrapText="1"/>
    </xf>
    <xf numFmtId="0" fontId="7" fillId="15" borderId="11" xfId="0" applyFont="1" applyFill="1" applyBorder="1" applyAlignment="1">
      <alignment vertical="center" wrapText="1"/>
    </xf>
    <xf numFmtId="0" fontId="7" fillId="12" borderId="11" xfId="0" applyFont="1" applyFill="1" applyBorder="1" applyAlignment="1">
      <alignment vertical="center" wrapText="1"/>
    </xf>
    <xf numFmtId="0" fontId="69" fillId="0" borderId="0" xfId="0" applyFont="1">
      <alignment vertical="center"/>
    </xf>
    <xf numFmtId="0" fontId="27" fillId="0" borderId="7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43" fontId="7" fillId="0" borderId="7" xfId="0" applyNumberFormat="1" applyFont="1" applyBorder="1" applyAlignment="1">
      <alignment horizontal="center" vertical="center" wrapText="1"/>
    </xf>
    <xf numFmtId="0" fontId="63" fillId="0" borderId="0" xfId="0" applyFont="1">
      <alignment vertical="center"/>
    </xf>
    <xf numFmtId="41" fontId="27" fillId="0" borderId="0" xfId="0" applyNumberFormat="1" applyFont="1">
      <alignment vertical="center"/>
    </xf>
    <xf numFmtId="49" fontId="7" fillId="4" borderId="0" xfId="0" applyNumberFormat="1" applyFont="1" applyFill="1" applyBorder="1" applyAlignment="1">
      <alignment vertical="center"/>
    </xf>
    <xf numFmtId="41" fontId="3" fillId="4" borderId="0" xfId="0" applyNumberFormat="1" applyFont="1" applyFill="1" applyBorder="1" applyAlignment="1">
      <alignment horizontal="right" vertical="center"/>
    </xf>
    <xf numFmtId="0" fontId="3" fillId="0" borderId="0" xfId="0" applyFont="1">
      <alignment vertical="center"/>
    </xf>
    <xf numFmtId="43" fontId="7" fillId="0" borderId="27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7" fillId="0" borderId="4" xfId="0" applyFont="1" applyBorder="1">
      <alignment vertical="center"/>
    </xf>
    <xf numFmtId="0" fontId="27" fillId="0" borderId="15" xfId="0" applyFont="1" applyBorder="1" applyAlignment="1">
      <alignment horizontal="center" vertical="center"/>
    </xf>
    <xf numFmtId="43" fontId="3" fillId="12" borderId="6" xfId="0" applyNumberFormat="1" applyFont="1" applyFill="1" applyBorder="1" applyAlignment="1">
      <alignment vertical="center"/>
    </xf>
    <xf numFmtId="43" fontId="3" fillId="12" borderId="10" xfId="0" applyNumberFormat="1" applyFont="1" applyFill="1" applyBorder="1" applyAlignment="1">
      <alignment vertical="center"/>
    </xf>
    <xf numFmtId="49" fontId="7" fillId="12" borderId="7" xfId="0" applyNumberFormat="1" applyFont="1" applyFill="1" applyBorder="1" applyAlignment="1">
      <alignment horizontal="right" vertical="center"/>
    </xf>
    <xf numFmtId="41" fontId="7" fillId="12" borderId="7" xfId="0" applyNumberFormat="1" applyFont="1" applyFill="1" applyBorder="1" applyAlignment="1">
      <alignment horizontal="right" vertical="center"/>
    </xf>
    <xf numFmtId="0" fontId="80" fillId="4" borderId="0" xfId="0" applyFont="1" applyFill="1">
      <alignment vertical="center"/>
    </xf>
    <xf numFmtId="0" fontId="81" fillId="4" borderId="0" xfId="0" applyFont="1" applyFill="1">
      <alignment vertical="center"/>
    </xf>
    <xf numFmtId="0" fontId="80" fillId="4" borderId="0" xfId="0" applyFont="1" applyFill="1" applyAlignment="1">
      <alignment horizontal="center" vertical="center"/>
    </xf>
    <xf numFmtId="0" fontId="68" fillId="0" borderId="7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68" fillId="0" borderId="7" xfId="0" applyFont="1" applyBorder="1" applyAlignment="1">
      <alignment horizontal="left"/>
    </xf>
    <xf numFmtId="41" fontId="7" fillId="0" borderId="7" xfId="0" applyNumberFormat="1" applyFont="1" applyBorder="1" applyAlignment="1">
      <alignment horizontal="right"/>
    </xf>
    <xf numFmtId="0" fontId="68" fillId="0" borderId="4" xfId="0" applyFont="1" applyBorder="1" applyAlignment="1">
      <alignment horizontal="left"/>
    </xf>
    <xf numFmtId="41" fontId="7" fillId="0" borderId="4" xfId="0" applyNumberFormat="1" applyFont="1" applyBorder="1" applyAlignment="1">
      <alignment horizontal="right"/>
    </xf>
    <xf numFmtId="0" fontId="68" fillId="2" borderId="7" xfId="0" applyFont="1" applyFill="1" applyBorder="1" applyAlignment="1">
      <alignment horizontal="left"/>
    </xf>
    <xf numFmtId="41" fontId="7" fillId="2" borderId="7" xfId="0" applyNumberFormat="1" applyFont="1" applyFill="1" applyBorder="1" applyAlignment="1">
      <alignment horizontal="right"/>
    </xf>
    <xf numFmtId="49" fontId="14" fillId="0" borderId="7" xfId="111" applyNumberFormat="1" applyFont="1" applyBorder="1" applyAlignment="1"/>
    <xf numFmtId="0" fontId="18" fillId="0" borderId="12" xfId="3" applyFont="1" applyBorder="1" applyAlignment="1">
      <alignment horizontal="center"/>
    </xf>
    <xf numFmtId="49" fontId="18" fillId="0" borderId="12" xfId="111" applyNumberFormat="1" applyFont="1" applyBorder="1" applyAlignment="1"/>
    <xf numFmtId="43" fontId="18" fillId="0" borderId="7" xfId="3" applyNumberFormat="1" applyFont="1" applyBorder="1" applyAlignment="1">
      <alignment vertical="center"/>
    </xf>
    <xf numFmtId="9" fontId="18" fillId="0" borderId="7" xfId="1" applyFont="1" applyFill="1" applyBorder="1" applyAlignment="1">
      <alignment wrapText="1"/>
    </xf>
    <xf numFmtId="43" fontId="25" fillId="0" borderId="7" xfId="3" applyNumberFormat="1" applyFont="1" applyBorder="1" applyAlignment="1">
      <alignment vertical="center"/>
    </xf>
    <xf numFmtId="0" fontId="18" fillId="0" borderId="7" xfId="111" applyFont="1" applyBorder="1" applyAlignment="1"/>
    <xf numFmtId="0" fontId="18" fillId="4" borderId="0" xfId="3" applyFont="1" applyFill="1" applyAlignment="1">
      <alignment vertical="center"/>
    </xf>
    <xf numFmtId="0" fontId="18" fillId="4" borderId="7" xfId="3" applyFont="1" applyFill="1" applyBorder="1" applyAlignment="1">
      <alignment vertical="center"/>
    </xf>
    <xf numFmtId="0" fontId="18" fillId="4" borderId="4" xfId="3" applyFont="1" applyFill="1" applyBorder="1" applyAlignment="1">
      <alignment vertical="center"/>
    </xf>
    <xf numFmtId="0" fontId="18" fillId="2" borderId="0" xfId="3" applyFont="1" applyFill="1" applyAlignment="1">
      <alignment vertical="center"/>
    </xf>
    <xf numFmtId="0" fontId="18" fillId="0" borderId="7" xfId="0" applyNumberFormat="1" applyFont="1" applyBorder="1">
      <alignment vertical="center"/>
    </xf>
    <xf numFmtId="43" fontId="18" fillId="4" borderId="7" xfId="0" applyNumberFormat="1" applyFont="1" applyFill="1" applyBorder="1">
      <alignment vertical="center"/>
    </xf>
    <xf numFmtId="43" fontId="18" fillId="0" borderId="7" xfId="0" applyNumberFormat="1" applyFont="1" applyBorder="1">
      <alignment vertical="center"/>
    </xf>
    <xf numFmtId="41" fontId="18" fillId="0" borderId="7" xfId="0" applyNumberFormat="1" applyFont="1" applyBorder="1">
      <alignment vertical="center"/>
    </xf>
    <xf numFmtId="0" fontId="17" fillId="0" borderId="7" xfId="0" applyNumberFormat="1" applyFont="1" applyBorder="1">
      <alignment vertical="center"/>
    </xf>
    <xf numFmtId="43" fontId="18" fillId="0" borderId="7" xfId="0" applyNumberFormat="1" applyFont="1" applyFill="1" applyBorder="1">
      <alignment vertical="center"/>
    </xf>
    <xf numFmtId="43" fontId="18" fillId="16" borderId="7" xfId="0" applyNumberFormat="1" applyFont="1" applyFill="1" applyBorder="1">
      <alignment vertical="center"/>
    </xf>
    <xf numFmtId="0" fontId="17" fillId="16" borderId="7" xfId="0" applyNumberFormat="1" applyFont="1" applyFill="1" applyBorder="1">
      <alignment vertical="center"/>
    </xf>
    <xf numFmtId="43" fontId="18" fillId="0" borderId="11" xfId="0" applyNumberFormat="1" applyFont="1" applyFill="1" applyBorder="1" applyAlignment="1">
      <alignment vertical="center" wrapText="1"/>
    </xf>
    <xf numFmtId="43" fontId="25" fillId="12" borderId="11" xfId="0" applyNumberFormat="1" applyFont="1" applyFill="1" applyBorder="1" applyAlignment="1">
      <alignment vertical="center" wrapText="1"/>
    </xf>
    <xf numFmtId="43" fontId="25" fillId="15" borderId="11" xfId="0" applyNumberFormat="1" applyFont="1" applyFill="1" applyBorder="1" applyAlignment="1">
      <alignment vertical="center" wrapText="1"/>
    </xf>
    <xf numFmtId="41" fontId="18" fillId="4" borderId="7" xfId="0" applyNumberFormat="1" applyFont="1" applyFill="1" applyBorder="1" applyAlignment="1">
      <alignment vertical="center" wrapText="1"/>
    </xf>
    <xf numFmtId="41" fontId="18" fillId="0" borderId="7" xfId="0" applyNumberFormat="1" applyFont="1" applyFill="1" applyBorder="1" applyAlignment="1">
      <alignment vertical="center" wrapText="1"/>
    </xf>
    <xf numFmtId="9" fontId="18" fillId="0" borderId="7" xfId="1" applyFont="1" applyFill="1" applyBorder="1" applyAlignment="1">
      <alignment vertical="center" wrapText="1"/>
    </xf>
    <xf numFmtId="41" fontId="18" fillId="0" borderId="7" xfId="0" applyNumberFormat="1" applyFont="1" applyFill="1" applyBorder="1" applyAlignment="1">
      <alignment horizontal="right"/>
    </xf>
    <xf numFmtId="41" fontId="18" fillId="0" borderId="7" xfId="0" applyNumberFormat="1" applyFont="1" applyFill="1" applyBorder="1" applyAlignment="1">
      <alignment horizontal="center"/>
    </xf>
    <xf numFmtId="0" fontId="18" fillId="0" borderId="7" xfId="0" applyFont="1" applyBorder="1" applyAlignment="1">
      <alignment horizontal="left"/>
    </xf>
    <xf numFmtId="0" fontId="18" fillId="14" borderId="4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/>
    </xf>
    <xf numFmtId="41" fontId="18" fillId="0" borderId="4" xfId="0" applyNumberFormat="1" applyFont="1" applyFill="1" applyBorder="1" applyAlignment="1">
      <alignment horizontal="right"/>
    </xf>
    <xf numFmtId="0" fontId="18" fillId="14" borderId="4" xfId="0" applyFont="1" applyFill="1" applyBorder="1" applyAlignment="1">
      <alignment horizontal="right"/>
    </xf>
    <xf numFmtId="0" fontId="18" fillId="0" borderId="0" xfId="0" applyFont="1">
      <alignment vertical="center"/>
    </xf>
    <xf numFmtId="0" fontId="18" fillId="0" borderId="7" xfId="0" applyFont="1" applyFill="1" applyBorder="1">
      <alignment vertical="center"/>
    </xf>
    <xf numFmtId="41" fontId="18" fillId="0" borderId="7" xfId="0" applyNumberFormat="1" applyFont="1" applyFill="1" applyBorder="1">
      <alignment vertical="center"/>
    </xf>
    <xf numFmtId="0" fontId="18" fillId="0" borderId="7" xfId="0" applyNumberFormat="1" applyFont="1" applyFill="1" applyBorder="1">
      <alignment vertical="center"/>
    </xf>
    <xf numFmtId="43" fontId="18" fillId="16" borderId="7" xfId="3" applyNumberFormat="1" applyFont="1" applyFill="1" applyBorder="1" applyAlignment="1">
      <alignment vertical="center" wrapText="1"/>
    </xf>
    <xf numFmtId="41" fontId="18" fillId="0" borderId="10" xfId="0" applyNumberFormat="1" applyFont="1" applyFill="1" applyBorder="1" applyAlignment="1">
      <alignment horizontal="right" vertical="center"/>
    </xf>
    <xf numFmtId="43" fontId="18" fillId="0" borderId="11" xfId="0" applyNumberFormat="1" applyFont="1" applyFill="1" applyBorder="1" applyAlignment="1">
      <alignment horizontal="right" vertical="center"/>
    </xf>
    <xf numFmtId="43" fontId="27" fillId="0" borderId="20" xfId="0" applyNumberFormat="1" applyFont="1" applyFill="1" applyBorder="1" applyAlignment="1">
      <alignment horizontal="center" vertical="center" wrapText="1"/>
    </xf>
    <xf numFmtId="43" fontId="27" fillId="0" borderId="21" xfId="0" applyNumberFormat="1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41" fontId="18" fillId="0" borderId="29" xfId="0" applyNumberFormat="1" applyFont="1" applyFill="1" applyBorder="1" applyAlignment="1">
      <alignment vertical="center"/>
    </xf>
    <xf numFmtId="43" fontId="7" fillId="0" borderId="16" xfId="0" applyNumberFormat="1" applyFont="1" applyBorder="1" applyAlignment="1">
      <alignment vertical="center"/>
    </xf>
    <xf numFmtId="0" fontId="17" fillId="0" borderId="0" xfId="0" applyFont="1" applyFill="1" applyAlignment="1">
      <alignment vertical="center" wrapText="1"/>
    </xf>
    <xf numFmtId="43" fontId="18" fillId="4" borderId="37" xfId="0" applyNumberFormat="1" applyFont="1" applyFill="1" applyBorder="1" applyAlignment="1">
      <alignment vertical="center" wrapText="1"/>
    </xf>
    <xf numFmtId="41" fontId="18" fillId="4" borderId="11" xfId="0" applyNumberFormat="1" applyFont="1" applyFill="1" applyBorder="1" applyAlignment="1">
      <alignment vertical="center" wrapText="1"/>
    </xf>
    <xf numFmtId="41" fontId="25" fillId="4" borderId="11" xfId="0" applyNumberFormat="1" applyFont="1" applyFill="1" applyBorder="1" applyAlignment="1">
      <alignment vertical="center" wrapText="1"/>
    </xf>
    <xf numFmtId="43" fontId="25" fillId="4" borderId="37" xfId="0" applyNumberFormat="1" applyFont="1" applyFill="1" applyBorder="1" applyAlignment="1">
      <alignment vertical="center" wrapText="1"/>
    </xf>
    <xf numFmtId="0" fontId="18" fillId="4" borderId="0" xfId="0" applyFont="1" applyFill="1" applyAlignment="1">
      <alignment vertical="center" wrapText="1"/>
    </xf>
    <xf numFmtId="41" fontId="25" fillId="15" borderId="29" xfId="0" applyNumberFormat="1" applyFont="1" applyFill="1" applyBorder="1" applyAlignment="1">
      <alignment vertical="center"/>
    </xf>
    <xf numFmtId="41" fontId="18" fillId="0" borderId="29" xfId="0" applyNumberFormat="1" applyFont="1" applyBorder="1" applyAlignment="1">
      <alignment vertical="center"/>
    </xf>
    <xf numFmtId="41" fontId="25" fillId="12" borderId="29" xfId="0" applyNumberFormat="1" applyFont="1" applyFill="1" applyBorder="1" applyAlignment="1">
      <alignment vertical="center"/>
    </xf>
    <xf numFmtId="0" fontId="17" fillId="0" borderId="0" xfId="4" applyFont="1" applyAlignment="1">
      <alignment vertical="center"/>
    </xf>
    <xf numFmtId="41" fontId="18" fillId="0" borderId="11" xfId="0" applyNumberFormat="1" applyFont="1" applyFill="1" applyBorder="1" applyAlignment="1">
      <alignment vertical="center" wrapText="1"/>
    </xf>
    <xf numFmtId="41" fontId="18" fillId="0" borderId="10" xfId="0" applyNumberFormat="1" applyFont="1" applyBorder="1" applyAlignment="1">
      <alignment horizontal="right" vertical="center"/>
    </xf>
    <xf numFmtId="43" fontId="18" fillId="0" borderId="11" xfId="0" applyNumberFormat="1" applyFont="1" applyBorder="1" applyAlignment="1">
      <alignment horizontal="right" vertical="center"/>
    </xf>
    <xf numFmtId="41" fontId="18" fillId="4" borderId="29" xfId="0" applyNumberFormat="1" applyFont="1" applyFill="1" applyBorder="1" applyAlignment="1">
      <alignment vertical="center"/>
    </xf>
    <xf numFmtId="41" fontId="18" fillId="0" borderId="12" xfId="3" applyNumberFormat="1" applyFont="1" applyFill="1" applyBorder="1" applyAlignment="1">
      <alignment vertical="center" wrapText="1"/>
    </xf>
    <xf numFmtId="41" fontId="27" fillId="0" borderId="7" xfId="0" applyNumberFormat="1" applyFont="1" applyFill="1" applyBorder="1" applyAlignment="1">
      <alignment vertical="center" wrapText="1"/>
    </xf>
    <xf numFmtId="43" fontId="18" fillId="0" borderId="25" xfId="0" applyNumberFormat="1" applyFont="1" applyFill="1" applyBorder="1" applyAlignment="1">
      <alignment vertical="center" wrapText="1"/>
    </xf>
    <xf numFmtId="43" fontId="25" fillId="15" borderId="25" xfId="0" applyNumberFormat="1" applyFont="1" applyFill="1" applyBorder="1" applyAlignment="1">
      <alignment vertical="center" wrapText="1"/>
    </xf>
    <xf numFmtId="41" fontId="18" fillId="0" borderId="30" xfId="0" applyNumberFormat="1" applyFont="1" applyBorder="1" applyAlignment="1">
      <alignment vertical="center"/>
    </xf>
    <xf numFmtId="41" fontId="25" fillId="15" borderId="30" xfId="0" applyNumberFormat="1" applyFont="1" applyFill="1" applyBorder="1" applyAlignment="1">
      <alignment vertical="center"/>
    </xf>
    <xf numFmtId="41" fontId="25" fillId="15" borderId="10" xfId="0" applyNumberFormat="1" applyFont="1" applyFill="1" applyBorder="1" applyAlignment="1">
      <alignment horizontal="right" vertical="center"/>
    </xf>
    <xf numFmtId="43" fontId="25" fillId="15" borderId="25" xfId="0" applyNumberFormat="1" applyFont="1" applyFill="1" applyBorder="1" applyAlignment="1">
      <alignment vertical="center"/>
    </xf>
    <xf numFmtId="43" fontId="25" fillId="15" borderId="16" xfId="0" applyNumberFormat="1" applyFont="1" applyFill="1" applyBorder="1" applyAlignment="1">
      <alignment horizontal="right" vertical="center"/>
    </xf>
    <xf numFmtId="43" fontId="18" fillId="0" borderId="25" xfId="0" applyNumberFormat="1" applyFont="1" applyBorder="1" applyAlignment="1">
      <alignment vertical="center"/>
    </xf>
    <xf numFmtId="43" fontId="25" fillId="15" borderId="7" xfId="0" applyNumberFormat="1" applyFont="1" applyFill="1" applyBorder="1" applyAlignment="1">
      <alignment vertical="center" wrapText="1"/>
    </xf>
    <xf numFmtId="43" fontId="18" fillId="0" borderId="7" xfId="0" applyNumberFormat="1" applyFont="1" applyBorder="1" applyAlignment="1">
      <alignment horizontal="right" vertical="center"/>
    </xf>
    <xf numFmtId="41" fontId="25" fillId="15" borderId="7" xfId="0" applyNumberFormat="1" applyFont="1" applyFill="1" applyBorder="1" applyAlignment="1">
      <alignment horizontal="right" vertical="center"/>
    </xf>
    <xf numFmtId="41" fontId="25" fillId="12" borderId="7" xfId="0" applyNumberFormat="1" applyFont="1" applyFill="1" applyBorder="1" applyAlignment="1">
      <alignment horizontal="right" vertical="center"/>
    </xf>
    <xf numFmtId="43" fontId="18" fillId="0" borderId="7" xfId="0" applyNumberFormat="1" applyFont="1" applyBorder="1" applyAlignment="1">
      <alignment vertical="center"/>
    </xf>
    <xf numFmtId="43" fontId="25" fillId="15" borderId="11" xfId="0" applyNumberFormat="1" applyFont="1" applyFill="1" applyBorder="1" applyAlignment="1">
      <alignment horizontal="right" vertical="center"/>
    </xf>
    <xf numFmtId="41" fontId="25" fillId="12" borderId="10" xfId="0" applyNumberFormat="1" applyFont="1" applyFill="1" applyBorder="1" applyAlignment="1">
      <alignment horizontal="right" vertical="center"/>
    </xf>
    <xf numFmtId="43" fontId="25" fillId="12" borderId="25" xfId="0" applyNumberFormat="1" applyFont="1" applyFill="1" applyBorder="1" applyAlignment="1">
      <alignment vertical="center"/>
    </xf>
    <xf numFmtId="43" fontId="25" fillId="12" borderId="11" xfId="0" applyNumberFormat="1" applyFont="1" applyFill="1" applyBorder="1" applyAlignment="1">
      <alignment horizontal="right" vertical="center"/>
    </xf>
    <xf numFmtId="41" fontId="18" fillId="0" borderId="7" xfId="0" applyNumberFormat="1" applyFont="1" applyBorder="1" applyAlignment="1">
      <alignment horizontal="right" vertical="center"/>
    </xf>
    <xf numFmtId="43" fontId="25" fillId="15" borderId="7" xfId="0" applyNumberFormat="1" applyFont="1" applyFill="1" applyBorder="1" applyAlignment="1">
      <alignment vertical="center"/>
    </xf>
    <xf numFmtId="43" fontId="25" fillId="15" borderId="7" xfId="0" applyNumberFormat="1" applyFont="1" applyFill="1" applyBorder="1" applyAlignment="1">
      <alignment horizontal="right" vertical="center"/>
    </xf>
    <xf numFmtId="43" fontId="25" fillId="12" borderId="7" xfId="0" applyNumberFormat="1" applyFont="1" applyFill="1" applyBorder="1" applyAlignment="1">
      <alignment vertical="center"/>
    </xf>
    <xf numFmtId="43" fontId="25" fillId="12" borderId="7" xfId="0" applyNumberFormat="1" applyFont="1" applyFill="1" applyBorder="1" applyAlignment="1">
      <alignment horizontal="right" vertical="center"/>
    </xf>
    <xf numFmtId="0" fontId="18" fillId="0" borderId="7" xfId="0" applyFont="1" applyBorder="1" applyAlignment="1">
      <alignment vertical="center"/>
    </xf>
    <xf numFmtId="0" fontId="18" fillId="0" borderId="7" xfId="0" applyFont="1" applyBorder="1">
      <alignment vertical="center"/>
    </xf>
    <xf numFmtId="49" fontId="18" fillId="15" borderId="7" xfId="0" applyNumberFormat="1" applyFont="1" applyFill="1" applyBorder="1" applyAlignment="1">
      <alignment horizontal="center" vertical="center"/>
    </xf>
    <xf numFmtId="49" fontId="18" fillId="15" borderId="7" xfId="0" applyNumberFormat="1" applyFont="1" applyFill="1" applyBorder="1" applyAlignment="1">
      <alignment horizontal="right" vertical="center"/>
    </xf>
    <xf numFmtId="41" fontId="18" fillId="15" borderId="7" xfId="0" applyNumberFormat="1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18" borderId="12" xfId="0" applyFont="1" applyFill="1" applyBorder="1">
      <alignment vertical="center"/>
    </xf>
    <xf numFmtId="41" fontId="18" fillId="2" borderId="7" xfId="0" applyNumberFormat="1" applyFont="1" applyFill="1" applyBorder="1" applyAlignment="1">
      <alignment vertical="center" wrapText="1"/>
    </xf>
    <xf numFmtId="202" fontId="3" fillId="12" borderId="25" xfId="0" applyNumberFormat="1" applyFont="1" applyFill="1" applyBorder="1" applyAlignment="1">
      <alignment vertical="center"/>
    </xf>
    <xf numFmtId="43" fontId="83" fillId="0" borderId="0" xfId="0" applyNumberFormat="1" applyFont="1" applyAlignment="1">
      <alignment vertical="center"/>
    </xf>
    <xf numFmtId="0" fontId="83" fillId="0" borderId="0" xfId="0" applyFont="1" applyAlignment="1">
      <alignment vertical="center"/>
    </xf>
    <xf numFmtId="49" fontId="82" fillId="0" borderId="3" xfId="134" applyNumberFormat="1" applyFont="1" applyFill="1" applyBorder="1" applyAlignment="1">
      <alignment vertical="center"/>
    </xf>
    <xf numFmtId="49" fontId="85" fillId="0" borderId="3" xfId="134" applyNumberFormat="1" applyFont="1" applyFill="1" applyBorder="1" applyAlignment="1">
      <alignment vertical="center"/>
    </xf>
    <xf numFmtId="43" fontId="84" fillId="0" borderId="0" xfId="0" applyNumberFormat="1" applyFont="1" applyAlignment="1">
      <alignment vertical="center"/>
    </xf>
    <xf numFmtId="0" fontId="84" fillId="0" borderId="0" xfId="0" applyFont="1" applyAlignment="1">
      <alignment vertical="center"/>
    </xf>
    <xf numFmtId="0" fontId="87" fillId="20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7" fillId="19" borderId="7" xfId="0" applyFont="1" applyFill="1" applyBorder="1" applyAlignment="1">
      <alignment horizontal="center" vertical="center" wrapText="1"/>
    </xf>
    <xf numFmtId="0" fontId="92" fillId="19" borderId="7" xfId="0" applyFont="1" applyFill="1" applyBorder="1" applyAlignment="1">
      <alignment horizontal="center" vertical="center" wrapText="1"/>
    </xf>
    <xf numFmtId="0" fontId="4" fillId="4" borderId="7" xfId="134" applyFont="1" applyFill="1" applyBorder="1" applyAlignment="1">
      <alignment horizontal="center" vertical="center"/>
    </xf>
    <xf numFmtId="0" fontId="4" fillId="4" borderId="7" xfId="134" applyFont="1" applyFill="1" applyBorder="1" applyAlignment="1">
      <alignment vertical="center"/>
    </xf>
    <xf numFmtId="43" fontId="85" fillId="4" borderId="7" xfId="133" applyFont="1" applyFill="1" applyBorder="1" applyAlignment="1">
      <alignment vertical="center"/>
    </xf>
    <xf numFmtId="43" fontId="84" fillId="21" borderId="7" xfId="133" applyFont="1" applyFill="1" applyBorder="1" applyAlignment="1">
      <alignment vertical="center"/>
    </xf>
    <xf numFmtId="10" fontId="84" fillId="20" borderId="7" xfId="0" applyNumberFormat="1" applyFont="1" applyFill="1" applyBorder="1" applyAlignment="1">
      <alignment vertical="center"/>
    </xf>
    <xf numFmtId="43" fontId="85" fillId="21" borderId="7" xfId="133" applyFont="1" applyFill="1" applyBorder="1" applyAlignment="1">
      <alignment vertical="center"/>
    </xf>
    <xf numFmtId="0" fontId="83" fillId="0" borderId="0" xfId="0" applyFont="1" applyFill="1" applyAlignment="1">
      <alignment vertical="center"/>
    </xf>
    <xf numFmtId="43" fontId="85" fillId="12" borderId="7" xfId="133" applyFont="1" applyFill="1" applyBorder="1" applyAlignment="1">
      <alignment vertical="center"/>
    </xf>
    <xf numFmtId="43" fontId="84" fillId="12" borderId="7" xfId="133" applyFont="1" applyFill="1" applyBorder="1" applyAlignment="1">
      <alignment vertical="center"/>
    </xf>
    <xf numFmtId="10" fontId="85" fillId="20" borderId="7" xfId="0" applyNumberFormat="1" applyFont="1" applyFill="1" applyBorder="1" applyAlignment="1">
      <alignment vertical="center"/>
    </xf>
    <xf numFmtId="0" fontId="80" fillId="0" borderId="0" xfId="0" applyFont="1">
      <alignment vertical="center"/>
    </xf>
    <xf numFmtId="41" fontId="7" fillId="0" borderId="12" xfId="3" applyNumberFormat="1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9" fontId="18" fillId="0" borderId="7" xfId="0" applyNumberFormat="1" applyFont="1" applyBorder="1" applyAlignment="1">
      <alignment vertical="center"/>
    </xf>
    <xf numFmtId="43" fontId="18" fillId="0" borderId="37" xfId="0" applyNumberFormat="1" applyFont="1" applyBorder="1" applyAlignment="1">
      <alignment horizontal="right" vertical="center"/>
    </xf>
    <xf numFmtId="43" fontId="18" fillId="0" borderId="35" xfId="0" applyNumberFormat="1" applyFont="1" applyBorder="1" applyAlignment="1">
      <alignment horizontal="right" vertical="center"/>
    </xf>
    <xf numFmtId="43" fontId="18" fillId="0" borderId="16" xfId="0" applyNumberFormat="1" applyFont="1" applyBorder="1" applyAlignment="1">
      <alignment horizontal="right" vertical="center"/>
    </xf>
    <xf numFmtId="0" fontId="27" fillId="0" borderId="4" xfId="0" applyFont="1" applyFill="1" applyBorder="1" applyAlignment="1">
      <alignment horizontal="center" vertical="center"/>
    </xf>
    <xf numFmtId="0" fontId="96" fillId="4" borderId="0" xfId="0" applyFont="1" applyFill="1" applyAlignment="1">
      <alignment horizontal="center" vertical="center"/>
    </xf>
    <xf numFmtId="43" fontId="82" fillId="19" borderId="4" xfId="133" applyFont="1" applyFill="1" applyBorder="1" applyAlignment="1">
      <alignment horizontal="center" vertical="center" wrapText="1"/>
    </xf>
    <xf numFmtId="0" fontId="97" fillId="4" borderId="0" xfId="0" applyFont="1" applyFill="1" applyBorder="1">
      <alignment vertical="center"/>
    </xf>
    <xf numFmtId="43" fontId="80" fillId="4" borderId="0" xfId="0" applyNumberFormat="1" applyFont="1" applyFill="1">
      <alignment vertical="center"/>
    </xf>
    <xf numFmtId="0" fontId="95" fillId="0" borderId="7" xfId="0" applyFont="1" applyFill="1" applyBorder="1" applyAlignment="1">
      <alignment horizontal="center" vertical="center"/>
    </xf>
    <xf numFmtId="0" fontId="95" fillId="4" borderId="7" xfId="0" applyFont="1" applyFill="1" applyBorder="1" applyAlignment="1">
      <alignment horizontal="left" vertical="center" wrapText="1"/>
    </xf>
    <xf numFmtId="43" fontId="95" fillId="4" borderId="11" xfId="122" applyFont="1" applyFill="1" applyBorder="1" applyAlignment="1">
      <alignment vertical="center" wrapText="1"/>
    </xf>
    <xf numFmtId="0" fontId="63" fillId="4" borderId="7" xfId="0" applyFont="1" applyFill="1" applyBorder="1" applyAlignment="1">
      <alignment horizontal="left" vertical="center" wrapText="1"/>
    </xf>
    <xf numFmtId="0" fontId="95" fillId="0" borderId="7" xfId="0" applyFont="1" applyFill="1" applyBorder="1" applyAlignment="1">
      <alignment horizontal="left" vertical="center" wrapText="1"/>
    </xf>
    <xf numFmtId="43" fontId="95" fillId="0" borderId="7" xfId="122" applyFont="1" applyFill="1" applyBorder="1" applyAlignment="1">
      <alignment horizontal="center" vertical="center" wrapText="1"/>
    </xf>
    <xf numFmtId="43" fontId="95" fillId="0" borderId="11" xfId="122" applyFont="1" applyFill="1" applyBorder="1" applyAlignment="1">
      <alignment vertical="center" wrapText="1"/>
    </xf>
    <xf numFmtId="0" fontId="63" fillId="0" borderId="7" xfId="0" applyFont="1" applyFill="1" applyBorder="1" applyAlignment="1">
      <alignment horizontal="left" vertical="center" wrapText="1"/>
    </xf>
    <xf numFmtId="43" fontId="95" fillId="4" borderId="10" xfId="122" applyFont="1" applyFill="1" applyBorder="1" applyAlignment="1">
      <alignment vertical="center" wrapText="1"/>
    </xf>
    <xf numFmtId="43" fontId="95" fillId="4" borderId="7" xfId="122" applyFont="1" applyFill="1" applyBorder="1" applyAlignment="1">
      <alignment vertical="center" wrapText="1"/>
    </xf>
    <xf numFmtId="0" fontId="63" fillId="4" borderId="7" xfId="3" applyFont="1" applyFill="1" applyBorder="1" applyAlignment="1">
      <alignment vertical="center" wrapText="1"/>
    </xf>
    <xf numFmtId="43" fontId="95" fillId="4" borderId="10" xfId="133" applyFont="1" applyFill="1" applyBorder="1" applyAlignment="1">
      <alignment horizontal="center" vertical="center" wrapText="1"/>
    </xf>
    <xf numFmtId="43" fontId="95" fillId="0" borderId="7" xfId="122" applyFont="1" applyBorder="1" applyAlignment="1">
      <alignment vertical="center"/>
    </xf>
    <xf numFmtId="43" fontId="95" fillId="0" borderId="11" xfId="122" applyFont="1" applyBorder="1" applyAlignment="1">
      <alignment vertical="center"/>
    </xf>
    <xf numFmtId="43" fontId="95" fillId="0" borderId="10" xfId="122" applyFont="1" applyBorder="1" applyAlignment="1">
      <alignment vertical="center"/>
    </xf>
    <xf numFmtId="43" fontId="87" fillId="16" borderId="7" xfId="133" applyFont="1" applyFill="1" applyBorder="1" applyAlignment="1">
      <alignment horizontal="center" vertical="center"/>
    </xf>
    <xf numFmtId="43" fontId="80" fillId="16" borderId="7" xfId="133" applyFont="1" applyFill="1" applyBorder="1" applyAlignment="1">
      <alignment horizontal="center" vertical="center"/>
    </xf>
    <xf numFmtId="43" fontId="95" fillId="0" borderId="7" xfId="122" applyFont="1" applyBorder="1" applyAlignment="1">
      <alignment horizontal="center" vertical="center"/>
    </xf>
    <xf numFmtId="43" fontId="95" fillId="4" borderId="11" xfId="122" applyFont="1" applyFill="1" applyBorder="1" applyAlignment="1">
      <alignment vertical="center"/>
    </xf>
    <xf numFmtId="43" fontId="95" fillId="4" borderId="11" xfId="133" applyFont="1" applyFill="1" applyBorder="1" applyAlignment="1">
      <alignment vertical="center"/>
    </xf>
    <xf numFmtId="43" fontId="95" fillId="4" borderId="10" xfId="122" applyFont="1" applyFill="1" applyBorder="1" applyAlignment="1">
      <alignment vertical="center"/>
    </xf>
    <xf numFmtId="43" fontId="95" fillId="4" borderId="7" xfId="122" applyFont="1" applyFill="1" applyBorder="1" applyAlignment="1">
      <alignment vertical="center"/>
    </xf>
    <xf numFmtId="43" fontId="95" fillId="4" borderId="11" xfId="122" applyFont="1" applyFill="1" applyBorder="1" applyAlignment="1">
      <alignment horizontal="center" vertical="center"/>
    </xf>
    <xf numFmtId="43" fontId="95" fillId="0" borderId="7" xfId="122" applyFont="1" applyFill="1" applyBorder="1" applyAlignment="1">
      <alignment vertical="center" wrapText="1"/>
    </xf>
    <xf numFmtId="43" fontId="95" fillId="0" borderId="11" xfId="122" applyFont="1" applyFill="1" applyBorder="1" applyAlignment="1">
      <alignment horizontal="center" vertical="center"/>
    </xf>
    <xf numFmtId="43" fontId="95" fillId="4" borderId="7" xfId="122" applyFont="1" applyFill="1" applyBorder="1" applyAlignment="1">
      <alignment horizontal="center" vertical="center"/>
    </xf>
    <xf numFmtId="43" fontId="87" fillId="19" borderId="7" xfId="133" applyFont="1" applyFill="1" applyBorder="1" applyAlignment="1">
      <alignment horizontal="center" vertical="center" wrapText="1"/>
    </xf>
    <xf numFmtId="43" fontId="80" fillId="19" borderId="7" xfId="133" applyFont="1" applyFill="1" applyBorder="1" applyAlignment="1">
      <alignment horizontal="center" vertical="center" wrapText="1"/>
    </xf>
    <xf numFmtId="43" fontId="90" fillId="19" borderId="15" xfId="122" applyFont="1" applyFill="1" applyBorder="1" applyAlignment="1">
      <alignment horizontal="center" vertical="center" wrapText="1"/>
    </xf>
    <xf numFmtId="0" fontId="14" fillId="0" borderId="0" xfId="5" applyNumberFormat="1" applyFont="1" applyFill="1" applyBorder="1" applyAlignment="1" applyProtection="1">
      <alignment horizontal="left" vertical="center" wrapText="1"/>
    </xf>
    <xf numFmtId="0" fontId="12" fillId="0" borderId="0" xfId="5" applyNumberFormat="1" applyFont="1" applyFill="1" applyBorder="1" applyAlignment="1" applyProtection="1">
      <alignment horizontal="left" vertical="center" wrapText="1"/>
    </xf>
    <xf numFmtId="0" fontId="7" fillId="0" borderId="0" xfId="5" applyNumberFormat="1" applyFont="1" applyFill="1" applyAlignment="1" applyProtection="1">
      <alignment horizontal="left" vertical="center" wrapText="1"/>
    </xf>
    <xf numFmtId="0" fontId="7" fillId="0" borderId="0" xfId="5" applyNumberFormat="1" applyFont="1" applyFill="1" applyBorder="1" applyAlignment="1" applyProtection="1">
      <alignment horizontal="left" vertical="center" wrapText="1"/>
    </xf>
    <xf numFmtId="0" fontId="8" fillId="0" borderId="0" xfId="4" applyFill="1" applyAlignment="1">
      <alignment vertical="center"/>
    </xf>
    <xf numFmtId="0" fontId="100" fillId="0" borderId="0" xfId="4" applyFont="1" applyFill="1" applyAlignment="1">
      <alignment vertical="center"/>
    </xf>
    <xf numFmtId="0" fontId="67" fillId="0" borderId="7" xfId="0" applyFont="1" applyFill="1" applyBorder="1" applyAlignment="1">
      <alignment horizontal="center" vertical="center" wrapText="1"/>
    </xf>
    <xf numFmtId="0" fontId="79" fillId="0" borderId="7" xfId="0" applyFont="1" applyFill="1" applyBorder="1" applyAlignment="1">
      <alignment horizontal="center" vertical="center" wrapText="1"/>
    </xf>
    <xf numFmtId="0" fontId="79" fillId="0" borderId="7" xfId="0" applyFont="1" applyFill="1" applyBorder="1" applyAlignment="1">
      <alignment horizontal="center" vertical="center"/>
    </xf>
    <xf numFmtId="4" fontId="67" fillId="0" borderId="7" xfId="0" applyNumberFormat="1" applyFont="1" applyFill="1" applyBorder="1" applyAlignment="1">
      <alignment horizontal="center" vertical="center" wrapText="1"/>
    </xf>
    <xf numFmtId="203" fontId="67" fillId="0" borderId="7" xfId="0" applyNumberFormat="1" applyFont="1" applyFill="1" applyBorder="1" applyAlignment="1">
      <alignment horizontal="center" vertical="center" wrapText="1"/>
    </xf>
    <xf numFmtId="0" fontId="65" fillId="0" borderId="7" xfId="0" applyFont="1" applyFill="1" applyBorder="1" applyAlignment="1">
      <alignment horizontal="center" vertical="center"/>
    </xf>
    <xf numFmtId="0" fontId="65" fillId="0" borderId="7" xfId="0" applyFont="1" applyFill="1" applyBorder="1" applyAlignment="1">
      <alignment horizontal="left" vertical="center"/>
    </xf>
    <xf numFmtId="0" fontId="63" fillId="0" borderId="7" xfId="0" applyFont="1" applyFill="1" applyBorder="1" applyAlignment="1">
      <alignment horizontal="left" vertical="center"/>
    </xf>
    <xf numFmtId="4" fontId="101" fillId="0" borderId="7" xfId="0" applyNumberFormat="1" applyFont="1" applyFill="1" applyBorder="1">
      <alignment vertical="center"/>
    </xf>
    <xf numFmtId="203" fontId="65" fillId="0" borderId="7" xfId="0" applyNumberFormat="1" applyFont="1" applyFill="1" applyBorder="1" applyAlignment="1">
      <alignment horizontal="left" vertical="center"/>
    </xf>
    <xf numFmtId="4" fontId="14" fillId="0" borderId="7" xfId="0" applyNumberFormat="1" applyFont="1" applyFill="1" applyBorder="1" applyAlignment="1">
      <alignment vertical="center"/>
    </xf>
    <xf numFmtId="0" fontId="14" fillId="0" borderId="7" xfId="0" applyFont="1" applyFill="1" applyBorder="1" applyAlignment="1">
      <alignment horizontal="left" vertical="center"/>
    </xf>
    <xf numFmtId="4" fontId="65" fillId="0" borderId="7" xfId="0" applyNumberFormat="1" applyFont="1" applyFill="1" applyBorder="1" applyAlignment="1">
      <alignment vertical="center"/>
    </xf>
    <xf numFmtId="0" fontId="14" fillId="0" borderId="0" xfId="4" applyFont="1" applyFill="1" applyAlignment="1">
      <alignment vertical="center"/>
    </xf>
    <xf numFmtId="4" fontId="65" fillId="4" borderId="7" xfId="0" applyNumberFormat="1" applyFont="1" applyFill="1" applyBorder="1" applyAlignment="1">
      <alignment vertical="center"/>
    </xf>
    <xf numFmtId="0" fontId="65" fillId="0" borderId="7" xfId="0" applyFont="1" applyFill="1" applyBorder="1" applyAlignment="1">
      <alignment horizontal="center"/>
    </xf>
    <xf numFmtId="0" fontId="63" fillId="0" borderId="7" xfId="0" applyFont="1" applyFill="1" applyBorder="1" applyAlignment="1">
      <alignment horizontal="center"/>
    </xf>
    <xf numFmtId="4" fontId="67" fillId="0" borderId="7" xfId="0" applyNumberFormat="1" applyFont="1" applyFill="1" applyBorder="1" applyAlignment="1">
      <alignment vertical="center"/>
    </xf>
    <xf numFmtId="4" fontId="102" fillId="0" borderId="7" xfId="0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center"/>
    </xf>
    <xf numFmtId="0" fontId="65" fillId="0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/>
    </xf>
    <xf numFmtId="4" fontId="65" fillId="0" borderId="0" xfId="0" applyNumberFormat="1" applyFont="1" applyFill="1" applyBorder="1" applyAlignment="1">
      <alignment vertical="center"/>
    </xf>
    <xf numFmtId="4" fontId="67" fillId="0" borderId="0" xfId="0" applyNumberFormat="1" applyFont="1" applyFill="1" applyBorder="1" applyAlignment="1"/>
    <xf numFmtId="0" fontId="4" fillId="0" borderId="0" xfId="4" applyFont="1" applyFill="1" applyAlignment="1">
      <alignment horizontal="center" vertical="center"/>
    </xf>
    <xf numFmtId="4" fontId="67" fillId="0" borderId="0" xfId="0" applyNumberFormat="1" applyFont="1" applyFill="1" applyBorder="1" applyAlignment="1">
      <alignment vertical="center"/>
    </xf>
    <xf numFmtId="4" fontId="8" fillId="0" borderId="0" xfId="4" applyNumberFormat="1" applyFill="1" applyAlignment="1">
      <alignment vertical="center"/>
    </xf>
    <xf numFmtId="4" fontId="91" fillId="0" borderId="0" xfId="0" applyNumberFormat="1" applyFont="1" applyFill="1" applyBorder="1" applyAlignment="1">
      <alignment vertical="center"/>
    </xf>
    <xf numFmtId="0" fontId="79" fillId="0" borderId="0" xfId="0" applyFont="1" applyBorder="1" applyAlignment="1">
      <alignment horizontal="center"/>
    </xf>
    <xf numFmtId="203" fontId="67" fillId="0" borderId="0" xfId="0" applyNumberFormat="1" applyFont="1" applyFill="1" applyBorder="1" applyAlignment="1">
      <alignment horizontal="center"/>
    </xf>
    <xf numFmtId="4" fontId="14" fillId="0" borderId="0" xfId="0" applyNumberFormat="1" applyFont="1" applyFill="1" applyBorder="1" applyAlignment="1">
      <alignment horizontal="right" vertical="center"/>
    </xf>
    <xf numFmtId="4" fontId="9" fillId="0" borderId="0" xfId="4" applyNumberFormat="1" applyFont="1" applyFill="1" applyAlignment="1">
      <alignment horizontal="center" vertical="center"/>
    </xf>
    <xf numFmtId="4" fontId="102" fillId="0" borderId="0" xfId="0" applyNumberFormat="1" applyFont="1" applyFill="1" applyBorder="1" applyAlignment="1">
      <alignment vertical="center"/>
    </xf>
    <xf numFmtId="4" fontId="65" fillId="0" borderId="0" xfId="0" applyNumberFormat="1" applyFont="1" applyFill="1" applyBorder="1" applyAlignment="1">
      <alignment horizontal="center"/>
    </xf>
    <xf numFmtId="4" fontId="63" fillId="0" borderId="0" xfId="0" applyNumberFormat="1" applyFont="1" applyFill="1" applyBorder="1" applyAlignment="1">
      <alignment horizontal="center"/>
    </xf>
    <xf numFmtId="4" fontId="65" fillId="0" borderId="0" xfId="0" applyNumberFormat="1" applyFont="1" applyFill="1" applyAlignment="1">
      <alignment horizontal="center"/>
    </xf>
    <xf numFmtId="4" fontId="63" fillId="0" borderId="0" xfId="0" applyNumberFormat="1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4" fontId="65" fillId="0" borderId="0" xfId="0" applyNumberFormat="1" applyFont="1" applyFill="1" applyAlignment="1"/>
    <xf numFmtId="203" fontId="65" fillId="0" borderId="0" xfId="0" applyNumberFormat="1" applyFont="1" applyFill="1" applyAlignment="1"/>
    <xf numFmtId="4" fontId="0" fillId="0" borderId="0" xfId="0" applyNumberFormat="1" applyFill="1" applyAlignment="1">
      <alignment vertical="center"/>
    </xf>
    <xf numFmtId="0" fontId="65" fillId="0" borderId="0" xfId="0" applyFont="1" applyFill="1" applyAlignment="1">
      <alignment horizontal="center"/>
    </xf>
    <xf numFmtId="0" fontId="14" fillId="2" borderId="0" xfId="4" applyFont="1" applyFill="1" applyAlignment="1">
      <alignment vertical="center"/>
    </xf>
    <xf numFmtId="0" fontId="4" fillId="0" borderId="0" xfId="4" applyFont="1" applyFill="1" applyAlignment="1">
      <alignment vertical="center"/>
    </xf>
    <xf numFmtId="4" fontId="14" fillId="0" borderId="0" xfId="4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104" fillId="0" borderId="7" xfId="0" applyFont="1" applyBorder="1" applyAlignment="1">
      <alignment horizontal="center" vertical="center"/>
    </xf>
    <xf numFmtId="204" fontId="104" fillId="0" borderId="7" xfId="0" applyNumberFormat="1" applyFont="1" applyBorder="1" applyAlignment="1">
      <alignment horizontal="center" vertical="center"/>
    </xf>
    <xf numFmtId="0" fontId="104" fillId="25" borderId="7" xfId="0" applyFont="1" applyFill="1" applyBorder="1" applyAlignment="1">
      <alignment horizontal="center" vertical="center"/>
    </xf>
    <xf numFmtId="204" fontId="104" fillId="25" borderId="7" xfId="0" applyNumberFormat="1" applyFont="1" applyFill="1" applyBorder="1" applyAlignment="1">
      <alignment horizontal="center" vertical="center"/>
    </xf>
    <xf numFmtId="0" fontId="104" fillId="25" borderId="4" xfId="0" applyFont="1" applyFill="1" applyBorder="1" applyAlignment="1">
      <alignment horizontal="center" vertical="center"/>
    </xf>
    <xf numFmtId="204" fontId="104" fillId="25" borderId="4" xfId="0" applyNumberFormat="1" applyFont="1" applyFill="1" applyBorder="1" applyAlignment="1">
      <alignment horizontal="center" vertical="center"/>
    </xf>
    <xf numFmtId="0" fontId="104" fillId="0" borderId="6" xfId="0" applyFont="1" applyBorder="1" applyAlignment="1">
      <alignment horizontal="center" vertical="center"/>
    </xf>
    <xf numFmtId="204" fontId="104" fillId="0" borderId="6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104" fillId="0" borderId="12" xfId="0" applyFont="1" applyBorder="1" applyAlignment="1">
      <alignment horizontal="center" vertical="center"/>
    </xf>
    <xf numFmtId="204" fontId="104" fillId="0" borderId="12" xfId="0" applyNumberFormat="1" applyFont="1" applyBorder="1" applyAlignment="1">
      <alignment horizontal="center" vertical="center"/>
    </xf>
    <xf numFmtId="177" fontId="104" fillId="0" borderId="7" xfId="0" applyNumberFormat="1" applyFont="1" applyBorder="1" applyAlignment="1">
      <alignment horizontal="center" vertical="center"/>
    </xf>
    <xf numFmtId="177" fontId="104" fillId="25" borderId="7" xfId="0" applyNumberFormat="1" applyFont="1" applyFill="1" applyBorder="1" applyAlignment="1">
      <alignment horizontal="center" vertical="center"/>
    </xf>
    <xf numFmtId="177" fontId="104" fillId="0" borderId="6" xfId="0" applyNumberFormat="1" applyFont="1" applyBorder="1" applyAlignment="1">
      <alignment horizontal="center" vertical="center"/>
    </xf>
    <xf numFmtId="177" fontId="104" fillId="0" borderId="12" xfId="0" applyNumberFormat="1" applyFont="1" applyBorder="1" applyAlignment="1">
      <alignment horizontal="center" vertical="center"/>
    </xf>
    <xf numFmtId="177" fontId="104" fillId="25" borderId="4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Alignment="1">
      <alignment horizontal="left" vertical="center" wrapText="1"/>
    </xf>
    <xf numFmtId="43" fontId="3" fillId="15" borderId="7" xfId="0" applyNumberFormat="1" applyFont="1" applyFill="1" applyBorder="1" applyAlignment="1">
      <alignment vertical="center" wrapText="1"/>
    </xf>
    <xf numFmtId="41" fontId="7" fillId="2" borderId="0" xfId="0" applyNumberFormat="1" applyFont="1" applyFill="1" applyAlignment="1">
      <alignment vertical="center"/>
    </xf>
    <xf numFmtId="0" fontId="3" fillId="4" borderId="0" xfId="100" applyFont="1" applyFill="1" applyAlignment="1" applyProtection="1">
      <alignment horizontal="left"/>
    </xf>
    <xf numFmtId="0" fontId="7" fillId="4" borderId="0" xfId="100" applyFont="1" applyFill="1" applyAlignment="1" applyProtection="1">
      <alignment horizontal="left"/>
    </xf>
    <xf numFmtId="9" fontId="7" fillId="4" borderId="0" xfId="100" applyNumberFormat="1" applyFont="1" applyFill="1" applyProtection="1"/>
    <xf numFmtId="0" fontId="7" fillId="4" borderId="0" xfId="100" applyFont="1" applyFill="1" applyProtection="1"/>
    <xf numFmtId="41" fontId="7" fillId="4" borderId="0" xfId="100" applyNumberFormat="1" applyFont="1" applyFill="1" applyProtection="1"/>
    <xf numFmtId="205" fontId="7" fillId="4" borderId="0" xfId="100" applyNumberFormat="1" applyFont="1" applyFill="1" applyProtection="1"/>
    <xf numFmtId="0" fontId="7" fillId="0" borderId="0" xfId="100" applyFont="1" applyFill="1" applyProtection="1"/>
    <xf numFmtId="0" fontId="7" fillId="4" borderId="0" xfId="100" applyFont="1" applyFill="1" applyAlignment="1" applyProtection="1">
      <alignment horizontal="center"/>
    </xf>
    <xf numFmtId="0" fontId="7" fillId="4" borderId="39" xfId="100" applyFont="1" applyFill="1" applyBorder="1" applyAlignment="1" applyProtection="1">
      <alignment horizontal="center"/>
    </xf>
    <xf numFmtId="0" fontId="3" fillId="4" borderId="40" xfId="100" applyFont="1" applyFill="1" applyBorder="1" applyAlignment="1" applyProtection="1">
      <alignment horizontal="left" vertical="center"/>
    </xf>
    <xf numFmtId="0" fontId="7" fillId="0" borderId="41" xfId="100" applyFont="1" applyFill="1" applyBorder="1" applyAlignment="1" applyProtection="1">
      <alignment horizontal="center" vertical="center"/>
    </xf>
    <xf numFmtId="0" fontId="7" fillId="4" borderId="42" xfId="100" applyFont="1" applyFill="1" applyBorder="1" applyAlignment="1" applyProtection="1">
      <alignment horizontal="center"/>
    </xf>
    <xf numFmtId="0" fontId="7" fillId="4" borderId="7" xfId="100" applyFont="1" applyFill="1" applyBorder="1" applyAlignment="1" applyProtection="1">
      <alignment horizontal="left" vertical="center"/>
    </xf>
    <xf numFmtId="0" fontId="7" fillId="0" borderId="7" xfId="100" applyFont="1" applyFill="1" applyBorder="1" applyAlignment="1" applyProtection="1">
      <alignment horizontal="center" vertical="center"/>
    </xf>
    <xf numFmtId="0" fontId="14" fillId="0" borderId="7" xfId="100" applyFont="1" applyFill="1" applyBorder="1" applyAlignment="1" applyProtection="1">
      <alignment horizontal="center" vertical="center"/>
    </xf>
    <xf numFmtId="205" fontId="7" fillId="0" borderId="7" xfId="100" applyNumberFormat="1" applyFont="1" applyFill="1" applyBorder="1" applyAlignment="1" applyProtection="1">
      <alignment horizontal="center" vertical="center"/>
    </xf>
    <xf numFmtId="0" fontId="7" fillId="0" borderId="43" xfId="100" applyFont="1" applyFill="1" applyBorder="1" applyProtection="1"/>
    <xf numFmtId="0" fontId="4" fillId="2" borderId="42" xfId="100" applyFont="1" applyFill="1" applyBorder="1" applyAlignment="1" applyProtection="1">
      <alignment horizontal="center"/>
    </xf>
    <xf numFmtId="0" fontId="4" fillId="2" borderId="7" xfId="100" applyFont="1" applyFill="1" applyBorder="1" applyAlignment="1" applyProtection="1">
      <alignment horizontal="left"/>
    </xf>
    <xf numFmtId="41" fontId="105" fillId="2" borderId="7" xfId="100" applyNumberFormat="1" applyFont="1" applyFill="1" applyBorder="1" applyProtection="1"/>
    <xf numFmtId="0" fontId="7" fillId="0" borderId="44" xfId="100" applyFont="1" applyFill="1" applyBorder="1" applyAlignment="1" applyProtection="1">
      <alignment vertical="center" wrapText="1"/>
    </xf>
    <xf numFmtId="0" fontId="7" fillId="4" borderId="7" xfId="100" applyFont="1" applyFill="1" applyBorder="1" applyAlignment="1" applyProtection="1">
      <alignment horizontal="left"/>
    </xf>
    <xf numFmtId="41" fontId="7" fillId="0" borderId="7" xfId="100" applyNumberFormat="1" applyFont="1" applyFill="1" applyBorder="1" applyProtection="1"/>
    <xf numFmtId="197" fontId="7" fillId="4" borderId="0" xfId="100" applyNumberFormat="1" applyFont="1" applyFill="1" applyProtection="1"/>
    <xf numFmtId="205" fontId="105" fillId="2" borderId="7" xfId="100" applyNumberFormat="1" applyFont="1" applyFill="1" applyBorder="1" applyProtection="1"/>
    <xf numFmtId="0" fontId="7" fillId="0" borderId="49" xfId="100" applyFont="1" applyFill="1" applyBorder="1" applyAlignment="1" applyProtection="1">
      <alignment vertical="center"/>
    </xf>
    <xf numFmtId="0" fontId="4" fillId="2" borderId="42" xfId="100" applyFont="1" applyFill="1" applyBorder="1" applyAlignment="1" applyProtection="1">
      <alignment horizontal="center" vertical="center"/>
    </xf>
    <xf numFmtId="0" fontId="4" fillId="2" borderId="7" xfId="100" applyFont="1" applyFill="1" applyBorder="1" applyAlignment="1" applyProtection="1">
      <alignment horizontal="center" vertical="center"/>
    </xf>
    <xf numFmtId="41" fontId="105" fillId="2" borderId="7" xfId="100" applyNumberFormat="1" applyFont="1" applyFill="1" applyBorder="1" applyAlignment="1" applyProtection="1">
      <alignment vertical="center"/>
    </xf>
    <xf numFmtId="41" fontId="3" fillId="2" borderId="7" xfId="100" applyNumberFormat="1" applyFont="1" applyFill="1" applyBorder="1" applyAlignment="1" applyProtection="1">
      <alignment vertical="center"/>
    </xf>
    <xf numFmtId="0" fontId="7" fillId="0" borderId="43" xfId="100" applyFont="1" applyFill="1" applyBorder="1" applyAlignment="1" applyProtection="1">
      <alignment wrapText="1"/>
    </xf>
    <xf numFmtId="0" fontId="7" fillId="26" borderId="42" xfId="100" applyFont="1" applyFill="1" applyBorder="1" applyAlignment="1" applyProtection="1">
      <alignment horizontal="center"/>
    </xf>
    <xf numFmtId="41" fontId="105" fillId="0" borderId="7" xfId="100" applyNumberFormat="1" applyFont="1" applyFill="1" applyBorder="1" applyAlignment="1" applyProtection="1">
      <alignment vertical="center"/>
    </xf>
    <xf numFmtId="205" fontId="105" fillId="0" borderId="7" xfId="100" applyNumberFormat="1" applyFont="1" applyFill="1" applyBorder="1" applyAlignment="1" applyProtection="1">
      <alignment vertical="center"/>
    </xf>
    <xf numFmtId="41" fontId="3" fillId="0" borderId="7" xfId="100" applyNumberFormat="1" applyFont="1" applyFill="1" applyBorder="1" applyAlignment="1" applyProtection="1">
      <alignment vertical="center"/>
    </xf>
    <xf numFmtId="0" fontId="14" fillId="27" borderId="42" xfId="100" applyFont="1" applyFill="1" applyBorder="1" applyAlignment="1" applyProtection="1">
      <alignment horizontal="center"/>
    </xf>
    <xf numFmtId="0" fontId="14" fillId="28" borderId="42" xfId="100" applyFont="1" applyFill="1" applyBorder="1" applyAlignment="1" applyProtection="1">
      <alignment horizontal="center"/>
    </xf>
    <xf numFmtId="41" fontId="3" fillId="2" borderId="7" xfId="100" applyNumberFormat="1" applyFont="1" applyFill="1" applyBorder="1" applyProtection="1"/>
    <xf numFmtId="0" fontId="7" fillId="0" borderId="43" xfId="100" applyFont="1" applyFill="1" applyBorder="1" applyAlignment="1" applyProtection="1">
      <alignment horizontal="left" wrapText="1"/>
    </xf>
    <xf numFmtId="0" fontId="3" fillId="2" borderId="42" xfId="100" applyFont="1" applyFill="1" applyBorder="1" applyAlignment="1" applyProtection="1">
      <alignment horizontal="center"/>
    </xf>
    <xf numFmtId="0" fontId="14" fillId="0" borderId="7" xfId="100" applyFont="1" applyFill="1" applyBorder="1" applyAlignment="1" applyProtection="1">
      <alignment horizontal="left"/>
    </xf>
    <xf numFmtId="0" fontId="7" fillId="0" borderId="7" xfId="100" applyFont="1" applyFill="1" applyBorder="1" applyAlignment="1" applyProtection="1">
      <alignment horizontal="left"/>
    </xf>
    <xf numFmtId="0" fontId="27" fillId="0" borderId="43" xfId="100" applyFont="1" applyFill="1" applyBorder="1" applyProtection="1"/>
    <xf numFmtId="0" fontId="14" fillId="3" borderId="46" xfId="100" applyFont="1" applyFill="1" applyBorder="1" applyAlignment="1" applyProtection="1">
      <alignment horizontal="center"/>
    </xf>
    <xf numFmtId="0" fontId="7" fillId="3" borderId="7" xfId="100" applyFont="1" applyFill="1" applyBorder="1" applyAlignment="1" applyProtection="1">
      <alignment horizontal="left"/>
    </xf>
    <xf numFmtId="41" fontId="7" fillId="3" borderId="7" xfId="100" applyNumberFormat="1" applyFont="1" applyFill="1" applyBorder="1" applyProtection="1"/>
    <xf numFmtId="0" fontId="25" fillId="0" borderId="7" xfId="100" applyFont="1" applyFill="1" applyBorder="1" applyAlignment="1" applyProtection="1">
      <alignment horizontal="left"/>
    </xf>
    <xf numFmtId="41" fontId="7" fillId="0" borderId="7" xfId="100" applyNumberFormat="1" applyFont="1" applyFill="1" applyBorder="1" applyAlignment="1" applyProtection="1">
      <alignment horizontal="center" vertical="center"/>
    </xf>
    <xf numFmtId="41" fontId="3" fillId="0" borderId="7" xfId="100" applyNumberFormat="1" applyFont="1" applyFill="1" applyBorder="1" applyAlignment="1" applyProtection="1">
      <alignment horizontal="center" vertical="center"/>
    </xf>
    <xf numFmtId="41" fontId="25" fillId="0" borderId="7" xfId="100" applyNumberFormat="1" applyFont="1" applyFill="1" applyBorder="1" applyAlignment="1" applyProtection="1">
      <alignment horizontal="center" vertical="center"/>
    </xf>
    <xf numFmtId="0" fontId="7" fillId="0" borderId="42" xfId="100" applyFont="1" applyFill="1" applyBorder="1" applyAlignment="1" applyProtection="1">
      <alignment horizontal="center"/>
    </xf>
    <xf numFmtId="0" fontId="4" fillId="0" borderId="7" xfId="100" applyFont="1" applyFill="1" applyBorder="1" applyAlignment="1" applyProtection="1">
      <alignment horizontal="left"/>
    </xf>
    <xf numFmtId="41" fontId="3" fillId="0" borderId="4" xfId="100" applyNumberFormat="1" applyFont="1" applyFill="1" applyBorder="1" applyProtection="1"/>
    <xf numFmtId="41" fontId="3" fillId="0" borderId="7" xfId="100" applyNumberFormat="1" applyFont="1" applyFill="1" applyBorder="1" applyProtection="1"/>
    <xf numFmtId="205" fontId="3" fillId="0" borderId="4" xfId="100" applyNumberFormat="1" applyFont="1" applyFill="1" applyBorder="1" applyProtection="1"/>
    <xf numFmtId="41" fontId="25" fillId="0" borderId="7" xfId="100" applyNumberFormat="1" applyFont="1" applyFill="1" applyBorder="1" applyProtection="1"/>
    <xf numFmtId="205" fontId="7" fillId="0" borderId="7" xfId="100" applyNumberFormat="1" applyFont="1" applyFill="1" applyBorder="1" applyProtection="1"/>
    <xf numFmtId="197" fontId="7" fillId="0" borderId="7" xfId="100" applyNumberFormat="1" applyFont="1" applyFill="1" applyBorder="1" applyProtection="1"/>
    <xf numFmtId="197" fontId="3" fillId="0" borderId="7" xfId="100" applyNumberFormat="1" applyFont="1" applyFill="1" applyBorder="1" applyProtection="1"/>
    <xf numFmtId="0" fontId="3" fillId="0" borderId="12" xfId="100" applyFont="1" applyFill="1" applyBorder="1" applyAlignment="1" applyProtection="1">
      <alignment horizontal="left"/>
    </xf>
    <xf numFmtId="197" fontId="7" fillId="0" borderId="12" xfId="100" applyNumberFormat="1" applyFont="1" applyFill="1" applyBorder="1" applyAlignment="1" applyProtection="1">
      <alignment vertical="center"/>
    </xf>
    <xf numFmtId="197" fontId="3" fillId="0" borderId="12" xfId="100" applyNumberFormat="1" applyFont="1" applyFill="1" applyBorder="1" applyAlignment="1" applyProtection="1">
      <alignment vertical="center"/>
    </xf>
    <xf numFmtId="197" fontId="3" fillId="0" borderId="12" xfId="100" applyNumberFormat="1" applyFont="1" applyFill="1" applyBorder="1" applyProtection="1"/>
    <xf numFmtId="197" fontId="7" fillId="0" borderId="12" xfId="100" applyNumberFormat="1" applyFont="1" applyFill="1" applyBorder="1" applyProtection="1"/>
    <xf numFmtId="205" fontId="3" fillId="0" borderId="12" xfId="100" applyNumberFormat="1" applyFont="1" applyFill="1" applyBorder="1" applyAlignment="1" applyProtection="1">
      <alignment vertical="center"/>
    </xf>
    <xf numFmtId="0" fontId="3" fillId="0" borderId="7" xfId="100" applyFont="1" applyFill="1" applyBorder="1" applyAlignment="1" applyProtection="1">
      <alignment horizontal="left"/>
    </xf>
    <xf numFmtId="197" fontId="7" fillId="0" borderId="7" xfId="100" applyNumberFormat="1" applyFont="1" applyFill="1" applyBorder="1" applyAlignment="1" applyProtection="1">
      <alignment vertical="center"/>
    </xf>
    <xf numFmtId="205" fontId="3" fillId="0" borderId="7" xfId="100" applyNumberFormat="1" applyFont="1" applyFill="1" applyBorder="1" applyProtection="1"/>
    <xf numFmtId="0" fontId="7" fillId="0" borderId="43" xfId="100" applyFont="1" applyFill="1" applyBorder="1" applyAlignment="1" applyProtection="1">
      <alignment vertical="center"/>
    </xf>
    <xf numFmtId="197" fontId="3" fillId="0" borderId="10" xfId="100" applyNumberFormat="1" applyFont="1" applyFill="1" applyBorder="1" applyProtection="1"/>
    <xf numFmtId="0" fontId="7" fillId="0" borderId="50" xfId="100" applyFont="1" applyFill="1" applyBorder="1" applyAlignment="1" applyProtection="1">
      <alignment horizontal="center"/>
    </xf>
    <xf numFmtId="0" fontId="3" fillId="0" borderId="51" xfId="100" applyFont="1" applyFill="1" applyBorder="1" applyAlignment="1" applyProtection="1">
      <alignment horizontal="left"/>
    </xf>
    <xf numFmtId="197" fontId="7" fillId="0" borderId="52" xfId="100" applyNumberFormat="1" applyFont="1" applyFill="1" applyBorder="1" applyProtection="1"/>
    <xf numFmtId="197" fontId="61" fillId="0" borderId="53" xfId="100" applyNumberFormat="1" applyFont="1" applyFill="1" applyBorder="1" applyProtection="1"/>
    <xf numFmtId="197" fontId="7" fillId="0" borderId="53" xfId="100" applyNumberFormat="1" applyFont="1" applyFill="1" applyBorder="1" applyProtection="1"/>
    <xf numFmtId="197" fontId="3" fillId="0" borderId="51" xfId="100" applyNumberFormat="1" applyFont="1" applyFill="1" applyBorder="1" applyAlignment="1" applyProtection="1">
      <alignment horizontal="center" vertical="center"/>
    </xf>
    <xf numFmtId="205" fontId="7" fillId="0" borderId="53" xfId="100" applyNumberFormat="1" applyFont="1" applyFill="1" applyBorder="1" applyProtection="1"/>
    <xf numFmtId="197" fontId="3" fillId="0" borderId="51" xfId="100" applyNumberFormat="1" applyFont="1" applyFill="1" applyBorder="1" applyProtection="1"/>
    <xf numFmtId="197" fontId="3" fillId="0" borderId="54" xfId="100" applyNumberFormat="1" applyFont="1" applyFill="1" applyBorder="1" applyProtection="1"/>
    <xf numFmtId="0" fontId="7" fillId="0" borderId="55" xfId="100" applyFont="1" applyFill="1" applyBorder="1" applyAlignment="1" applyProtection="1">
      <alignment vertical="center"/>
    </xf>
    <xf numFmtId="0" fontId="7" fillId="4" borderId="0" xfId="100" applyFont="1" applyFill="1" applyAlignment="1" applyProtection="1">
      <alignment vertical="center"/>
    </xf>
    <xf numFmtId="0" fontId="3" fillId="4" borderId="0" xfId="100" applyFont="1" applyFill="1" applyAlignment="1" applyProtection="1">
      <alignment horizontal="left" vertical="center"/>
    </xf>
    <xf numFmtId="0" fontId="7" fillId="4" borderId="0" xfId="100" applyFont="1" applyFill="1" applyAlignment="1" applyProtection="1">
      <alignment horizontal="left" vertical="center"/>
    </xf>
    <xf numFmtId="205" fontId="7" fillId="4" borderId="0" xfId="100" applyNumberFormat="1" applyFont="1" applyFill="1" applyAlignment="1" applyProtection="1">
      <alignment vertical="center"/>
    </xf>
    <xf numFmtId="0" fontId="7" fillId="0" borderId="0" xfId="100" applyFont="1" applyFill="1" applyAlignment="1" applyProtection="1">
      <alignment vertical="center"/>
    </xf>
    <xf numFmtId="0" fontId="4" fillId="4" borderId="40" xfId="100" applyFont="1" applyFill="1" applyBorder="1" applyAlignment="1" applyProtection="1">
      <alignment horizontal="center" vertical="center"/>
    </xf>
    <xf numFmtId="9" fontId="7" fillId="29" borderId="51" xfId="100" applyNumberFormat="1" applyFont="1" applyFill="1" applyBorder="1" applyAlignment="1" applyProtection="1">
      <alignment horizontal="center" vertical="center"/>
    </xf>
    <xf numFmtId="0" fontId="3" fillId="0" borderId="0" xfId="100" applyFont="1" applyFill="1" applyAlignment="1" applyProtection="1">
      <alignment horizontal="left" vertical="center"/>
    </xf>
    <xf numFmtId="9" fontId="7" fillId="0" borderId="0" xfId="100" applyNumberFormat="1" applyFont="1" applyFill="1" applyAlignment="1" applyProtection="1">
      <alignment vertical="center"/>
    </xf>
    <xf numFmtId="205" fontId="7" fillId="0" borderId="0" xfId="100" applyNumberFormat="1" applyFont="1" applyFill="1" applyAlignment="1" applyProtection="1">
      <alignment vertical="center"/>
    </xf>
    <xf numFmtId="0" fontId="10" fillId="0" borderId="42" xfId="100" applyFont="1" applyFill="1" applyBorder="1" applyAlignment="1" applyProtection="1">
      <alignment horizontal="center" vertical="center"/>
    </xf>
    <xf numFmtId="201" fontId="10" fillId="0" borderId="7" xfId="100" applyNumberFormat="1" applyFont="1" applyFill="1" applyBorder="1" applyAlignment="1" applyProtection="1">
      <alignment horizontal="center" vertical="center"/>
    </xf>
    <xf numFmtId="9" fontId="10" fillId="0" borderId="7" xfId="100" applyNumberFormat="1" applyFont="1" applyFill="1" applyBorder="1" applyAlignment="1" applyProtection="1">
      <alignment horizontal="center" vertical="center"/>
    </xf>
    <xf numFmtId="201" fontId="107" fillId="0" borderId="7" xfId="100" applyNumberFormat="1" applyFont="1" applyFill="1" applyBorder="1" applyAlignment="1" applyProtection="1">
      <alignment horizontal="center" vertical="center"/>
    </xf>
    <xf numFmtId="205" fontId="10" fillId="0" borderId="10" xfId="100" applyNumberFormat="1" applyFont="1" applyFill="1" applyBorder="1" applyAlignment="1" applyProtection="1">
      <alignment horizontal="center" vertical="center"/>
    </xf>
    <xf numFmtId="0" fontId="14" fillId="4" borderId="42" xfId="100" applyFont="1" applyFill="1" applyBorder="1" applyAlignment="1" applyProtection="1">
      <alignment horizontal="center" vertical="center"/>
    </xf>
    <xf numFmtId="0" fontId="10" fillId="30" borderId="50" xfId="100" applyFont="1" applyFill="1" applyBorder="1" applyAlignment="1" applyProtection="1">
      <alignment horizontal="center" vertical="center"/>
    </xf>
    <xf numFmtId="201" fontId="10" fillId="30" borderId="51" xfId="100" applyNumberFormat="1" applyFont="1" applyFill="1" applyBorder="1" applyAlignment="1" applyProtection="1">
      <alignment horizontal="center" vertical="center"/>
    </xf>
    <xf numFmtId="9" fontId="10" fillId="30" borderId="51" xfId="100" applyNumberFormat="1" applyFont="1" applyFill="1" applyBorder="1" applyAlignment="1" applyProtection="1">
      <alignment horizontal="center" vertical="center"/>
    </xf>
    <xf numFmtId="201" fontId="107" fillId="30" borderId="51" xfId="100" applyNumberFormat="1" applyFont="1" applyFill="1" applyBorder="1" applyAlignment="1" applyProtection="1">
      <alignment horizontal="center" vertical="center"/>
    </xf>
    <xf numFmtId="201" fontId="10" fillId="30" borderId="54" xfId="100" applyNumberFormat="1" applyFont="1" applyFill="1" applyBorder="1" applyAlignment="1" applyProtection="1">
      <alignment horizontal="center" vertical="center"/>
    </xf>
    <xf numFmtId="201" fontId="7" fillId="0" borderId="0" xfId="100" applyNumberFormat="1" applyFont="1" applyFill="1" applyAlignment="1" applyProtection="1">
      <alignment vertical="center"/>
    </xf>
    <xf numFmtId="43" fontId="9" fillId="0" borderId="7" xfId="0" applyNumberFormat="1" applyFont="1" applyFill="1" applyBorder="1" applyAlignment="1">
      <alignment horizontal="center" vertical="center" wrapText="1"/>
    </xf>
    <xf numFmtId="43" fontId="106" fillId="0" borderId="4" xfId="0" applyNumberFormat="1" applyFont="1" applyFill="1" applyBorder="1" applyAlignment="1">
      <alignment horizontal="center" vertical="center" wrapText="1"/>
    </xf>
    <xf numFmtId="0" fontId="10" fillId="0" borderId="7" xfId="100" applyNumberFormat="1" applyFont="1" applyFill="1" applyBorder="1" applyAlignment="1" applyProtection="1">
      <alignment horizontal="center" vertical="center"/>
    </xf>
    <xf numFmtId="0" fontId="7" fillId="4" borderId="7" xfId="100" applyNumberFormat="1" applyFont="1" applyFill="1" applyBorder="1" applyAlignment="1" applyProtection="1">
      <alignment horizontal="center" vertical="center"/>
    </xf>
    <xf numFmtId="9" fontId="10" fillId="0" borderId="10" xfId="100" applyNumberFormat="1" applyFont="1" applyFill="1" applyBorder="1" applyAlignment="1" applyProtection="1">
      <alignment horizontal="center" vertical="center"/>
    </xf>
    <xf numFmtId="0" fontId="7" fillId="0" borderId="7" xfId="100" applyNumberFormat="1" applyFont="1" applyFill="1" applyBorder="1" applyAlignment="1" applyProtection="1">
      <alignment horizontal="center" vertical="center"/>
    </xf>
    <xf numFmtId="0" fontId="9" fillId="30" borderId="50" xfId="100" applyFont="1" applyFill="1" applyBorder="1" applyAlignment="1" applyProtection="1">
      <alignment horizontal="center" vertical="center"/>
    </xf>
    <xf numFmtId="0" fontId="9" fillId="30" borderId="51" xfId="100" applyNumberFormat="1" applyFont="1" applyFill="1" applyBorder="1" applyAlignment="1" applyProtection="1">
      <alignment horizontal="center" vertical="center"/>
    </xf>
    <xf numFmtId="9" fontId="9" fillId="30" borderId="54" xfId="100" applyNumberFormat="1" applyFont="1" applyFill="1" applyBorder="1" applyAlignment="1" applyProtection="1">
      <alignment horizontal="center" vertical="center"/>
    </xf>
    <xf numFmtId="0" fontId="7" fillId="0" borderId="0" xfId="100" applyFont="1" applyFill="1" applyBorder="1" applyAlignment="1" applyProtection="1">
      <alignment vertical="center"/>
    </xf>
    <xf numFmtId="0" fontId="9" fillId="0" borderId="0" xfId="100" applyFont="1" applyFill="1" applyBorder="1" applyAlignment="1" applyProtection="1">
      <alignment horizontal="center" vertical="center"/>
    </xf>
    <xf numFmtId="0" fontId="9" fillId="0" borderId="0" xfId="100" applyNumberFormat="1" applyFont="1" applyFill="1" applyBorder="1" applyAlignment="1" applyProtection="1">
      <alignment horizontal="center" vertical="center"/>
    </xf>
    <xf numFmtId="9" fontId="3" fillId="0" borderId="0" xfId="100" applyNumberFormat="1" applyFont="1" applyFill="1" applyBorder="1" applyAlignment="1" applyProtection="1">
      <alignment horizontal="center" vertical="center"/>
    </xf>
    <xf numFmtId="201" fontId="3" fillId="0" borderId="0" xfId="100" applyNumberFormat="1" applyFont="1" applyFill="1" applyBorder="1" applyAlignment="1" applyProtection="1">
      <alignment horizontal="center" vertical="center"/>
    </xf>
    <xf numFmtId="0" fontId="9" fillId="0" borderId="0" xfId="100" applyFont="1" applyFill="1" applyBorder="1" applyAlignment="1" applyProtection="1">
      <alignment horizontal="left" vertical="center"/>
    </xf>
    <xf numFmtId="0" fontId="10" fillId="0" borderId="0" xfId="100" applyNumberFormat="1" applyFont="1" applyFill="1" applyBorder="1" applyAlignment="1" applyProtection="1">
      <alignment horizontal="center" vertical="center"/>
    </xf>
    <xf numFmtId="9" fontId="10" fillId="0" borderId="0" xfId="100" applyNumberFormat="1" applyFont="1" applyFill="1" applyBorder="1" applyAlignment="1" applyProtection="1">
      <alignment horizontal="center" vertical="center"/>
    </xf>
    <xf numFmtId="205" fontId="10" fillId="0" borderId="0" xfId="100" applyNumberFormat="1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 wrapText="1"/>
    </xf>
    <xf numFmtId="43" fontId="3" fillId="0" borderId="7" xfId="0" applyNumberFormat="1" applyFont="1" applyFill="1" applyBorder="1" applyAlignment="1">
      <alignment horizontal="center" vertical="center" wrapText="1"/>
    </xf>
    <xf numFmtId="43" fontId="106" fillId="0" borderId="7" xfId="0" applyNumberFormat="1" applyFont="1" applyFill="1" applyBorder="1" applyAlignment="1">
      <alignment horizontal="center" vertical="center" wrapText="1"/>
    </xf>
    <xf numFmtId="0" fontId="65" fillId="0" borderId="0" xfId="135" applyFont="1" applyFill="1" applyBorder="1" applyAlignment="1">
      <alignment wrapText="1"/>
    </xf>
    <xf numFmtId="41" fontId="15" fillId="0" borderId="0" xfId="121" applyNumberFormat="1" applyFont="1" applyFill="1" applyBorder="1" applyAlignment="1" applyProtection="1">
      <alignment horizontal="center" vertical="center"/>
      <protection locked="0"/>
    </xf>
    <xf numFmtId="199" fontId="15" fillId="0" borderId="0" xfId="121" applyNumberFormat="1" applyFont="1" applyFill="1" applyBorder="1" applyAlignment="1" applyProtection="1">
      <alignment horizontal="center" vertical="center"/>
      <protection locked="0"/>
    </xf>
    <xf numFmtId="0" fontId="108" fillId="0" borderId="7" xfId="0" applyFont="1" applyFill="1" applyBorder="1">
      <alignment vertical="center"/>
    </xf>
    <xf numFmtId="41" fontId="7" fillId="0" borderId="7" xfId="100" applyNumberFormat="1" applyFont="1" applyFill="1" applyBorder="1" applyAlignment="1" applyProtection="1">
      <alignment horizontal="center"/>
    </xf>
    <xf numFmtId="0" fontId="108" fillId="0" borderId="0" xfId="0" applyFont="1" applyFill="1" applyBorder="1">
      <alignment vertical="center"/>
    </xf>
    <xf numFmtId="205" fontId="7" fillId="0" borderId="0" xfId="100" applyNumberFormat="1" applyFont="1" applyFill="1" applyBorder="1" applyProtection="1"/>
    <xf numFmtId="41" fontId="15" fillId="0" borderId="0" xfId="121" applyNumberFormat="1" applyFont="1" applyFill="1" applyBorder="1" applyAlignment="1" applyProtection="1">
      <alignment horizontal="center"/>
    </xf>
    <xf numFmtId="0" fontId="109" fillId="0" borderId="7" xfId="0" applyFont="1" applyBorder="1">
      <alignment vertical="center"/>
    </xf>
    <xf numFmtId="0" fontId="109" fillId="0" borderId="0" xfId="0" applyFont="1" applyBorder="1">
      <alignment vertical="center"/>
    </xf>
    <xf numFmtId="199" fontId="15" fillId="0" borderId="0" xfId="121" applyNumberFormat="1" applyFont="1" applyFill="1" applyBorder="1" applyAlignment="1" applyProtection="1">
      <alignment horizontal="center" vertical="center"/>
    </xf>
    <xf numFmtId="199" fontId="15" fillId="0" borderId="0" xfId="135" applyNumberFormat="1" applyFont="1" applyFill="1" applyBorder="1" applyAlignment="1">
      <alignment horizontal="center" vertical="center"/>
    </xf>
    <xf numFmtId="41" fontId="15" fillId="0" borderId="0" xfId="135" applyNumberFormat="1" applyFont="1" applyFill="1" applyBorder="1" applyAlignment="1">
      <alignment horizontal="center" vertical="center"/>
    </xf>
    <xf numFmtId="0" fontId="109" fillId="0" borderId="7" xfId="0" applyFont="1" applyFill="1" applyBorder="1">
      <alignment vertical="center"/>
    </xf>
    <xf numFmtId="0" fontId="109" fillId="0" borderId="0" xfId="0" applyFont="1" applyFill="1" applyBorder="1">
      <alignment vertical="center"/>
    </xf>
    <xf numFmtId="41" fontId="15" fillId="0" borderId="0" xfId="121" applyNumberFormat="1" applyFont="1" applyFill="1" applyBorder="1" applyAlignment="1" applyProtection="1">
      <alignment horizontal="center" vertical="center"/>
    </xf>
    <xf numFmtId="199" fontId="15" fillId="0" borderId="0" xfId="121" applyNumberFormat="1" applyFont="1" applyFill="1" applyBorder="1" applyAlignment="1">
      <alignment horizontal="center" vertical="center"/>
    </xf>
    <xf numFmtId="41" fontId="15" fillId="0" borderId="0" xfId="121" applyNumberFormat="1" applyFont="1" applyFill="1" applyBorder="1" applyAlignment="1">
      <alignment horizontal="center" vertical="center"/>
    </xf>
    <xf numFmtId="0" fontId="108" fillId="0" borderId="7" xfId="0" applyFont="1" applyBorder="1">
      <alignment vertical="center"/>
    </xf>
    <xf numFmtId="41" fontId="3" fillId="31" borderId="7" xfId="0" applyNumberFormat="1" applyFont="1" applyFill="1" applyBorder="1" applyAlignment="1">
      <alignment horizontal="left" vertical="center" wrapText="1"/>
    </xf>
    <xf numFmtId="205" fontId="3" fillId="0" borderId="0" xfId="0" applyNumberFormat="1" applyFont="1" applyFill="1" applyBorder="1" applyAlignment="1">
      <alignment vertical="center" wrapText="1"/>
    </xf>
    <xf numFmtId="0" fontId="101" fillId="0" borderId="0" xfId="0" applyFont="1" applyFill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41" fontId="3" fillId="0" borderId="0" xfId="0" applyNumberFormat="1" applyFont="1" applyFill="1" applyBorder="1" applyAlignment="1">
      <alignment horizontal="left" vertical="center" wrapText="1"/>
    </xf>
    <xf numFmtId="41" fontId="3" fillId="0" borderId="0" xfId="0" applyNumberFormat="1" applyFont="1" applyFill="1" applyBorder="1" applyAlignment="1">
      <alignment vertical="center" wrapText="1"/>
    </xf>
    <xf numFmtId="205" fontId="7" fillId="0" borderId="0" xfId="0" applyNumberFormat="1" applyFont="1" applyFill="1" applyBorder="1" applyAlignment="1">
      <alignment vertical="center" wrapText="1"/>
    </xf>
    <xf numFmtId="0" fontId="108" fillId="0" borderId="0" xfId="0" applyFont="1" applyBorder="1">
      <alignment vertical="center"/>
    </xf>
    <xf numFmtId="201" fontId="7" fillId="0" borderId="0" xfId="100" applyNumberFormat="1" applyFont="1" applyFill="1" applyBorder="1" applyProtection="1"/>
    <xf numFmtId="0" fontId="3" fillId="31" borderId="7" xfId="0" applyFont="1" applyFill="1" applyBorder="1" applyAlignment="1">
      <alignment horizontal="center" vertical="center"/>
    </xf>
    <xf numFmtId="41" fontId="3" fillId="31" borderId="7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9" fontId="3" fillId="0" borderId="0" xfId="0" applyNumberFormat="1" applyFont="1" applyFill="1" applyBorder="1" applyAlignment="1">
      <alignment vertical="center" wrapText="1"/>
    </xf>
    <xf numFmtId="0" fontId="7" fillId="4" borderId="0" xfId="100" applyFont="1" applyFill="1" applyAlignment="1" applyProtection="1">
      <alignment horizontal="center" vertical="center"/>
    </xf>
    <xf numFmtId="0" fontId="7" fillId="0" borderId="0" xfId="100" applyFont="1" applyFill="1" applyAlignment="1" applyProtection="1">
      <alignment horizontal="left" vertical="center"/>
    </xf>
    <xf numFmtId="0" fontId="14" fillId="35" borderId="65" xfId="100" applyFont="1" applyFill="1" applyBorder="1" applyAlignment="1" applyProtection="1">
      <alignment horizontal="left" vertical="center"/>
    </xf>
    <xf numFmtId="0" fontId="7" fillId="35" borderId="2" xfId="100" applyFont="1" applyFill="1" applyBorder="1" applyAlignment="1" applyProtection="1">
      <alignment horizontal="left" vertical="center"/>
    </xf>
    <xf numFmtId="0" fontId="7" fillId="35" borderId="2" xfId="100" applyFont="1" applyFill="1" applyBorder="1" applyAlignment="1" applyProtection="1">
      <alignment vertical="center"/>
    </xf>
    <xf numFmtId="0" fontId="7" fillId="35" borderId="66" xfId="100" applyFont="1" applyFill="1" applyBorder="1" applyAlignment="1" applyProtection="1">
      <alignment vertical="center"/>
    </xf>
    <xf numFmtId="0" fontId="7" fillId="0" borderId="69" xfId="100" applyFont="1" applyFill="1" applyBorder="1" applyAlignment="1" applyProtection="1">
      <alignment horizontal="left" vertical="center"/>
    </xf>
    <xf numFmtId="0" fontId="7" fillId="0" borderId="0" xfId="100" applyFont="1" applyFill="1" applyBorder="1" applyAlignment="1" applyProtection="1">
      <alignment horizontal="left" vertical="center"/>
    </xf>
    <xf numFmtId="0" fontId="7" fillId="0" borderId="70" xfId="100" applyFont="1" applyFill="1" applyBorder="1" applyAlignment="1" applyProtection="1">
      <alignment vertical="center"/>
    </xf>
    <xf numFmtId="0" fontId="14" fillId="0" borderId="69" xfId="100" applyFont="1" applyFill="1" applyBorder="1" applyAlignment="1" applyProtection="1">
      <alignment horizontal="left" vertical="center"/>
    </xf>
    <xf numFmtId="0" fontId="7" fillId="0" borderId="67" xfId="100" applyFont="1" applyFill="1" applyBorder="1" applyAlignment="1" applyProtection="1">
      <alignment horizontal="left" vertical="center"/>
    </xf>
    <xf numFmtId="0" fontId="7" fillId="0" borderId="1" xfId="100" applyFont="1" applyFill="1" applyBorder="1" applyAlignment="1" applyProtection="1">
      <alignment horizontal="left" vertical="center"/>
    </xf>
    <xf numFmtId="0" fontId="7" fillId="0" borderId="1" xfId="100" applyFont="1" applyFill="1" applyBorder="1" applyAlignment="1" applyProtection="1">
      <alignment vertical="center"/>
    </xf>
    <xf numFmtId="0" fontId="7" fillId="0" borderId="68" xfId="100" applyFont="1" applyFill="1" applyBorder="1" applyAlignment="1" applyProtection="1">
      <alignment vertical="center"/>
    </xf>
    <xf numFmtId="0" fontId="18" fillId="0" borderId="0" xfId="100" applyFont="1" applyFill="1" applyAlignment="1" applyProtection="1">
      <alignment horizontal="left" vertical="center"/>
    </xf>
    <xf numFmtId="0" fontId="18" fillId="0" borderId="0" xfId="100" applyFont="1" applyFill="1" applyAlignment="1" applyProtection="1">
      <alignment vertical="center"/>
    </xf>
    <xf numFmtId="0" fontId="3" fillId="35" borderId="39" xfId="100" applyFont="1" applyFill="1" applyBorder="1" applyAlignment="1" applyProtection="1">
      <alignment horizontal="left" vertical="center"/>
    </xf>
    <xf numFmtId="0" fontId="3" fillId="36" borderId="40" xfId="100" applyFont="1" applyFill="1" applyBorder="1" applyAlignment="1" applyProtection="1">
      <alignment horizontal="center" vertical="center"/>
    </xf>
    <xf numFmtId="0" fontId="3" fillId="36" borderId="57" xfId="100" applyFont="1" applyFill="1" applyBorder="1" applyAlignment="1" applyProtection="1">
      <alignment horizontal="center" vertical="center"/>
    </xf>
    <xf numFmtId="0" fontId="0" fillId="0" borderId="0" xfId="0" applyBorder="1" applyAlignment="1">
      <alignment vertical="center"/>
    </xf>
    <xf numFmtId="0" fontId="7" fillId="4" borderId="42" xfId="100" applyFont="1" applyFill="1" applyBorder="1" applyAlignment="1" applyProtection="1">
      <alignment horizontal="left" vertical="center"/>
    </xf>
    <xf numFmtId="205" fontId="7" fillId="4" borderId="7" xfId="100" applyNumberFormat="1" applyFont="1" applyFill="1" applyBorder="1" applyAlignment="1" applyProtection="1">
      <alignment horizontal="right" vertical="center"/>
    </xf>
    <xf numFmtId="205" fontId="7" fillId="15" borderId="7" xfId="100" applyNumberFormat="1" applyFont="1" applyFill="1" applyBorder="1" applyAlignment="1" applyProtection="1">
      <alignment horizontal="right" vertical="center"/>
    </xf>
    <xf numFmtId="41" fontId="7" fillId="0" borderId="7" xfId="3" applyNumberFormat="1" applyFont="1" applyFill="1" applyBorder="1" applyAlignment="1">
      <alignment horizontal="right" vertical="center"/>
    </xf>
    <xf numFmtId="205" fontId="7" fillId="4" borderId="10" xfId="100" applyNumberFormat="1" applyFont="1" applyFill="1" applyBorder="1" applyAlignment="1" applyProtection="1">
      <alignment horizontal="right" vertical="center"/>
    </xf>
    <xf numFmtId="0" fontId="7" fillId="4" borderId="50" xfId="100" applyFont="1" applyFill="1" applyBorder="1" applyAlignment="1" applyProtection="1">
      <alignment horizontal="left" vertical="center"/>
    </xf>
    <xf numFmtId="205" fontId="7" fillId="4" borderId="51" xfId="100" applyNumberFormat="1" applyFont="1" applyFill="1" applyBorder="1" applyAlignment="1" applyProtection="1">
      <alignment horizontal="right" vertical="center"/>
    </xf>
    <xf numFmtId="205" fontId="7" fillId="15" borderId="51" xfId="100" applyNumberFormat="1" applyFont="1" applyFill="1" applyBorder="1" applyAlignment="1" applyProtection="1">
      <alignment horizontal="right" vertical="center"/>
    </xf>
    <xf numFmtId="0" fontId="4" fillId="4" borderId="0" xfId="100" applyFont="1" applyFill="1" applyBorder="1" applyAlignment="1" applyProtection="1">
      <alignment horizontal="left" vertical="center"/>
    </xf>
    <xf numFmtId="201" fontId="25" fillId="4" borderId="0" xfId="100" applyNumberFormat="1" applyFont="1" applyFill="1" applyAlignment="1" applyProtection="1">
      <alignment horizontal="right" vertical="center"/>
    </xf>
    <xf numFmtId="205" fontId="18" fillId="4" borderId="0" xfId="100" applyNumberFormat="1" applyFont="1" applyFill="1" applyAlignment="1" applyProtection="1">
      <alignment horizontal="left" vertical="center"/>
    </xf>
    <xf numFmtId="0" fontId="14" fillId="4" borderId="0" xfId="100" applyFont="1" applyFill="1" applyBorder="1" applyAlignment="1" applyProtection="1">
      <alignment horizontal="left" vertical="center"/>
    </xf>
    <xf numFmtId="0" fontId="7" fillId="4" borderId="0" xfId="100" applyFont="1" applyFill="1" applyBorder="1" applyAlignment="1" applyProtection="1">
      <alignment horizontal="left" vertical="center"/>
    </xf>
    <xf numFmtId="205" fontId="7" fillId="4" borderId="0" xfId="100" applyNumberFormat="1" applyFont="1" applyFill="1" applyAlignment="1" applyProtection="1">
      <alignment horizontal="left" vertical="center"/>
    </xf>
    <xf numFmtId="0" fontId="4" fillId="4" borderId="0" xfId="100" applyFont="1" applyFill="1" applyAlignment="1" applyProtection="1">
      <alignment horizontal="left" vertical="center"/>
    </xf>
    <xf numFmtId="205" fontId="25" fillId="4" borderId="0" xfId="100" applyNumberFormat="1" applyFont="1" applyFill="1" applyAlignment="1" applyProtection="1">
      <alignment horizontal="right" vertical="center"/>
    </xf>
    <xf numFmtId="205" fontId="25" fillId="4" borderId="0" xfId="100" applyNumberFormat="1" applyFont="1" applyFill="1" applyAlignment="1" applyProtection="1">
      <alignment horizontal="center" vertical="center"/>
    </xf>
    <xf numFmtId="0" fontId="14" fillId="4" borderId="0" xfId="100" applyFont="1" applyFill="1" applyAlignment="1" applyProtection="1">
      <alignment vertical="center"/>
    </xf>
    <xf numFmtId="9" fontId="7" fillId="4" borderId="0" xfId="100" applyNumberFormat="1" applyFont="1" applyFill="1" applyAlignment="1" applyProtection="1">
      <alignment vertical="center"/>
    </xf>
    <xf numFmtId="205" fontId="3" fillId="36" borderId="40" xfId="100" applyNumberFormat="1" applyFont="1" applyFill="1" applyBorder="1" applyAlignment="1" applyProtection="1">
      <alignment horizontal="center" vertical="center"/>
    </xf>
    <xf numFmtId="0" fontId="7" fillId="4" borderId="7" xfId="100" applyFont="1" applyFill="1" applyBorder="1" applyAlignment="1" applyProtection="1">
      <alignment horizontal="right" vertical="center"/>
    </xf>
    <xf numFmtId="201" fontId="18" fillId="0" borderId="7" xfId="100" applyNumberFormat="1" applyFont="1" applyFill="1" applyBorder="1" applyAlignment="1" applyProtection="1">
      <alignment horizontal="right" vertical="center"/>
    </xf>
    <xf numFmtId="0" fontId="7" fillId="4" borderId="51" xfId="100" applyFont="1" applyFill="1" applyBorder="1" applyAlignment="1" applyProtection="1">
      <alignment horizontal="right" vertical="center"/>
    </xf>
    <xf numFmtId="201" fontId="18" fillId="0" borderId="51" xfId="100" applyNumberFormat="1" applyFont="1" applyFill="1" applyBorder="1" applyAlignment="1" applyProtection="1">
      <alignment horizontal="right" vertical="center"/>
    </xf>
    <xf numFmtId="0" fontId="7" fillId="4" borderId="0" xfId="100" applyFont="1" applyFill="1" applyAlignment="1" applyProtection="1">
      <alignment horizontal="right" vertical="center"/>
    </xf>
    <xf numFmtId="0" fontId="14" fillId="4" borderId="0" xfId="100" applyFont="1" applyFill="1" applyAlignment="1" applyProtection="1">
      <alignment horizontal="left" vertical="center"/>
    </xf>
    <xf numFmtId="205" fontId="7" fillId="4" borderId="0" xfId="100" applyNumberFormat="1" applyFont="1" applyFill="1" applyAlignment="1" applyProtection="1">
      <alignment horizontal="center" vertical="center"/>
    </xf>
    <xf numFmtId="205" fontId="18" fillId="0" borderId="7" xfId="100" applyNumberFormat="1" applyFont="1" applyFill="1" applyBorder="1" applyAlignment="1" applyProtection="1">
      <alignment horizontal="right" vertical="center"/>
    </xf>
    <xf numFmtId="205" fontId="18" fillId="0" borderId="51" xfId="100" applyNumberFormat="1" applyFont="1" applyFill="1" applyBorder="1" applyAlignment="1" applyProtection="1">
      <alignment horizontal="right" vertical="center"/>
    </xf>
    <xf numFmtId="0" fontId="25" fillId="4" borderId="0" xfId="100" applyFont="1" applyFill="1" applyAlignment="1" applyProtection="1">
      <alignment horizontal="right" vertical="center"/>
    </xf>
    <xf numFmtId="0" fontId="4" fillId="35" borderId="39" xfId="100" applyFont="1" applyFill="1" applyBorder="1" applyAlignment="1" applyProtection="1">
      <alignment horizontal="left" vertical="center"/>
    </xf>
    <xf numFmtId="0" fontId="17" fillId="0" borderId="0" xfId="100" applyFont="1" applyFill="1" applyBorder="1" applyAlignment="1" applyProtection="1">
      <alignment vertical="center"/>
    </xf>
    <xf numFmtId="0" fontId="7" fillId="4" borderId="42" xfId="100" applyFont="1" applyFill="1" applyBorder="1" applyAlignment="1" applyProtection="1">
      <alignment vertical="center"/>
    </xf>
    <xf numFmtId="201" fontId="7" fillId="4" borderId="7" xfId="100" applyNumberFormat="1" applyFont="1" applyFill="1" applyBorder="1" applyAlignment="1" applyProtection="1">
      <alignment horizontal="right" vertical="center"/>
    </xf>
    <xf numFmtId="0" fontId="14" fillId="4" borderId="0" xfId="100" applyFont="1" applyFill="1" applyBorder="1" applyAlignment="1" applyProtection="1">
      <alignment vertical="center" wrapText="1"/>
    </xf>
    <xf numFmtId="0" fontId="14" fillId="4" borderId="42" xfId="100" applyFont="1" applyFill="1" applyBorder="1" applyAlignment="1" applyProtection="1">
      <alignment horizontal="left" vertical="center"/>
    </xf>
    <xf numFmtId="0" fontId="14" fillId="4" borderId="50" xfId="100" applyFont="1" applyFill="1" applyBorder="1" applyAlignment="1" applyProtection="1">
      <alignment horizontal="left" vertical="center"/>
    </xf>
    <xf numFmtId="201" fontId="7" fillId="4" borderId="51" xfId="100" applyNumberFormat="1" applyFont="1" applyFill="1" applyBorder="1" applyAlignment="1" applyProtection="1">
      <alignment horizontal="right" vertical="center"/>
    </xf>
    <xf numFmtId="41" fontId="7" fillId="0" borderId="51" xfId="3" applyNumberFormat="1" applyFont="1" applyFill="1" applyBorder="1" applyAlignment="1">
      <alignment horizontal="right" vertical="center"/>
    </xf>
    <xf numFmtId="201" fontId="25" fillId="4" borderId="0" xfId="100" applyNumberFormat="1" applyFont="1" applyFill="1" applyBorder="1" applyAlignment="1" applyProtection="1">
      <alignment horizontal="right" vertical="center"/>
    </xf>
    <xf numFmtId="0" fontId="3" fillId="4" borderId="0" xfId="100" applyFont="1" applyFill="1" applyBorder="1" applyAlignment="1" applyProtection="1">
      <alignment horizontal="right" vertical="center"/>
    </xf>
    <xf numFmtId="205" fontId="3" fillId="4" borderId="0" xfId="100" applyNumberFormat="1" applyFont="1" applyFill="1" applyBorder="1" applyAlignment="1" applyProtection="1">
      <alignment horizontal="right" vertical="center"/>
    </xf>
    <xf numFmtId="0" fontId="3" fillId="4" borderId="0" xfId="100" applyFont="1" applyFill="1" applyBorder="1" applyAlignment="1" applyProtection="1">
      <alignment horizontal="left" vertical="center"/>
    </xf>
    <xf numFmtId="205" fontId="3" fillId="4" borderId="0" xfId="100" applyNumberFormat="1" applyFont="1" applyFill="1" applyBorder="1" applyAlignment="1" applyProtection="1">
      <alignment horizontal="left" vertical="center"/>
    </xf>
    <xf numFmtId="0" fontId="25" fillId="4" borderId="0" xfId="100" applyFont="1" applyFill="1" applyBorder="1" applyAlignment="1" applyProtection="1">
      <alignment horizontal="center" vertical="center"/>
    </xf>
    <xf numFmtId="0" fontId="25" fillId="0" borderId="0" xfId="100" applyFont="1" applyFill="1" applyBorder="1" applyAlignment="1" applyProtection="1">
      <alignment horizontal="center" vertical="center"/>
    </xf>
    <xf numFmtId="205" fontId="7" fillId="4" borderId="0" xfId="100" applyNumberFormat="1" applyFont="1" applyFill="1" applyBorder="1" applyAlignment="1" applyProtection="1">
      <alignment horizontal="left" vertical="center"/>
    </xf>
    <xf numFmtId="0" fontId="7" fillId="4" borderId="0" xfId="100" applyFont="1" applyFill="1" applyBorder="1" applyAlignment="1" applyProtection="1">
      <alignment horizontal="center" vertical="center"/>
    </xf>
    <xf numFmtId="0" fontId="14" fillId="4" borderId="0" xfId="100" applyFont="1" applyFill="1" applyBorder="1" applyAlignment="1" applyProtection="1">
      <alignment vertical="center"/>
    </xf>
    <xf numFmtId="0" fontId="3" fillId="4" borderId="0" xfId="100" applyFont="1" applyFill="1" applyAlignment="1" applyProtection="1">
      <alignment horizontal="right" vertical="center"/>
    </xf>
    <xf numFmtId="201" fontId="25" fillId="4" borderId="0" xfId="100" applyNumberFormat="1" applyFont="1" applyFill="1" applyBorder="1" applyAlignment="1" applyProtection="1">
      <alignment horizontal="center" vertical="center"/>
    </xf>
    <xf numFmtId="0" fontId="25" fillId="4" borderId="0" xfId="100" applyFont="1" applyFill="1" applyAlignment="1" applyProtection="1">
      <alignment horizontal="center" vertical="center"/>
    </xf>
    <xf numFmtId="0" fontId="3" fillId="0" borderId="0" xfId="0" applyFont="1" applyFill="1" applyBorder="1" applyAlignment="1">
      <alignment vertical="center"/>
    </xf>
    <xf numFmtId="10" fontId="7" fillId="0" borderId="0" xfId="0" applyNumberFormat="1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177" fontId="27" fillId="0" borderId="0" xfId="0" applyNumberFormat="1" applyFont="1" applyFill="1" applyAlignment="1">
      <alignment horizontal="center" vertical="center"/>
    </xf>
    <xf numFmtId="177" fontId="27" fillId="37" borderId="12" xfId="0" applyNumberFormat="1" applyFont="1" applyFill="1" applyBorder="1" applyAlignment="1">
      <alignment horizontal="center" vertical="center" wrapText="1" shrinkToFit="1"/>
    </xf>
    <xf numFmtId="177" fontId="27" fillId="37" borderId="12" xfId="0" quotePrefix="1" applyNumberFormat="1" applyFont="1" applyFill="1" applyBorder="1" applyAlignment="1">
      <alignment horizontal="center" vertical="center" wrapText="1"/>
    </xf>
    <xf numFmtId="177" fontId="27" fillId="37" borderId="12" xfId="0" applyNumberFormat="1" applyFont="1" applyFill="1" applyBorder="1" applyAlignment="1">
      <alignment horizontal="center" vertical="center" wrapText="1"/>
    </xf>
    <xf numFmtId="177" fontId="18" fillId="37" borderId="16" xfId="0" applyNumberFormat="1" applyFont="1" applyFill="1" applyBorder="1" applyAlignment="1">
      <alignment horizontal="center" vertical="center" wrapText="1" shrinkToFit="1"/>
    </xf>
    <xf numFmtId="177" fontId="27" fillId="37" borderId="16" xfId="0" applyNumberFormat="1" applyFont="1" applyFill="1" applyBorder="1" applyAlignment="1">
      <alignment horizontal="center" vertical="center" wrapText="1" shrinkToFit="1"/>
    </xf>
    <xf numFmtId="177" fontId="27" fillId="37" borderId="16" xfId="0" applyNumberFormat="1" applyFont="1" applyFill="1" applyBorder="1" applyAlignment="1">
      <alignment horizontal="center" vertical="center" wrapText="1"/>
    </xf>
    <xf numFmtId="177" fontId="27" fillId="37" borderId="12" xfId="0" applyNumberFormat="1" applyFont="1" applyFill="1" applyBorder="1" applyAlignment="1">
      <alignment horizontal="center" vertical="center"/>
    </xf>
    <xf numFmtId="43" fontId="27" fillId="37" borderId="7" xfId="0" applyNumberFormat="1" applyFont="1" applyFill="1" applyBorder="1" applyAlignment="1">
      <alignment horizontal="center" vertical="center"/>
    </xf>
    <xf numFmtId="43" fontId="27" fillId="37" borderId="7" xfId="0" applyNumberFormat="1" applyFont="1" applyFill="1" applyBorder="1" applyAlignment="1">
      <alignment horizontal="center" vertical="center" wrapText="1"/>
    </xf>
    <xf numFmtId="43" fontId="27" fillId="37" borderId="11" xfId="0" applyNumberFormat="1" applyFont="1" applyFill="1" applyBorder="1" applyAlignment="1">
      <alignment horizontal="center" vertical="center"/>
    </xf>
    <xf numFmtId="10" fontId="27" fillId="37" borderId="11" xfId="0" applyNumberFormat="1" applyFont="1" applyFill="1" applyBorder="1" applyAlignment="1">
      <alignment horizontal="center" vertical="center"/>
    </xf>
    <xf numFmtId="43" fontId="69" fillId="37" borderId="11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 wrapText="1"/>
    </xf>
    <xf numFmtId="43" fontId="27" fillId="0" borderId="0" xfId="0" applyNumberFormat="1" applyFont="1" applyFill="1" applyBorder="1" applyAlignment="1">
      <alignment horizontal="center" vertical="center"/>
    </xf>
    <xf numFmtId="9" fontId="27" fillId="0" borderId="0" xfId="0" applyNumberFormat="1" applyFont="1" applyFill="1" applyBorder="1" applyAlignment="1">
      <alignment horizontal="center" vertical="center"/>
    </xf>
    <xf numFmtId="177" fontId="27" fillId="0" borderId="7" xfId="0" quotePrefix="1" applyNumberFormat="1" applyFont="1" applyFill="1" applyBorder="1" applyAlignment="1">
      <alignment horizontal="center" vertical="center" wrapText="1"/>
    </xf>
    <xf numFmtId="177" fontId="18" fillId="0" borderId="7" xfId="0" applyNumberFormat="1" applyFont="1" applyFill="1" applyBorder="1" applyAlignment="1">
      <alignment horizontal="center" vertical="center" wrapText="1" shrinkToFit="1"/>
    </xf>
    <xf numFmtId="177" fontId="27" fillId="0" borderId="12" xfId="0" applyNumberFormat="1" applyFont="1" applyFill="1" applyBorder="1" applyAlignment="1">
      <alignment horizontal="center" vertical="center"/>
    </xf>
    <xf numFmtId="43" fontId="27" fillId="0" borderId="7" xfId="0" applyNumberFormat="1" applyFont="1" applyFill="1" applyBorder="1" applyAlignment="1">
      <alignment horizontal="center" vertical="center"/>
    </xf>
    <xf numFmtId="43" fontId="27" fillId="0" borderId="7" xfId="0" applyNumberFormat="1" applyFont="1" applyFill="1" applyBorder="1" applyAlignment="1">
      <alignment horizontal="center" vertical="center" wrapText="1"/>
    </xf>
    <xf numFmtId="10" fontId="27" fillId="0" borderId="7" xfId="0" applyNumberFormat="1" applyFont="1" applyFill="1" applyBorder="1" applyAlignment="1">
      <alignment horizontal="center" vertical="center"/>
    </xf>
    <xf numFmtId="43" fontId="69" fillId="2" borderId="11" xfId="0" applyNumberFormat="1" applyFont="1" applyFill="1" applyBorder="1" applyAlignment="1">
      <alignment horizontal="center" vertical="center"/>
    </xf>
    <xf numFmtId="43" fontId="27" fillId="0" borderId="0" xfId="0" applyNumberFormat="1" applyFont="1" applyFill="1" applyBorder="1" applyAlignment="1">
      <alignment horizontal="center" vertical="center" wrapText="1"/>
    </xf>
    <xf numFmtId="10" fontId="27" fillId="0" borderId="0" xfId="0" applyNumberFormat="1" applyFont="1" applyFill="1" applyBorder="1" applyAlignment="1">
      <alignment horizontal="center" vertical="center"/>
    </xf>
    <xf numFmtId="177" fontId="27" fillId="0" borderId="12" xfId="0" applyNumberFormat="1" applyFont="1" applyFill="1" applyBorder="1" applyAlignment="1">
      <alignment horizontal="center" vertical="center" wrapText="1" shrinkToFit="1"/>
    </xf>
    <xf numFmtId="177" fontId="27" fillId="0" borderId="12" xfId="0" quotePrefix="1" applyNumberFormat="1" applyFont="1" applyFill="1" applyBorder="1" applyAlignment="1">
      <alignment horizontal="center" vertical="center" wrapText="1"/>
    </xf>
    <xf numFmtId="177" fontId="27" fillId="0" borderId="12" xfId="0" applyNumberFormat="1" applyFont="1" applyFill="1" applyBorder="1" applyAlignment="1">
      <alignment horizontal="center" vertical="center" wrapText="1"/>
    </xf>
    <xf numFmtId="177" fontId="18" fillId="0" borderId="16" xfId="0" applyNumberFormat="1" applyFont="1" applyFill="1" applyBorder="1" applyAlignment="1">
      <alignment horizontal="center" vertical="center" wrapText="1" shrinkToFit="1"/>
    </xf>
    <xf numFmtId="177" fontId="27" fillId="0" borderId="16" xfId="0" applyNumberFormat="1" applyFont="1" applyFill="1" applyBorder="1" applyAlignment="1">
      <alignment horizontal="center" vertical="center" wrapText="1" shrinkToFit="1"/>
    </xf>
    <xf numFmtId="177" fontId="27" fillId="0" borderId="16" xfId="0" applyNumberFormat="1" applyFont="1" applyFill="1" applyBorder="1" applyAlignment="1">
      <alignment horizontal="center" vertical="center" wrapText="1"/>
    </xf>
    <xf numFmtId="43" fontId="27" fillId="0" borderId="11" xfId="0" applyNumberFormat="1" applyFont="1" applyFill="1" applyBorder="1" applyAlignment="1">
      <alignment horizontal="center" vertical="center"/>
    </xf>
    <xf numFmtId="10" fontId="27" fillId="0" borderId="11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69" fillId="0" borderId="0" xfId="0" applyFont="1" applyFill="1" applyBorder="1" applyAlignment="1">
      <alignment vertical="center"/>
    </xf>
    <xf numFmtId="0" fontId="15" fillId="4" borderId="7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vertical="center"/>
    </xf>
    <xf numFmtId="0" fontId="27" fillId="0" borderId="11" xfId="0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horizontal="center" vertical="center"/>
    </xf>
    <xf numFmtId="43" fontId="7" fillId="0" borderId="0" xfId="133" applyFont="1" applyFill="1" applyAlignment="1">
      <alignment horizontal="center" vertical="center"/>
    </xf>
    <xf numFmtId="0" fontId="7" fillId="38" borderId="7" xfId="0" applyFont="1" applyFill="1" applyBorder="1" applyAlignment="1">
      <alignment vertical="center"/>
    </xf>
    <xf numFmtId="0" fontId="27" fillId="38" borderId="7" xfId="0" applyFont="1" applyFill="1" applyBorder="1" applyAlignment="1">
      <alignment horizontal="left" vertical="center"/>
    </xf>
    <xf numFmtId="0" fontId="27" fillId="38" borderId="6" xfId="0" applyFont="1" applyFill="1" applyBorder="1" applyAlignment="1">
      <alignment vertical="center"/>
    </xf>
    <xf numFmtId="0" fontId="27" fillId="38" borderId="11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38" borderId="10" xfId="0" applyFont="1" applyFill="1" applyBorder="1" applyAlignment="1">
      <alignment vertical="center"/>
    </xf>
    <xf numFmtId="0" fontId="27" fillId="38" borderId="7" xfId="0" applyFont="1" applyFill="1" applyBorder="1" applyAlignment="1">
      <alignment vertical="center"/>
    </xf>
    <xf numFmtId="0" fontId="7" fillId="38" borderId="7" xfId="0" applyFont="1" applyFill="1" applyBorder="1" applyAlignment="1">
      <alignment horizontal="left" vertical="center"/>
    </xf>
    <xf numFmtId="43" fontId="27" fillId="0" borderId="11" xfId="0" applyNumberFormat="1" applyFont="1" applyFill="1" applyBorder="1" applyAlignment="1">
      <alignment vertical="center"/>
    </xf>
    <xf numFmtId="206" fontId="7" fillId="0" borderId="0" xfId="0" applyNumberFormat="1" applyFont="1" applyFill="1" applyBorder="1" applyAlignment="1">
      <alignment horizontal="center" vertical="center"/>
    </xf>
    <xf numFmtId="206" fontId="7" fillId="0" borderId="0" xfId="0" applyNumberFormat="1" applyFont="1" applyFill="1" applyBorder="1" applyAlignment="1">
      <alignment horizontal="center" vertical="center" wrapText="1"/>
    </xf>
    <xf numFmtId="0" fontId="7" fillId="0" borderId="0" xfId="100" applyFont="1" applyFill="1" applyAlignment="1" applyProtection="1">
      <alignment horizontal="center" vertical="center"/>
    </xf>
    <xf numFmtId="40" fontId="3" fillId="0" borderId="1" xfId="3" applyNumberFormat="1" applyFont="1" applyFill="1" applyBorder="1" applyAlignment="1">
      <alignment horizontal="center" vertical="center"/>
    </xf>
    <xf numFmtId="49" fontId="7" fillId="0" borderId="2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41" fontId="7" fillId="0" borderId="0" xfId="0" applyNumberFormat="1" applyFont="1" applyFill="1" applyBorder="1" applyAlignment="1">
      <alignment vertical="center" wrapText="1"/>
    </xf>
    <xf numFmtId="9" fontId="7" fillId="0" borderId="0" xfId="1" applyFont="1" applyFill="1" applyBorder="1" applyAlignment="1">
      <alignment vertical="center" wrapText="1"/>
    </xf>
    <xf numFmtId="49" fontId="7" fillId="0" borderId="7" xfId="0" applyNumberFormat="1" applyFont="1" applyFill="1" applyBorder="1" applyAlignment="1">
      <alignment horizontal="center" vertical="center"/>
    </xf>
    <xf numFmtId="9" fontId="18" fillId="4" borderId="12" xfId="1" applyFont="1" applyFill="1" applyBorder="1" applyAlignment="1">
      <alignment vertical="center" wrapText="1"/>
    </xf>
    <xf numFmtId="41" fontId="7" fillId="2" borderId="0" xfId="3" applyNumberFormat="1" applyFont="1" applyFill="1" applyAlignment="1">
      <alignment vertical="center"/>
    </xf>
    <xf numFmtId="41" fontId="3" fillId="2" borderId="0" xfId="0" applyNumberFormat="1" applyFont="1" applyFill="1" applyAlignment="1">
      <alignment vertical="center"/>
    </xf>
    <xf numFmtId="0" fontId="68" fillId="12" borderId="7" xfId="0" applyFont="1" applyFill="1" applyBorder="1" applyAlignment="1">
      <alignment horizontal="center" vertical="center"/>
    </xf>
    <xf numFmtId="43" fontId="7" fillId="12" borderId="7" xfId="0" applyNumberFormat="1" applyFont="1" applyFill="1" applyBorder="1" applyAlignment="1">
      <alignment vertical="center"/>
    </xf>
    <xf numFmtId="9" fontId="7" fillId="0" borderId="0" xfId="1" applyFont="1" applyFill="1" applyAlignment="1">
      <alignment vertical="center"/>
    </xf>
    <xf numFmtId="49" fontId="4" fillId="0" borderId="0" xfId="3" applyNumberFormat="1" applyFont="1" applyFill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176" fontId="3" fillId="0" borderId="1" xfId="3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7" fontId="27" fillId="0" borderId="7" xfId="0" applyNumberFormat="1" applyFont="1" applyFill="1" applyBorder="1" applyAlignment="1">
      <alignment horizontal="center" vertical="center" wrapText="1" shrinkToFit="1"/>
    </xf>
    <xf numFmtId="177" fontId="27" fillId="0" borderId="7" xfId="0" applyNumberFormat="1" applyFont="1" applyFill="1" applyBorder="1" applyAlignment="1">
      <alignment horizontal="center" vertical="center" wrapText="1"/>
    </xf>
    <xf numFmtId="177" fontId="63" fillId="37" borderId="7" xfId="0" applyNumberFormat="1" applyFont="1" applyFill="1" applyBorder="1" applyAlignment="1">
      <alignment horizontal="center" vertical="center" wrapText="1"/>
    </xf>
    <xf numFmtId="177" fontId="63" fillId="0" borderId="7" xfId="0" applyNumberFormat="1" applyFont="1" applyFill="1" applyBorder="1" applyAlignment="1">
      <alignment horizontal="center" vertical="center" wrapText="1"/>
    </xf>
    <xf numFmtId="43" fontId="69" fillId="0" borderId="0" xfId="0" applyNumberFormat="1" applyFont="1" applyFill="1" applyBorder="1" applyAlignment="1">
      <alignment horizontal="center" vertical="center"/>
    </xf>
    <xf numFmtId="43" fontId="95" fillId="4" borderId="7" xfId="122" applyFont="1" applyFill="1" applyBorder="1" applyAlignment="1">
      <alignment horizontal="center" vertical="center" wrapText="1"/>
    </xf>
    <xf numFmtId="0" fontId="79" fillId="4" borderId="7" xfId="0" applyFont="1" applyFill="1" applyBorder="1" applyAlignment="1">
      <alignment horizontal="center" vertical="center" wrapText="1"/>
    </xf>
    <xf numFmtId="0" fontId="82" fillId="19" borderId="7" xfId="0" applyFont="1" applyFill="1" applyBorder="1" applyAlignment="1">
      <alignment horizontal="center" vertical="center" wrapText="1"/>
    </xf>
    <xf numFmtId="49" fontId="3" fillId="2" borderId="0" xfId="3" applyNumberFormat="1" applyFont="1" applyFill="1" applyAlignment="1">
      <alignment horizontal="left" vertical="center" wrapText="1"/>
    </xf>
    <xf numFmtId="0" fontId="112" fillId="4" borderId="0" xfId="4" applyFont="1" applyFill="1" applyAlignment="1">
      <alignment vertical="center" wrapText="1"/>
    </xf>
    <xf numFmtId="0" fontId="4" fillId="0" borderId="0" xfId="2" applyFont="1" applyAlignment="1">
      <alignment horizontal="center" vertical="center" wrapText="1"/>
    </xf>
    <xf numFmtId="0" fontId="112" fillId="0" borderId="0" xfId="4" applyFont="1" applyAlignment="1">
      <alignment horizontal="center" vertical="center" wrapText="1"/>
    </xf>
    <xf numFmtId="0" fontId="4" fillId="0" borderId="0" xfId="4" applyFont="1" applyAlignment="1">
      <alignment horizontal="center" vertical="center" wrapText="1"/>
    </xf>
    <xf numFmtId="0" fontId="113" fillId="0" borderId="0" xfId="4" applyFont="1" applyAlignment="1">
      <alignment horizontal="left" vertical="center" wrapText="1"/>
    </xf>
    <xf numFmtId="41" fontId="112" fillId="0" borderId="0" xfId="4" applyNumberFormat="1" applyFont="1" applyAlignment="1">
      <alignment horizontal="left" vertical="center" wrapText="1"/>
    </xf>
    <xf numFmtId="41" fontId="112" fillId="0" borderId="0" xfId="4" applyNumberFormat="1" applyFont="1" applyAlignment="1">
      <alignment horizontal="right" vertical="center" wrapText="1"/>
    </xf>
    <xf numFmtId="0" fontId="112" fillId="0" borderId="0" xfId="4" applyFont="1" applyAlignment="1">
      <alignment vertical="center" wrapText="1"/>
    </xf>
    <xf numFmtId="0" fontId="113" fillId="4" borderId="0" xfId="4" applyFont="1" applyFill="1" applyAlignment="1">
      <alignment vertical="center" wrapText="1"/>
    </xf>
    <xf numFmtId="0" fontId="113" fillId="0" borderId="0" xfId="4" applyFont="1" applyBorder="1" applyAlignment="1">
      <alignment horizontal="center" vertical="center" wrapText="1"/>
    </xf>
    <xf numFmtId="0" fontId="113" fillId="0" borderId="0" xfId="4" applyFont="1" applyAlignment="1">
      <alignment horizontal="center" vertical="center" wrapText="1"/>
    </xf>
    <xf numFmtId="0" fontId="113" fillId="0" borderId="0" xfId="4" applyFont="1" applyBorder="1" applyAlignment="1">
      <alignment horizontal="left" vertical="center" wrapText="1"/>
    </xf>
    <xf numFmtId="41" fontId="113" fillId="0" borderId="0" xfId="4" applyNumberFormat="1" applyFont="1" applyBorder="1" applyAlignment="1">
      <alignment horizontal="left" vertical="center" wrapText="1"/>
    </xf>
    <xf numFmtId="41" fontId="113" fillId="0" borderId="0" xfId="4" applyNumberFormat="1" applyFont="1" applyBorder="1" applyAlignment="1">
      <alignment horizontal="right" vertical="center" wrapText="1"/>
    </xf>
    <xf numFmtId="0" fontId="113" fillId="0" borderId="0" xfId="4" applyFont="1" applyAlignment="1">
      <alignment vertical="center" wrapText="1"/>
    </xf>
    <xf numFmtId="0" fontId="113" fillId="0" borderId="6" xfId="4" applyFont="1" applyBorder="1" applyAlignment="1">
      <alignment vertical="center" wrapText="1"/>
    </xf>
    <xf numFmtId="0" fontId="112" fillId="0" borderId="6" xfId="4" applyFont="1" applyBorder="1" applyAlignment="1">
      <alignment vertical="center" wrapText="1"/>
    </xf>
    <xf numFmtId="0" fontId="113" fillId="0" borderId="6" xfId="4" applyFont="1" applyBorder="1" applyAlignment="1">
      <alignment horizontal="left" vertical="center" wrapText="1"/>
    </xf>
    <xf numFmtId="41" fontId="112" fillId="0" borderId="6" xfId="4" applyNumberFormat="1" applyFont="1" applyBorder="1" applyAlignment="1">
      <alignment horizontal="left" vertical="center" wrapText="1"/>
    </xf>
    <xf numFmtId="41" fontId="113" fillId="39" borderId="6" xfId="4" applyNumberFormat="1" applyFont="1" applyFill="1" applyBorder="1" applyAlignment="1">
      <alignment horizontal="center" vertical="center" wrapText="1"/>
    </xf>
    <xf numFmtId="0" fontId="14" fillId="0" borderId="0" xfId="4" applyFont="1" applyFill="1" applyAlignment="1">
      <alignment vertical="center" wrapText="1"/>
    </xf>
    <xf numFmtId="0" fontId="112" fillId="0" borderId="0" xfId="4" applyFont="1" applyFill="1" applyAlignment="1">
      <alignment vertical="center" wrapText="1"/>
    </xf>
    <xf numFmtId="0" fontId="112" fillId="0" borderId="0" xfId="4" applyFont="1" applyFill="1" applyAlignment="1">
      <alignment horizontal="left" vertical="center" wrapText="1"/>
    </xf>
    <xf numFmtId="49" fontId="112" fillId="0" borderId="0" xfId="4" applyNumberFormat="1" applyFont="1" applyFill="1" applyAlignment="1">
      <alignment horizontal="left" vertical="center" wrapText="1"/>
    </xf>
    <xf numFmtId="41" fontId="14" fillId="0" borderId="0" xfId="4" applyNumberFormat="1" applyFont="1" applyFill="1" applyAlignment="1">
      <alignment horizontal="left" vertical="center" wrapText="1"/>
    </xf>
    <xf numFmtId="41" fontId="112" fillId="0" borderId="0" xfId="4" applyNumberFormat="1" applyFont="1" applyFill="1" applyAlignment="1">
      <alignment vertical="center" wrapText="1"/>
    </xf>
    <xf numFmtId="176" fontId="10" fillId="0" borderId="0" xfId="3" applyNumberFormat="1" applyFont="1" applyFill="1" applyAlignment="1">
      <alignment horizontal="right" vertical="center" wrapText="1"/>
    </xf>
    <xf numFmtId="0" fontId="112" fillId="0" borderId="0" xfId="4" applyNumberFormat="1" applyFont="1" applyFill="1" applyAlignment="1">
      <alignment horizontal="left" vertical="center" wrapText="1"/>
    </xf>
    <xf numFmtId="0" fontId="114" fillId="0" borderId="0" xfId="4" applyFont="1" applyFill="1" applyAlignment="1">
      <alignment vertical="center" wrapText="1"/>
    </xf>
    <xf numFmtId="41" fontId="17" fillId="0" borderId="0" xfId="4" applyNumberFormat="1" applyFont="1" applyFill="1" applyAlignment="1">
      <alignment horizontal="left" vertical="center" wrapText="1"/>
    </xf>
    <xf numFmtId="200" fontId="115" fillId="0" borderId="0" xfId="0" applyNumberFormat="1" applyFont="1" applyFill="1" applyAlignment="1">
      <alignment vertical="center" wrapText="1"/>
    </xf>
    <xf numFmtId="0" fontId="14" fillId="0" borderId="0" xfId="3" applyFont="1" applyFill="1" applyAlignment="1">
      <alignment vertical="center" wrapText="1"/>
    </xf>
    <xf numFmtId="0" fontId="15" fillId="0" borderId="0" xfId="3" applyFont="1" applyFill="1" applyAlignment="1">
      <alignment vertical="center" wrapText="1"/>
    </xf>
    <xf numFmtId="0" fontId="108" fillId="0" borderId="0" xfId="0" applyFont="1" applyFill="1" applyAlignment="1">
      <alignment vertical="center" wrapText="1"/>
    </xf>
    <xf numFmtId="0" fontId="112" fillId="0" borderId="6" xfId="4" applyFont="1" applyFill="1" applyBorder="1" applyAlignment="1">
      <alignment vertical="center" wrapText="1"/>
    </xf>
    <xf numFmtId="0" fontId="112" fillId="0" borderId="6" xfId="4" applyFont="1" applyFill="1" applyBorder="1" applyAlignment="1">
      <alignment horizontal="left" vertical="center" wrapText="1"/>
    </xf>
    <xf numFmtId="41" fontId="4" fillId="0" borderId="6" xfId="4" applyNumberFormat="1" applyFont="1" applyFill="1" applyBorder="1" applyAlignment="1">
      <alignment horizontal="left" vertical="center" wrapText="1"/>
    </xf>
    <xf numFmtId="41" fontId="113" fillId="0" borderId="6" xfId="4" applyNumberFormat="1" applyFont="1" applyFill="1" applyBorder="1" applyAlignment="1">
      <alignment vertical="center" wrapText="1"/>
    </xf>
    <xf numFmtId="0" fontId="112" fillId="0" borderId="0" xfId="4" applyFont="1" applyFill="1" applyBorder="1" applyAlignment="1">
      <alignment vertical="center" wrapText="1"/>
    </xf>
    <xf numFmtId="0" fontId="112" fillId="0" borderId="0" xfId="4" applyFont="1" applyFill="1" applyBorder="1" applyAlignment="1">
      <alignment horizontal="left" vertical="center" wrapText="1"/>
    </xf>
    <xf numFmtId="41" fontId="26" fillId="0" borderId="6" xfId="4" applyNumberFormat="1" applyFont="1" applyFill="1" applyBorder="1" applyAlignment="1">
      <alignment horizontal="left" vertical="center" wrapText="1"/>
    </xf>
    <xf numFmtId="41" fontId="113" fillId="0" borderId="0" xfId="4" applyNumberFormat="1" applyFont="1" applyFill="1" applyBorder="1" applyAlignment="1">
      <alignment vertical="center" wrapText="1"/>
    </xf>
    <xf numFmtId="0" fontId="112" fillId="0" borderId="0" xfId="0" applyFont="1" applyFill="1" applyAlignment="1">
      <alignment horizontal="left" vertical="center" wrapText="1"/>
    </xf>
    <xf numFmtId="49" fontId="112" fillId="0" borderId="0" xfId="0" applyNumberFormat="1" applyFont="1" applyFill="1" applyAlignment="1">
      <alignment horizontal="left" vertical="center" wrapText="1"/>
    </xf>
    <xf numFmtId="41" fontId="14" fillId="0" borderId="0" xfId="0" applyNumberFormat="1" applyFont="1" applyFill="1" applyAlignment="1">
      <alignment horizontal="left" vertical="center" wrapText="1"/>
    </xf>
    <xf numFmtId="41" fontId="112" fillId="0" borderId="0" xfId="0" applyNumberFormat="1" applyFont="1" applyFill="1" applyBorder="1" applyAlignment="1">
      <alignment horizontal="right" vertical="center" wrapText="1"/>
    </xf>
    <xf numFmtId="41" fontId="14" fillId="0" borderId="0" xfId="0" applyNumberFormat="1" applyFont="1" applyFill="1" applyBorder="1" applyAlignment="1">
      <alignment horizontal="left" vertical="center" wrapText="1"/>
    </xf>
    <xf numFmtId="0" fontId="112" fillId="0" borderId="0" xfId="0" applyFont="1" applyFill="1" applyAlignment="1">
      <alignment vertical="center" wrapText="1"/>
    </xf>
    <xf numFmtId="49" fontId="112" fillId="0" borderId="0" xfId="0" applyNumberFormat="1" applyFont="1" applyFill="1" applyAlignment="1">
      <alignment vertical="center" wrapText="1"/>
    </xf>
    <xf numFmtId="41" fontId="112" fillId="0" borderId="0" xfId="0" applyNumberFormat="1" applyFont="1" applyFill="1" applyAlignment="1">
      <alignment vertical="center" wrapText="1"/>
    </xf>
    <xf numFmtId="41" fontId="112" fillId="0" borderId="0" xfId="4" applyNumberFormat="1" applyFont="1" applyFill="1" applyAlignment="1">
      <alignment horizontal="right" vertical="center" wrapText="1"/>
    </xf>
    <xf numFmtId="41" fontId="14" fillId="0" borderId="0" xfId="4" applyNumberFormat="1" applyFont="1" applyFill="1" applyBorder="1" applyAlignment="1">
      <alignment horizontal="left" vertical="center" wrapText="1"/>
    </xf>
    <xf numFmtId="41" fontId="112" fillId="0" borderId="0" xfId="4" applyNumberFormat="1" applyFont="1" applyFill="1" applyBorder="1" applyAlignment="1">
      <alignment vertical="center" wrapText="1"/>
    </xf>
    <xf numFmtId="0" fontId="17" fillId="0" borderId="0" xfId="3" applyFont="1" applyFill="1" applyAlignment="1">
      <alignment horizontal="left" vertical="center" wrapText="1"/>
    </xf>
    <xf numFmtId="0" fontId="112" fillId="4" borderId="0" xfId="4" applyFont="1" applyFill="1" applyBorder="1" applyAlignment="1">
      <alignment vertical="center" wrapText="1"/>
    </xf>
    <xf numFmtId="0" fontId="112" fillId="4" borderId="6" xfId="4" applyFont="1" applyFill="1" applyBorder="1" applyAlignment="1">
      <alignment vertical="center" wrapText="1"/>
    </xf>
    <xf numFmtId="0" fontId="112" fillId="4" borderId="6" xfId="4" applyFont="1" applyFill="1" applyBorder="1" applyAlignment="1">
      <alignment horizontal="left" vertical="center" wrapText="1"/>
    </xf>
    <xf numFmtId="49" fontId="112" fillId="4" borderId="6" xfId="4" applyNumberFormat="1" applyFont="1" applyFill="1" applyBorder="1" applyAlignment="1">
      <alignment horizontal="left" vertical="center" wrapText="1"/>
    </xf>
    <xf numFmtId="41" fontId="4" fillId="4" borderId="6" xfId="4" applyNumberFormat="1" applyFont="1" applyFill="1" applyBorder="1" applyAlignment="1">
      <alignment horizontal="left" vertical="center" wrapText="1"/>
    </xf>
    <xf numFmtId="41" fontId="113" fillId="4" borderId="6" xfId="4" applyNumberFormat="1" applyFont="1" applyFill="1" applyBorder="1" applyAlignment="1">
      <alignment horizontal="right" vertical="center" wrapText="1"/>
    </xf>
    <xf numFmtId="0" fontId="112" fillId="4" borderId="0" xfId="4" applyFont="1" applyFill="1" applyBorder="1" applyAlignment="1">
      <alignment horizontal="left" vertical="center" wrapText="1"/>
    </xf>
    <xf numFmtId="49" fontId="112" fillId="4" borderId="0" xfId="4" applyNumberFormat="1" applyFont="1" applyFill="1" applyBorder="1" applyAlignment="1">
      <alignment horizontal="left" vertical="center" wrapText="1"/>
    </xf>
    <xf numFmtId="41" fontId="114" fillId="0" borderId="0" xfId="4" applyNumberFormat="1" applyFont="1" applyFill="1" applyAlignment="1">
      <alignment vertical="center" wrapText="1"/>
    </xf>
    <xf numFmtId="0" fontId="113" fillId="4" borderId="0" xfId="4" applyFont="1" applyFill="1" applyAlignment="1">
      <alignment horizontal="left" vertical="center" wrapText="1"/>
    </xf>
    <xf numFmtId="41" fontId="112" fillId="4" borderId="0" xfId="4" applyNumberFormat="1" applyFont="1" applyFill="1" applyAlignment="1">
      <alignment horizontal="left" vertical="center" wrapText="1"/>
    </xf>
    <xf numFmtId="41" fontId="112" fillId="4" borderId="0" xfId="4" applyNumberFormat="1" applyFont="1" applyFill="1" applyAlignment="1">
      <alignment horizontal="right" vertical="center" wrapText="1"/>
    </xf>
    <xf numFmtId="0" fontId="4" fillId="4" borderId="0" xfId="4" applyFont="1" applyFill="1" applyAlignment="1">
      <alignment horizontal="left" vertical="center" wrapText="1"/>
    </xf>
    <xf numFmtId="41" fontId="113" fillId="4" borderId="0" xfId="4" applyNumberFormat="1" applyFont="1" applyFill="1" applyAlignment="1">
      <alignment horizontal="right" vertical="center" wrapText="1"/>
    </xf>
    <xf numFmtId="0" fontId="4" fillId="0" borderId="0" xfId="4" applyFont="1" applyAlignment="1">
      <alignment horizontal="left" vertical="center" wrapText="1"/>
    </xf>
    <xf numFmtId="0" fontId="17" fillId="4" borderId="7" xfId="0" applyFont="1" applyFill="1" applyBorder="1" applyAlignment="1">
      <alignment horizontal="left" vertical="center" wrapText="1"/>
    </xf>
    <xf numFmtId="43" fontId="116" fillId="4" borderId="11" xfId="122" applyFont="1" applyFill="1" applyBorder="1" applyAlignment="1">
      <alignment vertical="center" wrapText="1"/>
    </xf>
    <xf numFmtId="43" fontId="116" fillId="4" borderId="7" xfId="122" applyFont="1" applyFill="1" applyBorder="1" applyAlignment="1">
      <alignment vertical="center" wrapText="1"/>
    </xf>
    <xf numFmtId="0" fontId="80" fillId="4" borderId="7" xfId="0" applyFont="1" applyFill="1" applyBorder="1" applyAlignment="1">
      <alignment horizontal="center" vertical="center"/>
    </xf>
    <xf numFmtId="43" fontId="116" fillId="4" borderId="11" xfId="122" applyFont="1" applyFill="1" applyBorder="1" applyAlignment="1">
      <alignment horizontal="center" vertical="center"/>
    </xf>
    <xf numFmtId="43" fontId="95" fillId="4" borderId="7" xfId="133" applyFont="1" applyFill="1" applyBorder="1" applyAlignment="1">
      <alignment horizontal="center" vertical="center" wrapText="1"/>
    </xf>
    <xf numFmtId="43" fontId="116" fillId="4" borderId="7" xfId="122" applyFont="1" applyFill="1" applyBorder="1">
      <alignment vertical="center"/>
    </xf>
    <xf numFmtId="9" fontId="7" fillId="17" borderId="0" xfId="3" applyNumberFormat="1" applyFont="1" applyFill="1" applyAlignment="1">
      <alignment vertical="center"/>
    </xf>
    <xf numFmtId="41" fontId="7" fillId="16" borderId="0" xfId="3" applyNumberFormat="1" applyFont="1" applyFill="1" applyAlignment="1">
      <alignment vertical="center"/>
    </xf>
    <xf numFmtId="41" fontId="112" fillId="0" borderId="0" xfId="4" applyNumberFormat="1" applyFont="1" applyFill="1" applyBorder="1" applyAlignment="1">
      <alignment horizontal="right" vertical="center" wrapText="1"/>
    </xf>
    <xf numFmtId="49" fontId="7" fillId="16" borderId="0" xfId="3" applyNumberFormat="1" applyFont="1" applyFill="1" applyAlignment="1">
      <alignment horizontal="left" vertical="center"/>
    </xf>
    <xf numFmtId="41" fontId="7" fillId="16" borderId="0" xfId="0" applyNumberFormat="1" applyFont="1" applyFill="1" applyAlignment="1">
      <alignment vertical="center"/>
    </xf>
    <xf numFmtId="9" fontId="7" fillId="16" borderId="0" xfId="3" applyNumberFormat="1" applyFont="1" applyFill="1" applyAlignment="1">
      <alignment horizontal="left" vertical="center"/>
    </xf>
    <xf numFmtId="49" fontId="14" fillId="16" borderId="0" xfId="3" applyNumberFormat="1" applyFont="1" applyFill="1" applyAlignment="1">
      <alignment horizontal="left" vertical="center" wrapText="1"/>
    </xf>
    <xf numFmtId="41" fontId="7" fillId="16" borderId="0" xfId="0" applyNumberFormat="1" applyFont="1" applyFill="1" applyBorder="1" applyAlignment="1">
      <alignment vertical="center"/>
    </xf>
    <xf numFmtId="176" fontId="7" fillId="16" borderId="0" xfId="3" applyNumberFormat="1" applyFont="1" applyFill="1" applyAlignment="1">
      <alignment vertical="center"/>
    </xf>
    <xf numFmtId="49" fontId="14" fillId="16" borderId="0" xfId="3" applyNumberFormat="1" applyFont="1" applyFill="1" applyBorder="1" applyAlignment="1">
      <alignment horizontal="left" vertical="center" wrapText="1"/>
    </xf>
    <xf numFmtId="49" fontId="14" fillId="16" borderId="0" xfId="3" applyNumberFormat="1" applyFont="1" applyFill="1" applyAlignment="1">
      <alignment horizontal="left" vertical="center"/>
    </xf>
    <xf numFmtId="41" fontId="7" fillId="16" borderId="0" xfId="3" applyNumberFormat="1" applyFont="1" applyFill="1" applyAlignment="1">
      <alignment horizontal="center" vertical="center"/>
    </xf>
    <xf numFmtId="9" fontId="7" fillId="37" borderId="0" xfId="3" applyNumberFormat="1" applyFont="1" applyFill="1" applyAlignment="1">
      <alignment vertical="center"/>
    </xf>
    <xf numFmtId="49" fontId="4" fillId="2" borderId="0" xfId="3" applyNumberFormat="1" applyFont="1" applyFill="1" applyAlignment="1">
      <alignment horizontal="left" vertical="center"/>
    </xf>
    <xf numFmtId="41" fontId="3" fillId="2" borderId="0" xfId="3" applyNumberFormat="1" applyFont="1" applyFill="1" applyAlignment="1">
      <alignment vertical="center"/>
    </xf>
    <xf numFmtId="9" fontId="3" fillId="2" borderId="0" xfId="3" applyNumberFormat="1" applyFont="1" applyFill="1" applyAlignment="1">
      <alignment vertical="center"/>
    </xf>
    <xf numFmtId="49" fontId="4" fillId="2" borderId="0" xfId="3" applyNumberFormat="1" applyFont="1" applyFill="1" applyAlignment="1">
      <alignment horizontal="left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49" fontId="3" fillId="2" borderId="0" xfId="3" applyNumberFormat="1" applyFont="1" applyFill="1" applyAlignment="1">
      <alignment horizontal="left" vertical="center"/>
    </xf>
    <xf numFmtId="41" fontId="7" fillId="4" borderId="0" xfId="3" applyNumberFormat="1" applyFont="1" applyFill="1" applyAlignment="1">
      <alignment vertical="center"/>
    </xf>
    <xf numFmtId="176" fontId="7" fillId="16" borderId="0" xfId="0" applyNumberFormat="1" applyFont="1" applyFill="1" applyAlignment="1">
      <alignment vertical="center"/>
    </xf>
    <xf numFmtId="176" fontId="14" fillId="0" borderId="0" xfId="0" applyNumberFormat="1" applyFont="1" applyFill="1" applyAlignment="1">
      <alignment horizontal="right" vertical="center"/>
    </xf>
    <xf numFmtId="0" fontId="7" fillId="26" borderId="0" xfId="0" applyFont="1" applyFill="1" applyAlignment="1">
      <alignment horizontal="center" vertical="center"/>
    </xf>
    <xf numFmtId="0" fontId="7" fillId="34" borderId="0" xfId="0" applyFont="1" applyFill="1" applyAlignment="1">
      <alignment horizontal="center" vertical="center"/>
    </xf>
    <xf numFmtId="0" fontId="7" fillId="40" borderId="0" xfId="0" applyFont="1" applyFill="1" applyAlignment="1">
      <alignment horizontal="center" vertical="center"/>
    </xf>
    <xf numFmtId="0" fontId="7" fillId="27" borderId="0" xfId="0" applyFont="1" applyFill="1" applyAlignment="1">
      <alignment horizontal="center" vertical="center"/>
    </xf>
    <xf numFmtId="9" fontId="7" fillId="4" borderId="0" xfId="3" applyNumberFormat="1" applyFont="1" applyFill="1" applyAlignment="1">
      <alignment vertical="center"/>
    </xf>
    <xf numFmtId="43" fontId="7" fillId="14" borderId="7" xfId="4" applyNumberFormat="1" applyFont="1" applyFill="1" applyBorder="1" applyAlignment="1">
      <alignment horizontal="center" vertical="center"/>
    </xf>
    <xf numFmtId="201" fontId="7" fillId="14" borderId="7" xfId="4" applyNumberFormat="1" applyFont="1" applyFill="1" applyBorder="1" applyAlignment="1">
      <alignment horizontal="right" vertical="center"/>
    </xf>
    <xf numFmtId="200" fontId="7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left" vertical="center" wrapText="1"/>
    </xf>
    <xf numFmtId="200" fontId="25" fillId="0" borderId="0" xfId="0" applyNumberFormat="1" applyFont="1" applyFill="1" applyBorder="1" applyAlignment="1">
      <alignment vertical="center"/>
    </xf>
    <xf numFmtId="9" fontId="25" fillId="0" borderId="0" xfId="3" applyNumberFormat="1" applyFont="1" applyFill="1" applyAlignment="1">
      <alignment vertical="center"/>
    </xf>
    <xf numFmtId="200" fontId="7" fillId="37" borderId="0" xfId="0" applyNumberFormat="1" applyFont="1" applyFill="1" applyAlignment="1">
      <alignment vertical="center"/>
    </xf>
    <xf numFmtId="200" fontId="7" fillId="17" borderId="0" xfId="0" applyNumberFormat="1" applyFont="1" applyFill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69" fillId="0" borderId="0" xfId="2" applyFont="1" applyFill="1" applyAlignment="1">
      <alignment horizontal="left" vertical="center"/>
    </xf>
    <xf numFmtId="49" fontId="27" fillId="0" borderId="0" xfId="0" applyNumberFormat="1" applyFont="1" applyFill="1" applyAlignment="1">
      <alignment vertical="center"/>
    </xf>
    <xf numFmtId="49" fontId="27" fillId="0" borderId="0" xfId="0" applyNumberFormat="1" applyFont="1" applyFill="1" applyAlignment="1">
      <alignment horizontal="right" vertical="center"/>
    </xf>
    <xf numFmtId="41" fontId="27" fillId="0" borderId="0" xfId="0" applyNumberFormat="1" applyFont="1" applyFill="1" applyAlignment="1">
      <alignment vertical="center"/>
    </xf>
    <xf numFmtId="176" fontId="27" fillId="0" borderId="0" xfId="0" applyNumberFormat="1" applyFont="1" applyFill="1" applyAlignment="1">
      <alignment vertical="center"/>
    </xf>
    <xf numFmtId="10" fontId="27" fillId="0" borderId="0" xfId="1" applyNumberFormat="1" applyFont="1" applyFill="1" applyAlignment="1">
      <alignment vertical="center"/>
    </xf>
    <xf numFmtId="0" fontId="27" fillId="0" borderId="0" xfId="0" applyFont="1" applyFill="1" applyAlignment="1">
      <alignment vertical="center" wrapText="1"/>
    </xf>
    <xf numFmtId="0" fontId="26" fillId="0" borderId="0" xfId="0" applyFont="1" applyFill="1" applyAlignment="1">
      <alignment horizontal="center" vertical="center"/>
    </xf>
    <xf numFmtId="49" fontId="69" fillId="0" borderId="1" xfId="3" applyNumberFormat="1" applyFont="1" applyFill="1" applyBorder="1" applyAlignment="1">
      <alignment horizontal="center" vertical="center"/>
    </xf>
    <xf numFmtId="49" fontId="69" fillId="0" borderId="1" xfId="3" applyNumberFormat="1" applyFont="1" applyFill="1" applyBorder="1" applyAlignment="1">
      <alignment horizontal="left" vertical="center"/>
    </xf>
    <xf numFmtId="49" fontId="79" fillId="0" borderId="1" xfId="3" applyNumberFormat="1" applyFont="1" applyFill="1" applyBorder="1" applyAlignment="1">
      <alignment horizontal="right" vertical="center"/>
    </xf>
    <xf numFmtId="49" fontId="79" fillId="0" borderId="1" xfId="3" applyNumberFormat="1" applyFont="1" applyFill="1" applyBorder="1" applyAlignment="1">
      <alignment horizontal="left" vertical="center"/>
    </xf>
    <xf numFmtId="41" fontId="69" fillId="0" borderId="1" xfId="3" applyNumberFormat="1" applyFont="1" applyFill="1" applyBorder="1" applyAlignment="1">
      <alignment horizontal="center" vertical="center"/>
    </xf>
    <xf numFmtId="176" fontId="69" fillId="0" borderId="1" xfId="3" applyNumberFormat="1" applyFont="1" applyFill="1" applyBorder="1" applyAlignment="1">
      <alignment horizontal="center" vertical="center"/>
    </xf>
    <xf numFmtId="49" fontId="69" fillId="0" borderId="1" xfId="3" applyNumberFormat="1" applyFont="1" applyFill="1" applyBorder="1" applyAlignment="1">
      <alignment horizontal="center" vertical="center" wrapText="1"/>
    </xf>
    <xf numFmtId="176" fontId="69" fillId="12" borderId="1" xfId="3" applyNumberFormat="1" applyFont="1" applyFill="1" applyBorder="1" applyAlignment="1">
      <alignment horizontal="center" vertical="center"/>
    </xf>
    <xf numFmtId="41" fontId="27" fillId="0" borderId="0" xfId="3" applyNumberFormat="1" applyFont="1" applyFill="1" applyAlignment="1">
      <alignment horizontal="center" vertical="center"/>
    </xf>
    <xf numFmtId="176" fontId="27" fillId="0" borderId="0" xfId="3" applyNumberFormat="1" applyFont="1" applyFill="1" applyAlignment="1">
      <alignment horizontal="center" vertical="center"/>
    </xf>
    <xf numFmtId="49" fontId="27" fillId="0" borderId="0" xfId="3" applyNumberFormat="1" applyFont="1" applyFill="1" applyAlignment="1">
      <alignment horizontal="center" vertical="center" wrapText="1"/>
    </xf>
    <xf numFmtId="0" fontId="27" fillId="12" borderId="0" xfId="0" applyFont="1" applyFill="1" applyAlignment="1">
      <alignment vertical="center"/>
    </xf>
    <xf numFmtId="0" fontId="27" fillId="0" borderId="0" xfId="3" applyFont="1" applyFill="1" applyAlignment="1">
      <alignment vertical="center"/>
    </xf>
    <xf numFmtId="49" fontId="69" fillId="0" borderId="0" xfId="3" applyNumberFormat="1" applyFont="1" applyFill="1" applyAlignment="1">
      <alignment vertical="center"/>
    </xf>
    <xf numFmtId="49" fontId="69" fillId="0" borderId="0" xfId="3" applyNumberFormat="1" applyFont="1" applyFill="1" applyAlignment="1">
      <alignment horizontal="left" vertical="center" wrapText="1"/>
    </xf>
    <xf numFmtId="49" fontId="69" fillId="0" borderId="0" xfId="3" applyNumberFormat="1" applyFont="1" applyFill="1" applyAlignment="1">
      <alignment horizontal="right" vertical="center" wrapText="1"/>
    </xf>
    <xf numFmtId="49" fontId="119" fillId="0" borderId="0" xfId="3" applyNumberFormat="1" applyFont="1" applyFill="1" applyAlignment="1">
      <alignment vertical="center"/>
    </xf>
    <xf numFmtId="49" fontId="27" fillId="0" borderId="0" xfId="3" applyNumberFormat="1" applyFont="1" applyFill="1" applyAlignment="1">
      <alignment vertical="center"/>
    </xf>
    <xf numFmtId="49" fontId="27" fillId="0" borderId="0" xfId="3" applyNumberFormat="1" applyFont="1" applyFill="1" applyAlignment="1">
      <alignment horizontal="right" vertical="center"/>
    </xf>
    <xf numFmtId="49" fontId="27" fillId="0" borderId="0" xfId="3" applyNumberFormat="1" applyFont="1" applyFill="1" applyAlignment="1">
      <alignment horizontal="left" vertical="center"/>
    </xf>
    <xf numFmtId="43" fontId="27" fillId="0" borderId="0" xfId="0" applyNumberFormat="1" applyFont="1" applyFill="1" applyAlignment="1">
      <alignment vertical="center"/>
    </xf>
    <xf numFmtId="41" fontId="27" fillId="0" borderId="0" xfId="3" applyNumberFormat="1" applyFont="1" applyFill="1" applyAlignment="1">
      <alignment vertical="center"/>
    </xf>
    <xf numFmtId="9" fontId="27" fillId="0" borderId="0" xfId="3" applyNumberFormat="1" applyFont="1" applyFill="1" applyAlignment="1">
      <alignment vertical="center"/>
    </xf>
    <xf numFmtId="0" fontId="27" fillId="0" borderId="0" xfId="5" applyNumberFormat="1" applyFont="1" applyFill="1" applyBorder="1" applyAlignment="1" applyProtection="1">
      <alignment vertical="center" wrapText="1"/>
    </xf>
    <xf numFmtId="43" fontId="27" fillId="0" borderId="0" xfId="133" applyFont="1" applyFill="1" applyAlignment="1">
      <alignment vertical="center"/>
    </xf>
    <xf numFmtId="0" fontId="69" fillId="0" borderId="0" xfId="3" applyFont="1" applyFill="1" applyAlignment="1">
      <alignment vertical="center"/>
    </xf>
    <xf numFmtId="49" fontId="63" fillId="0" borderId="0" xfId="3" applyNumberFormat="1" applyFont="1" applyFill="1" applyAlignment="1">
      <alignment vertical="center"/>
    </xf>
    <xf numFmtId="49" fontId="63" fillId="0" borderId="0" xfId="3" applyNumberFormat="1" applyFont="1" applyFill="1" applyAlignment="1">
      <alignment horizontal="right" vertical="center"/>
    </xf>
    <xf numFmtId="0" fontId="27" fillId="0" borderId="0" xfId="0" applyNumberFormat="1" applyFont="1" applyFill="1" applyAlignment="1">
      <alignment vertical="center" wrapText="1"/>
    </xf>
    <xf numFmtId="0" fontId="119" fillId="0" borderId="0" xfId="5" applyNumberFormat="1" applyFont="1" applyFill="1" applyBorder="1" applyAlignment="1" applyProtection="1">
      <alignment horizontal="left" vertical="center" wrapText="1"/>
    </xf>
    <xf numFmtId="0" fontId="119" fillId="0" borderId="0" xfId="5" applyNumberFormat="1" applyFont="1" applyFill="1" applyAlignment="1" applyProtection="1">
      <alignment horizontal="left" vertical="center" wrapText="1"/>
    </xf>
    <xf numFmtId="0" fontId="122" fillId="0" borderId="0" xfId="136" applyFont="1" applyAlignment="1">
      <alignment horizontal="right"/>
    </xf>
    <xf numFmtId="0" fontId="122" fillId="0" borderId="0" xfId="136" applyFont="1" applyAlignment="1"/>
    <xf numFmtId="41" fontId="27" fillId="0" borderId="0" xfId="3" applyNumberFormat="1" applyFont="1" applyFill="1" applyAlignment="1">
      <alignment horizontal="right" vertical="center"/>
    </xf>
    <xf numFmtId="0" fontId="27" fillId="0" borderId="0" xfId="5" applyNumberFormat="1" applyFont="1" applyFill="1" applyAlignment="1" applyProtection="1">
      <alignment horizontal="left" vertical="center" wrapText="1"/>
    </xf>
    <xf numFmtId="0" fontId="27" fillId="0" borderId="0" xfId="5" applyNumberFormat="1" applyFont="1" applyFill="1" applyBorder="1" applyAlignment="1" applyProtection="1">
      <alignment horizontal="left" vertical="center" wrapText="1"/>
    </xf>
    <xf numFmtId="49" fontId="79" fillId="2" borderId="0" xfId="3" applyNumberFormat="1" applyFont="1" applyFill="1" applyAlignment="1">
      <alignment vertical="center"/>
    </xf>
    <xf numFmtId="41" fontId="123" fillId="0" borderId="0" xfId="3" applyNumberFormat="1" applyFont="1" applyFill="1" applyAlignment="1">
      <alignment vertical="center"/>
    </xf>
    <xf numFmtId="9" fontId="69" fillId="0" borderId="0" xfId="3" applyNumberFormat="1" applyFont="1" applyFill="1" applyAlignment="1">
      <alignment vertical="center"/>
    </xf>
    <xf numFmtId="43" fontId="123" fillId="0" borderId="0" xfId="133" applyFont="1" applyFill="1" applyAlignment="1">
      <alignment vertical="center"/>
    </xf>
    <xf numFmtId="0" fontId="63" fillId="0" borderId="0" xfId="5" applyNumberFormat="1" applyFont="1" applyFill="1" applyBorder="1" applyAlignment="1" applyProtection="1">
      <alignment horizontal="left" vertical="center" wrapText="1"/>
    </xf>
    <xf numFmtId="0" fontId="122" fillId="0" borderId="0" xfId="136" applyFont="1" applyAlignment="1">
      <alignment horizontal="left"/>
    </xf>
    <xf numFmtId="49" fontId="27" fillId="0" borderId="0" xfId="3" applyNumberFormat="1" applyFont="1" applyFill="1" applyAlignment="1">
      <alignment horizontal="left" vertical="center" wrapText="1"/>
    </xf>
    <xf numFmtId="49" fontId="27" fillId="0" borderId="0" xfId="3" applyNumberFormat="1" applyFont="1" applyFill="1" applyAlignment="1">
      <alignment horizontal="right" vertical="center" wrapText="1"/>
    </xf>
    <xf numFmtId="49" fontId="63" fillId="0" borderId="0" xfId="3" applyNumberFormat="1" applyFont="1" applyFill="1" applyAlignment="1">
      <alignment horizontal="left" vertical="center" wrapText="1"/>
    </xf>
    <xf numFmtId="49" fontId="63" fillId="0" borderId="0" xfId="3" applyNumberFormat="1" applyFont="1" applyFill="1" applyAlignment="1">
      <alignment horizontal="right" vertical="center" wrapText="1"/>
    </xf>
    <xf numFmtId="176" fontId="27" fillId="0" borderId="0" xfId="3" applyNumberFormat="1" applyFont="1" applyFill="1" applyAlignment="1">
      <alignment vertical="center"/>
    </xf>
    <xf numFmtId="0" fontId="122" fillId="0" borderId="0" xfId="136" applyFont="1" applyFill="1" applyAlignment="1"/>
    <xf numFmtId="49" fontId="119" fillId="0" borderId="0" xfId="3" applyNumberFormat="1" applyFont="1" applyFill="1" applyAlignment="1">
      <alignment horizontal="left" vertical="center" wrapText="1"/>
    </xf>
    <xf numFmtId="49" fontId="119" fillId="0" borderId="0" xfId="3" applyNumberFormat="1" applyFont="1" applyFill="1" applyAlignment="1">
      <alignment horizontal="right" vertical="center" wrapText="1"/>
    </xf>
    <xf numFmtId="41" fontId="69" fillId="0" borderId="0" xfId="0" applyNumberFormat="1" applyFont="1" applyFill="1" applyAlignment="1">
      <alignment vertical="center"/>
    </xf>
    <xf numFmtId="41" fontId="69" fillId="0" borderId="0" xfId="3" applyNumberFormat="1" applyFont="1" applyFill="1" applyAlignment="1">
      <alignment vertical="center"/>
    </xf>
    <xf numFmtId="49" fontId="119" fillId="0" borderId="0" xfId="3" applyNumberFormat="1" applyFont="1" applyFill="1" applyAlignment="1">
      <alignment horizontal="right" vertical="center"/>
    </xf>
    <xf numFmtId="4" fontId="101" fillId="0" borderId="0" xfId="0" applyNumberFormat="1" applyFont="1" applyAlignment="1">
      <alignment horizontal="left" vertical="center"/>
    </xf>
    <xf numFmtId="4" fontId="101" fillId="0" borderId="0" xfId="0" applyNumberFormat="1" applyFont="1">
      <alignment vertical="center"/>
    </xf>
    <xf numFmtId="0" fontId="63" fillId="0" borderId="0" xfId="3" applyFont="1" applyFill="1" applyAlignment="1">
      <alignment horizontal="left" vertical="center" wrapText="1"/>
    </xf>
    <xf numFmtId="0" fontId="63" fillId="0" borderId="0" xfId="3" applyFont="1" applyFill="1" applyAlignment="1">
      <alignment horizontal="right" vertical="center" wrapText="1"/>
    </xf>
    <xf numFmtId="0" fontId="63" fillId="0" borderId="0" xfId="3" applyFont="1" applyFill="1" applyAlignment="1">
      <alignment vertical="center" wrapText="1"/>
    </xf>
    <xf numFmtId="41" fontId="27" fillId="0" borderId="0" xfId="0" applyNumberFormat="1" applyFont="1" applyFill="1" applyAlignment="1">
      <alignment horizontal="center" vertical="center"/>
    </xf>
    <xf numFmtId="49" fontId="79" fillId="2" borderId="0" xfId="3" applyNumberFormat="1" applyFont="1" applyFill="1" applyAlignment="1">
      <alignment horizontal="left" vertical="center" wrapText="1"/>
    </xf>
    <xf numFmtId="41" fontId="123" fillId="0" borderId="0" xfId="0" applyNumberFormat="1" applyFont="1" applyFill="1" applyAlignment="1">
      <alignment vertical="center"/>
    </xf>
    <xf numFmtId="0" fontId="63" fillId="0" borderId="0" xfId="5" applyNumberFormat="1" applyFont="1" applyFill="1" applyAlignment="1" applyProtection="1">
      <alignment horizontal="left" vertical="center" wrapText="1"/>
    </xf>
    <xf numFmtId="41" fontId="27" fillId="0" borderId="0" xfId="0" applyNumberFormat="1" applyFont="1" applyFill="1" applyAlignment="1">
      <alignment vertical="top" wrapText="1"/>
    </xf>
    <xf numFmtId="0" fontId="27" fillId="0" borderId="0" xfId="3" applyFont="1" applyFill="1" applyBorder="1" applyAlignment="1">
      <alignment vertical="center"/>
    </xf>
    <xf numFmtId="49" fontId="69" fillId="2" borderId="0" xfId="3" applyNumberFormat="1" applyFont="1" applyFill="1" applyBorder="1" applyAlignment="1">
      <alignment horizontal="left" vertical="center" wrapText="1"/>
    </xf>
    <xf numFmtId="49" fontId="63" fillId="0" borderId="0" xfId="3" applyNumberFormat="1" applyFont="1" applyFill="1" applyBorder="1" applyAlignment="1">
      <alignment horizontal="right" vertical="center" wrapText="1"/>
    </xf>
    <xf numFmtId="49" fontId="27" fillId="0" borderId="0" xfId="3" applyNumberFormat="1" applyFont="1" applyFill="1" applyBorder="1" applyAlignment="1">
      <alignment vertical="center" wrapText="1"/>
    </xf>
    <xf numFmtId="0" fontId="27" fillId="0" borderId="0" xfId="5" applyNumberFormat="1" applyFont="1" applyFill="1" applyAlignment="1" applyProtection="1">
      <alignment vertical="center" wrapText="1"/>
    </xf>
    <xf numFmtId="49" fontId="119" fillId="0" borderId="0" xfId="3" applyNumberFormat="1" applyFont="1" applyFill="1" applyAlignment="1">
      <alignment vertical="center" wrapText="1"/>
    </xf>
    <xf numFmtId="0" fontId="27" fillId="0" borderId="0" xfId="0" applyNumberFormat="1" applyFont="1" applyFill="1" applyAlignment="1">
      <alignment horizontal="left" vertical="center" wrapText="1"/>
    </xf>
    <xf numFmtId="0" fontId="63" fillId="0" borderId="0" xfId="0" applyNumberFormat="1" applyFont="1" applyFill="1" applyAlignment="1">
      <alignment horizontal="left" vertical="center" wrapText="1"/>
    </xf>
    <xf numFmtId="49" fontId="27" fillId="0" borderId="0" xfId="3" applyNumberFormat="1" applyFont="1" applyFill="1" applyAlignment="1">
      <alignment vertical="center" wrapText="1"/>
    </xf>
    <xf numFmtId="43" fontId="27" fillId="0" borderId="0" xfId="3" applyNumberFormat="1" applyFont="1" applyFill="1" applyAlignment="1">
      <alignment vertical="center"/>
    </xf>
    <xf numFmtId="0" fontId="27" fillId="0" borderId="0" xfId="5" applyNumberFormat="1" applyFont="1" applyFill="1" applyAlignment="1" applyProtection="1">
      <alignment wrapText="1"/>
    </xf>
    <xf numFmtId="0" fontId="27" fillId="0" borderId="0" xfId="0" applyNumberFormat="1" applyFont="1" applyFill="1">
      <alignment vertical="center"/>
    </xf>
    <xf numFmtId="41" fontId="27" fillId="0" borderId="0" xfId="0" applyNumberFormat="1" applyFont="1" applyFill="1">
      <alignment vertical="center"/>
    </xf>
    <xf numFmtId="0" fontId="27" fillId="0" borderId="0" xfId="0" applyFont="1" applyFill="1" applyAlignment="1">
      <alignment horizontal="right" vertical="center"/>
    </xf>
    <xf numFmtId="41" fontId="123" fillId="0" borderId="0" xfId="0" applyNumberFormat="1" applyFont="1" applyFill="1" applyBorder="1" applyAlignment="1">
      <alignment vertical="center"/>
    </xf>
    <xf numFmtId="49" fontId="120" fillId="0" borderId="0" xfId="3" applyNumberFormat="1" applyFont="1" applyFill="1" applyAlignment="1">
      <alignment vertical="center"/>
    </xf>
    <xf numFmtId="0" fontId="63" fillId="0" borderId="0" xfId="0" applyNumberFormat="1" applyFont="1" applyFill="1" applyAlignment="1">
      <alignment vertical="center" wrapText="1"/>
    </xf>
    <xf numFmtId="41" fontId="123" fillId="0" borderId="0" xfId="3" applyNumberFormat="1" applyFont="1" applyFill="1" applyBorder="1" applyAlignment="1">
      <alignment vertical="center"/>
    </xf>
    <xf numFmtId="41" fontId="27" fillId="0" borderId="0" xfId="0" applyNumberFormat="1" applyFont="1" applyFill="1" applyBorder="1" applyAlignment="1">
      <alignment vertical="center"/>
    </xf>
    <xf numFmtId="49" fontId="63" fillId="0" borderId="0" xfId="3" applyNumberFormat="1" applyFont="1" applyFill="1" applyAlignment="1">
      <alignment vertical="center" wrapText="1"/>
    </xf>
    <xf numFmtId="0" fontId="63" fillId="0" borderId="0" xfId="5" applyNumberFormat="1" applyFont="1" applyFill="1" applyAlignment="1" applyProtection="1">
      <alignment vertical="center" wrapText="1"/>
    </xf>
    <xf numFmtId="176" fontId="123" fillId="0" borderId="0" xfId="0" applyNumberFormat="1" applyFont="1" applyFill="1" applyBorder="1" applyAlignment="1">
      <alignment vertical="center"/>
    </xf>
    <xf numFmtId="0" fontId="1" fillId="0" borderId="0" xfId="0" applyFont="1" applyFill="1">
      <alignment vertical="center"/>
    </xf>
    <xf numFmtId="176" fontId="123" fillId="0" borderId="0" xfId="0" applyNumberFormat="1" applyFont="1" applyFill="1" applyAlignment="1">
      <alignment vertical="center"/>
    </xf>
    <xf numFmtId="0" fontId="27" fillId="0" borderId="0" xfId="100" applyNumberFormat="1" applyFont="1" applyFill="1" applyProtection="1"/>
    <xf numFmtId="176" fontId="27" fillId="0" borderId="0" xfId="0" applyNumberFormat="1" applyFont="1" applyFill="1">
      <alignment vertical="center"/>
    </xf>
    <xf numFmtId="0" fontId="120" fillId="0" borderId="0" xfId="5" applyNumberFormat="1" applyFont="1" applyFill="1" applyAlignment="1" applyProtection="1">
      <alignment vertical="center" wrapText="1"/>
    </xf>
    <xf numFmtId="0" fontId="119" fillId="12" borderId="0" xfId="5" applyFont="1" applyFill="1" applyAlignment="1" applyProtection="1">
      <alignment vertical="center"/>
    </xf>
    <xf numFmtId="0" fontId="120" fillId="0" borderId="0" xfId="5" applyNumberFormat="1" applyFont="1" applyFill="1" applyAlignment="1" applyProtection="1">
      <alignment vertical="center"/>
    </xf>
    <xf numFmtId="41" fontId="123" fillId="0" borderId="0" xfId="0" applyNumberFormat="1" applyFont="1" applyFill="1" applyBorder="1" applyAlignment="1">
      <alignment horizontal="right" vertical="center"/>
    </xf>
    <xf numFmtId="176" fontId="123" fillId="0" borderId="0" xfId="0" applyNumberFormat="1" applyFont="1" applyFill="1" applyBorder="1" applyAlignment="1">
      <alignment horizontal="right" vertical="center"/>
    </xf>
    <xf numFmtId="0" fontId="27" fillId="12" borderId="0" xfId="0" applyFont="1" applyFill="1" applyAlignment="1">
      <alignment vertical="center" wrapText="1"/>
    </xf>
    <xf numFmtId="49" fontId="120" fillId="0" borderId="0" xfId="0" applyNumberFormat="1" applyFont="1" applyFill="1" applyAlignment="1">
      <alignment vertical="center"/>
    </xf>
    <xf numFmtId="49" fontId="120" fillId="0" borderId="0" xfId="0" applyNumberFormat="1" applyFont="1" applyFill="1" applyAlignment="1">
      <alignment horizontal="right" vertical="center"/>
    </xf>
    <xf numFmtId="49" fontId="69" fillId="0" borderId="0" xfId="0" applyNumberFormat="1" applyFont="1" applyFill="1" applyAlignment="1">
      <alignment vertical="center"/>
    </xf>
    <xf numFmtId="49" fontId="69" fillId="0" borderId="0" xfId="0" applyNumberFormat="1" applyFont="1" applyFill="1" applyAlignment="1">
      <alignment horizontal="right" vertical="center"/>
    </xf>
    <xf numFmtId="41" fontId="27" fillId="0" borderId="0" xfId="0" applyNumberFormat="1" applyFont="1" applyFill="1" applyAlignment="1">
      <alignment horizontal="left" vertical="center" wrapText="1"/>
    </xf>
    <xf numFmtId="176" fontId="27" fillId="0" borderId="0" xfId="0" applyNumberFormat="1" applyFont="1" applyFill="1" applyAlignment="1">
      <alignment horizontal="right" vertical="center"/>
    </xf>
    <xf numFmtId="49" fontId="7" fillId="0" borderId="0" xfId="3" applyNumberFormat="1" applyFont="1" applyFill="1" applyAlignment="1">
      <alignment horizontal="right" vertical="center" wrapText="1"/>
    </xf>
    <xf numFmtId="43" fontId="7" fillId="0" borderId="0" xfId="133" applyFont="1" applyFill="1" applyAlignment="1">
      <alignment vertical="center"/>
    </xf>
    <xf numFmtId="0" fontId="124" fillId="0" borderId="0" xfId="94" applyFont="1" applyFill="1"/>
    <xf numFmtId="49" fontId="7" fillId="0" borderId="0" xfId="0" applyNumberFormat="1" applyFont="1" applyFill="1" applyAlignment="1">
      <alignment horizontal="right" vertical="center"/>
    </xf>
    <xf numFmtId="49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horizontal="right" vertical="center"/>
    </xf>
    <xf numFmtId="49" fontId="12" fillId="0" borderId="0" xfId="0" applyNumberFormat="1" applyFont="1" applyFill="1" applyAlignment="1">
      <alignment vertical="center"/>
    </xf>
    <xf numFmtId="49" fontId="12" fillId="0" borderId="0" xfId="0" applyNumberFormat="1" applyFont="1" applyFill="1" applyAlignment="1">
      <alignment horizontal="right" vertical="center"/>
    </xf>
    <xf numFmtId="49" fontId="16" fillId="0" borderId="0" xfId="0" applyNumberFormat="1" applyFont="1" applyFill="1" applyAlignment="1">
      <alignment vertical="center"/>
    </xf>
    <xf numFmtId="49" fontId="16" fillId="0" borderId="0" xfId="0" applyNumberFormat="1" applyFont="1" applyFill="1" applyAlignment="1">
      <alignment horizontal="right" vertical="center"/>
    </xf>
    <xf numFmtId="49" fontId="25" fillId="0" borderId="0" xfId="0" applyNumberFormat="1" applyFont="1" applyFill="1" applyAlignment="1">
      <alignment vertical="center"/>
    </xf>
    <xf numFmtId="49" fontId="25" fillId="0" borderId="0" xfId="0" applyNumberFormat="1" applyFont="1" applyFill="1" applyAlignment="1">
      <alignment horizontal="right" vertical="center"/>
    </xf>
    <xf numFmtId="9" fontId="7" fillId="2" borderId="0" xfId="1" applyFont="1" applyFill="1" applyAlignment="1">
      <alignment vertical="center"/>
    </xf>
    <xf numFmtId="9" fontId="3" fillId="0" borderId="0" xfId="1" applyFont="1" applyFill="1" applyBorder="1" applyAlignment="1">
      <alignment vertical="center"/>
    </xf>
    <xf numFmtId="41" fontId="3" fillId="0" borderId="0" xfId="3" applyNumberFormat="1" applyFont="1" applyFill="1" applyBorder="1" applyAlignment="1">
      <alignment vertical="center"/>
    </xf>
    <xf numFmtId="41" fontId="7" fillId="0" borderId="0" xfId="3" applyNumberFormat="1" applyFont="1" applyFill="1" applyBorder="1" applyAlignment="1">
      <alignment vertical="center"/>
    </xf>
    <xf numFmtId="9" fontId="7" fillId="16" borderId="0" xfId="1" applyFont="1" applyFill="1" applyAlignment="1">
      <alignment vertical="center"/>
    </xf>
    <xf numFmtId="9" fontId="7" fillId="16" borderId="0" xfId="3" applyNumberFormat="1" applyFont="1" applyFill="1" applyAlignment="1">
      <alignment vertical="center"/>
    </xf>
    <xf numFmtId="176" fontId="7" fillId="0" borderId="38" xfId="0" applyNumberFormat="1" applyFont="1" applyFill="1" applyBorder="1" applyAlignment="1">
      <alignment vertical="center"/>
    </xf>
    <xf numFmtId="41" fontId="7" fillId="0" borderId="38" xfId="3" applyNumberFormat="1" applyFont="1" applyFill="1" applyBorder="1" applyAlignment="1">
      <alignment vertical="center"/>
    </xf>
    <xf numFmtId="41" fontId="7" fillId="0" borderId="38" xfId="3" applyNumberFormat="1" applyFont="1" applyFill="1" applyBorder="1" applyAlignment="1">
      <alignment horizontal="right" vertical="center"/>
    </xf>
    <xf numFmtId="41" fontId="7" fillId="16" borderId="38" xfId="3" applyNumberFormat="1" applyFont="1" applyFill="1" applyBorder="1" applyAlignment="1">
      <alignment horizontal="center" vertical="center"/>
    </xf>
    <xf numFmtId="41" fontId="7" fillId="16" borderId="38" xfId="3" applyNumberFormat="1" applyFont="1" applyFill="1" applyBorder="1" applyAlignment="1">
      <alignment horizontal="right" vertical="center"/>
    </xf>
    <xf numFmtId="41" fontId="7" fillId="16" borderId="38" xfId="3" applyNumberFormat="1" applyFont="1" applyFill="1" applyBorder="1" applyAlignment="1">
      <alignment vertical="center"/>
    </xf>
    <xf numFmtId="41" fontId="7" fillId="0" borderId="38" xfId="0" applyNumberFormat="1" applyFont="1" applyFill="1" applyBorder="1" applyAlignment="1">
      <alignment vertical="center"/>
    </xf>
    <xf numFmtId="41" fontId="25" fillId="0" borderId="38" xfId="0" applyNumberFormat="1" applyFont="1" applyFill="1" applyBorder="1" applyAlignment="1">
      <alignment vertical="center"/>
    </xf>
    <xf numFmtId="0" fontId="7" fillId="0" borderId="38" xfId="0" applyFont="1" applyFill="1" applyBorder="1" applyAlignment="1">
      <alignment vertical="center"/>
    </xf>
    <xf numFmtId="176" fontId="3" fillId="0" borderId="38" xfId="0" applyNumberFormat="1" applyFont="1" applyFill="1" applyBorder="1" applyAlignment="1">
      <alignment horizontal="right" vertical="center"/>
    </xf>
    <xf numFmtId="9" fontId="7" fillId="0" borderId="0" xfId="1" applyFont="1" applyFill="1" applyBorder="1" applyAlignment="1">
      <alignment vertical="center"/>
    </xf>
    <xf numFmtId="9" fontId="7" fillId="0" borderId="22" xfId="1" applyFont="1" applyFill="1" applyBorder="1" applyAlignment="1">
      <alignment vertical="center"/>
    </xf>
    <xf numFmtId="0" fontId="14" fillId="0" borderId="0" xfId="5" applyNumberFormat="1" applyFont="1" applyFill="1" applyAlignment="1" applyProtection="1">
      <alignment horizontal="left" vertical="center" wrapText="1"/>
    </xf>
    <xf numFmtId="0" fontId="7" fillId="0" borderId="0" xfId="5" applyNumberFormat="1" applyFont="1" applyFill="1" applyAlignment="1" applyProtection="1">
      <alignment horizontal="left" vertical="center" wrapText="1"/>
    </xf>
    <xf numFmtId="176" fontId="3" fillId="0" borderId="1" xfId="3" applyNumberFormat="1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left" vertical="center" wrapText="1"/>
    </xf>
    <xf numFmtId="0" fontId="14" fillId="0" borderId="0" xfId="5" applyNumberFormat="1" applyFont="1" applyFill="1" applyBorder="1" applyAlignment="1" applyProtection="1">
      <alignment horizontal="left" vertical="center" wrapText="1"/>
    </xf>
    <xf numFmtId="0" fontId="7" fillId="0" borderId="0" xfId="5" applyNumberFormat="1" applyFont="1" applyFill="1" applyBorder="1" applyAlignment="1" applyProtection="1">
      <alignment horizontal="left" vertical="center" wrapText="1"/>
    </xf>
    <xf numFmtId="0" fontId="7" fillId="0" borderId="0" xfId="0" applyFont="1" applyFill="1" applyBorder="1" applyAlignment="1">
      <alignment horizontal="center" vertical="center"/>
    </xf>
    <xf numFmtId="0" fontId="17" fillId="2" borderId="0" xfId="3" applyFont="1" applyFill="1" applyAlignment="1">
      <alignment horizontal="left" vertical="center" wrapText="1"/>
    </xf>
    <xf numFmtId="9" fontId="7" fillId="0" borderId="0" xfId="1" applyFont="1" applyFill="1" applyAlignment="1">
      <alignment horizontal="right" vertical="center" wrapText="1"/>
    </xf>
    <xf numFmtId="0" fontId="14" fillId="0" borderId="0" xfId="5" applyNumberFormat="1" applyFont="1" applyFill="1" applyBorder="1" applyAlignment="1" applyProtection="1">
      <alignment horizontal="left" vertical="center" wrapText="1"/>
    </xf>
    <xf numFmtId="0" fontId="14" fillId="0" borderId="0" xfId="5" applyNumberFormat="1" applyFont="1" applyFill="1" applyAlignment="1" applyProtection="1">
      <alignment horizontal="left" vertical="center" wrapText="1"/>
    </xf>
    <xf numFmtId="0" fontId="7" fillId="0" borderId="0" xfId="5" applyNumberFormat="1" applyFont="1" applyFill="1" applyAlignment="1" applyProtection="1">
      <alignment horizontal="left" vertical="center" wrapText="1"/>
    </xf>
    <xf numFmtId="0" fontId="7" fillId="0" borderId="0" xfId="5" applyNumberFormat="1" applyFont="1" applyFill="1" applyBorder="1" applyAlignment="1" applyProtection="1">
      <alignment horizontal="left" vertical="center" wrapText="1"/>
    </xf>
    <xf numFmtId="0" fontId="7" fillId="2" borderId="0" xfId="0" applyFont="1" applyFill="1" applyAlignment="1">
      <alignment vertical="center"/>
    </xf>
    <xf numFmtId="9" fontId="3" fillId="2" borderId="0" xfId="1" applyFont="1" applyFill="1" applyAlignment="1">
      <alignment vertical="center"/>
    </xf>
    <xf numFmtId="41" fontId="25" fillId="2" borderId="0" xfId="3" applyNumberFormat="1" applyFont="1" applyFill="1" applyAlignment="1">
      <alignment vertical="center"/>
    </xf>
    <xf numFmtId="9" fontId="25" fillId="2" borderId="0" xfId="3" applyNumberFormat="1" applyFont="1" applyFill="1" applyAlignment="1">
      <alignment vertical="center"/>
    </xf>
    <xf numFmtId="49" fontId="4" fillId="16" borderId="0" xfId="3" applyNumberFormat="1" applyFont="1" applyFill="1" applyAlignment="1">
      <alignment horizontal="left" vertical="center"/>
    </xf>
    <xf numFmtId="41" fontId="3" fillId="16" borderId="0" xfId="3" applyNumberFormat="1" applyFont="1" applyFill="1" applyAlignment="1">
      <alignment vertical="center"/>
    </xf>
    <xf numFmtId="9" fontId="3" fillId="16" borderId="0" xfId="3" applyNumberFormat="1" applyFont="1" applyFill="1" applyAlignment="1">
      <alignment vertical="center"/>
    </xf>
    <xf numFmtId="9" fontId="7" fillId="16" borderId="0" xfId="3" applyNumberFormat="1" applyFont="1" applyFill="1" applyAlignment="1">
      <alignment horizontal="right" vertical="center"/>
    </xf>
    <xf numFmtId="9" fontId="7" fillId="16" borderId="0" xfId="1" applyFont="1" applyFill="1" applyAlignment="1">
      <alignment horizontal="right" vertical="center"/>
    </xf>
    <xf numFmtId="9" fontId="3" fillId="16" borderId="0" xfId="3" applyNumberFormat="1" applyFont="1" applyFill="1" applyAlignment="1">
      <alignment horizontal="right" vertical="center"/>
    </xf>
    <xf numFmtId="176" fontId="7" fillId="2" borderId="0" xfId="0" applyNumberFormat="1" applyFont="1" applyFill="1" applyAlignment="1">
      <alignment vertical="center"/>
    </xf>
    <xf numFmtId="41" fontId="3" fillId="16" borderId="38" xfId="3" applyNumberFormat="1" applyFont="1" applyFill="1" applyBorder="1" applyAlignment="1">
      <alignment vertical="center"/>
    </xf>
    <xf numFmtId="9" fontId="3" fillId="16" borderId="0" xfId="1" applyFont="1" applyFill="1" applyAlignment="1">
      <alignment vertical="center"/>
    </xf>
    <xf numFmtId="41" fontId="25" fillId="2" borderId="38" xfId="3" applyNumberFormat="1" applyFont="1" applyFill="1" applyBorder="1" applyAlignment="1">
      <alignment vertical="center"/>
    </xf>
    <xf numFmtId="9" fontId="25" fillId="2" borderId="0" xfId="1" applyFont="1" applyFill="1" applyAlignment="1">
      <alignment vertical="center"/>
    </xf>
    <xf numFmtId="9" fontId="25" fillId="2" borderId="0" xfId="3" applyNumberFormat="1" applyFont="1" applyFill="1" applyAlignment="1">
      <alignment horizontal="right" vertical="center"/>
    </xf>
    <xf numFmtId="41" fontId="3" fillId="2" borderId="38" xfId="3" applyNumberFormat="1" applyFont="1" applyFill="1" applyBorder="1" applyAlignment="1">
      <alignment vertical="center"/>
    </xf>
    <xf numFmtId="41" fontId="7" fillId="16" borderId="0" xfId="0" applyNumberFormat="1" applyFont="1" applyFill="1" applyAlignment="1">
      <alignment horizontal="center" vertical="center"/>
    </xf>
    <xf numFmtId="41" fontId="7" fillId="2" borderId="0" xfId="0" applyNumberFormat="1" applyFont="1" applyFill="1" applyAlignment="1">
      <alignment horizontal="center" vertical="center"/>
    </xf>
    <xf numFmtId="41" fontId="25" fillId="2" borderId="0" xfId="0" applyNumberFormat="1" applyFont="1" applyFill="1" applyAlignment="1">
      <alignment vertical="center"/>
    </xf>
    <xf numFmtId="41" fontId="7" fillId="16" borderId="0" xfId="3" applyNumberFormat="1" applyFont="1" applyFill="1" applyAlignment="1">
      <alignment horizontal="right" vertical="center"/>
    </xf>
    <xf numFmtId="41" fontId="3" fillId="16" borderId="38" xfId="3" applyNumberFormat="1" applyFont="1" applyFill="1" applyBorder="1" applyAlignment="1">
      <alignment horizontal="right" vertical="center"/>
    </xf>
    <xf numFmtId="9" fontId="3" fillId="16" borderId="0" xfId="1" applyFont="1" applyFill="1" applyAlignment="1">
      <alignment horizontal="right" vertical="center"/>
    </xf>
    <xf numFmtId="41" fontId="3" fillId="16" borderId="0" xfId="3" applyNumberFormat="1" applyFont="1" applyFill="1" applyAlignment="1">
      <alignment horizontal="right" vertical="center"/>
    </xf>
    <xf numFmtId="41" fontId="25" fillId="2" borderId="38" xfId="3" applyNumberFormat="1" applyFont="1" applyFill="1" applyBorder="1" applyAlignment="1">
      <alignment horizontal="right" vertical="center"/>
    </xf>
    <xf numFmtId="41" fontId="25" fillId="16" borderId="0" xfId="3" applyNumberFormat="1" applyFont="1" applyFill="1" applyAlignment="1">
      <alignment vertical="center"/>
    </xf>
    <xf numFmtId="9" fontId="25" fillId="16" borderId="0" xfId="1" applyFont="1" applyFill="1" applyAlignment="1">
      <alignment vertical="center"/>
    </xf>
    <xf numFmtId="41" fontId="25" fillId="2" borderId="38" xfId="0" applyNumberFormat="1" applyFont="1" applyFill="1" applyBorder="1" applyAlignment="1">
      <alignment vertical="center"/>
    </xf>
    <xf numFmtId="41" fontId="25" fillId="2" borderId="0" xfId="3" applyNumberFormat="1" applyFont="1" applyFill="1" applyAlignment="1">
      <alignment horizontal="right" vertical="center"/>
    </xf>
    <xf numFmtId="41" fontId="3" fillId="16" borderId="0" xfId="0" applyNumberFormat="1" applyFont="1" applyFill="1" applyAlignment="1">
      <alignment vertical="center"/>
    </xf>
    <xf numFmtId="41" fontId="3" fillId="2" borderId="38" xfId="0" applyNumberFormat="1" applyFont="1" applyFill="1" applyBorder="1" applyAlignment="1">
      <alignment vertical="center"/>
    </xf>
    <xf numFmtId="0" fontId="125" fillId="0" borderId="0" xfId="5" applyNumberFormat="1" applyFont="1" applyFill="1" applyAlignment="1" applyProtection="1">
      <alignment horizontal="left" vertical="center" wrapText="1"/>
    </xf>
    <xf numFmtId="49" fontId="18" fillId="0" borderId="0" xfId="3" applyNumberFormat="1" applyFont="1" applyFill="1" applyAlignment="1">
      <alignment vertical="center"/>
    </xf>
    <xf numFmtId="41" fontId="3" fillId="2" borderId="0" xfId="0" applyNumberFormat="1" applyFont="1" applyFill="1" applyBorder="1" applyAlignment="1">
      <alignment vertical="center"/>
    </xf>
    <xf numFmtId="41" fontId="25" fillId="2" borderId="0" xfId="0" applyNumberFormat="1" applyFont="1" applyFill="1" applyBorder="1" applyAlignment="1">
      <alignment vertical="center"/>
    </xf>
    <xf numFmtId="9" fontId="25" fillId="2" borderId="0" xfId="0" applyNumberFormat="1" applyFont="1" applyFill="1" applyBorder="1" applyAlignment="1">
      <alignment vertical="center"/>
    </xf>
    <xf numFmtId="41" fontId="3" fillId="2" borderId="0" xfId="3" applyNumberFormat="1" applyFont="1" applyFill="1" applyBorder="1" applyAlignment="1">
      <alignment vertical="center"/>
    </xf>
    <xf numFmtId="41" fontId="25" fillId="2" borderId="0" xfId="3" applyNumberFormat="1" applyFont="1" applyFill="1" applyBorder="1" applyAlignment="1">
      <alignment vertical="center"/>
    </xf>
    <xf numFmtId="9" fontId="25" fillId="2" borderId="0" xfId="1" applyFont="1" applyFill="1" applyBorder="1" applyAlignment="1">
      <alignment vertical="center"/>
    </xf>
    <xf numFmtId="176" fontId="25" fillId="2" borderId="0" xfId="0" applyNumberFormat="1" applyFont="1" applyFill="1" applyBorder="1" applyAlignment="1">
      <alignment vertical="center"/>
    </xf>
    <xf numFmtId="176" fontId="25" fillId="2" borderId="38" xfId="0" applyNumberFormat="1" applyFont="1" applyFill="1" applyBorder="1" applyAlignment="1">
      <alignment vertical="center"/>
    </xf>
    <xf numFmtId="176" fontId="25" fillId="2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0" fontId="7" fillId="0" borderId="0" xfId="5" applyFont="1" applyFill="1" applyAlignment="1" applyProtection="1">
      <alignment vertical="center"/>
    </xf>
    <xf numFmtId="41" fontId="3" fillId="2" borderId="0" xfId="0" applyNumberFormat="1" applyFont="1" applyFill="1" applyBorder="1" applyAlignment="1">
      <alignment horizontal="right" vertical="center"/>
    </xf>
    <xf numFmtId="176" fontId="25" fillId="2" borderId="0" xfId="0" applyNumberFormat="1" applyFont="1" applyFill="1" applyBorder="1" applyAlignment="1">
      <alignment horizontal="right" vertical="center"/>
    </xf>
    <xf numFmtId="9" fontId="25" fillId="2" borderId="0" xfId="1" applyFont="1" applyFill="1" applyBorder="1" applyAlignment="1">
      <alignment horizontal="right" vertical="center"/>
    </xf>
    <xf numFmtId="176" fontId="25" fillId="2" borderId="38" xfId="0" applyNumberFormat="1" applyFont="1" applyFill="1" applyBorder="1" applyAlignment="1">
      <alignment horizontal="right" vertical="center"/>
    </xf>
    <xf numFmtId="49" fontId="14" fillId="0" borderId="0" xfId="0" applyNumberFormat="1" applyFont="1" applyFill="1" applyAlignment="1">
      <alignment horizontal="left" vertical="center"/>
    </xf>
    <xf numFmtId="41" fontId="25" fillId="0" borderId="0" xfId="0" applyNumberFormat="1" applyFont="1" applyFill="1" applyBorder="1" applyAlignment="1">
      <alignment horizontal="right" vertical="center"/>
    </xf>
    <xf numFmtId="49" fontId="14" fillId="0" borderId="0" xfId="3" applyNumberFormat="1" applyFont="1" applyFill="1" applyAlignment="1">
      <alignment vertical="center" wrapText="1"/>
    </xf>
    <xf numFmtId="9" fontId="25" fillId="0" borderId="0" xfId="1" applyFont="1" applyFill="1" applyBorder="1" applyAlignment="1">
      <alignment horizontal="right" vertical="center"/>
    </xf>
    <xf numFmtId="176" fontId="25" fillId="0" borderId="38" xfId="0" applyNumberFormat="1" applyFont="1" applyFill="1" applyBorder="1" applyAlignment="1">
      <alignment vertical="center"/>
    </xf>
    <xf numFmtId="9" fontId="25" fillId="0" borderId="0" xfId="1" applyFont="1" applyFill="1" applyAlignment="1">
      <alignment vertical="center"/>
    </xf>
    <xf numFmtId="41" fontId="7" fillId="0" borderId="0" xfId="3" applyNumberFormat="1" applyFont="1" applyFill="1" applyBorder="1" applyAlignment="1">
      <alignment horizontal="right" vertical="center"/>
    </xf>
    <xf numFmtId="9" fontId="7" fillId="0" borderId="0" xfId="1" applyFont="1" applyFill="1" applyBorder="1" applyAlignment="1">
      <alignment horizontal="right" vertical="center"/>
    </xf>
    <xf numFmtId="9" fontId="7" fillId="0" borderId="22" xfId="1" applyFont="1" applyFill="1" applyBorder="1" applyAlignment="1">
      <alignment horizontal="right" vertical="center"/>
    </xf>
    <xf numFmtId="41" fontId="3" fillId="16" borderId="0" xfId="0" applyNumberFormat="1" applyFont="1" applyFill="1" applyBorder="1" applyAlignment="1">
      <alignment vertical="center"/>
    </xf>
    <xf numFmtId="176" fontId="3" fillId="2" borderId="0" xfId="0" applyNumberFormat="1" applyFont="1" applyFill="1" applyBorder="1" applyAlignment="1">
      <alignment vertical="center"/>
    </xf>
    <xf numFmtId="9" fontId="3" fillId="2" borderId="0" xfId="1" applyFont="1" applyFill="1" applyBorder="1" applyAlignment="1">
      <alignment vertical="center"/>
    </xf>
    <xf numFmtId="176" fontId="3" fillId="2" borderId="38" xfId="0" applyNumberFormat="1" applyFont="1" applyFill="1" applyBorder="1" applyAlignment="1">
      <alignment vertical="center"/>
    </xf>
    <xf numFmtId="41" fontId="3" fillId="16" borderId="0" xfId="3" applyNumberFormat="1" applyFont="1" applyFill="1" applyBorder="1" applyAlignment="1">
      <alignment vertical="center"/>
    </xf>
    <xf numFmtId="41" fontId="3" fillId="16" borderId="22" xfId="3" applyNumberFormat="1" applyFont="1" applyFill="1" applyBorder="1" applyAlignment="1">
      <alignment vertical="center"/>
    </xf>
    <xf numFmtId="9" fontId="25" fillId="2" borderId="22" xfId="1" applyFont="1" applyFill="1" applyBorder="1" applyAlignment="1">
      <alignment vertical="center"/>
    </xf>
    <xf numFmtId="176" fontId="7" fillId="0" borderId="0" xfId="3" applyNumberFormat="1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1" fontId="7" fillId="2" borderId="0" xfId="1" applyNumberFormat="1" applyFont="1" applyFill="1" applyAlignment="1">
      <alignment vertical="center"/>
    </xf>
    <xf numFmtId="41" fontId="20" fillId="2" borderId="0" xfId="3" applyNumberFormat="1" applyFont="1" applyFill="1" applyAlignment="1">
      <alignment vertical="center"/>
    </xf>
    <xf numFmtId="41" fontId="20" fillId="2" borderId="0" xfId="0" applyNumberFormat="1" applyFont="1" applyFill="1" applyAlignment="1">
      <alignment vertical="center"/>
    </xf>
    <xf numFmtId="0" fontId="26" fillId="2" borderId="0" xfId="0" applyFont="1" applyFill="1" applyAlignment="1">
      <alignment horizontal="left" vertical="center"/>
    </xf>
    <xf numFmtId="41" fontId="21" fillId="2" borderId="0" xfId="0" applyNumberFormat="1" applyFont="1" applyFill="1" applyAlignment="1">
      <alignment vertical="center"/>
    </xf>
    <xf numFmtId="9" fontId="126" fillId="2" borderId="0" xfId="1" applyFont="1" applyFill="1" applyAlignment="1">
      <alignment vertical="center"/>
    </xf>
    <xf numFmtId="0" fontId="127" fillId="0" borderId="0" xfId="5" applyNumberFormat="1" applyFont="1" applyFill="1" applyAlignment="1" applyProtection="1">
      <alignment horizontal="left" vertical="center" wrapText="1"/>
    </xf>
    <xf numFmtId="176" fontId="7" fillId="0" borderId="0" xfId="3" applyNumberFormat="1" applyFont="1" applyFill="1" applyBorder="1" applyAlignment="1">
      <alignment horizontal="right" vertical="center"/>
    </xf>
    <xf numFmtId="41" fontId="3" fillId="0" borderId="0" xfId="0" applyNumberFormat="1" applyFont="1" applyFill="1" applyBorder="1" applyAlignment="1">
      <alignment vertical="center"/>
    </xf>
    <xf numFmtId="0" fontId="4" fillId="35" borderId="40" xfId="100" applyFont="1" applyFill="1" applyBorder="1" applyAlignment="1" applyProtection="1">
      <alignment horizontal="center" vertical="center"/>
    </xf>
    <xf numFmtId="43" fontId="106" fillId="0" borderId="12" xfId="0" applyNumberFormat="1" applyFont="1" applyFill="1" applyBorder="1" applyAlignment="1">
      <alignment horizontal="center" vertical="center" wrapText="1"/>
    </xf>
    <xf numFmtId="0" fontId="7" fillId="0" borderId="46" xfId="100" applyFont="1" applyFill="1" applyBorder="1" applyAlignment="1" applyProtection="1">
      <alignment horizontal="center"/>
    </xf>
    <xf numFmtId="49" fontId="25" fillId="16" borderId="0" xfId="3" applyNumberFormat="1" applyFont="1" applyFill="1" applyAlignment="1">
      <alignment horizontal="left" vertical="center" wrapText="1"/>
    </xf>
    <xf numFmtId="41" fontId="25" fillId="16" borderId="0" xfId="0" applyNumberFormat="1" applyFont="1" applyFill="1" applyBorder="1" applyAlignment="1">
      <alignment horizontal="right" vertical="center"/>
    </xf>
    <xf numFmtId="41" fontId="25" fillId="16" borderId="38" xfId="0" applyNumberFormat="1" applyFont="1" applyFill="1" applyBorder="1" applyAlignment="1">
      <alignment horizontal="right" vertical="center"/>
    </xf>
    <xf numFmtId="41" fontId="25" fillId="16" borderId="0" xfId="0" applyNumberFormat="1" applyFont="1" applyFill="1" applyAlignment="1">
      <alignment vertical="center"/>
    </xf>
    <xf numFmtId="10" fontId="25" fillId="2" borderId="22" xfId="1" applyNumberFormat="1" applyFont="1" applyFill="1" applyBorder="1" applyAlignment="1">
      <alignment vertical="center"/>
    </xf>
    <xf numFmtId="178" fontId="25" fillId="2" borderId="0" xfId="0" applyNumberFormat="1" applyFont="1" applyFill="1" applyAlignment="1">
      <alignment vertical="center"/>
    </xf>
    <xf numFmtId="176" fontId="3" fillId="0" borderId="1" xfId="3" applyNumberFormat="1" applyFont="1" applyFill="1" applyBorder="1" applyAlignment="1">
      <alignment horizontal="center" vertical="center"/>
    </xf>
    <xf numFmtId="49" fontId="26" fillId="0" borderId="0" xfId="0" applyNumberFormat="1" applyFont="1" applyFill="1" applyAlignment="1">
      <alignment vertical="center"/>
    </xf>
    <xf numFmtId="41" fontId="3" fillId="0" borderId="0" xfId="0" applyNumberFormat="1" applyFont="1" applyFill="1" applyBorder="1" applyAlignment="1">
      <alignment horizontal="right" vertical="center"/>
    </xf>
    <xf numFmtId="176" fontId="25" fillId="0" borderId="0" xfId="0" applyNumberFormat="1" applyFont="1" applyFill="1" applyBorder="1" applyAlignment="1">
      <alignment horizontal="right" vertical="center"/>
    </xf>
    <xf numFmtId="176" fontId="25" fillId="0" borderId="38" xfId="0" applyNumberFormat="1" applyFont="1" applyFill="1" applyBorder="1" applyAlignment="1">
      <alignment horizontal="right" vertical="center"/>
    </xf>
    <xf numFmtId="49" fontId="26" fillId="2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right" vertical="center"/>
    </xf>
    <xf numFmtId="41" fontId="4" fillId="0" borderId="1" xfId="3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49" fontId="7" fillId="41" borderId="0" xfId="3" applyNumberFormat="1" applyFont="1" applyFill="1" applyAlignment="1">
      <alignment vertical="center"/>
    </xf>
    <xf numFmtId="49" fontId="129" fillId="0" borderId="0" xfId="3" applyNumberFormat="1" applyFont="1" applyFill="1" applyAlignment="1">
      <alignment vertical="center" wrapText="1"/>
    </xf>
    <xf numFmtId="49" fontId="17" fillId="0" borderId="0" xfId="3" applyNumberFormat="1" applyFont="1" applyFill="1" applyAlignment="1">
      <alignment vertical="center"/>
    </xf>
    <xf numFmtId="49" fontId="17" fillId="0" borderId="0" xfId="3" applyNumberFormat="1" applyFont="1" applyFill="1" applyAlignment="1">
      <alignment vertical="center" wrapText="1"/>
    </xf>
    <xf numFmtId="49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49" fontId="18" fillId="0" borderId="0" xfId="3" applyNumberFormat="1" applyFont="1" applyFill="1" applyAlignment="1">
      <alignment horizontal="center" vertical="center"/>
    </xf>
    <xf numFmtId="49" fontId="17" fillId="0" borderId="0" xfId="3" applyNumberFormat="1" applyFont="1" applyFill="1" applyAlignment="1">
      <alignment horizontal="center" vertical="center"/>
    </xf>
    <xf numFmtId="49" fontId="18" fillId="0" borderId="0" xfId="3" applyNumberFormat="1" applyFont="1" applyFill="1" applyAlignment="1">
      <alignment horizontal="left" vertical="center" wrapText="1"/>
    </xf>
    <xf numFmtId="43" fontId="18" fillId="0" borderId="0" xfId="3" applyNumberFormat="1" applyFont="1" applyFill="1" applyAlignment="1">
      <alignment horizontal="center" vertical="center" wrapText="1"/>
    </xf>
    <xf numFmtId="43" fontId="18" fillId="0" borderId="0" xfId="3" applyNumberFormat="1" applyFont="1" applyFill="1" applyAlignment="1">
      <alignment horizontal="left" vertical="center" wrapText="1"/>
    </xf>
    <xf numFmtId="41" fontId="17" fillId="0" borderId="0" xfId="3" applyNumberFormat="1" applyFont="1" applyFill="1" applyAlignment="1">
      <alignment horizontal="center" vertical="center"/>
    </xf>
    <xf numFmtId="41" fontId="18" fillId="0" borderId="0" xfId="3" applyNumberFormat="1" applyFont="1" applyFill="1" applyAlignment="1">
      <alignment horizontal="center" vertical="center"/>
    </xf>
    <xf numFmtId="176" fontId="3" fillId="3" borderId="2" xfId="3" applyNumberFormat="1" applyFont="1" applyFill="1" applyBorder="1" applyAlignment="1">
      <alignment horizontal="right" vertical="center"/>
    </xf>
    <xf numFmtId="176" fontId="3" fillId="3" borderId="0" xfId="3" applyNumberFormat="1" applyFont="1" applyFill="1" applyAlignment="1">
      <alignment horizontal="right" vertical="center"/>
    </xf>
    <xf numFmtId="41" fontId="3" fillId="0" borderId="2" xfId="3" applyNumberFormat="1" applyFont="1" applyFill="1" applyBorder="1" applyAlignment="1">
      <alignment horizontal="right" vertical="center"/>
    </xf>
    <xf numFmtId="41" fontId="3" fillId="0" borderId="0" xfId="3" applyNumberFormat="1" applyFont="1" applyFill="1" applyAlignment="1">
      <alignment horizontal="right" vertical="center"/>
    </xf>
    <xf numFmtId="40" fontId="3" fillId="0" borderId="2" xfId="3" applyNumberFormat="1" applyFont="1" applyFill="1" applyBorder="1" applyAlignment="1">
      <alignment horizontal="right" vertical="center"/>
    </xf>
    <xf numFmtId="40" fontId="3" fillId="0" borderId="3" xfId="3" applyNumberFormat="1" applyFont="1" applyFill="1" applyBorder="1" applyAlignment="1">
      <alignment horizontal="right" vertical="center"/>
    </xf>
    <xf numFmtId="0" fontId="127" fillId="0" borderId="0" xfId="5" applyNumberFormat="1" applyFont="1" applyFill="1" applyBorder="1" applyAlignment="1" applyProtection="1">
      <alignment horizontal="left" vertical="center" wrapText="1"/>
    </xf>
    <xf numFmtId="41" fontId="7" fillId="0" borderId="0" xfId="3" applyNumberFormat="1" applyFont="1" applyFill="1" applyBorder="1" applyAlignment="1">
      <alignment horizontal="center" vertical="center"/>
    </xf>
    <xf numFmtId="9" fontId="7" fillId="0" borderId="22" xfId="1" applyFont="1" applyFill="1" applyBorder="1" applyAlignment="1">
      <alignment horizontal="right" vertical="center"/>
    </xf>
    <xf numFmtId="43" fontId="7" fillId="0" borderId="0" xfId="3" applyNumberFormat="1" applyFont="1" applyFill="1" applyBorder="1" applyAlignment="1">
      <alignment horizontal="center" vertical="center"/>
    </xf>
    <xf numFmtId="0" fontId="7" fillId="0" borderId="0" xfId="3" applyNumberFormat="1" applyFont="1" applyFill="1" applyBorder="1" applyAlignment="1">
      <alignment horizontal="center" vertical="center"/>
    </xf>
    <xf numFmtId="9" fontId="7" fillId="0" borderId="0" xfId="1" applyFont="1" applyFill="1" applyBorder="1" applyAlignment="1">
      <alignment horizontal="right" vertical="center"/>
    </xf>
    <xf numFmtId="9" fontId="7" fillId="0" borderId="0" xfId="1" applyFont="1" applyFill="1" applyAlignment="1">
      <alignment horizontal="right" vertical="center"/>
    </xf>
    <xf numFmtId="0" fontId="14" fillId="0" borderId="0" xfId="0" applyNumberFormat="1" applyFont="1" applyFill="1" applyAlignment="1">
      <alignment horizontal="left" vertical="center" wrapText="1"/>
    </xf>
    <xf numFmtId="0" fontId="7" fillId="0" borderId="0" xfId="0" applyNumberFormat="1" applyFont="1" applyFill="1" applyAlignment="1">
      <alignment horizontal="left" vertical="center" wrapText="1"/>
    </xf>
    <xf numFmtId="0" fontId="14" fillId="0" borderId="0" xfId="5" applyNumberFormat="1" applyFont="1" applyFill="1" applyAlignment="1" applyProtection="1">
      <alignment horizontal="left" vertical="center" wrapText="1"/>
    </xf>
    <xf numFmtId="176" fontId="3" fillId="3" borderId="2" xfId="3" applyNumberFormat="1" applyFont="1" applyFill="1" applyBorder="1" applyAlignment="1">
      <alignment horizontal="center" vertical="center"/>
    </xf>
    <xf numFmtId="176" fontId="3" fillId="3" borderId="0" xfId="3" applyNumberFormat="1" applyFont="1" applyFill="1" applyAlignment="1">
      <alignment horizontal="center" vertical="center"/>
    </xf>
    <xf numFmtId="176" fontId="3" fillId="3" borderId="2" xfId="3" applyNumberFormat="1" applyFont="1" applyFill="1" applyBorder="1" applyAlignment="1">
      <alignment horizontal="center" vertical="center" wrapText="1"/>
    </xf>
    <xf numFmtId="176" fontId="4" fillId="3" borderId="2" xfId="3" applyNumberFormat="1" applyFont="1" applyFill="1" applyBorder="1" applyAlignment="1">
      <alignment horizontal="center" vertical="center"/>
    </xf>
    <xf numFmtId="0" fontId="14" fillId="0" borderId="0" xfId="5" applyNumberFormat="1" applyFont="1" applyFill="1" applyBorder="1" applyAlignment="1" applyProtection="1">
      <alignment horizontal="left" vertical="center" wrapText="1"/>
    </xf>
    <xf numFmtId="41" fontId="7" fillId="0" borderId="0" xfId="3" applyNumberFormat="1" applyFont="1" applyFill="1" applyBorder="1" applyAlignment="1">
      <alignment horizontal="right" vertical="center"/>
    </xf>
    <xf numFmtId="0" fontId="7" fillId="0" borderId="0" xfId="5" applyNumberFormat="1" applyFont="1" applyFill="1" applyAlignment="1" applyProtection="1">
      <alignment horizontal="left" vertical="center" wrapText="1"/>
    </xf>
    <xf numFmtId="0" fontId="7" fillId="0" borderId="0" xfId="5" applyNumberFormat="1" applyFont="1" applyFill="1" applyBorder="1" applyAlignment="1" applyProtection="1">
      <alignment horizontal="left" vertical="center" wrapText="1"/>
    </xf>
    <xf numFmtId="49" fontId="3" fillId="0" borderId="2" xfId="3" applyNumberFormat="1" applyFont="1" applyFill="1" applyBorder="1" applyAlignment="1">
      <alignment horizontal="center" vertical="center" wrapText="1"/>
    </xf>
    <xf numFmtId="49" fontId="3" fillId="0" borderId="0" xfId="3" applyNumberFormat="1" applyFont="1" applyFill="1" applyAlignment="1">
      <alignment horizontal="center" vertical="center" wrapText="1"/>
    </xf>
    <xf numFmtId="176" fontId="3" fillId="0" borderId="73" xfId="3" applyNumberFormat="1" applyFont="1" applyFill="1" applyBorder="1" applyAlignment="1">
      <alignment horizontal="center" vertical="center"/>
    </xf>
    <xf numFmtId="176" fontId="3" fillId="0" borderId="1" xfId="3" applyNumberFormat="1" applyFont="1" applyFill="1" applyBorder="1" applyAlignment="1">
      <alignment horizontal="center" vertical="center"/>
    </xf>
    <xf numFmtId="176" fontId="3" fillId="3" borderId="60" xfId="3" applyNumberFormat="1" applyFont="1" applyFill="1" applyBorder="1" applyAlignment="1">
      <alignment horizontal="right" vertical="center"/>
    </xf>
    <xf numFmtId="176" fontId="3" fillId="3" borderId="38" xfId="3" applyNumberFormat="1" applyFont="1" applyFill="1" applyBorder="1" applyAlignment="1">
      <alignment horizontal="right" vertical="center"/>
    </xf>
    <xf numFmtId="176" fontId="3" fillId="3" borderId="0" xfId="3" applyNumberFormat="1" applyFont="1" applyFill="1" applyBorder="1" applyAlignment="1">
      <alignment horizontal="center" vertical="center"/>
    </xf>
    <xf numFmtId="176" fontId="69" fillId="0" borderId="1" xfId="3" applyNumberFormat="1" applyFont="1" applyFill="1" applyBorder="1" applyAlignment="1">
      <alignment horizontal="center" vertical="center"/>
    </xf>
    <xf numFmtId="176" fontId="69" fillId="0" borderId="2" xfId="3" applyNumberFormat="1" applyFont="1" applyFill="1" applyBorder="1" applyAlignment="1">
      <alignment horizontal="right" vertical="center"/>
    </xf>
    <xf numFmtId="176" fontId="69" fillId="0" borderId="0" xfId="3" applyNumberFormat="1" applyFont="1" applyFill="1" applyAlignment="1">
      <alignment horizontal="right" vertical="center"/>
    </xf>
    <xf numFmtId="176" fontId="69" fillId="0" borderId="2" xfId="3" applyNumberFormat="1" applyFont="1" applyFill="1" applyBorder="1" applyAlignment="1">
      <alignment horizontal="center" vertical="center"/>
    </xf>
    <xf numFmtId="176" fontId="69" fillId="0" borderId="0" xfId="3" applyNumberFormat="1" applyFont="1" applyFill="1" applyBorder="1" applyAlignment="1">
      <alignment horizontal="center" vertical="center"/>
    </xf>
    <xf numFmtId="176" fontId="69" fillId="0" borderId="0" xfId="3" applyNumberFormat="1" applyFont="1" applyFill="1" applyAlignment="1">
      <alignment horizontal="center" vertical="center"/>
    </xf>
    <xf numFmtId="43" fontId="27" fillId="0" borderId="0" xfId="133" applyFont="1" applyFill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12" fillId="0" borderId="0" xfId="5" applyNumberFormat="1" applyFont="1" applyFill="1" applyBorder="1" applyAlignment="1" applyProtection="1">
      <alignment horizontal="left" vertical="center" wrapText="1"/>
    </xf>
    <xf numFmtId="176" fontId="3" fillId="0" borderId="2" xfId="3" applyNumberFormat="1" applyFont="1" applyFill="1" applyBorder="1" applyAlignment="1">
      <alignment horizontal="right" vertical="center"/>
    </xf>
    <xf numFmtId="176" fontId="3" fillId="0" borderId="0" xfId="3" applyNumberFormat="1" applyFont="1" applyFill="1" applyAlignment="1">
      <alignment horizontal="right" vertical="center"/>
    </xf>
    <xf numFmtId="176" fontId="3" fillId="0" borderId="2" xfId="3" applyNumberFormat="1" applyFont="1" applyFill="1" applyBorder="1" applyAlignment="1">
      <alignment horizontal="center" vertical="center"/>
    </xf>
    <xf numFmtId="176" fontId="3" fillId="0" borderId="0" xfId="3" applyNumberFormat="1" applyFont="1" applyFill="1" applyBorder="1" applyAlignment="1">
      <alignment horizontal="center" vertical="center"/>
    </xf>
    <xf numFmtId="176" fontId="3" fillId="0" borderId="0" xfId="3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7" fillId="0" borderId="10" xfId="1" applyFont="1" applyFill="1" applyBorder="1" applyAlignment="1">
      <alignment horizontal="center" vertical="center" wrapText="1"/>
    </xf>
    <xf numFmtId="9" fontId="7" fillId="0" borderId="6" xfId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43" fontId="61" fillId="0" borderId="38" xfId="0" applyNumberFormat="1" applyFont="1" applyFill="1" applyBorder="1" applyAlignment="1">
      <alignment horizontal="left" vertical="center" wrapText="1"/>
    </xf>
    <xf numFmtId="43" fontId="61" fillId="0" borderId="0" xfId="0" applyNumberFormat="1" applyFont="1" applyFill="1" applyBorder="1" applyAlignment="1">
      <alignment horizontal="left" vertical="center" wrapText="1"/>
    </xf>
    <xf numFmtId="9" fontId="7" fillId="0" borderId="11" xfId="1" applyFont="1" applyFill="1" applyBorder="1" applyAlignment="1">
      <alignment horizontal="center" vertical="center" wrapText="1"/>
    </xf>
    <xf numFmtId="0" fontId="64" fillId="0" borderId="13" xfId="3" applyFont="1" applyBorder="1" applyAlignment="1">
      <alignment horizontal="center" vertical="center"/>
    </xf>
    <xf numFmtId="0" fontId="64" fillId="0" borderId="14" xfId="3" applyFont="1" applyBorder="1" applyAlignment="1">
      <alignment horizontal="center" vertical="center"/>
    </xf>
    <xf numFmtId="0" fontId="64" fillId="0" borderId="15" xfId="3" applyFont="1" applyBorder="1" applyAlignment="1">
      <alignment horizontal="center" vertical="center"/>
    </xf>
    <xf numFmtId="0" fontId="7" fillId="0" borderId="4" xfId="111" applyFont="1" applyBorder="1" applyAlignment="1">
      <alignment horizontal="center" vertical="center" wrapText="1"/>
    </xf>
    <xf numFmtId="0" fontId="7" fillId="0" borderId="8" xfId="111" applyFont="1" applyBorder="1" applyAlignment="1">
      <alignment horizontal="center" vertical="center" wrapText="1"/>
    </xf>
    <xf numFmtId="0" fontId="7" fillId="0" borderId="12" xfId="111" applyFont="1" applyBorder="1" applyAlignment="1">
      <alignment horizontal="center" vertical="center" wrapText="1"/>
    </xf>
    <xf numFmtId="0" fontId="7" fillId="0" borderId="8" xfId="111" applyFont="1" applyBorder="1" applyAlignment="1">
      <alignment horizontal="center" vertical="center"/>
    </xf>
    <xf numFmtId="0" fontId="7" fillId="0" borderId="12" xfId="111" applyFont="1" applyBorder="1" applyAlignment="1">
      <alignment horizontal="center" vertical="center"/>
    </xf>
    <xf numFmtId="0" fontId="7" fillId="0" borderId="7" xfId="111" applyFont="1" applyBorder="1" applyAlignment="1">
      <alignment horizontal="center" vertical="center"/>
    </xf>
    <xf numFmtId="0" fontId="3" fillId="13" borderId="0" xfId="3" applyFont="1" applyFill="1" applyBorder="1" applyAlignment="1">
      <alignment horizontal="center" vertical="center"/>
    </xf>
    <xf numFmtId="0" fontId="25" fillId="0" borderId="0" xfId="3" applyFont="1" applyBorder="1" applyAlignment="1">
      <alignment horizontal="center" vertical="center"/>
    </xf>
    <xf numFmtId="0" fontId="25" fillId="4" borderId="0" xfId="3" applyFont="1" applyFill="1" applyAlignment="1">
      <alignment horizontal="center" vertical="center"/>
    </xf>
    <xf numFmtId="0" fontId="7" fillId="4" borderId="4" xfId="3" applyFont="1" applyFill="1" applyBorder="1" applyAlignment="1">
      <alignment horizontal="center" vertical="center" wrapText="1"/>
    </xf>
    <xf numFmtId="0" fontId="7" fillId="4" borderId="8" xfId="3" applyFont="1" applyFill="1" applyBorder="1" applyAlignment="1">
      <alignment horizontal="center" vertical="center" wrapText="1"/>
    </xf>
    <xf numFmtId="0" fontId="7" fillId="4" borderId="12" xfId="3" applyFont="1" applyFill="1" applyBorder="1" applyAlignment="1">
      <alignment horizontal="center" vertical="center" wrapText="1"/>
    </xf>
    <xf numFmtId="0" fontId="7" fillId="4" borderId="10" xfId="3" applyFont="1" applyFill="1" applyBorder="1" applyAlignment="1">
      <alignment horizontal="center" vertical="center" wrapText="1"/>
    </xf>
    <xf numFmtId="0" fontId="7" fillId="4" borderId="11" xfId="3" applyFont="1" applyFill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7" fillId="0" borderId="4" xfId="3" applyFont="1" applyBorder="1" applyAlignment="1">
      <alignment horizontal="center" vertical="center" wrapText="1"/>
    </xf>
    <xf numFmtId="0" fontId="7" fillId="0" borderId="8" xfId="3" applyFont="1" applyBorder="1" applyAlignment="1">
      <alignment horizontal="center" vertical="center" wrapText="1"/>
    </xf>
    <xf numFmtId="0" fontId="7" fillId="0" borderId="12" xfId="3" applyFont="1" applyBorder="1" applyAlignment="1">
      <alignment horizontal="center" vertical="center" wrapText="1"/>
    </xf>
    <xf numFmtId="0" fontId="7" fillId="0" borderId="10" xfId="3" applyFont="1" applyBorder="1" applyAlignment="1">
      <alignment horizontal="center" vertical="center" wrapText="1"/>
    </xf>
    <xf numFmtId="0" fontId="7" fillId="0" borderId="11" xfId="3" applyFont="1" applyBorder="1" applyAlignment="1">
      <alignment horizontal="center" vertical="center" wrapText="1"/>
    </xf>
    <xf numFmtId="0" fontId="3" fillId="13" borderId="0" xfId="3" applyFont="1" applyFill="1" applyAlignment="1">
      <alignment horizontal="center" vertical="center"/>
    </xf>
    <xf numFmtId="0" fontId="25" fillId="13" borderId="0" xfId="3" applyFont="1" applyFill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12" xfId="0" applyNumberFormat="1" applyFont="1" applyBorder="1" applyAlignment="1">
      <alignment horizontal="center" vertical="center" wrapText="1"/>
    </xf>
    <xf numFmtId="0" fontId="63" fillId="4" borderId="17" xfId="0" applyFont="1" applyFill="1" applyBorder="1" applyAlignment="1">
      <alignment horizontal="center" vertical="center"/>
    </xf>
    <xf numFmtId="0" fontId="27" fillId="4" borderId="18" xfId="0" applyFont="1" applyFill="1" applyBorder="1" applyAlignment="1">
      <alignment horizontal="center" vertical="center"/>
    </xf>
    <xf numFmtId="0" fontId="27" fillId="4" borderId="19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43" fontId="18" fillId="0" borderId="24" xfId="0" applyNumberFormat="1" applyFont="1" applyFill="1" applyBorder="1" applyAlignment="1">
      <alignment horizontal="center" vertical="center"/>
    </xf>
    <xf numFmtId="43" fontId="18" fillId="0" borderId="23" xfId="0" applyNumberFormat="1" applyFont="1" applyFill="1" applyBorder="1" applyAlignment="1">
      <alignment horizontal="center" vertical="center"/>
    </xf>
    <xf numFmtId="43" fontId="18" fillId="0" borderId="21" xfId="0" applyNumberFormat="1" applyFont="1" applyFill="1" applyBorder="1" applyAlignment="1">
      <alignment horizontal="center" vertical="center"/>
    </xf>
    <xf numFmtId="43" fontId="18" fillId="0" borderId="24" xfId="0" applyNumberFormat="1" applyFont="1" applyBorder="1" applyAlignment="1">
      <alignment horizontal="center" vertical="center"/>
    </xf>
    <xf numFmtId="43" fontId="18" fillId="0" borderId="23" xfId="0" applyNumberFormat="1" applyFont="1" applyBorder="1" applyAlignment="1">
      <alignment horizontal="center" vertical="center"/>
    </xf>
    <xf numFmtId="43" fontId="18" fillId="0" borderId="21" xfId="0" applyNumberFormat="1" applyFont="1" applyBorder="1" applyAlignment="1">
      <alignment horizontal="center" vertical="center"/>
    </xf>
    <xf numFmtId="202" fontId="7" fillId="0" borderId="24" xfId="0" applyNumberFormat="1" applyFont="1" applyBorder="1" applyAlignment="1">
      <alignment horizontal="center" vertical="center"/>
    </xf>
    <xf numFmtId="202" fontId="7" fillId="0" borderId="23" xfId="0" applyNumberFormat="1" applyFont="1" applyBorder="1" applyAlignment="1">
      <alignment horizontal="center" vertical="center"/>
    </xf>
    <xf numFmtId="202" fontId="7" fillId="0" borderId="21" xfId="0" applyNumberFormat="1" applyFont="1" applyBorder="1" applyAlignment="1">
      <alignment horizontal="center" vertical="center"/>
    </xf>
    <xf numFmtId="9" fontId="7" fillId="0" borderId="10" xfId="0" applyNumberFormat="1" applyFont="1" applyBorder="1" applyAlignment="1">
      <alignment horizontal="center" vertical="center"/>
    </xf>
    <xf numFmtId="9" fontId="7" fillId="0" borderId="6" xfId="0" applyNumberFormat="1" applyFont="1" applyBorder="1" applyAlignment="1">
      <alignment horizontal="center" vertical="center"/>
    </xf>
    <xf numFmtId="9" fontId="7" fillId="0" borderId="11" xfId="0" applyNumberFormat="1" applyFont="1" applyBorder="1" applyAlignment="1">
      <alignment horizontal="center" vertical="center"/>
    </xf>
    <xf numFmtId="0" fontId="63" fillId="0" borderId="17" xfId="0" applyFont="1" applyBorder="1" applyAlignment="1">
      <alignment horizontal="center" vertical="center"/>
    </xf>
    <xf numFmtId="0" fontId="27" fillId="0" borderId="17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63" fillId="0" borderId="18" xfId="0" applyFont="1" applyBorder="1" applyAlignment="1">
      <alignment horizontal="center" vertical="center"/>
    </xf>
    <xf numFmtId="0" fontId="27" fillId="4" borderId="17" xfId="0" applyFont="1" applyFill="1" applyBorder="1" applyAlignment="1">
      <alignment horizontal="center" vertical="center"/>
    </xf>
    <xf numFmtId="10" fontId="18" fillId="4" borderId="10" xfId="0" applyNumberFormat="1" applyFont="1" applyFill="1" applyBorder="1" applyAlignment="1">
      <alignment horizontal="center" vertical="center"/>
    </xf>
    <xf numFmtId="10" fontId="18" fillId="4" borderId="11" xfId="0" applyNumberFormat="1" applyFont="1" applyFill="1" applyBorder="1" applyAlignment="1">
      <alignment horizontal="center" vertical="center"/>
    </xf>
    <xf numFmtId="0" fontId="18" fillId="4" borderId="10" xfId="0" applyNumberFormat="1" applyFont="1" applyFill="1" applyBorder="1" applyAlignment="1">
      <alignment horizontal="center" vertical="center"/>
    </xf>
    <xf numFmtId="0" fontId="18" fillId="4" borderId="11" xfId="0" applyNumberFormat="1" applyFont="1" applyFill="1" applyBorder="1" applyAlignment="1">
      <alignment horizontal="center" vertical="center"/>
    </xf>
    <xf numFmtId="10" fontId="7" fillId="4" borderId="10" xfId="0" applyNumberFormat="1" applyFont="1" applyFill="1" applyBorder="1" applyAlignment="1">
      <alignment horizontal="center" vertical="center"/>
    </xf>
    <xf numFmtId="10" fontId="7" fillId="4" borderId="11" xfId="0" applyNumberFormat="1" applyFont="1" applyFill="1" applyBorder="1" applyAlignment="1">
      <alignment horizontal="center" vertical="center"/>
    </xf>
    <xf numFmtId="9" fontId="18" fillId="0" borderId="10" xfId="0" applyNumberFormat="1" applyFont="1" applyFill="1" applyBorder="1" applyAlignment="1">
      <alignment horizontal="center" vertical="center"/>
    </xf>
    <xf numFmtId="9" fontId="18" fillId="0" borderId="11" xfId="0" applyNumberFormat="1" applyFont="1" applyFill="1" applyBorder="1" applyAlignment="1">
      <alignment horizontal="center" vertical="center"/>
    </xf>
    <xf numFmtId="10" fontId="7" fillId="4" borderId="6" xfId="0" applyNumberFormat="1" applyFont="1" applyFill="1" applyBorder="1" applyAlignment="1">
      <alignment horizontal="center" vertical="center"/>
    </xf>
    <xf numFmtId="9" fontId="18" fillId="0" borderId="10" xfId="0" applyNumberFormat="1" applyFont="1" applyBorder="1" applyAlignment="1">
      <alignment horizontal="center" vertical="center"/>
    </xf>
    <xf numFmtId="9" fontId="18" fillId="0" borderId="11" xfId="0" applyNumberFormat="1" applyFont="1" applyBorder="1" applyAlignment="1">
      <alignment horizontal="center" vertical="center"/>
    </xf>
    <xf numFmtId="199" fontId="27" fillId="0" borderId="10" xfId="0" applyNumberFormat="1" applyFont="1" applyFill="1" applyBorder="1" applyAlignment="1">
      <alignment horizontal="center" vertical="center"/>
    </xf>
    <xf numFmtId="199" fontId="27" fillId="0" borderId="11" xfId="0" applyNumberFormat="1" applyFont="1" applyFill="1" applyBorder="1" applyAlignment="1">
      <alignment horizontal="center" vertical="center"/>
    </xf>
    <xf numFmtId="0" fontId="68" fillId="0" borderId="4" xfId="0" applyFont="1" applyFill="1" applyBorder="1" applyAlignment="1">
      <alignment horizontal="center" vertical="center"/>
    </xf>
    <xf numFmtId="0" fontId="68" fillId="0" borderId="12" xfId="0" applyFont="1" applyFill="1" applyBorder="1" applyAlignment="1">
      <alignment horizontal="center" vertical="center"/>
    </xf>
    <xf numFmtId="0" fontId="68" fillId="0" borderId="7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9" fontId="27" fillId="0" borderId="10" xfId="0" applyNumberFormat="1" applyFont="1" applyBorder="1" applyAlignment="1">
      <alignment horizontal="center" vertical="center"/>
    </xf>
    <xf numFmtId="9" fontId="27" fillId="0" borderId="6" xfId="0" applyNumberFormat="1" applyFont="1" applyBorder="1" applyAlignment="1">
      <alignment horizontal="center" vertical="center"/>
    </xf>
    <xf numFmtId="9" fontId="27" fillId="0" borderId="11" xfId="0" applyNumberFormat="1" applyFont="1" applyBorder="1" applyAlignment="1">
      <alignment horizontal="center" vertical="center"/>
    </xf>
    <xf numFmtId="9" fontId="60" fillId="0" borderId="7" xfId="0" applyNumberFormat="1" applyFont="1" applyBorder="1" applyAlignment="1">
      <alignment horizontal="center" vertical="center"/>
    </xf>
    <xf numFmtId="9" fontId="60" fillId="0" borderId="0" xfId="0" applyNumberFormat="1" applyFont="1" applyBorder="1" applyAlignment="1">
      <alignment horizontal="center" vertical="center"/>
    </xf>
    <xf numFmtId="43" fontId="69" fillId="12" borderId="10" xfId="0" applyNumberFormat="1" applyFont="1" applyFill="1" applyBorder="1" applyAlignment="1">
      <alignment horizontal="center" vertical="center"/>
    </xf>
    <xf numFmtId="43" fontId="69" fillId="12" borderId="6" xfId="0" applyNumberFormat="1" applyFont="1" applyFill="1" applyBorder="1" applyAlignment="1">
      <alignment horizontal="center" vertical="center"/>
    </xf>
    <xf numFmtId="43" fontId="69" fillId="12" borderId="11" xfId="0" applyNumberFormat="1" applyFont="1" applyFill="1" applyBorder="1" applyAlignment="1">
      <alignment horizontal="center" vertical="center"/>
    </xf>
    <xf numFmtId="43" fontId="69" fillId="0" borderId="0" xfId="0" applyNumberFormat="1" applyFont="1" applyFill="1" applyBorder="1" applyAlignment="1">
      <alignment horizontal="center" vertical="center"/>
    </xf>
    <xf numFmtId="0" fontId="68" fillId="14" borderId="4" xfId="0" applyFont="1" applyFill="1" applyBorder="1" applyAlignment="1">
      <alignment horizontal="center" vertical="center"/>
    </xf>
    <xf numFmtId="0" fontId="68" fillId="14" borderId="12" xfId="0" applyFont="1" applyFill="1" applyBorder="1" applyAlignment="1">
      <alignment horizontal="center" vertical="center"/>
    </xf>
    <xf numFmtId="0" fontId="68" fillId="14" borderId="7" xfId="0" applyFont="1" applyFill="1" applyBorder="1" applyAlignment="1">
      <alignment horizontal="center" vertical="center"/>
    </xf>
    <xf numFmtId="9" fontId="60" fillId="14" borderId="7" xfId="0" applyNumberFormat="1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9" fontId="18" fillId="0" borderId="6" xfId="0" applyNumberFormat="1" applyFont="1" applyBorder="1" applyAlignment="1">
      <alignment horizontal="center" vertical="center"/>
    </xf>
    <xf numFmtId="49" fontId="18" fillId="0" borderId="4" xfId="0" applyNumberFormat="1" applyFont="1" applyFill="1" applyBorder="1" applyAlignment="1">
      <alignment vertical="center"/>
    </xf>
    <xf numFmtId="49" fontId="18" fillId="0" borderId="8" xfId="0" applyNumberFormat="1" applyFont="1" applyFill="1" applyBorder="1" applyAlignment="1">
      <alignment vertical="center"/>
    </xf>
    <xf numFmtId="43" fontId="7" fillId="0" borderId="10" xfId="0" applyNumberFormat="1" applyFont="1" applyFill="1" applyBorder="1" applyAlignment="1">
      <alignment horizontal="center" vertical="center" wrapText="1"/>
    </xf>
    <xf numFmtId="43" fontId="7" fillId="0" borderId="6" xfId="0" applyNumberFormat="1" applyFont="1" applyFill="1" applyBorder="1" applyAlignment="1">
      <alignment horizontal="center" vertical="center" wrapText="1"/>
    </xf>
    <xf numFmtId="43" fontId="7" fillId="0" borderId="11" xfId="0" applyNumberFormat="1" applyFont="1" applyFill="1" applyBorder="1" applyAlignment="1">
      <alignment horizontal="center" vertical="center" wrapText="1"/>
    </xf>
    <xf numFmtId="43" fontId="7" fillId="0" borderId="17" xfId="0" applyNumberFormat="1" applyFont="1" applyFill="1" applyBorder="1" applyAlignment="1">
      <alignment horizontal="center" vertical="center" wrapText="1"/>
    </xf>
    <xf numFmtId="43" fontId="7" fillId="0" borderId="19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14" fillId="0" borderId="7" xfId="0" applyFont="1" applyFill="1" applyBorder="1" applyAlignment="1">
      <alignment horizontal="center" vertical="center" wrapText="1"/>
    </xf>
    <xf numFmtId="9" fontId="7" fillId="0" borderId="7" xfId="0" applyNumberFormat="1" applyFont="1" applyBorder="1" applyAlignment="1">
      <alignment horizontal="center" vertical="center"/>
    </xf>
    <xf numFmtId="9" fontId="18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 wrapText="1"/>
    </xf>
    <xf numFmtId="0" fontId="63" fillId="4" borderId="7" xfId="0" applyFont="1" applyFill="1" applyBorder="1" applyAlignment="1">
      <alignment horizontal="center" vertical="center"/>
    </xf>
    <xf numFmtId="0" fontId="27" fillId="4" borderId="7" xfId="0" applyFont="1" applyFill="1" applyBorder="1" applyAlignment="1">
      <alignment horizontal="center" vertical="center"/>
    </xf>
    <xf numFmtId="9" fontId="7" fillId="0" borderId="20" xfId="0" applyNumberFormat="1" applyFon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7" fillId="0" borderId="16" xfId="0" applyNumberFormat="1" applyFont="1" applyBorder="1" applyAlignment="1">
      <alignment horizontal="center" vertical="center"/>
    </xf>
    <xf numFmtId="0" fontId="98" fillId="4" borderId="0" xfId="0" applyFont="1" applyFill="1" applyAlignment="1">
      <alignment horizontal="center" vertical="center"/>
    </xf>
    <xf numFmtId="0" fontId="82" fillId="19" borderId="7" xfId="0" applyFont="1" applyFill="1" applyBorder="1" applyAlignment="1">
      <alignment horizontal="center" vertical="center" wrapText="1"/>
    </xf>
    <xf numFmtId="0" fontId="79" fillId="4" borderId="7" xfId="0" applyFont="1" applyFill="1" applyBorder="1" applyAlignment="1">
      <alignment horizontal="center" vertical="center" wrapText="1"/>
    </xf>
    <xf numFmtId="43" fontId="95" fillId="4" borderId="10" xfId="122" applyFont="1" applyFill="1" applyBorder="1" applyAlignment="1">
      <alignment horizontal="center" vertical="center" wrapText="1"/>
    </xf>
    <xf numFmtId="43" fontId="95" fillId="4" borderId="6" xfId="122" applyFont="1" applyFill="1" applyBorder="1" applyAlignment="1">
      <alignment horizontal="center" vertical="center" wrapText="1"/>
    </xf>
    <xf numFmtId="43" fontId="95" fillId="4" borderId="11" xfId="122" applyFont="1" applyFill="1" applyBorder="1" applyAlignment="1">
      <alignment horizontal="center" vertical="center" wrapText="1"/>
    </xf>
    <xf numFmtId="0" fontId="79" fillId="4" borderId="4" xfId="0" applyFont="1" applyFill="1" applyBorder="1" applyAlignment="1">
      <alignment horizontal="center" vertical="center" wrapText="1"/>
    </xf>
    <xf numFmtId="0" fontId="79" fillId="4" borderId="8" xfId="0" applyFont="1" applyFill="1" applyBorder="1" applyAlignment="1">
      <alignment horizontal="center" vertical="center" wrapText="1"/>
    </xf>
    <xf numFmtId="0" fontId="79" fillId="4" borderId="12" xfId="0" applyFont="1" applyFill="1" applyBorder="1" applyAlignment="1">
      <alignment horizontal="center" vertical="center" wrapText="1"/>
    </xf>
    <xf numFmtId="43" fontId="95" fillId="4" borderId="15" xfId="122" applyFont="1" applyFill="1" applyBorder="1" applyAlignment="1">
      <alignment horizontal="center" vertical="center" wrapText="1"/>
    </xf>
    <xf numFmtId="43" fontId="95" fillId="4" borderId="16" xfId="122" applyFont="1" applyFill="1" applyBorder="1" applyAlignment="1">
      <alignment horizontal="center" vertical="center" wrapText="1"/>
    </xf>
    <xf numFmtId="0" fontId="90" fillId="26" borderId="7" xfId="0" applyFont="1" applyFill="1" applyBorder="1" applyAlignment="1">
      <alignment horizontal="center" vertical="center"/>
    </xf>
    <xf numFmtId="0" fontId="92" fillId="4" borderId="7" xfId="0" applyFont="1" applyFill="1" applyBorder="1" applyAlignment="1">
      <alignment horizontal="center" vertical="center" wrapText="1"/>
    </xf>
    <xf numFmtId="0" fontId="90" fillId="16" borderId="7" xfId="0" applyFont="1" applyFill="1" applyBorder="1" applyAlignment="1">
      <alignment horizontal="center" vertical="center"/>
    </xf>
    <xf numFmtId="0" fontId="90" fillId="19" borderId="7" xfId="0" applyFont="1" applyFill="1" applyBorder="1" applyAlignment="1">
      <alignment horizontal="center" vertical="center"/>
    </xf>
    <xf numFmtId="43" fontId="95" fillId="4" borderId="7" xfId="122" applyFont="1" applyFill="1" applyBorder="1" applyAlignment="1">
      <alignment horizontal="center" vertical="center" wrapText="1"/>
    </xf>
    <xf numFmtId="0" fontId="68" fillId="0" borderId="7" xfId="0" applyFont="1" applyBorder="1" applyAlignment="1">
      <alignment horizontal="center"/>
    </xf>
    <xf numFmtId="0" fontId="68" fillId="0" borderId="10" xfId="0" applyFont="1" applyBorder="1" applyAlignment="1">
      <alignment horizontal="center"/>
    </xf>
    <xf numFmtId="0" fontId="68" fillId="0" borderId="6" xfId="0" applyFont="1" applyBorder="1" applyAlignment="1">
      <alignment horizontal="center"/>
    </xf>
    <xf numFmtId="0" fontId="68" fillId="0" borderId="11" xfId="0" applyFont="1" applyBorder="1" applyAlignment="1">
      <alignment horizontal="center"/>
    </xf>
    <xf numFmtId="0" fontId="90" fillId="19" borderId="13" xfId="0" applyFont="1" applyFill="1" applyBorder="1" applyAlignment="1">
      <alignment horizontal="center" vertical="center" wrapText="1"/>
    </xf>
    <xf numFmtId="0" fontId="90" fillId="19" borderId="15" xfId="0" applyFont="1" applyFill="1" applyBorder="1" applyAlignment="1">
      <alignment horizontal="center" vertical="center" wrapText="1"/>
    </xf>
    <xf numFmtId="0" fontId="82" fillId="12" borderId="7" xfId="134" applyFont="1" applyFill="1" applyBorder="1" applyAlignment="1">
      <alignment horizontal="center" vertical="center"/>
    </xf>
    <xf numFmtId="0" fontId="82" fillId="12" borderId="10" xfId="134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49" fontId="82" fillId="0" borderId="0" xfId="134" applyNumberFormat="1" applyFont="1" applyFill="1" applyAlignment="1">
      <alignment horizontal="left" vertical="center"/>
    </xf>
    <xf numFmtId="0" fontId="90" fillId="19" borderId="7" xfId="0" applyFont="1" applyFill="1" applyBorder="1" applyAlignment="1">
      <alignment horizontal="center" vertical="center" wrapText="1"/>
    </xf>
    <xf numFmtId="0" fontId="87" fillId="19" borderId="7" xfId="0" applyFont="1" applyFill="1" applyBorder="1" applyAlignment="1">
      <alignment horizontal="center" vertical="center" wrapText="1"/>
    </xf>
    <xf numFmtId="0" fontId="3" fillId="4" borderId="40" xfId="100" applyFont="1" applyFill="1" applyBorder="1" applyAlignment="1" applyProtection="1">
      <alignment horizontal="center" vertical="center"/>
    </xf>
    <xf numFmtId="0" fontId="7" fillId="0" borderId="45" xfId="100" applyFont="1" applyFill="1" applyBorder="1" applyAlignment="1" applyProtection="1">
      <alignment horizontal="center"/>
    </xf>
    <xf numFmtId="0" fontId="7" fillId="0" borderId="46" xfId="100" applyFont="1" applyFill="1" applyBorder="1" applyAlignment="1" applyProtection="1">
      <alignment horizontal="center"/>
    </xf>
    <xf numFmtId="0" fontId="14" fillId="27" borderId="45" xfId="100" applyFont="1" applyFill="1" applyBorder="1" applyAlignment="1" applyProtection="1">
      <alignment horizontal="center"/>
    </xf>
    <xf numFmtId="0" fontId="14" fillId="27" borderId="46" xfId="100" applyFont="1" applyFill="1" applyBorder="1" applyAlignment="1" applyProtection="1">
      <alignment horizontal="center"/>
    </xf>
    <xf numFmtId="0" fontId="14" fillId="28" borderId="45" xfId="100" applyFont="1" applyFill="1" applyBorder="1" applyAlignment="1" applyProtection="1">
      <alignment horizontal="center"/>
    </xf>
    <xf numFmtId="0" fontId="14" fillId="28" borderId="46" xfId="100" applyFont="1" applyFill="1" applyBorder="1" applyAlignment="1" applyProtection="1">
      <alignment horizontal="center"/>
    </xf>
    <xf numFmtId="0" fontId="14" fillId="0" borderId="45" xfId="100" applyFont="1" applyFill="1" applyBorder="1" applyAlignment="1" applyProtection="1">
      <alignment horizontal="center"/>
    </xf>
    <xf numFmtId="0" fontId="14" fillId="0" borderId="46" xfId="100" applyFont="1" applyFill="1" applyBorder="1" applyAlignment="1" applyProtection="1">
      <alignment horizontal="center"/>
    </xf>
    <xf numFmtId="0" fontId="7" fillId="26" borderId="45" xfId="100" applyFont="1" applyFill="1" applyBorder="1" applyAlignment="1" applyProtection="1">
      <alignment horizontal="center"/>
    </xf>
    <xf numFmtId="0" fontId="7" fillId="26" borderId="46" xfId="100" applyFont="1" applyFill="1" applyBorder="1" applyAlignment="1" applyProtection="1">
      <alignment horizontal="center"/>
    </xf>
    <xf numFmtId="0" fontId="3" fillId="4" borderId="39" xfId="100" applyFont="1" applyFill="1" applyBorder="1" applyAlignment="1" applyProtection="1">
      <alignment horizontal="center" vertical="center"/>
    </xf>
    <xf numFmtId="0" fontId="3" fillId="4" borderId="50" xfId="100" applyFont="1" applyFill="1" applyBorder="1" applyAlignment="1" applyProtection="1">
      <alignment horizontal="center" vertical="center"/>
    </xf>
    <xf numFmtId="0" fontId="3" fillId="4" borderId="56" xfId="100" applyFont="1" applyFill="1" applyBorder="1" applyAlignment="1" applyProtection="1">
      <alignment horizontal="center" vertical="center"/>
    </xf>
    <xf numFmtId="9" fontId="3" fillId="4" borderId="51" xfId="100" applyNumberFormat="1" applyFont="1" applyFill="1" applyBorder="1" applyAlignment="1" applyProtection="1">
      <alignment horizontal="center" vertical="center"/>
    </xf>
    <xf numFmtId="9" fontId="3" fillId="4" borderId="55" xfId="100" applyNumberFormat="1" applyFont="1" applyFill="1" applyBorder="1" applyAlignment="1" applyProtection="1">
      <alignment horizontal="center" vertical="center"/>
    </xf>
    <xf numFmtId="0" fontId="9" fillId="0" borderId="40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205" fontId="9" fillId="0" borderId="60" xfId="0" applyNumberFormat="1" applyFont="1" applyFill="1" applyBorder="1" applyAlignment="1">
      <alignment horizontal="center" vertical="center" wrapText="1"/>
    </xf>
    <xf numFmtId="205" fontId="9" fillId="0" borderId="20" xfId="0" applyNumberFormat="1" applyFont="1" applyFill="1" applyBorder="1" applyAlignment="1">
      <alignment horizontal="center" vertical="center" wrapText="1"/>
    </xf>
    <xf numFmtId="0" fontId="9" fillId="4" borderId="39" xfId="0" applyFont="1" applyFill="1" applyBorder="1" applyAlignment="1">
      <alignment horizontal="center" vertical="center" wrapText="1"/>
    </xf>
    <xf numFmtId="0" fontId="9" fillId="4" borderId="42" xfId="0" applyFont="1" applyFill="1" applyBorder="1" applyAlignment="1">
      <alignment horizontal="center" vertical="center" wrapText="1"/>
    </xf>
    <xf numFmtId="0" fontId="9" fillId="4" borderId="59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/>
    </xf>
    <xf numFmtId="0" fontId="9" fillId="4" borderId="57" xfId="0" applyFont="1" applyFill="1" applyBorder="1" applyAlignment="1">
      <alignment horizontal="center" vertical="center"/>
    </xf>
    <xf numFmtId="0" fontId="9" fillId="4" borderId="64" xfId="0" applyFont="1" applyFill="1" applyBorder="1" applyAlignment="1">
      <alignment horizontal="center" vertical="center"/>
    </xf>
    <xf numFmtId="0" fontId="9" fillId="4" borderId="58" xfId="0" applyFont="1" applyFill="1" applyBorder="1" applyAlignment="1">
      <alignment horizontal="center" vertical="center"/>
    </xf>
    <xf numFmtId="0" fontId="9" fillId="4" borderId="60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6" xfId="0" applyFont="1" applyFill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8" xfId="0" applyFont="1" applyFill="1" applyBorder="1" applyAlignment="1">
      <alignment horizontal="center" vertical="center" wrapText="1"/>
    </xf>
    <xf numFmtId="0" fontId="9" fillId="0" borderId="39" xfId="0" applyFont="1" applyFill="1" applyBorder="1" applyAlignment="1">
      <alignment horizontal="center" vertical="center" wrapText="1"/>
    </xf>
    <xf numFmtId="0" fontId="9" fillId="0" borderId="42" xfId="0" applyFont="1" applyFill="1" applyBorder="1" applyAlignment="1">
      <alignment horizontal="center" vertical="center" wrapText="1"/>
    </xf>
    <xf numFmtId="43" fontId="106" fillId="0" borderId="57" xfId="0" applyNumberFormat="1" applyFont="1" applyFill="1" applyBorder="1" applyAlignment="1">
      <alignment horizontal="center" vertical="center" wrapText="1"/>
    </xf>
    <xf numFmtId="43" fontId="106" fillId="0" borderId="58" xfId="0" applyNumberFormat="1" applyFont="1" applyFill="1" applyBorder="1" applyAlignment="1">
      <alignment horizontal="center" vertical="center" wrapText="1"/>
    </xf>
    <xf numFmtId="43" fontId="106" fillId="0" borderId="59" xfId="0" applyNumberFormat="1" applyFont="1" applyFill="1" applyBorder="1" applyAlignment="1">
      <alignment horizontal="center" vertical="center" wrapText="1"/>
    </xf>
    <xf numFmtId="43" fontId="106" fillId="0" borderId="12" xfId="0" applyNumberFormat="1" applyFont="1" applyFill="1" applyBorder="1" applyAlignment="1">
      <alignment horizontal="center" vertical="center" wrapText="1"/>
    </xf>
    <xf numFmtId="0" fontId="27" fillId="4" borderId="65" xfId="100" applyFont="1" applyFill="1" applyBorder="1" applyAlignment="1" applyProtection="1">
      <alignment horizontal="left" vertical="center"/>
    </xf>
    <xf numFmtId="0" fontId="27" fillId="4" borderId="2" xfId="100" applyFont="1" applyFill="1" applyBorder="1" applyAlignment="1" applyProtection="1">
      <alignment horizontal="left" vertical="center"/>
    </xf>
    <xf numFmtId="0" fontId="27" fillId="4" borderId="66" xfId="100" applyFont="1" applyFill="1" applyBorder="1" applyAlignment="1" applyProtection="1">
      <alignment horizontal="left" vertical="center"/>
    </xf>
    <xf numFmtId="0" fontId="27" fillId="4" borderId="69" xfId="100" applyFont="1" applyFill="1" applyBorder="1" applyAlignment="1" applyProtection="1">
      <alignment horizontal="left" vertical="center"/>
    </xf>
    <xf numFmtId="0" fontId="27" fillId="4" borderId="0" xfId="100" applyFont="1" applyFill="1" applyBorder="1" applyAlignment="1" applyProtection="1">
      <alignment horizontal="left" vertical="center"/>
    </xf>
    <xf numFmtId="0" fontId="27" fillId="4" borderId="70" xfId="100" applyFont="1" applyFill="1" applyBorder="1" applyAlignment="1" applyProtection="1">
      <alignment horizontal="left" vertical="center"/>
    </xf>
    <xf numFmtId="0" fontId="27" fillId="4" borderId="67" xfId="100" applyFont="1" applyFill="1" applyBorder="1" applyAlignment="1" applyProtection="1">
      <alignment horizontal="left" vertical="center"/>
    </xf>
    <xf numFmtId="0" fontId="27" fillId="4" borderId="1" xfId="100" applyFont="1" applyFill="1" applyBorder="1" applyAlignment="1" applyProtection="1">
      <alignment horizontal="left" vertical="center"/>
    </xf>
    <xf numFmtId="0" fontId="27" fillId="4" borderId="68" xfId="100" applyFont="1" applyFill="1" applyBorder="1" applyAlignment="1" applyProtection="1">
      <alignment horizontal="left" vertical="center"/>
    </xf>
    <xf numFmtId="0" fontId="3" fillId="26" borderId="7" xfId="0" applyFont="1" applyFill="1" applyBorder="1" applyAlignment="1">
      <alignment horizontal="center" vertical="center" wrapText="1"/>
    </xf>
    <xf numFmtId="0" fontId="9" fillId="26" borderId="7" xfId="0" applyFont="1" applyFill="1" applyBorder="1" applyAlignment="1">
      <alignment horizontal="center" vertical="center" wrapText="1"/>
    </xf>
    <xf numFmtId="0" fontId="9" fillId="26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05" fontId="3" fillId="0" borderId="0" xfId="0" applyNumberFormat="1" applyFont="1" applyFill="1" applyBorder="1" applyAlignment="1">
      <alignment horizontal="center" vertical="center" wrapText="1"/>
    </xf>
    <xf numFmtId="205" fontId="9" fillId="0" borderId="0" xfId="0" applyNumberFormat="1" applyFont="1" applyFill="1" applyBorder="1" applyAlignment="1">
      <alignment horizontal="center" vertical="center" wrapText="1"/>
    </xf>
    <xf numFmtId="0" fontId="9" fillId="34" borderId="4" xfId="0" applyFont="1" applyFill="1" applyBorder="1" applyAlignment="1">
      <alignment horizontal="center" vertical="center" wrapText="1"/>
    </xf>
    <xf numFmtId="0" fontId="9" fillId="34" borderId="12" xfId="0" applyFont="1" applyFill="1" applyBorder="1" applyAlignment="1">
      <alignment horizontal="center" vertical="center" wrapText="1"/>
    </xf>
    <xf numFmtId="43" fontId="9" fillId="34" borderId="4" xfId="0" applyNumberFormat="1" applyFont="1" applyFill="1" applyBorder="1" applyAlignment="1">
      <alignment horizontal="center" vertical="center" wrapText="1"/>
    </xf>
    <xf numFmtId="43" fontId="9" fillId="34" borderId="12" xfId="0" applyNumberFormat="1" applyFont="1" applyFill="1" applyBorder="1" applyAlignment="1">
      <alignment horizontal="center" vertical="center" wrapText="1"/>
    </xf>
    <xf numFmtId="0" fontId="9" fillId="34" borderId="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32" borderId="4" xfId="0" applyFont="1" applyFill="1" applyBorder="1" applyAlignment="1">
      <alignment horizontal="center" vertical="center" wrapText="1"/>
    </xf>
    <xf numFmtId="0" fontId="9" fillId="32" borderId="12" xfId="0" applyFont="1" applyFill="1" applyBorder="1" applyAlignment="1">
      <alignment horizontal="center" vertical="center" wrapText="1"/>
    </xf>
    <xf numFmtId="43" fontId="9" fillId="32" borderId="4" xfId="0" applyNumberFormat="1" applyFont="1" applyFill="1" applyBorder="1" applyAlignment="1">
      <alignment horizontal="center" vertical="center" wrapText="1"/>
    </xf>
    <xf numFmtId="43" fontId="9" fillId="32" borderId="12" xfId="0" applyNumberFormat="1" applyFont="1" applyFill="1" applyBorder="1" applyAlignment="1">
      <alignment horizontal="center" vertical="center" wrapText="1"/>
    </xf>
    <xf numFmtId="0" fontId="9" fillId="33" borderId="7" xfId="0" applyFont="1" applyFill="1" applyBorder="1" applyAlignment="1">
      <alignment horizontal="center" vertical="center"/>
    </xf>
    <xf numFmtId="0" fontId="27" fillId="4" borderId="61" xfId="100" applyFont="1" applyFill="1" applyBorder="1" applyAlignment="1" applyProtection="1">
      <alignment horizontal="left" vertical="center" wrapText="1"/>
    </xf>
    <xf numFmtId="0" fontId="27" fillId="4" borderId="62" xfId="100" applyFont="1" applyFill="1" applyBorder="1" applyAlignment="1" applyProtection="1">
      <alignment horizontal="left" vertical="center" wrapText="1"/>
    </xf>
    <xf numFmtId="0" fontId="27" fillId="4" borderId="63" xfId="100" applyFont="1" applyFill="1" applyBorder="1" applyAlignment="1" applyProtection="1">
      <alignment horizontal="left" vertical="center" wrapText="1"/>
    </xf>
    <xf numFmtId="0" fontId="14" fillId="4" borderId="74" xfId="100" applyFont="1" applyFill="1" applyBorder="1" applyAlignment="1" applyProtection="1">
      <alignment horizontal="center" vertical="center"/>
    </xf>
    <xf numFmtId="0" fontId="14" fillId="4" borderId="75" xfId="100" applyFont="1" applyFill="1" applyBorder="1" applyAlignment="1" applyProtection="1">
      <alignment horizontal="center" vertical="center"/>
    </xf>
    <xf numFmtId="0" fontId="7" fillId="0" borderId="44" xfId="100" applyFont="1" applyFill="1" applyBorder="1" applyAlignment="1" applyProtection="1">
      <alignment horizontal="left" vertical="center" wrapText="1"/>
    </xf>
    <xf numFmtId="0" fontId="7" fillId="0" borderId="47" xfId="100" applyFont="1" applyFill="1" applyBorder="1" applyAlignment="1" applyProtection="1">
      <alignment horizontal="left" vertical="center" wrapText="1"/>
    </xf>
    <xf numFmtId="0" fontId="7" fillId="0" borderId="48" xfId="100" applyFont="1" applyFill="1" applyBorder="1" applyAlignment="1" applyProtection="1">
      <alignment horizontal="left" vertical="center" wrapText="1"/>
    </xf>
    <xf numFmtId="0" fontId="6" fillId="4" borderId="7" xfId="100" applyFont="1" applyFill="1" applyBorder="1" applyAlignment="1" applyProtection="1">
      <alignment horizontal="left" vertical="center" wrapText="1"/>
    </xf>
    <xf numFmtId="0" fontId="6" fillId="4" borderId="49" xfId="100" applyFont="1" applyFill="1" applyBorder="1" applyAlignment="1" applyProtection="1">
      <alignment horizontal="left" vertical="center" wrapText="1"/>
    </xf>
    <xf numFmtId="0" fontId="6" fillId="4" borderId="51" xfId="100" applyFont="1" applyFill="1" applyBorder="1" applyAlignment="1" applyProtection="1">
      <alignment horizontal="left" vertical="center" wrapText="1"/>
    </xf>
    <xf numFmtId="0" fontId="6" fillId="4" borderId="55" xfId="100" applyFont="1" applyFill="1" applyBorder="1" applyAlignment="1" applyProtection="1">
      <alignment horizontal="left" vertical="center" wrapText="1"/>
    </xf>
    <xf numFmtId="0" fontId="4" fillId="35" borderId="40" xfId="100" applyFont="1" applyFill="1" applyBorder="1" applyAlignment="1" applyProtection="1">
      <alignment horizontal="center" vertical="center"/>
    </xf>
    <xf numFmtId="0" fontId="4" fillId="35" borderId="56" xfId="100" applyFont="1" applyFill="1" applyBorder="1" applyAlignment="1" applyProtection="1">
      <alignment horizontal="center" vertical="center"/>
    </xf>
    <xf numFmtId="0" fontId="5" fillId="0" borderId="71" xfId="0" applyFont="1" applyBorder="1" applyAlignment="1">
      <alignment horizontal="left" vertical="top" wrapText="1"/>
    </xf>
    <xf numFmtId="0" fontId="110" fillId="0" borderId="14" xfId="0" applyFont="1" applyBorder="1" applyAlignment="1">
      <alignment horizontal="left" vertical="top" wrapText="1"/>
    </xf>
    <xf numFmtId="0" fontId="110" fillId="0" borderId="72" xfId="0" applyFont="1" applyBorder="1" applyAlignment="1">
      <alignment horizontal="left" vertical="top" wrapText="1"/>
    </xf>
    <xf numFmtId="0" fontId="110" fillId="0" borderId="69" xfId="0" applyFont="1" applyBorder="1" applyAlignment="1">
      <alignment horizontal="left" vertical="top" wrapText="1"/>
    </xf>
    <xf numFmtId="0" fontId="110" fillId="0" borderId="0" xfId="0" applyFont="1" applyBorder="1" applyAlignment="1">
      <alignment horizontal="left" vertical="top" wrapText="1"/>
    </xf>
    <xf numFmtId="0" fontId="110" fillId="0" borderId="70" xfId="0" applyFont="1" applyBorder="1" applyAlignment="1">
      <alignment horizontal="left" vertical="top" wrapText="1"/>
    </xf>
    <xf numFmtId="0" fontId="110" fillId="0" borderId="67" xfId="0" applyFont="1" applyBorder="1" applyAlignment="1">
      <alignment horizontal="left" vertical="top" wrapText="1"/>
    </xf>
    <xf numFmtId="0" fontId="110" fillId="0" borderId="1" xfId="0" applyFont="1" applyBorder="1" applyAlignment="1">
      <alignment horizontal="left" vertical="top" wrapText="1"/>
    </xf>
    <xf numFmtId="0" fontId="110" fillId="0" borderId="68" xfId="0" applyFont="1" applyBorder="1" applyAlignment="1">
      <alignment horizontal="left" vertical="top" wrapText="1"/>
    </xf>
    <xf numFmtId="0" fontId="4" fillId="35" borderId="39" xfId="100" applyFont="1" applyFill="1" applyBorder="1" applyAlignment="1" applyProtection="1">
      <alignment horizontal="center" vertical="center"/>
    </xf>
    <xf numFmtId="0" fontId="110" fillId="0" borderId="71" xfId="0" applyFont="1" applyBorder="1" applyAlignment="1">
      <alignment horizontal="left" vertical="top" wrapText="1"/>
    </xf>
    <xf numFmtId="0" fontId="4" fillId="35" borderId="57" xfId="100" applyFont="1" applyFill="1" applyBorder="1" applyAlignment="1" applyProtection="1">
      <alignment horizontal="center" vertical="center"/>
    </xf>
    <xf numFmtId="0" fontId="4" fillId="35" borderId="41" xfId="100" applyFont="1" applyFill="1" applyBorder="1" applyAlignment="1" applyProtection="1">
      <alignment horizontal="center" vertical="center"/>
    </xf>
    <xf numFmtId="0" fontId="17" fillId="4" borderId="13" xfId="100" applyFont="1" applyFill="1" applyBorder="1" applyAlignment="1" applyProtection="1">
      <alignment horizontal="left" vertical="center" wrapText="1"/>
    </xf>
    <xf numFmtId="0" fontId="17" fillId="4" borderId="72" xfId="100" applyFont="1" applyFill="1" applyBorder="1" applyAlignment="1" applyProtection="1">
      <alignment horizontal="left" vertical="center" wrapText="1"/>
    </xf>
    <xf numFmtId="0" fontId="17" fillId="4" borderId="38" xfId="100" applyFont="1" applyFill="1" applyBorder="1" applyAlignment="1" applyProtection="1">
      <alignment horizontal="left" vertical="center" wrapText="1"/>
    </xf>
    <xf numFmtId="0" fontId="17" fillId="4" borderId="70" xfId="100" applyFont="1" applyFill="1" applyBorder="1" applyAlignment="1" applyProtection="1">
      <alignment horizontal="left" vertical="center" wrapText="1"/>
    </xf>
    <xf numFmtId="0" fontId="17" fillId="4" borderId="73" xfId="100" applyFont="1" applyFill="1" applyBorder="1" applyAlignment="1" applyProtection="1">
      <alignment horizontal="left" vertical="center" wrapText="1"/>
    </xf>
    <xf numFmtId="0" fontId="17" fillId="4" borderId="68" xfId="100" applyFont="1" applyFill="1" applyBorder="1" applyAlignment="1" applyProtection="1">
      <alignment horizontal="left" vertical="center" wrapText="1"/>
    </xf>
    <xf numFmtId="0" fontId="0" fillId="0" borderId="40" xfId="0" applyBorder="1">
      <alignment vertical="center"/>
    </xf>
    <xf numFmtId="0" fontId="0" fillId="0" borderId="56" xfId="0" applyBorder="1">
      <alignment vertical="center"/>
    </xf>
    <xf numFmtId="0" fontId="0" fillId="0" borderId="7" xfId="0" applyBorder="1">
      <alignment vertical="center"/>
    </xf>
    <xf numFmtId="0" fontId="0" fillId="0" borderId="49" xfId="0" applyBorder="1">
      <alignment vertical="center"/>
    </xf>
    <xf numFmtId="0" fontId="0" fillId="0" borderId="51" xfId="0" applyBorder="1">
      <alignment vertical="center"/>
    </xf>
    <xf numFmtId="0" fontId="0" fillId="0" borderId="55" xfId="0" applyBorder="1">
      <alignment vertical="center"/>
    </xf>
    <xf numFmtId="177" fontId="27" fillId="37" borderId="7" xfId="0" applyNumberFormat="1" applyFont="1" applyFill="1" applyBorder="1" applyAlignment="1">
      <alignment horizontal="center" vertical="center"/>
    </xf>
    <xf numFmtId="177" fontId="63" fillId="37" borderId="7" xfId="0" applyNumberFormat="1" applyFont="1" applyFill="1" applyBorder="1" applyAlignment="1">
      <alignment horizontal="center" vertical="center"/>
    </xf>
    <xf numFmtId="177" fontId="27" fillId="37" borderId="7" xfId="0" applyNumberFormat="1" applyFont="1" applyFill="1" applyBorder="1" applyAlignment="1">
      <alignment horizontal="center" vertical="center" wrapText="1" shrinkToFit="1"/>
    </xf>
    <xf numFmtId="177" fontId="27" fillId="37" borderId="7" xfId="0" applyNumberFormat="1" applyFont="1" applyFill="1" applyBorder="1" applyAlignment="1">
      <alignment horizontal="center" vertical="center" wrapText="1"/>
    </xf>
    <xf numFmtId="177" fontId="27" fillId="0" borderId="7" xfId="0" applyNumberFormat="1" applyFont="1" applyFill="1" applyBorder="1" applyAlignment="1">
      <alignment horizontal="center" vertical="center"/>
    </xf>
    <xf numFmtId="177" fontId="27" fillId="0" borderId="7" xfId="0" applyNumberFormat="1" applyFont="1" applyFill="1" applyBorder="1" applyAlignment="1">
      <alignment horizontal="center" vertical="center" wrapText="1" shrinkToFit="1"/>
    </xf>
    <xf numFmtId="177" fontId="27" fillId="0" borderId="7" xfId="0" applyNumberFormat="1" applyFont="1" applyFill="1" applyBorder="1" applyAlignment="1">
      <alignment horizontal="center" vertical="center" wrapText="1"/>
    </xf>
    <xf numFmtId="177" fontId="63" fillId="0" borderId="7" xfId="0" applyNumberFormat="1" applyFont="1" applyFill="1" applyBorder="1" applyAlignment="1">
      <alignment horizontal="center" vertical="center" wrapText="1" shrinkToFit="1"/>
    </xf>
    <xf numFmtId="177" fontId="63" fillId="37" borderId="7" xfId="0" applyNumberFormat="1" applyFont="1" applyFill="1" applyBorder="1" applyAlignment="1">
      <alignment horizontal="center" vertical="center" wrapText="1"/>
    </xf>
    <xf numFmtId="177" fontId="27" fillId="0" borderId="4" xfId="0" applyNumberFormat="1" applyFont="1" applyFill="1" applyBorder="1" applyAlignment="1">
      <alignment horizontal="center" vertical="center"/>
    </xf>
    <xf numFmtId="177" fontId="27" fillId="0" borderId="8" xfId="0" applyNumberFormat="1" applyFont="1" applyFill="1" applyBorder="1" applyAlignment="1">
      <alignment horizontal="center" vertical="center"/>
    </xf>
    <xf numFmtId="177" fontId="63" fillId="0" borderId="7" xfId="0" applyNumberFormat="1" applyFont="1" applyFill="1" applyBorder="1" applyAlignment="1">
      <alignment horizontal="center" vertical="center" wrapText="1"/>
    </xf>
    <xf numFmtId="177" fontId="63" fillId="0" borderId="7" xfId="0" applyNumberFormat="1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104" fillId="2" borderId="3" xfId="0" applyFont="1" applyFill="1" applyBorder="1" applyAlignment="1">
      <alignment horizontal="left" vertical="center"/>
    </xf>
    <xf numFmtId="0" fontId="104" fillId="0" borderId="4" xfId="0" applyFont="1" applyBorder="1" applyAlignment="1">
      <alignment horizontal="center" vertical="center" wrapText="1"/>
    </xf>
    <xf numFmtId="0" fontId="104" fillId="0" borderId="8" xfId="0" applyFont="1" applyBorder="1" applyAlignment="1">
      <alignment horizontal="center" vertical="center" wrapText="1"/>
    </xf>
    <xf numFmtId="0" fontId="104" fillId="0" borderId="12" xfId="0" applyFont="1" applyBorder="1" applyAlignment="1">
      <alignment horizontal="center" vertical="center" wrapText="1"/>
    </xf>
    <xf numFmtId="0" fontId="104" fillId="0" borderId="4" xfId="0" applyFont="1" applyFill="1" applyBorder="1" applyAlignment="1">
      <alignment horizontal="center" vertical="center" wrapText="1"/>
    </xf>
    <xf numFmtId="0" fontId="104" fillId="0" borderId="8" xfId="0" applyFont="1" applyFill="1" applyBorder="1" applyAlignment="1">
      <alignment horizontal="center" vertical="center" wrapText="1"/>
    </xf>
    <xf numFmtId="0" fontId="104" fillId="0" borderId="12" xfId="0" applyFont="1" applyFill="1" applyBorder="1" applyAlignment="1">
      <alignment horizontal="center" vertical="center" wrapText="1"/>
    </xf>
    <xf numFmtId="0" fontId="104" fillId="0" borderId="4" xfId="0" applyFont="1" applyBorder="1" applyAlignment="1">
      <alignment horizontal="center" vertical="center"/>
    </xf>
    <xf numFmtId="0" fontId="104" fillId="0" borderId="8" xfId="0" applyFont="1" applyBorder="1" applyAlignment="1">
      <alignment horizontal="center" vertical="center"/>
    </xf>
    <xf numFmtId="0" fontId="104" fillId="0" borderId="12" xfId="0" applyFont="1" applyBorder="1" applyAlignment="1">
      <alignment horizontal="center" vertical="center"/>
    </xf>
    <xf numFmtId="0" fontId="4" fillId="0" borderId="0" xfId="4" applyFont="1" applyFill="1" applyAlignment="1">
      <alignment horizontal="left" vertical="center"/>
    </xf>
    <xf numFmtId="0" fontId="99" fillId="0" borderId="7" xfId="0" applyFont="1" applyFill="1" applyBorder="1" applyAlignment="1">
      <alignment horizontal="center" vertical="center"/>
    </xf>
    <xf numFmtId="0" fontId="91" fillId="22" borderId="7" xfId="0" applyFont="1" applyFill="1" applyBorder="1" applyAlignment="1">
      <alignment horizontal="center" vertical="center"/>
    </xf>
    <xf numFmtId="4" fontId="91" fillId="23" borderId="7" xfId="0" applyNumberFormat="1" applyFont="1" applyFill="1" applyBorder="1" applyAlignment="1">
      <alignment horizontal="center" vertical="center"/>
    </xf>
    <xf numFmtId="4" fontId="91" fillId="24" borderId="7" xfId="0" applyNumberFormat="1" applyFont="1" applyFill="1" applyBorder="1" applyAlignment="1">
      <alignment horizontal="center" vertical="center"/>
    </xf>
    <xf numFmtId="0" fontId="131" fillId="0" borderId="0" xfId="0" applyFont="1">
      <alignment vertical="center"/>
    </xf>
    <xf numFmtId="0" fontId="132" fillId="0" borderId="0" xfId="0" applyFont="1">
      <alignment vertical="center"/>
    </xf>
    <xf numFmtId="0" fontId="133" fillId="4" borderId="0" xfId="100" applyFont="1" applyFill="1" applyAlignment="1" applyProtection="1">
      <alignment horizontal="left" vertical="center"/>
    </xf>
    <xf numFmtId="0" fontId="131" fillId="0" borderId="7" xfId="0" applyFont="1" applyBorder="1" applyAlignment="1">
      <alignment horizontal="left" vertical="center"/>
    </xf>
    <xf numFmtId="0" fontId="132" fillId="0" borderId="10" xfId="0" applyFont="1" applyBorder="1" applyAlignment="1">
      <alignment horizontal="left" vertical="center"/>
    </xf>
    <xf numFmtId="0" fontId="132" fillId="0" borderId="6" xfId="0" applyFont="1" applyBorder="1" applyAlignment="1">
      <alignment horizontal="left" vertical="center"/>
    </xf>
    <xf numFmtId="0" fontId="132" fillId="0" borderId="11" xfId="0" applyFont="1" applyBorder="1" applyAlignment="1">
      <alignment horizontal="left" vertical="center"/>
    </xf>
    <xf numFmtId="0" fontId="135" fillId="0" borderId="0" xfId="0" applyFont="1">
      <alignment vertical="center"/>
    </xf>
    <xf numFmtId="0" fontId="131" fillId="0" borderId="7" xfId="0" applyFont="1" applyBorder="1" applyAlignment="1">
      <alignment horizontal="left" vertical="center"/>
    </xf>
    <xf numFmtId="0" fontId="132" fillId="0" borderId="10" xfId="0" applyFont="1" applyBorder="1" applyAlignment="1">
      <alignment horizontal="left" vertical="center" wrapText="1"/>
    </xf>
    <xf numFmtId="0" fontId="132" fillId="0" borderId="7" xfId="0" applyFont="1" applyBorder="1">
      <alignment vertical="center"/>
    </xf>
  </cellXfs>
  <cellStyles count="139">
    <cellStyle name="%" xfId="6"/>
    <cellStyle name="??|?Revenuenuesy L" xfId="7"/>
    <cellStyle name="??í¨_±¨??μ￥" xfId="8"/>
    <cellStyle name="_08-1" xfId="9"/>
    <cellStyle name="_09-02" xfId="10"/>
    <cellStyle name="_Sheet3" xfId="11"/>
    <cellStyle name="_移动" xfId="12"/>
    <cellStyle name="0%" xfId="13"/>
    <cellStyle name="0,0_x000d__x000a_NA_x000d__x000a_" xfId="14"/>
    <cellStyle name="0.0%" xfId="15"/>
    <cellStyle name="0.00%" xfId="16"/>
    <cellStyle name="3￡1?_fc" xfId="17"/>
    <cellStyle name="3232" xfId="18"/>
    <cellStyle name="6mal" xfId="19"/>
    <cellStyle name="args.style" xfId="20"/>
    <cellStyle name="Body" xfId="21"/>
    <cellStyle name="Calc Currency (0)" xfId="22"/>
    <cellStyle name="category" xfId="23"/>
    <cellStyle name="Col Heads" xfId="24"/>
    <cellStyle name="Column_Title" xfId="25"/>
    <cellStyle name="Comma [0]" xfId="26"/>
    <cellStyle name="Comma 3" xfId="27"/>
    <cellStyle name="Comma,0" xfId="28"/>
    <cellStyle name="Comma,1" xfId="29"/>
    <cellStyle name="Comma,2" xfId="30"/>
    <cellStyle name="Comma0" xfId="31"/>
    <cellStyle name="Copied" xfId="32"/>
    <cellStyle name="Currency [0]" xfId="33"/>
    <cellStyle name="Currency,0" xfId="34"/>
    <cellStyle name="Currency,2" xfId="35"/>
    <cellStyle name="Currency0" xfId="36"/>
    <cellStyle name="Date" xfId="37"/>
    <cellStyle name="Entered" xfId="38"/>
    <cellStyle name="Fixed" xfId="39"/>
    <cellStyle name="Grey" xfId="40"/>
    <cellStyle name="HEADER" xfId="41"/>
    <cellStyle name="Header1" xfId="42"/>
    <cellStyle name="Header2" xfId="43"/>
    <cellStyle name="Heading 1" xfId="44"/>
    <cellStyle name="Heading 2" xfId="45"/>
    <cellStyle name="HEADINGS" xfId="46"/>
    <cellStyle name="HEADINGSTOP" xfId="47"/>
    <cellStyle name="Input [yellow]" xfId="48"/>
    <cellStyle name="Input Cells" xfId="49"/>
    <cellStyle name="Jun" xfId="50"/>
    <cellStyle name="Linked Cells" xfId="51"/>
    <cellStyle name="lixq" xfId="52"/>
    <cellStyle name="Millares [0]_96 Risk" xfId="53"/>
    <cellStyle name="Millares_96 Risk" xfId="54"/>
    <cellStyle name="Milliers [0]_!!!GO" xfId="55"/>
    <cellStyle name="Milliers_!!!GO" xfId="56"/>
    <cellStyle name="Model" xfId="57"/>
    <cellStyle name="Moneda [0]_96 Risk" xfId="58"/>
    <cellStyle name="Moneda_96 Risk" xfId="59"/>
    <cellStyle name="Mon閠aire [0]_!!!GO" xfId="60"/>
    <cellStyle name="Mon閠aire_!!!GO" xfId="61"/>
    <cellStyle name="New Times Roman" xfId="62"/>
    <cellStyle name="no dec" xfId="63"/>
    <cellStyle name="Normal - Style1" xfId="64"/>
    <cellStyle name="Normal 3" xfId="65"/>
    <cellStyle name="Normal_CY-CICC Shenzhen-Qtn001(R2)-20071010" xfId="66"/>
    <cellStyle name="per.style" xfId="67"/>
    <cellStyle name="Percent [2]" xfId="68"/>
    <cellStyle name="Pourcentage_pldt" xfId="69"/>
    <cellStyle name="Pricing Text" xfId="70"/>
    <cellStyle name="PSChar" xfId="71"/>
    <cellStyle name="PSDate" xfId="72"/>
    <cellStyle name="PSDec" xfId="73"/>
    <cellStyle name="PSHeading" xfId="74"/>
    <cellStyle name="PSInt" xfId="75"/>
    <cellStyle name="PSSpacer" xfId="76"/>
    <cellStyle name="regstoresfromspecstores" xfId="77"/>
    <cellStyle name="RevList" xfId="78"/>
    <cellStyle name="SHADEDSTORES" xfId="79"/>
    <cellStyle name="specstores" xfId="80"/>
    <cellStyle name="sstot" xfId="81"/>
    <cellStyle name="Standard_AREAS" xfId="82"/>
    <cellStyle name="subhead" xfId="83"/>
    <cellStyle name="Subtotal" xfId="84"/>
    <cellStyle name="t" xfId="85"/>
    <cellStyle name="t_HVAC Equipment (3)" xfId="86"/>
    <cellStyle name="Total" xfId="87"/>
    <cellStyle name="百分比" xfId="1" builtinId="5"/>
    <cellStyle name="百分比 2" xfId="88"/>
    <cellStyle name="百分比 2 2" xfId="89"/>
    <cellStyle name="百分比 2 3" xfId="90"/>
    <cellStyle name="百分比 3" xfId="137"/>
    <cellStyle name="捠壿 [0.00]_Region Orders (2)" xfId="91"/>
    <cellStyle name="捠壿_Region Orders (2)" xfId="92"/>
    <cellStyle name="常规" xfId="0" builtinId="0"/>
    <cellStyle name="常规 10" xfId="93"/>
    <cellStyle name="常规 11" xfId="136"/>
    <cellStyle name="常规 2" xfId="3"/>
    <cellStyle name="常规 2 2" xfId="94"/>
    <cellStyle name="常规 2 2 2" xfId="95"/>
    <cellStyle name="常规 2 3" xfId="96"/>
    <cellStyle name="常规 3" xfId="97"/>
    <cellStyle name="常规 3 2" xfId="4"/>
    <cellStyle name="常规 3 3" xfId="98"/>
    <cellStyle name="常规 4" xfId="99"/>
    <cellStyle name="常规 4 2" xfId="100"/>
    <cellStyle name="常规 5" xfId="101"/>
    <cellStyle name="常规 5 2" xfId="102"/>
    <cellStyle name="常规 6" xfId="103"/>
    <cellStyle name="常规 6 2" xfId="104"/>
    <cellStyle name="常规 7" xfId="105"/>
    <cellStyle name="常规 7 2" xfId="106"/>
    <cellStyle name="常规 8" xfId="107"/>
    <cellStyle name="常规 8 2" xfId="108"/>
    <cellStyle name="常规 8 3" xfId="109"/>
    <cellStyle name="常规 9" xfId="110"/>
    <cellStyle name="常规_HC2008-Feb(revised)new " xfId="135"/>
    <cellStyle name="常规_sheet" xfId="2"/>
    <cellStyle name="常规_Sheet1" xfId="134"/>
    <cellStyle name="常规_劳务费稿费申请表（改）" xfId="111"/>
    <cellStyle name="超链接" xfId="5" builtinId="8"/>
    <cellStyle name="分级显示行_1_05网络报价" xfId="112"/>
    <cellStyle name="分级显示列_1_05网络报价" xfId="113"/>
    <cellStyle name="貨幣 [0]_DDC Panel Order form" xfId="114"/>
    <cellStyle name="貨幣_DDC Panel Order form" xfId="115"/>
    <cellStyle name="普通_ 系统图 (2)" xfId="116"/>
    <cellStyle name="千分位[0]_DDC Panel Order form" xfId="117"/>
    <cellStyle name="千分位_DDC Panel Order form" xfId="118"/>
    <cellStyle name="千位[0]_3520" xfId="119"/>
    <cellStyle name="千位_3520" xfId="120"/>
    <cellStyle name="千位分隔" xfId="133" builtinId="3"/>
    <cellStyle name="千位分隔 2" xfId="121"/>
    <cellStyle name="千位分隔 2 2" xfId="122"/>
    <cellStyle name="千位分隔 2 3" xfId="123"/>
    <cellStyle name="千位分隔 2 4" xfId="124"/>
    <cellStyle name="千位分隔 3" xfId="125"/>
    <cellStyle name="千位分隔 4" xfId="138"/>
    <cellStyle name="千位分隔[0] 2" xfId="126"/>
    <cellStyle name="千位分隔[0] 3" xfId="127"/>
    <cellStyle name="样式 1" xfId="128"/>
    <cellStyle name="一般_NEGS" xfId="129"/>
    <cellStyle name="昗弨_Pacific Region P&amp;L" xfId="130"/>
    <cellStyle name="寘嬫愗傝 [0.00]_Region Orders (2)" xfId="131"/>
    <cellStyle name="寘嬫愗傝_Region Orders (2)" xfId="132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externalLink" Target="externalLinks/externalLink28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externalLink" Target="externalLinks/externalLink2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externalLink" Target="externalLinks/externalLink25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48" Type="http://schemas.openxmlformats.org/officeDocument/2006/relationships/externalLink" Target="externalLinks/externalLink29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externalLink" Target="externalLinks/externalLink27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8379;&#24503;&#24544;\&#22823;&#36830;&#21644;&#24179;&#24191;&#22330;\WFW311\TEMP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\g\LZL\WINDOWS\TEMP\MP-97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8379;&#24503;&#24544;\&#22823;&#36830;&#21644;&#24179;&#24191;&#22330;\WFW311\TEMP\Backup%20of%20Backup%20of%20LINDA%20LISTONE.xlk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8379;&#24503;&#24544;\&#22823;&#36830;&#21644;&#24179;&#24191;&#22330;\KPCMS\My%20Documents\GOLDPYR4\ARENTO\TOOLBOX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8379;&#24503;&#24544;\&#22823;&#36830;&#21644;&#24179;&#24191;&#22330;\WFW311\TEMP\fnl-gp2\ToolboxGP\Kor\OSP_Becht_Fi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8379;&#24503;&#24544;\&#22823;&#36830;&#21644;&#24179;&#24191;&#22330;\WFW311\TEMP\GP\tamer\DOS\TEMP\GPTLBX9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Startup" Target="SUNJIN/EXC/&#36890;&#27888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3385;&#28059;\D\ST\st2\tj\tjzh4.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y\d\LYF\&#23665;&#19996;&#25915;&#31243;\&#38738;&#23707;&#25915;&#31243;\&#38738;&#23707;&#22269;&#31246;\&#25253;&#20215;\&#22825;&#27888;&#24067;&#32447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_1\pc_1_c\&#26631;&#20934;\YA\53405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8379;&#24503;&#24544;\&#22823;&#36830;&#21644;&#24179;&#24191;&#22330;\WFW311\TEMP\GP\GP_Ph1\SBB-OIs\Hel-OI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dachen/AppData/Roaming/Microsoft/Excel/2015&#24180;&#36153;&#29992;&#39044;&#31639;&#21010;&#20998;&#26126;&#32454;&#34920;%20(version%201).xlsb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dachen/AppData/Roaming/Microsoft/Excel/ES%20Capex&#21644;Facility%202015%20&#23454;&#38469;&#25968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1161;&#29702;&#20107;&#39033;\&#21161;&#29702;\&#20184;&#27454;&#65288;&#25903;&#31080;&#30005;&#27719;&#65289;\2015\2015&#24180;&#36153;&#29992;&#39044;&#31639;&#21010;&#20998;&#26126;&#32454;&#34920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uraliang/AppData/Local/Microsoft/Windows/Temporary%20Internet%20Files/Content.Outlook/3U21307D/&#21103;&#26412;&#21512;&#21516;&#32479;&#35745;&#20998;&#26512;&#34920;--20151105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dachen/AppData/Roaming/Microsoft/Excel/2015&#24180;&#24230;&#39044;&#31639;&#33457;&#36153;&#24773;&#20917;&#32479;&#35745;_20151119%20(version%201).xlsb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udget\2015\2015%20summary%20of%20report\Database\back%20office\ES\2015&#24180;ES&#39044;&#31639;&#27719;&#24635;&#26410;&#23457;&#25209;2014122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inding/AppData/Local/Microsoft/Windows/Temporary%20Internet%20Files/Content.Outlook/YQL69W1G/2015&#24180;ES&#39044;&#31639;&#27719;&#24635;(&#19981;&#21547;&#25628;&#29399;&#21450;&#35270;&#39057;&#22825;&#27941;)-141104&#19969;&#22763;&#27665;&#23435;&#26790;&#3863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nan/AppData/Local/Microsoft/Windows/Temporary%20Internet%20Files/Content.Outlook/Y5RYST7G/&#19969;%20&#31532;&#19968;&#29256;%20%202014&#24180;ES&#39044;&#31639;&#27719;&#24635;(&#19981;&#21547;&#25628;&#29399;&#21450;&#35270;&#39057;&#22825;&#27941;)-131101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nnyliang/AppData/Local/Microsoft/Windows/Temporary%20Internet%20Files/Content.Outlook/LROXQIT9/2015&#24180;ES&#39044;&#31639;&#27719;&#24635;(&#19981;&#21547;&#25628;&#29399;&#21450;&#35270;&#39057;&#22825;&#27941;)-&#26631;&#32511;&#37096;&#20998;1107%20(2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2016&#24180;ES&#36153;&#29992;&#39044;&#31639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SUNJIN/EXC/&#23385;&#22806;&#20132;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_1\pc_1_c\YA\534052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8379;&#24503;&#24544;\&#22823;&#36830;&#21644;&#24179;&#24191;&#22330;\WFW311\TEMP\GP\tamer\WINDOWS\GP_A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Startup" Target="ESTIMA~1/LINK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1016;&#24535;&#40857;\&#23436;&#20840;&#20849;&#20139;\2002&#26041;&#26696;\0325&#20108;&#21313;&#19968;&#19990;&#32426;&#22823;&#21414;\&#21407;&#25991;&#20214;\&#27719;&#24635;\excel\&#19968;&#21345;&#3689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0644;&#32418;&#26757;\&#20849;&#20139;\&#25237;&#26631;&#26041;&#26696;\&#23425;&#27874;&#24320;&#21457;&#21306;&#34892;&#25919;&#20013;&#24515;\&#31532;&#19977;&#29256;&#28145;&#21270;&#35774;&#35745;0516\&#25253;&#19994;&#20027;&#39044;&#31639;&#31532;&#19977;&#27425;\B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8379;&#24503;&#24544;\&#22823;&#36830;&#21644;&#24179;&#24191;&#22330;\CHR\ARBEJDE\Q4D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-team 1"/>
      <sheetName val="Financ. Overview"/>
      <sheetName val="Toolbox"/>
      <sheetName val="Mp_team 1"/>
    </sheetNames>
    <sheetDataSet>
      <sheetData sheetId="0" refreshError="1"/>
      <sheetData sheetId="1"/>
      <sheetData sheetId="2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box"/>
      <sheetName val="Toolb"/>
      <sheetName val="Toolbo"/>
    </sheetNames>
    <sheetDataSet>
      <sheetData sheetId="0" refreshError="1"/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.1R-Shou COP Gf"/>
      <sheetName val="SW-TEO"/>
    </sheetNames>
    <sheetDataSet>
      <sheetData sheetId="0" refreshError="1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ASSUMPTIONS"/>
      <sheetName val="POWER ASSUMPTION"/>
    </sheetNames>
    <sheetDataSet>
      <sheetData sheetId="0" refreshError="1"/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box"/>
      <sheetName val="XL4Poppy"/>
      <sheetName val="Toolb"/>
      <sheetName val="Toolbo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布1"/>
      <sheetName val="清单1"/>
    </sheet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增减项汇总0424"/>
      <sheetName val="增减项0424"/>
      <sheetName val="报价汇总200326"/>
      <sheetName val="预算200326"/>
      <sheetName val="主材表200326"/>
      <sheetName val="成本"/>
      <sheetName val="99CCTV"/>
      <sheetName val="99P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设置"/>
      <sheetName val="数据"/>
      <sheetName val="水平区"/>
      <sheetName val="子管理区"/>
      <sheetName val="干线区"/>
      <sheetName val="主管理区"/>
      <sheetName val="材料报价单"/>
      <sheetName val="辅助材料报价单"/>
      <sheetName val="总报价单"/>
      <sheetName val="自用材料报价单"/>
      <sheetName val="Sheet15"/>
      <sheetName val="Sheet16"/>
      <sheetName val="Macro1"/>
      <sheetName val="99CCTV"/>
      <sheetName val="99PA"/>
    </sheetNames>
    <sheetDataSet>
      <sheetData sheetId="0" refreshError="1">
        <row r="5">
          <cell r="D5" t="str">
            <v>天泰广场</v>
          </cell>
        </row>
        <row r="6">
          <cell r="D6" t="str">
            <v>北京市亚科神州电子技术发展公司</v>
          </cell>
        </row>
        <row r="7">
          <cell r="D7">
            <v>36479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报价单"/>
      <sheetName val="系数516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-TEO"/>
      <sheetName val="Sheet9"/>
    </sheetNames>
    <sheetDataSet>
      <sheetData sheetId="0" refreshError="1"/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预算包含范围2015与2014"/>
      <sheetName val="2015年费用申请记录"/>
      <sheetName val="2015预算稿 "/>
      <sheetName val="2014预算稿 "/>
      <sheetName val="基础数据"/>
      <sheetName val="班车费用"/>
      <sheetName val="阿姨工资奖金"/>
      <sheetName val="保洁服务费"/>
      <sheetName val="保安服务费"/>
      <sheetName val="部分费用明细（水电植物耗材茶歇）"/>
      <sheetName val="物业房租车位费"/>
      <sheetName val="媒体大厦物业费 能源费"/>
      <sheetName val="媒体大厦日常和工程费用"/>
      <sheetName val="搜狐媒体大厦工位"/>
      <sheetName val="Capex"/>
      <sheetName val="财产险"/>
      <sheetName val="武汉研发中心"/>
      <sheetName val="2015年公司车险及ES车辆养护"/>
      <sheetName val="装饰门禁电视空调维护2015"/>
      <sheetName val="2013预算稿"/>
      <sheetName val="与2011年预算对比帮助"/>
      <sheetName val="与2012年预算对比"/>
      <sheetName val="2012预算稿"/>
    </sheetNames>
    <sheetDataSet>
      <sheetData sheetId="0" refreshError="1"/>
      <sheetData sheetId="1" refreshError="1"/>
      <sheetData sheetId="2" refreshError="1">
        <row r="12">
          <cell r="G12">
            <v>553350</v>
          </cell>
          <cell r="J12">
            <v>666750</v>
          </cell>
          <cell r="M12">
            <v>723450</v>
          </cell>
          <cell r="P12">
            <v>482300</v>
          </cell>
        </row>
        <row r="13">
          <cell r="G13">
            <v>48324</v>
          </cell>
          <cell r="J13">
            <v>56070.12</v>
          </cell>
          <cell r="M13">
            <v>59943.01</v>
          </cell>
          <cell r="P13">
            <v>39961.999999999993</v>
          </cell>
        </row>
        <row r="54">
          <cell r="G54">
            <v>77508</v>
          </cell>
          <cell r="J54">
            <v>33652.800000000003</v>
          </cell>
          <cell r="M54">
            <v>26125.199999999997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年ES数据"/>
      <sheetName val="导出数据"/>
      <sheetName val="导出数据-1"/>
    </sheetNames>
    <sheetDataSet>
      <sheetData sheetId="0">
        <row r="6">
          <cell r="V6">
            <v>648884.19999999995</v>
          </cell>
        </row>
        <row r="18">
          <cell r="V18">
            <v>5360364.24</v>
          </cell>
        </row>
        <row r="19">
          <cell r="V19">
            <v>283467.52000000002</v>
          </cell>
        </row>
      </sheetData>
      <sheetData sheetId="1">
        <row r="53">
          <cell r="F53">
            <v>16564833.219999997</v>
          </cell>
          <cell r="J53">
            <v>10527914.309999999</v>
          </cell>
          <cell r="N53">
            <v>10548978.539999999</v>
          </cell>
        </row>
      </sheetData>
      <sheetData sheetId="2">
        <row r="46">
          <cell r="F46">
            <v>4567745.2420666674</v>
          </cell>
        </row>
        <row r="60">
          <cell r="V60">
            <v>6712708.7399999993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预算包含范围2015与2014"/>
      <sheetName val="2015年费用申请记录"/>
      <sheetName val="2015预算稿 "/>
      <sheetName val="2014预算稿 "/>
      <sheetName val="基础数据"/>
      <sheetName val="班车费用"/>
      <sheetName val="阿姨工资奖金"/>
      <sheetName val="保洁服务费"/>
      <sheetName val="保安服务费"/>
      <sheetName val="部分费用明细（水电植物耗材茶歇）"/>
      <sheetName val="物业房租车位费"/>
      <sheetName val="媒体大厦物业费 能源费"/>
      <sheetName val="媒体大厦日常和工程费用"/>
      <sheetName val="搜狐媒体大厦工位"/>
      <sheetName val="Capex"/>
      <sheetName val="财产险"/>
      <sheetName val="武汉研发中心"/>
      <sheetName val="2015年公司车险及ES车辆养护"/>
      <sheetName val="装饰门禁电视空调维护2015"/>
      <sheetName val="2013预算稿"/>
      <sheetName val="与2011年预算对比帮助"/>
      <sheetName val="与2012年预算对比"/>
      <sheetName val="2012预算稿"/>
    </sheetNames>
    <sheetDataSet>
      <sheetData sheetId="0" refreshError="1"/>
      <sheetData sheetId="1" refreshError="1">
        <row r="2">
          <cell r="H2">
            <v>645394.80000000005</v>
          </cell>
        </row>
        <row r="1192">
          <cell r="H1192">
            <v>559.5</v>
          </cell>
        </row>
        <row r="1193">
          <cell r="H1193">
            <v>5.69</v>
          </cell>
        </row>
        <row r="1194">
          <cell r="H1194">
            <v>18.32</v>
          </cell>
        </row>
        <row r="1195">
          <cell r="H1195">
            <v>1509.49</v>
          </cell>
        </row>
        <row r="1196">
          <cell r="H1196">
            <v>19.3</v>
          </cell>
        </row>
        <row r="1197">
          <cell r="H1197">
            <v>162.66999999999999</v>
          </cell>
        </row>
      </sheetData>
      <sheetData sheetId="2" refreshError="1">
        <row r="39">
          <cell r="G39">
            <v>50296.68</v>
          </cell>
          <cell r="J39">
            <v>48891.780000000013</v>
          </cell>
          <cell r="M39">
            <v>51508.800000000003</v>
          </cell>
        </row>
        <row r="40">
          <cell r="G40">
            <v>10781.16256000001</v>
          </cell>
          <cell r="J40">
            <v>16115.720000000005</v>
          </cell>
          <cell r="M40">
            <v>17087.61</v>
          </cell>
        </row>
        <row r="73">
          <cell r="G73">
            <v>12774</v>
          </cell>
          <cell r="J73">
            <v>12750</v>
          </cell>
          <cell r="M73">
            <v>13350</v>
          </cell>
        </row>
        <row r="119">
          <cell r="G119">
            <v>6946.93</v>
          </cell>
          <cell r="J119">
            <v>244892.19</v>
          </cell>
        </row>
        <row r="123">
          <cell r="F123">
            <v>1889190</v>
          </cell>
          <cell r="I123">
            <v>2387262.5</v>
          </cell>
          <cell r="K123">
            <v>2387262.5</v>
          </cell>
          <cell r="L123">
            <v>2387262.5</v>
          </cell>
          <cell r="O123">
            <v>2580835</v>
          </cell>
        </row>
      </sheetData>
      <sheetData sheetId="3" refreshError="1">
        <row r="6">
          <cell r="J6">
            <v>3394976.3250000002</v>
          </cell>
        </row>
        <row r="7">
          <cell r="J7">
            <v>1130081.9494500002</v>
          </cell>
        </row>
        <row r="11">
          <cell r="J11">
            <v>15330828</v>
          </cell>
        </row>
        <row r="12">
          <cell r="J12">
            <v>7694280</v>
          </cell>
        </row>
        <row r="13">
          <cell r="J13">
            <v>676164</v>
          </cell>
        </row>
        <row r="14">
          <cell r="J14">
            <v>14872200</v>
          </cell>
        </row>
        <row r="15">
          <cell r="J15">
            <v>1250268</v>
          </cell>
        </row>
        <row r="16">
          <cell r="J16">
            <v>9072000</v>
          </cell>
        </row>
        <row r="17">
          <cell r="J17">
            <v>751680</v>
          </cell>
        </row>
        <row r="18">
          <cell r="J18">
            <v>7709304.1600000001</v>
          </cell>
        </row>
        <row r="19">
          <cell r="J19">
            <v>922402.56</v>
          </cell>
        </row>
        <row r="20">
          <cell r="J20">
            <v>7795356.7999999998</v>
          </cell>
        </row>
        <row r="21">
          <cell r="J21">
            <v>922402.56</v>
          </cell>
        </row>
        <row r="23">
          <cell r="J23">
            <v>78120</v>
          </cell>
        </row>
        <row r="24">
          <cell r="J24">
            <v>48000</v>
          </cell>
        </row>
        <row r="25">
          <cell r="J25">
            <v>71400</v>
          </cell>
        </row>
        <row r="26">
          <cell r="J26">
            <v>153000</v>
          </cell>
        </row>
        <row r="27">
          <cell r="J27">
            <v>61200</v>
          </cell>
        </row>
        <row r="28">
          <cell r="J28">
            <v>216000</v>
          </cell>
        </row>
        <row r="29">
          <cell r="J29">
            <v>156000</v>
          </cell>
        </row>
        <row r="30">
          <cell r="J30">
            <v>177600</v>
          </cell>
        </row>
        <row r="32">
          <cell r="J32">
            <v>442740</v>
          </cell>
        </row>
        <row r="34">
          <cell r="J34">
            <v>7383783</v>
          </cell>
        </row>
        <row r="35">
          <cell r="J35">
            <v>203220</v>
          </cell>
        </row>
        <row r="36">
          <cell r="J36">
            <v>1342877.2170000002</v>
          </cell>
        </row>
        <row r="37">
          <cell r="J37">
            <v>86268.697224540912</v>
          </cell>
        </row>
        <row r="38">
          <cell r="J38">
            <v>216960</v>
          </cell>
        </row>
        <row r="39">
          <cell r="J39">
            <v>249960</v>
          </cell>
        </row>
        <row r="40">
          <cell r="J40">
            <v>362268</v>
          </cell>
        </row>
        <row r="41">
          <cell r="J41">
            <v>232260</v>
          </cell>
        </row>
        <row r="42">
          <cell r="J42">
            <v>352548</v>
          </cell>
        </row>
        <row r="44">
          <cell r="J44">
            <v>29952</v>
          </cell>
        </row>
        <row r="45">
          <cell r="J45">
            <v>431424</v>
          </cell>
        </row>
        <row r="46">
          <cell r="J46">
            <v>864</v>
          </cell>
        </row>
        <row r="47">
          <cell r="J47">
            <v>40608</v>
          </cell>
        </row>
        <row r="48">
          <cell r="J48">
            <v>78912</v>
          </cell>
        </row>
        <row r="49">
          <cell r="J49">
            <v>54444</v>
          </cell>
        </row>
        <row r="50">
          <cell r="J50">
            <v>52704</v>
          </cell>
        </row>
        <row r="51">
          <cell r="J51">
            <v>72144</v>
          </cell>
        </row>
        <row r="53">
          <cell r="J53">
            <v>228690</v>
          </cell>
        </row>
        <row r="54">
          <cell r="J54">
            <v>415800</v>
          </cell>
        </row>
        <row r="56">
          <cell r="J56">
            <v>415800</v>
          </cell>
        </row>
        <row r="57">
          <cell r="J57">
            <v>415800</v>
          </cell>
        </row>
        <row r="58">
          <cell r="J58">
            <v>415800</v>
          </cell>
        </row>
        <row r="60">
          <cell r="J60">
            <v>35256.98000000001</v>
          </cell>
        </row>
        <row r="61">
          <cell r="J61">
            <v>49500</v>
          </cell>
        </row>
        <row r="62">
          <cell r="J62">
            <v>37012.800000000003</v>
          </cell>
        </row>
        <row r="65">
          <cell r="J65">
            <v>59760.800000000003</v>
          </cell>
        </row>
        <row r="66">
          <cell r="J66">
            <v>63031.466666666674</v>
          </cell>
        </row>
        <row r="69">
          <cell r="J69">
            <v>148962</v>
          </cell>
        </row>
        <row r="70">
          <cell r="J70">
            <v>7200</v>
          </cell>
        </row>
        <row r="71">
          <cell r="J71">
            <v>138600</v>
          </cell>
        </row>
        <row r="73">
          <cell r="J73">
            <v>166800</v>
          </cell>
        </row>
        <row r="74">
          <cell r="J74">
            <v>138600</v>
          </cell>
        </row>
        <row r="75">
          <cell r="J75">
            <v>163800</v>
          </cell>
        </row>
        <row r="77">
          <cell r="J77">
            <v>16199.683499999999</v>
          </cell>
        </row>
        <row r="78">
          <cell r="J78">
            <v>22500</v>
          </cell>
        </row>
        <row r="80">
          <cell r="J80">
            <v>5040</v>
          </cell>
        </row>
        <row r="81">
          <cell r="J81">
            <v>12654.799999999997</v>
          </cell>
        </row>
        <row r="82">
          <cell r="J82">
            <v>37965</v>
          </cell>
        </row>
        <row r="83">
          <cell r="J83">
            <v>20000</v>
          </cell>
        </row>
        <row r="85">
          <cell r="J85">
            <v>195338.52</v>
          </cell>
        </row>
        <row r="86">
          <cell r="J86">
            <v>23623</v>
          </cell>
        </row>
        <row r="87">
          <cell r="J87">
            <v>22920</v>
          </cell>
        </row>
        <row r="88">
          <cell r="J88">
            <v>23623</v>
          </cell>
        </row>
        <row r="89">
          <cell r="J89">
            <v>23623</v>
          </cell>
        </row>
        <row r="91">
          <cell r="J91">
            <v>2305440</v>
          </cell>
        </row>
        <row r="94">
          <cell r="J94">
            <v>538671.24</v>
          </cell>
        </row>
        <row r="95">
          <cell r="J95">
            <v>20688</v>
          </cell>
        </row>
        <row r="96">
          <cell r="J96">
            <v>366660</v>
          </cell>
        </row>
        <row r="97">
          <cell r="J97">
            <v>15960</v>
          </cell>
        </row>
        <row r="98">
          <cell r="J98">
            <v>46596</v>
          </cell>
        </row>
        <row r="99">
          <cell r="J99">
            <v>32151.239999999998</v>
          </cell>
        </row>
        <row r="100">
          <cell r="J100">
            <v>27912</v>
          </cell>
        </row>
        <row r="101">
          <cell r="J101">
            <v>28704</v>
          </cell>
        </row>
        <row r="102">
          <cell r="J102">
            <v>13200</v>
          </cell>
        </row>
        <row r="103">
          <cell r="J103">
            <v>0</v>
          </cell>
        </row>
        <row r="104">
          <cell r="J104">
            <v>13200</v>
          </cell>
        </row>
        <row r="106">
          <cell r="J106">
            <v>578739.88799999992</v>
          </cell>
        </row>
        <row r="107">
          <cell r="J107">
            <v>8791</v>
          </cell>
        </row>
        <row r="108">
          <cell r="J108">
            <v>57526</v>
          </cell>
        </row>
        <row r="109">
          <cell r="J109">
            <v>79100.000000000015</v>
          </cell>
        </row>
        <row r="113">
          <cell r="J113">
            <v>47314.079999999987</v>
          </cell>
        </row>
        <row r="115">
          <cell r="J115">
            <v>1134472.7625</v>
          </cell>
        </row>
        <row r="116">
          <cell r="J116">
            <v>593731</v>
          </cell>
        </row>
        <row r="117">
          <cell r="J117">
            <v>101237</v>
          </cell>
        </row>
        <row r="119">
          <cell r="J119">
            <v>499203.78199999995</v>
          </cell>
        </row>
        <row r="120">
          <cell r="J120">
            <v>499203.78199999995</v>
          </cell>
        </row>
        <row r="121">
          <cell r="J121">
            <v>34980638.799999997</v>
          </cell>
        </row>
        <row r="122">
          <cell r="J122">
            <v>411400</v>
          </cell>
        </row>
        <row r="124">
          <cell r="J124">
            <v>367095.2169</v>
          </cell>
        </row>
        <row r="125">
          <cell r="J125">
            <v>154000</v>
          </cell>
        </row>
        <row r="130">
          <cell r="J130">
            <v>3334232</v>
          </cell>
        </row>
      </sheetData>
      <sheetData sheetId="4" refreshError="1">
        <row r="18">
          <cell r="E18">
            <v>0.11</v>
          </cell>
        </row>
      </sheetData>
      <sheetData sheetId="5" refreshError="1"/>
      <sheetData sheetId="6" refreshError="1"/>
      <sheetData sheetId="7" refreshError="1">
        <row r="3">
          <cell r="F3">
            <v>15000</v>
          </cell>
        </row>
        <row r="11">
          <cell r="D11">
            <v>16349.302199999998</v>
          </cell>
        </row>
        <row r="17">
          <cell r="D17">
            <v>0</v>
          </cell>
        </row>
        <row r="26">
          <cell r="D26">
            <v>24750</v>
          </cell>
        </row>
        <row r="57">
          <cell r="D57">
            <v>5987.5199999999995</v>
          </cell>
        </row>
        <row r="70">
          <cell r="D70">
            <v>40898.550000000003</v>
          </cell>
        </row>
        <row r="78">
          <cell r="D78">
            <v>14409.964800000003</v>
          </cell>
        </row>
      </sheetData>
      <sheetData sheetId="8" refreshError="1">
        <row r="6">
          <cell r="I6">
            <v>28800</v>
          </cell>
        </row>
        <row r="13">
          <cell r="H13">
            <v>15944</v>
          </cell>
        </row>
        <row r="26">
          <cell r="H26">
            <v>32900</v>
          </cell>
        </row>
        <row r="39">
          <cell r="H39">
            <v>32900</v>
          </cell>
        </row>
        <row r="52">
          <cell r="H52">
            <v>7896</v>
          </cell>
        </row>
        <row r="69">
          <cell r="H69">
            <v>65300</v>
          </cell>
        </row>
        <row r="83">
          <cell r="H83">
            <v>25004</v>
          </cell>
        </row>
      </sheetData>
      <sheetData sheetId="9" refreshError="1">
        <row r="17">
          <cell r="E17">
            <v>38076</v>
          </cell>
          <cell r="H17">
            <v>19012</v>
          </cell>
          <cell r="K17">
            <v>22134</v>
          </cell>
          <cell r="N17">
            <v>3170.56</v>
          </cell>
          <cell r="Q17">
            <v>39426.44</v>
          </cell>
        </row>
        <row r="38">
          <cell r="E38">
            <v>3983</v>
          </cell>
          <cell r="G38">
            <v>3753</v>
          </cell>
          <cell r="I38">
            <v>8127</v>
          </cell>
          <cell r="M38">
            <v>4847</v>
          </cell>
          <cell r="O38">
            <v>27</v>
          </cell>
          <cell r="Q38">
            <v>0</v>
          </cell>
          <cell r="W38">
            <v>36295.5</v>
          </cell>
          <cell r="Y38">
            <v>1072.56</v>
          </cell>
          <cell r="AA38">
            <v>3018.7200000000003</v>
          </cell>
        </row>
        <row r="198">
          <cell r="C198">
            <v>4840.0000000000009</v>
          </cell>
          <cell r="E198">
            <v>4840.0000000000009</v>
          </cell>
        </row>
      </sheetData>
      <sheetData sheetId="10" refreshError="1">
        <row r="26">
          <cell r="G26">
            <v>1307877.0155000002</v>
          </cell>
          <cell r="K26">
            <v>548776.995</v>
          </cell>
        </row>
        <row r="30">
          <cell r="H30">
            <v>0</v>
          </cell>
          <cell r="L30">
            <v>0</v>
          </cell>
        </row>
        <row r="36">
          <cell r="H36">
            <v>0</v>
          </cell>
          <cell r="L36">
            <v>0</v>
          </cell>
        </row>
        <row r="37">
          <cell r="H37">
            <v>12600</v>
          </cell>
          <cell r="L37">
            <v>58800</v>
          </cell>
        </row>
      </sheetData>
      <sheetData sheetId="11" refreshError="1">
        <row r="19">
          <cell r="B19">
            <v>1282682.3558333337</v>
          </cell>
        </row>
        <row r="36">
          <cell r="D36">
            <v>23595</v>
          </cell>
        </row>
        <row r="53">
          <cell r="D53">
            <v>536686</v>
          </cell>
        </row>
        <row r="60">
          <cell r="I60">
            <v>1353230.2673999998</v>
          </cell>
        </row>
        <row r="68">
          <cell r="E68">
            <v>76718.36569282136</v>
          </cell>
        </row>
      </sheetData>
      <sheetData sheetId="12" refreshError="1">
        <row r="56">
          <cell r="F56">
            <v>397207.4</v>
          </cell>
          <cell r="G56">
            <v>1125392.8399999999</v>
          </cell>
          <cell r="H56">
            <v>1129745.26</v>
          </cell>
          <cell r="I56">
            <v>1040589.26</v>
          </cell>
        </row>
      </sheetData>
      <sheetData sheetId="13" refreshError="1"/>
      <sheetData sheetId="14" refreshError="1">
        <row r="12">
          <cell r="D12">
            <v>91500</v>
          </cell>
        </row>
        <row r="45">
          <cell r="D45">
            <v>6106660</v>
          </cell>
          <cell r="F45">
            <v>7789442.5</v>
          </cell>
          <cell r="H45">
            <v>7100812.5</v>
          </cell>
          <cell r="J45">
            <v>6964335</v>
          </cell>
        </row>
        <row r="46">
          <cell r="D46">
            <v>102250</v>
          </cell>
          <cell r="F46">
            <v>102250</v>
          </cell>
          <cell r="H46">
            <v>102250</v>
          </cell>
          <cell r="J46">
            <v>102250</v>
          </cell>
        </row>
      </sheetData>
      <sheetData sheetId="15" refreshError="1">
        <row r="8">
          <cell r="H8">
            <v>0.90120426747792326</v>
          </cell>
          <cell r="I8">
            <v>9.8795732522076699E-2</v>
          </cell>
          <cell r="K8">
            <v>478500.42500000005</v>
          </cell>
        </row>
        <row r="26">
          <cell r="H26">
            <v>0.93221345657393517</v>
          </cell>
          <cell r="I26">
            <v>6.7786543426064785E-2</v>
          </cell>
          <cell r="K26">
            <v>6924.125</v>
          </cell>
        </row>
      </sheetData>
      <sheetData sheetId="16" refreshError="1">
        <row r="4">
          <cell r="B4">
            <v>498</v>
          </cell>
        </row>
        <row r="25">
          <cell r="B25">
            <v>11357.035555555556</v>
          </cell>
        </row>
        <row r="35">
          <cell r="B35">
            <v>8100</v>
          </cell>
        </row>
        <row r="57">
          <cell r="B57">
            <v>924.5830000000002</v>
          </cell>
        </row>
        <row r="77">
          <cell r="B77">
            <v>54.545454545454547</v>
          </cell>
        </row>
        <row r="97">
          <cell r="B97">
            <v>36.363636363636367</v>
          </cell>
        </row>
        <row r="109">
          <cell r="B109">
            <v>2300</v>
          </cell>
        </row>
        <row r="126">
          <cell r="B126">
            <v>412000</v>
          </cell>
        </row>
        <row r="131">
          <cell r="B131">
            <v>108000</v>
          </cell>
        </row>
        <row r="143">
          <cell r="B143">
            <v>64684</v>
          </cell>
        </row>
        <row r="158">
          <cell r="B158">
            <v>29416</v>
          </cell>
        </row>
        <row r="171">
          <cell r="B171">
            <v>19610</v>
          </cell>
        </row>
        <row r="186">
          <cell r="B186">
            <v>26760</v>
          </cell>
        </row>
        <row r="203">
          <cell r="B203">
            <v>47400</v>
          </cell>
        </row>
        <row r="218">
          <cell r="B218">
            <v>2000</v>
          </cell>
        </row>
        <row r="231">
          <cell r="B231">
            <v>24000</v>
          </cell>
        </row>
      </sheetData>
      <sheetData sheetId="17" refreshError="1">
        <row r="30">
          <cell r="B30">
            <v>60064.307800000002</v>
          </cell>
          <cell r="C30">
            <v>75859.13</v>
          </cell>
          <cell r="D30">
            <v>145464.334</v>
          </cell>
          <cell r="E30">
            <v>45739.965900000003</v>
          </cell>
        </row>
        <row r="31">
          <cell r="G31">
            <v>9333.3333333333339</v>
          </cell>
        </row>
      </sheetData>
      <sheetData sheetId="18" refreshError="1">
        <row r="16">
          <cell r="G16">
            <v>223965</v>
          </cell>
          <cell r="H16">
            <v>178491</v>
          </cell>
          <cell r="I16">
            <v>165454</v>
          </cell>
          <cell r="J16">
            <v>168424</v>
          </cell>
        </row>
        <row r="17">
          <cell r="G17">
            <v>74030</v>
          </cell>
          <cell r="H17">
            <v>99785</v>
          </cell>
          <cell r="I17">
            <v>99785</v>
          </cell>
          <cell r="J17">
            <v>99785</v>
          </cell>
        </row>
        <row r="39">
          <cell r="G39">
            <v>57755.8</v>
          </cell>
          <cell r="H39">
            <v>1042775.2</v>
          </cell>
          <cell r="I39">
            <v>82955.8</v>
          </cell>
          <cell r="J39">
            <v>125166.20000000001</v>
          </cell>
        </row>
        <row r="40">
          <cell r="G40">
            <v>9936</v>
          </cell>
          <cell r="H40">
            <v>9936</v>
          </cell>
          <cell r="I40">
            <v>9936</v>
          </cell>
          <cell r="J40">
            <v>9936</v>
          </cell>
        </row>
        <row r="43">
          <cell r="G43">
            <v>0</v>
          </cell>
          <cell r="H43">
            <v>3996</v>
          </cell>
          <cell r="I43">
            <v>77015</v>
          </cell>
          <cell r="J43">
            <v>3996</v>
          </cell>
        </row>
      </sheetData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014年合同统计分析"/>
      <sheetName val="2015年合同统计分析"/>
      <sheetName val="2014合同"/>
      <sheetName val="2015合同"/>
    </sheetNames>
    <sheetDataSet>
      <sheetData sheetId="0"/>
      <sheetData sheetId="1"/>
      <sheetData sheetId="2"/>
      <sheetData sheetId="3"/>
      <sheetData sheetId="4">
        <row r="65">
          <cell r="Q65">
            <v>1938438.3200000003</v>
          </cell>
        </row>
        <row r="66">
          <cell r="Q66">
            <v>3088698.04</v>
          </cell>
        </row>
        <row r="67">
          <cell r="Q67">
            <v>604236.71999999974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按购置类别统计"/>
      <sheetName val="实际购置费用"/>
      <sheetName val="summary"/>
      <sheetName val="Sheet3"/>
    </sheetNames>
    <sheetDataSet>
      <sheetData sheetId="0" refreshError="1"/>
      <sheetData sheetId="1">
        <row r="3">
          <cell r="E3">
            <v>1601845.8399999999</v>
          </cell>
        </row>
        <row r="5">
          <cell r="E5">
            <v>4025015.5500000003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预算包含范围2015与2014"/>
      <sheetName val="2014 vs 2015"/>
      <sheetName val="2015预算稿 "/>
      <sheetName val="2014预算稿 "/>
      <sheetName val="武汉研发中心"/>
      <sheetName val="物业房租车位费"/>
      <sheetName val="媒体大厦日常和工程费用"/>
      <sheetName val="基础数据"/>
      <sheetName val="保安服务费"/>
      <sheetName val="保洁服务费"/>
      <sheetName val="媒体大厦物业费 能源费"/>
      <sheetName val="部分费用明细（水电植物耗材茶歇）"/>
      <sheetName val="阿姨工资奖金"/>
      <sheetName val="capex"/>
      <sheetName val="财产险"/>
      <sheetName val="2015年公司车险及ES车辆养护"/>
      <sheetName val="班车费用"/>
      <sheetName val="装饰门禁电视空调维护2015"/>
      <sheetName val="搜狐媒体大厦工位"/>
      <sheetName val="2013预算稿"/>
      <sheetName val="与2011年预算对比帮助"/>
      <sheetName val="与2012年预算对比"/>
      <sheetName val="2012预算稿"/>
      <sheetName val="2014预算稿 M15"/>
    </sheetNames>
    <sheetDataSet>
      <sheetData sheetId="0" refreshError="1"/>
      <sheetData sheetId="1" refreshError="1"/>
      <sheetData sheetId="2" refreshError="1"/>
      <sheetData sheetId="3" refreshError="1">
        <row r="6">
          <cell r="J6">
            <v>3394976.3250000002</v>
          </cell>
        </row>
        <row r="7">
          <cell r="J7">
            <v>1130081.9494500002</v>
          </cell>
        </row>
        <row r="11">
          <cell r="J11">
            <v>15330828</v>
          </cell>
        </row>
        <row r="12">
          <cell r="J12">
            <v>7694280</v>
          </cell>
        </row>
        <row r="13">
          <cell r="J13">
            <v>676164</v>
          </cell>
        </row>
        <row r="14">
          <cell r="J14">
            <v>14872200</v>
          </cell>
        </row>
        <row r="15">
          <cell r="J15">
            <v>1250268</v>
          </cell>
        </row>
        <row r="16">
          <cell r="J16">
            <v>9072000</v>
          </cell>
        </row>
        <row r="17">
          <cell r="J17">
            <v>751680</v>
          </cell>
        </row>
        <row r="18">
          <cell r="J18">
            <v>7709304.1600000001</v>
          </cell>
        </row>
        <row r="19">
          <cell r="J19">
            <v>922402.56</v>
          </cell>
        </row>
        <row r="20">
          <cell r="J20">
            <v>7795356.7999999998</v>
          </cell>
        </row>
        <row r="21">
          <cell r="J21">
            <v>922402.56</v>
          </cell>
        </row>
        <row r="23">
          <cell r="J23">
            <v>78120</v>
          </cell>
        </row>
        <row r="24">
          <cell r="J24">
            <v>48000</v>
          </cell>
        </row>
        <row r="25">
          <cell r="J25">
            <v>71400</v>
          </cell>
        </row>
        <row r="26">
          <cell r="J26">
            <v>153000</v>
          </cell>
        </row>
        <row r="27">
          <cell r="J27">
            <v>61200</v>
          </cell>
        </row>
        <row r="28">
          <cell r="J28">
            <v>216000</v>
          </cell>
        </row>
        <row r="29">
          <cell r="J29">
            <v>156000</v>
          </cell>
        </row>
        <row r="30">
          <cell r="J30">
            <v>177600</v>
          </cell>
        </row>
        <row r="32">
          <cell r="J32">
            <v>442740</v>
          </cell>
        </row>
        <row r="34">
          <cell r="J34">
            <v>7383783</v>
          </cell>
        </row>
        <row r="35">
          <cell r="J35">
            <v>203220</v>
          </cell>
        </row>
        <row r="36">
          <cell r="J36">
            <v>1342877.2170000002</v>
          </cell>
        </row>
        <row r="37">
          <cell r="J37">
            <v>86268.697224540912</v>
          </cell>
        </row>
        <row r="38">
          <cell r="J38">
            <v>216960</v>
          </cell>
        </row>
        <row r="39">
          <cell r="J39">
            <v>249960</v>
          </cell>
        </row>
        <row r="40">
          <cell r="J40">
            <v>362268</v>
          </cell>
        </row>
        <row r="41">
          <cell r="J41">
            <v>232260</v>
          </cell>
        </row>
        <row r="42">
          <cell r="J42">
            <v>352548</v>
          </cell>
        </row>
        <row r="44">
          <cell r="J44">
            <v>29952</v>
          </cell>
        </row>
        <row r="45">
          <cell r="J45">
            <v>431424</v>
          </cell>
        </row>
        <row r="46">
          <cell r="J46">
            <v>864</v>
          </cell>
        </row>
        <row r="47">
          <cell r="J47">
            <v>40608</v>
          </cell>
        </row>
        <row r="48">
          <cell r="J48">
            <v>78912</v>
          </cell>
        </row>
        <row r="49">
          <cell r="J49">
            <v>54444</v>
          </cell>
        </row>
        <row r="50">
          <cell r="J50">
            <v>52704</v>
          </cell>
        </row>
        <row r="51">
          <cell r="J51">
            <v>72144</v>
          </cell>
        </row>
        <row r="53">
          <cell r="J53">
            <v>228690</v>
          </cell>
        </row>
        <row r="54">
          <cell r="J54">
            <v>415800</v>
          </cell>
        </row>
        <row r="55">
          <cell r="J55">
            <v>831600</v>
          </cell>
        </row>
        <row r="56">
          <cell r="J56">
            <v>415800</v>
          </cell>
        </row>
        <row r="57">
          <cell r="J57">
            <v>415800</v>
          </cell>
        </row>
        <row r="58">
          <cell r="J58">
            <v>415800</v>
          </cell>
        </row>
        <row r="60">
          <cell r="J60">
            <v>35256.98000000001</v>
          </cell>
        </row>
        <row r="61">
          <cell r="J61">
            <v>49500</v>
          </cell>
        </row>
        <row r="62">
          <cell r="J62">
            <v>37012.800000000003</v>
          </cell>
        </row>
        <row r="63">
          <cell r="J63">
            <v>66184.800000000003</v>
          </cell>
        </row>
        <row r="64">
          <cell r="J64">
            <v>66184.800000000003</v>
          </cell>
        </row>
        <row r="65">
          <cell r="J65">
            <v>59760.800000000003</v>
          </cell>
        </row>
        <row r="66">
          <cell r="J66">
            <v>63031.466666666674</v>
          </cell>
        </row>
        <row r="69">
          <cell r="J69">
            <v>148962</v>
          </cell>
        </row>
        <row r="70">
          <cell r="J70">
            <v>7200</v>
          </cell>
        </row>
        <row r="71">
          <cell r="J71">
            <v>138600</v>
          </cell>
        </row>
        <row r="72">
          <cell r="J72">
            <v>509400</v>
          </cell>
        </row>
        <row r="73">
          <cell r="J73">
            <v>166800</v>
          </cell>
        </row>
        <row r="74">
          <cell r="J74">
            <v>138600</v>
          </cell>
        </row>
        <row r="75">
          <cell r="J75">
            <v>163800</v>
          </cell>
        </row>
        <row r="76">
          <cell r="J76">
            <v>131539.9835</v>
          </cell>
        </row>
        <row r="77">
          <cell r="J77">
            <v>16199.683499999999</v>
          </cell>
        </row>
        <row r="78">
          <cell r="J78">
            <v>22500</v>
          </cell>
        </row>
        <row r="79">
          <cell r="J79">
            <v>37180.5</v>
          </cell>
        </row>
        <row r="80">
          <cell r="J80">
            <v>5040</v>
          </cell>
        </row>
        <row r="81">
          <cell r="J81">
            <v>12654.799999999997</v>
          </cell>
        </row>
        <row r="82">
          <cell r="J82">
            <v>37965</v>
          </cell>
        </row>
        <row r="83">
          <cell r="J83">
            <v>20000</v>
          </cell>
        </row>
        <row r="85">
          <cell r="J85">
            <v>195338.52</v>
          </cell>
        </row>
        <row r="86">
          <cell r="J86">
            <v>23623</v>
          </cell>
        </row>
        <row r="87">
          <cell r="J87">
            <v>22920</v>
          </cell>
        </row>
        <row r="88">
          <cell r="J88">
            <v>23623</v>
          </cell>
        </row>
        <row r="89">
          <cell r="J89">
            <v>23623</v>
          </cell>
        </row>
        <row r="91">
          <cell r="J91">
            <v>2305440</v>
          </cell>
        </row>
        <row r="94">
          <cell r="J94">
            <v>538671.24</v>
          </cell>
        </row>
        <row r="95">
          <cell r="J95">
            <v>20688</v>
          </cell>
        </row>
        <row r="96">
          <cell r="J96">
            <v>366660</v>
          </cell>
        </row>
        <row r="97">
          <cell r="J97">
            <v>15960</v>
          </cell>
        </row>
        <row r="98">
          <cell r="J98">
            <v>46596</v>
          </cell>
        </row>
        <row r="99">
          <cell r="J99">
            <v>32151.239999999998</v>
          </cell>
        </row>
        <row r="100">
          <cell r="J100">
            <v>27912</v>
          </cell>
        </row>
        <row r="101">
          <cell r="J101">
            <v>28704</v>
          </cell>
        </row>
        <row r="102">
          <cell r="J102">
            <v>13200</v>
          </cell>
        </row>
        <row r="103">
          <cell r="J103">
            <v>0</v>
          </cell>
        </row>
        <row r="104">
          <cell r="J104">
            <v>13200</v>
          </cell>
        </row>
        <row r="106">
          <cell r="J106">
            <v>578739.88799999992</v>
          </cell>
        </row>
        <row r="107">
          <cell r="J107">
            <v>8791</v>
          </cell>
        </row>
        <row r="108">
          <cell r="J108">
            <v>57526</v>
          </cell>
        </row>
        <row r="109">
          <cell r="J109">
            <v>79100.000000000015</v>
          </cell>
        </row>
        <row r="113">
          <cell r="J113">
            <v>47314.079999999987</v>
          </cell>
        </row>
        <row r="115">
          <cell r="J115">
            <v>1134472.7625</v>
          </cell>
        </row>
        <row r="116">
          <cell r="J116">
            <v>593731</v>
          </cell>
        </row>
        <row r="117">
          <cell r="J117">
            <v>101237</v>
          </cell>
        </row>
        <row r="119">
          <cell r="J119">
            <v>499203.78199999995</v>
          </cell>
        </row>
        <row r="120">
          <cell r="J120">
            <v>499203.78199999995</v>
          </cell>
        </row>
        <row r="121">
          <cell r="J121">
            <v>34980638.799999997</v>
          </cell>
        </row>
        <row r="122">
          <cell r="J122">
            <v>411400</v>
          </cell>
        </row>
        <row r="124">
          <cell r="J124">
            <v>367095.2169</v>
          </cell>
        </row>
        <row r="125">
          <cell r="J125">
            <v>154000</v>
          </cell>
        </row>
        <row r="130">
          <cell r="J130">
            <v>3334232</v>
          </cell>
        </row>
      </sheetData>
      <sheetData sheetId="4" refreshError="1">
        <row r="4">
          <cell r="B4">
            <v>498</v>
          </cell>
        </row>
        <row r="11">
          <cell r="B11">
            <v>99.600000000000009</v>
          </cell>
        </row>
        <row r="25">
          <cell r="B25">
            <v>11357.035555555556</v>
          </cell>
        </row>
        <row r="29">
          <cell r="B29">
            <v>13628.442666666668</v>
          </cell>
        </row>
        <row r="35">
          <cell r="B35">
            <v>8100</v>
          </cell>
        </row>
        <row r="42">
          <cell r="B42">
            <v>742.5</v>
          </cell>
        </row>
        <row r="57">
          <cell r="B57">
            <v>924.5830000000002</v>
          </cell>
        </row>
        <row r="61">
          <cell r="B61">
            <v>1063.2704500000002</v>
          </cell>
        </row>
        <row r="77">
          <cell r="B77">
            <v>54.545454545454547</v>
          </cell>
        </row>
        <row r="81">
          <cell r="B81">
            <v>62.727272727272727</v>
          </cell>
        </row>
        <row r="97">
          <cell r="B97">
            <v>36.363636363636367</v>
          </cell>
        </row>
        <row r="101">
          <cell r="B101">
            <v>41.81818181818182</v>
          </cell>
        </row>
        <row r="109">
          <cell r="B109">
            <v>2300</v>
          </cell>
        </row>
        <row r="118">
          <cell r="B118">
            <v>412.08333333333331</v>
          </cell>
        </row>
        <row r="126">
          <cell r="B126">
            <v>412000</v>
          </cell>
        </row>
        <row r="131">
          <cell r="B131">
            <v>108000</v>
          </cell>
        </row>
        <row r="135">
          <cell r="B135">
            <v>36000</v>
          </cell>
        </row>
        <row r="143">
          <cell r="B143">
            <v>64684</v>
          </cell>
        </row>
        <row r="152">
          <cell r="B152">
            <v>5652</v>
          </cell>
        </row>
        <row r="158">
          <cell r="B158">
            <v>29416</v>
          </cell>
        </row>
        <row r="165">
          <cell r="B165">
            <v>2451.3333333333335</v>
          </cell>
        </row>
        <row r="171">
          <cell r="B171">
            <v>19610</v>
          </cell>
        </row>
        <row r="178">
          <cell r="B178">
            <v>1634.1666666666667</v>
          </cell>
        </row>
        <row r="186">
          <cell r="B186">
            <v>26760</v>
          </cell>
        </row>
        <row r="195">
          <cell r="B195">
            <v>2676</v>
          </cell>
        </row>
        <row r="203">
          <cell r="B203">
            <v>47400</v>
          </cell>
        </row>
        <row r="212">
          <cell r="B212">
            <v>4740</v>
          </cell>
        </row>
        <row r="218">
          <cell r="B218">
            <v>2000</v>
          </cell>
        </row>
        <row r="225">
          <cell r="B225">
            <v>183.33333333333334</v>
          </cell>
        </row>
        <row r="231">
          <cell r="B231">
            <v>24000</v>
          </cell>
        </row>
        <row r="238">
          <cell r="B238">
            <v>3000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0">
          <cell r="D10">
            <v>13447.5</v>
          </cell>
        </row>
        <row r="11">
          <cell r="D11">
            <v>17819.651849999998</v>
          </cell>
        </row>
        <row r="26">
          <cell r="D26">
            <v>24750</v>
          </cell>
        </row>
        <row r="39">
          <cell r="D39">
            <v>40898.550000000003</v>
          </cell>
        </row>
        <row r="68">
          <cell r="D68">
            <v>24948</v>
          </cell>
        </row>
      </sheetData>
      <sheetData sheetId="10" refreshError="1">
        <row r="19">
          <cell r="B19">
            <v>1282682.3558333337</v>
          </cell>
        </row>
        <row r="60">
          <cell r="I60">
            <v>1353230.2673999998</v>
          </cell>
        </row>
        <row r="68">
          <cell r="E68">
            <v>76718.36569282136</v>
          </cell>
        </row>
      </sheetData>
      <sheetData sheetId="11" refreshError="1">
        <row r="17">
          <cell r="E17">
            <v>66073</v>
          </cell>
        </row>
        <row r="198">
          <cell r="C198">
            <v>4840.0000000000009</v>
          </cell>
          <cell r="E198">
            <v>4840.0000000000009</v>
          </cell>
        </row>
      </sheetData>
      <sheetData sheetId="12" refreshError="1"/>
      <sheetData sheetId="13" refreshError="1">
        <row r="45">
          <cell r="D45">
            <v>11469484.050000001</v>
          </cell>
          <cell r="F45">
            <v>11337654.050000001</v>
          </cell>
          <cell r="H45">
            <v>11401654.050000001</v>
          </cell>
          <cell r="J45">
            <v>11113924.050000001</v>
          </cell>
        </row>
        <row r="46">
          <cell r="D46">
            <v>102250</v>
          </cell>
          <cell r="F46">
            <v>102250</v>
          </cell>
          <cell r="H46">
            <v>102250</v>
          </cell>
          <cell r="J46">
            <v>102250</v>
          </cell>
        </row>
      </sheetData>
      <sheetData sheetId="14" refreshError="1">
        <row r="8">
          <cell r="H8">
            <v>0.85827925203684019</v>
          </cell>
          <cell r="I8">
            <v>0.14172074796315984</v>
          </cell>
          <cell r="K8">
            <v>502431.60833333334</v>
          </cell>
        </row>
      </sheetData>
      <sheetData sheetId="15" refreshError="1">
        <row r="30">
          <cell r="B30">
            <v>60064.307800000002</v>
          </cell>
          <cell r="C30">
            <v>75859.13</v>
          </cell>
          <cell r="D30">
            <v>145464.334</v>
          </cell>
          <cell r="E30">
            <v>45739.965900000003</v>
          </cell>
        </row>
      </sheetData>
      <sheetData sheetId="16" refreshError="1"/>
      <sheetData sheetId="17" refreshError="1">
        <row r="10">
          <cell r="G10">
            <v>356931.52</v>
          </cell>
          <cell r="H10">
            <v>392498.27</v>
          </cell>
          <cell r="I10">
            <v>395777.27</v>
          </cell>
          <cell r="J10">
            <v>399080.27</v>
          </cell>
        </row>
        <row r="30">
          <cell r="H30">
            <v>2279413.5</v>
          </cell>
          <cell r="I30">
            <v>100919.5</v>
          </cell>
          <cell r="J30">
            <v>183695.5</v>
          </cell>
        </row>
        <row r="33">
          <cell r="G33">
            <v>0</v>
          </cell>
          <cell r="H33">
            <v>3996</v>
          </cell>
          <cell r="I33">
            <v>77015</v>
          </cell>
          <cell r="J33">
            <v>3996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预算稿 "/>
      <sheetName val="2013预算稿"/>
      <sheetName val="基础数据"/>
      <sheetName val="物业房租车位费"/>
      <sheetName val="部分费用明细（水电植物耗材茶歇）"/>
      <sheetName val="保安服务费"/>
      <sheetName val="保洁服务费"/>
      <sheetName val="阿姨工资奖金"/>
      <sheetName val="班车费用"/>
      <sheetName val="媒体大厦物业费 能源费"/>
      <sheetName val="媒体大厦日常和工程费用"/>
      <sheetName val="搜狐媒体大厦工位"/>
      <sheetName val="财产险"/>
      <sheetName val="capex"/>
      <sheetName val="北京地区公车车险及ES车辆养护"/>
      <sheetName val="装饰门禁电视空调维护"/>
      <sheetName val="武汉研发中心"/>
      <sheetName val="与2011年预算对比帮助"/>
      <sheetName val="与2012年预算对比"/>
      <sheetName val="2012预算稿"/>
    </sheetNames>
    <sheetDataSet>
      <sheetData sheetId="0" refreshError="1"/>
      <sheetData sheetId="1" refreshError="1"/>
      <sheetData sheetId="2">
        <row r="17">
          <cell r="E17">
            <v>0.16284779050736498</v>
          </cell>
        </row>
        <row r="21">
          <cell r="D21">
            <v>82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预算稿"/>
      <sheetName val="与2011年预算对比帮助"/>
      <sheetName val="搜狐媒体大厦"/>
      <sheetName val="与2012年预算对比"/>
      <sheetName val="2012预算稿"/>
      <sheetName val="基础数据"/>
      <sheetName val="物业房租车位费"/>
      <sheetName val="部分费用明细（水电植物耗材茶歇）"/>
      <sheetName val="保安服务费"/>
      <sheetName val="保洁服务费"/>
      <sheetName val="班车费用"/>
      <sheetName val="阿姨工资奖金"/>
      <sheetName val="2012年装饰门禁电视空调维护"/>
      <sheetName val="2012年财产保险"/>
      <sheetName val="2012年Capex明细"/>
      <sheetName val="2013年公司车险及ES车辆养护"/>
      <sheetName val="2011预算稿"/>
      <sheetName val="搜狐网络大厦办公室改造基础装修、网络建设和家具"/>
      <sheetName val="搜狐网络大厦IT预算汇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B6">
            <v>0.2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预算稿 "/>
      <sheetName val="2013预算稿"/>
      <sheetName val="基础数据"/>
      <sheetName val="物业房租车位费"/>
      <sheetName val="部分费用明细（水电植物耗材茶歇）"/>
      <sheetName val="保安服务费"/>
      <sheetName val="保洁服务费"/>
      <sheetName val="阿姨工资奖金"/>
      <sheetName val="班车费用"/>
      <sheetName val="媒体大厦"/>
      <sheetName val="搜狐媒体大厦工位"/>
      <sheetName val="财产险"/>
      <sheetName val="capex"/>
      <sheetName val="北京地区公车车险及ES车辆养护"/>
      <sheetName val="装饰门禁电视空调维护"/>
      <sheetName val="武汉研发中心"/>
      <sheetName val="与2011年预算对比帮助"/>
      <sheetName val="与2012年预算对比"/>
      <sheetName val="2012预算稿"/>
    </sheetNames>
    <sheetDataSet>
      <sheetData sheetId="0" refreshError="1"/>
      <sheetData sheetId="1" refreshError="1"/>
      <sheetData sheetId="2">
        <row r="18">
          <cell r="E18">
            <v>0.13647746243739567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系统规则"/>
      <sheetName val="2016预算稿 "/>
      <sheetName val="2015年ES实际花费数据"/>
      <sheetName val="Capex"/>
      <sheetName val="财产险"/>
      <sheetName val="2015预算稿 "/>
      <sheetName val="基础数据"/>
      <sheetName val="装饰门禁电视空调维护2016"/>
      <sheetName val="阿姨工资奖金"/>
      <sheetName val="保洁服务费"/>
      <sheetName val="保安服务费"/>
      <sheetName val="部分费用明细（水电植物耗材茶歇）"/>
      <sheetName val="物业房租车位费"/>
      <sheetName val="媒体大厦物业费 能源费"/>
      <sheetName val="2016年媒体大厦物业费预算"/>
      <sheetName val="搜狐媒体大厦工位"/>
      <sheetName val="媒体大厦物业费测算"/>
      <sheetName val="武汉研发中心"/>
      <sheetName val="2016年公司车险及ES车辆养护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件"/>
      <sheetName val="附件 (2)"/>
      <sheetName val="3_12"/>
      <sheetName val="3_12 (2)"/>
      <sheetName val="监控配置 (2)"/>
      <sheetName val="3_29"/>
      <sheetName val="422"/>
      <sheetName val="配置比较"/>
      <sheetName val="报价比较"/>
      <sheetName val="比较"/>
      <sheetName val="增减"/>
      <sheetName val="报价比较 (2)"/>
      <sheetName val="监控图"/>
      <sheetName val="报警配置"/>
      <sheetName val="报警配置 (2)"/>
      <sheetName val="报警图"/>
      <sheetName val="报警图426"/>
      <sheetName val="联网图426"/>
      <sheetName val="监控516"/>
      <sheetName val="附件516"/>
      <sheetName val="系数5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>
        <row r="2">
          <cell r="C2">
            <v>2</v>
          </cell>
        </row>
        <row r="3">
          <cell r="C3">
            <v>1.5</v>
          </cell>
        </row>
        <row r="4">
          <cell r="C4">
            <v>3</v>
          </cell>
        </row>
        <row r="5">
          <cell r="C5">
            <v>2</v>
          </cell>
        </row>
        <row r="9">
          <cell r="C9">
            <v>1.5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水平区"/>
      <sheetName val="干线区"/>
      <sheetName val="管理区"/>
      <sheetName val="报价单"/>
      <sheetName val="POWER ASSUMPTION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. Overview"/>
      <sheetName val="Toolbox"/>
      <sheetName val="基本设置"/>
    </sheetNames>
    <sheetDataSet>
      <sheetData sheetId="0" refreshError="1"/>
      <sheetData sheetId="1" refreshError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9"/>
      <sheetName val="Sheet1"/>
      <sheetName val="Sheet2"/>
      <sheetName val="Sheet3"/>
      <sheetName val="XL4Poppy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"/>
      <sheetName val="XL4Poppy"/>
      <sheetName val="Open"/>
    </sheetNames>
    <sheetDataSet>
      <sheetData sheetId="0" refreshError="1"/>
      <sheetData sheetId="1" refreshError="1">
        <row r="9">
          <cell r="C9" t="b">
            <v>1</v>
          </cell>
        </row>
        <row r="15">
          <cell r="A15" t="b">
            <v>1</v>
          </cell>
        </row>
        <row r="26">
          <cell r="A26" t="b">
            <v>1</v>
          </cell>
        </row>
        <row r="27">
          <cell r="C27" t="e">
            <v>#N/A</v>
          </cell>
        </row>
        <row r="31">
          <cell r="C31" t="b">
            <v>1</v>
          </cell>
        </row>
        <row r="39">
          <cell r="C39" t="b">
            <v>1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C分布"/>
      <sheetName val="设备一览表"/>
      <sheetName val="取费表"/>
      <sheetName val="预算表 "/>
      <sheetName val="爱谱（其它线）"/>
      <sheetName val="BAS"/>
      <sheetName val="预算200326"/>
      <sheetName val="99CCTV"/>
      <sheetName val="99PA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G.1R-Shou COP Gf"/>
      <sheetName val="Ma"/>
      <sheetName val="Mai"/>
    </sheetNames>
    <sheetDataSet>
      <sheetData sheetId="0" refreshError="1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showGridLines="0" tabSelected="1" workbookViewId="0">
      <selection activeCell="B2" sqref="B2"/>
    </sheetView>
  </sheetViews>
  <sheetFormatPr defaultRowHeight="13.5"/>
  <cols>
    <col min="1" max="1" width="3.125" customWidth="1"/>
    <col min="4" max="4" width="15.875" customWidth="1"/>
    <col min="5" max="5" width="16.5" customWidth="1"/>
    <col min="6" max="6" width="19.75" customWidth="1"/>
  </cols>
  <sheetData>
    <row r="2" spans="2:9" ht="15">
      <c r="B2" s="1724" t="s">
        <v>1702</v>
      </c>
    </row>
    <row r="3" spans="2:9" ht="16.5">
      <c r="B3" s="1725" t="s">
        <v>1700</v>
      </c>
    </row>
    <row r="4" spans="2:9" ht="16.5">
      <c r="B4" s="1726" t="s">
        <v>1686</v>
      </c>
    </row>
    <row r="5" spans="2:9" ht="16.5">
      <c r="B5" s="1726" t="s">
        <v>1687</v>
      </c>
    </row>
    <row r="6" spans="2:9" ht="16.5">
      <c r="B6" s="1725" t="s">
        <v>1701</v>
      </c>
    </row>
    <row r="7" spans="2:9" ht="16.5">
      <c r="B7" s="1725" t="s">
        <v>1688</v>
      </c>
    </row>
    <row r="9" spans="2:9" ht="16.5">
      <c r="B9" s="1727" t="s">
        <v>1689</v>
      </c>
      <c r="C9" s="1728" t="s">
        <v>1690</v>
      </c>
      <c r="D9" s="1729"/>
      <c r="E9" s="1729"/>
      <c r="F9" s="1730"/>
      <c r="G9" s="1731"/>
    </row>
    <row r="10" spans="2:9" ht="35.25" customHeight="1">
      <c r="B10" s="1732" t="s">
        <v>1691</v>
      </c>
      <c r="C10" s="1733" t="s">
        <v>1692</v>
      </c>
      <c r="D10" s="1729"/>
      <c r="E10" s="1729"/>
      <c r="F10" s="1730"/>
    </row>
    <row r="11" spans="2:9" ht="16.5">
      <c r="B11" s="1732"/>
      <c r="C11" s="1728" t="s">
        <v>1698</v>
      </c>
      <c r="D11" s="1729"/>
      <c r="E11" s="1729"/>
      <c r="F11" s="1730"/>
    </row>
    <row r="12" spans="2:9" ht="16.5">
      <c r="B12" s="1732"/>
      <c r="C12" s="1734" t="s">
        <v>1693</v>
      </c>
      <c r="D12" s="1734"/>
      <c r="E12" s="1734"/>
      <c r="F12" s="1734"/>
      <c r="I12" t="s">
        <v>1694</v>
      </c>
    </row>
    <row r="13" spans="2:9" ht="16.5">
      <c r="B13" s="1727" t="s">
        <v>1695</v>
      </c>
      <c r="C13" s="1728" t="s">
        <v>1696</v>
      </c>
      <c r="D13" s="1729"/>
      <c r="E13" s="1729"/>
      <c r="F13" s="1730"/>
    </row>
    <row r="14" spans="2:9" ht="16.5">
      <c r="B14" s="1727" t="s">
        <v>1697</v>
      </c>
      <c r="C14" s="1734" t="s">
        <v>1699</v>
      </c>
      <c r="D14" s="1734"/>
      <c r="E14" s="1734"/>
      <c r="F14" s="1734"/>
    </row>
  </sheetData>
  <mergeCells count="5">
    <mergeCell ref="C9:F9"/>
    <mergeCell ref="B10:B12"/>
    <mergeCell ref="C10:F10"/>
    <mergeCell ref="C11:F11"/>
    <mergeCell ref="C13:F13"/>
  </mergeCells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7"/>
  <sheetViews>
    <sheetView showGridLines="0" zoomScale="90" zoomScaleNormal="90" workbookViewId="0">
      <pane xSplit="4" ySplit="6" topLeftCell="I46" activePane="bottomRight" state="frozen"/>
      <selection pane="topRight"/>
      <selection pane="bottomLeft"/>
      <selection pane="bottomRight" activeCell="M48" sqref="M48"/>
    </sheetView>
  </sheetViews>
  <sheetFormatPr defaultRowHeight="12.75"/>
  <cols>
    <col min="1" max="1" width="9.625" style="117" bestFit="1" customWidth="1"/>
    <col min="2" max="2" width="28.625" style="117" customWidth="1"/>
    <col min="3" max="3" width="23.125" style="147" customWidth="1"/>
    <col min="4" max="4" width="9.125" style="117" bestFit="1" customWidth="1"/>
    <col min="5" max="5" width="7.875" style="126" bestFit="1" customWidth="1"/>
    <col min="6" max="6" width="8.5" style="122" bestFit="1" customWidth="1"/>
    <col min="7" max="7" width="12.125" style="126" bestFit="1" customWidth="1"/>
    <col min="8" max="8" width="12.125" style="148" bestFit="1" customWidth="1"/>
    <col min="9" max="9" width="7.875" style="126" bestFit="1" customWidth="1"/>
    <col min="10" max="10" width="8.5" style="126" bestFit="1" customWidth="1"/>
    <col min="11" max="11" width="13.75" style="126" bestFit="1" customWidth="1"/>
    <col min="12" max="12" width="13" style="126" bestFit="1" customWidth="1"/>
    <col min="13" max="13" width="67.875" style="117" customWidth="1"/>
    <col min="14" max="15" width="9" style="117"/>
    <col min="16" max="16" width="13.75" style="117" customWidth="1"/>
    <col min="17" max="17" width="9" style="117"/>
    <col min="18" max="18" width="10.625" style="117" bestFit="1" customWidth="1"/>
    <col min="19" max="257" width="9" style="117"/>
    <col min="258" max="258" width="29" style="117" customWidth="1"/>
    <col min="259" max="259" width="10.75" style="117" customWidth="1"/>
    <col min="260" max="260" width="14.25" style="117" customWidth="1"/>
    <col min="261" max="261" width="14.5" style="117" customWidth="1"/>
    <col min="262" max="262" width="14.375" style="117" customWidth="1"/>
    <col min="263" max="263" width="16.75" style="117" customWidth="1"/>
    <col min="264" max="264" width="12.875" style="117" customWidth="1"/>
    <col min="265" max="265" width="7.375" style="117" customWidth="1"/>
    <col min="266" max="266" width="11.25" style="117" customWidth="1"/>
    <col min="267" max="267" width="14.625" style="117" customWidth="1"/>
    <col min="268" max="268" width="19.75" style="117" customWidth="1"/>
    <col min="269" max="269" width="14.125" style="117" bestFit="1" customWidth="1"/>
    <col min="270" max="513" width="9" style="117"/>
    <col min="514" max="514" width="29" style="117" customWidth="1"/>
    <col min="515" max="515" width="10.75" style="117" customWidth="1"/>
    <col min="516" max="516" width="14.25" style="117" customWidth="1"/>
    <col min="517" max="517" width="14.5" style="117" customWidth="1"/>
    <col min="518" max="518" width="14.375" style="117" customWidth="1"/>
    <col min="519" max="519" width="16.75" style="117" customWidth="1"/>
    <col min="520" max="520" width="12.875" style="117" customWidth="1"/>
    <col min="521" max="521" width="7.375" style="117" customWidth="1"/>
    <col min="522" max="522" width="11.25" style="117" customWidth="1"/>
    <col min="523" max="523" width="14.625" style="117" customWidth="1"/>
    <col min="524" max="524" width="19.75" style="117" customWidth="1"/>
    <col min="525" max="525" width="14.125" style="117" bestFit="1" customWidth="1"/>
    <col min="526" max="769" width="9" style="117"/>
    <col min="770" max="770" width="29" style="117" customWidth="1"/>
    <col min="771" max="771" width="10.75" style="117" customWidth="1"/>
    <col min="772" max="772" width="14.25" style="117" customWidth="1"/>
    <col min="773" max="773" width="14.5" style="117" customWidth="1"/>
    <col min="774" max="774" width="14.375" style="117" customWidth="1"/>
    <col min="775" max="775" width="16.75" style="117" customWidth="1"/>
    <col min="776" max="776" width="12.875" style="117" customWidth="1"/>
    <col min="777" max="777" width="7.375" style="117" customWidth="1"/>
    <col min="778" max="778" width="11.25" style="117" customWidth="1"/>
    <col min="779" max="779" width="14.625" style="117" customWidth="1"/>
    <col min="780" max="780" width="19.75" style="117" customWidth="1"/>
    <col min="781" max="781" width="14.125" style="117" bestFit="1" customWidth="1"/>
    <col min="782" max="1025" width="9" style="117"/>
    <col min="1026" max="1026" width="29" style="117" customWidth="1"/>
    <col min="1027" max="1027" width="10.75" style="117" customWidth="1"/>
    <col min="1028" max="1028" width="14.25" style="117" customWidth="1"/>
    <col min="1029" max="1029" width="14.5" style="117" customWidth="1"/>
    <col min="1030" max="1030" width="14.375" style="117" customWidth="1"/>
    <col min="1031" max="1031" width="16.75" style="117" customWidth="1"/>
    <col min="1032" max="1032" width="12.875" style="117" customWidth="1"/>
    <col min="1033" max="1033" width="7.375" style="117" customWidth="1"/>
    <col min="1034" max="1034" width="11.25" style="117" customWidth="1"/>
    <col min="1035" max="1035" width="14.625" style="117" customWidth="1"/>
    <col min="1036" max="1036" width="19.75" style="117" customWidth="1"/>
    <col min="1037" max="1037" width="14.125" style="117" bestFit="1" customWidth="1"/>
    <col min="1038" max="1281" width="9" style="117"/>
    <col min="1282" max="1282" width="29" style="117" customWidth="1"/>
    <col min="1283" max="1283" width="10.75" style="117" customWidth="1"/>
    <col min="1284" max="1284" width="14.25" style="117" customWidth="1"/>
    <col min="1285" max="1285" width="14.5" style="117" customWidth="1"/>
    <col min="1286" max="1286" width="14.375" style="117" customWidth="1"/>
    <col min="1287" max="1287" width="16.75" style="117" customWidth="1"/>
    <col min="1288" max="1288" width="12.875" style="117" customWidth="1"/>
    <col min="1289" max="1289" width="7.375" style="117" customWidth="1"/>
    <col min="1290" max="1290" width="11.25" style="117" customWidth="1"/>
    <col min="1291" max="1291" width="14.625" style="117" customWidth="1"/>
    <col min="1292" max="1292" width="19.75" style="117" customWidth="1"/>
    <col min="1293" max="1293" width="14.125" style="117" bestFit="1" customWidth="1"/>
    <col min="1294" max="1537" width="9" style="117"/>
    <col min="1538" max="1538" width="29" style="117" customWidth="1"/>
    <col min="1539" max="1539" width="10.75" style="117" customWidth="1"/>
    <col min="1540" max="1540" width="14.25" style="117" customWidth="1"/>
    <col min="1541" max="1541" width="14.5" style="117" customWidth="1"/>
    <col min="1542" max="1542" width="14.375" style="117" customWidth="1"/>
    <col min="1543" max="1543" width="16.75" style="117" customWidth="1"/>
    <col min="1544" max="1544" width="12.875" style="117" customWidth="1"/>
    <col min="1545" max="1545" width="7.375" style="117" customWidth="1"/>
    <col min="1546" max="1546" width="11.25" style="117" customWidth="1"/>
    <col min="1547" max="1547" width="14.625" style="117" customWidth="1"/>
    <col min="1548" max="1548" width="19.75" style="117" customWidth="1"/>
    <col min="1549" max="1549" width="14.125" style="117" bestFit="1" customWidth="1"/>
    <col min="1550" max="1793" width="9" style="117"/>
    <col min="1794" max="1794" width="29" style="117" customWidth="1"/>
    <col min="1795" max="1795" width="10.75" style="117" customWidth="1"/>
    <col min="1796" max="1796" width="14.25" style="117" customWidth="1"/>
    <col min="1797" max="1797" width="14.5" style="117" customWidth="1"/>
    <col min="1798" max="1798" width="14.375" style="117" customWidth="1"/>
    <col min="1799" max="1799" width="16.75" style="117" customWidth="1"/>
    <col min="1800" max="1800" width="12.875" style="117" customWidth="1"/>
    <col min="1801" max="1801" width="7.375" style="117" customWidth="1"/>
    <col min="1802" max="1802" width="11.25" style="117" customWidth="1"/>
    <col min="1803" max="1803" width="14.625" style="117" customWidth="1"/>
    <col min="1804" max="1804" width="19.75" style="117" customWidth="1"/>
    <col min="1805" max="1805" width="14.125" style="117" bestFit="1" customWidth="1"/>
    <col min="1806" max="2049" width="9" style="117"/>
    <col min="2050" max="2050" width="29" style="117" customWidth="1"/>
    <col min="2051" max="2051" width="10.75" style="117" customWidth="1"/>
    <col min="2052" max="2052" width="14.25" style="117" customWidth="1"/>
    <col min="2053" max="2053" width="14.5" style="117" customWidth="1"/>
    <col min="2054" max="2054" width="14.375" style="117" customWidth="1"/>
    <col min="2055" max="2055" width="16.75" style="117" customWidth="1"/>
    <col min="2056" max="2056" width="12.875" style="117" customWidth="1"/>
    <col min="2057" max="2057" width="7.375" style="117" customWidth="1"/>
    <col min="2058" max="2058" width="11.25" style="117" customWidth="1"/>
    <col min="2059" max="2059" width="14.625" style="117" customWidth="1"/>
    <col min="2060" max="2060" width="19.75" style="117" customWidth="1"/>
    <col min="2061" max="2061" width="14.125" style="117" bestFit="1" customWidth="1"/>
    <col min="2062" max="2305" width="9" style="117"/>
    <col min="2306" max="2306" width="29" style="117" customWidth="1"/>
    <col min="2307" max="2307" width="10.75" style="117" customWidth="1"/>
    <col min="2308" max="2308" width="14.25" style="117" customWidth="1"/>
    <col min="2309" max="2309" width="14.5" style="117" customWidth="1"/>
    <col min="2310" max="2310" width="14.375" style="117" customWidth="1"/>
    <col min="2311" max="2311" width="16.75" style="117" customWidth="1"/>
    <col min="2312" max="2312" width="12.875" style="117" customWidth="1"/>
    <col min="2313" max="2313" width="7.375" style="117" customWidth="1"/>
    <col min="2314" max="2314" width="11.25" style="117" customWidth="1"/>
    <col min="2315" max="2315" width="14.625" style="117" customWidth="1"/>
    <col min="2316" max="2316" width="19.75" style="117" customWidth="1"/>
    <col min="2317" max="2317" width="14.125" style="117" bestFit="1" customWidth="1"/>
    <col min="2318" max="2561" width="9" style="117"/>
    <col min="2562" max="2562" width="29" style="117" customWidth="1"/>
    <col min="2563" max="2563" width="10.75" style="117" customWidth="1"/>
    <col min="2564" max="2564" width="14.25" style="117" customWidth="1"/>
    <col min="2565" max="2565" width="14.5" style="117" customWidth="1"/>
    <col min="2566" max="2566" width="14.375" style="117" customWidth="1"/>
    <col min="2567" max="2567" width="16.75" style="117" customWidth="1"/>
    <col min="2568" max="2568" width="12.875" style="117" customWidth="1"/>
    <col min="2569" max="2569" width="7.375" style="117" customWidth="1"/>
    <col min="2570" max="2570" width="11.25" style="117" customWidth="1"/>
    <col min="2571" max="2571" width="14.625" style="117" customWidth="1"/>
    <col min="2572" max="2572" width="19.75" style="117" customWidth="1"/>
    <col min="2573" max="2573" width="14.125" style="117" bestFit="1" customWidth="1"/>
    <col min="2574" max="2817" width="9" style="117"/>
    <col min="2818" max="2818" width="29" style="117" customWidth="1"/>
    <col min="2819" max="2819" width="10.75" style="117" customWidth="1"/>
    <col min="2820" max="2820" width="14.25" style="117" customWidth="1"/>
    <col min="2821" max="2821" width="14.5" style="117" customWidth="1"/>
    <col min="2822" max="2822" width="14.375" style="117" customWidth="1"/>
    <col min="2823" max="2823" width="16.75" style="117" customWidth="1"/>
    <col min="2824" max="2824" width="12.875" style="117" customWidth="1"/>
    <col min="2825" max="2825" width="7.375" style="117" customWidth="1"/>
    <col min="2826" max="2826" width="11.25" style="117" customWidth="1"/>
    <col min="2827" max="2827" width="14.625" style="117" customWidth="1"/>
    <col min="2828" max="2828" width="19.75" style="117" customWidth="1"/>
    <col min="2829" max="2829" width="14.125" style="117" bestFit="1" customWidth="1"/>
    <col min="2830" max="3073" width="9" style="117"/>
    <col min="3074" max="3074" width="29" style="117" customWidth="1"/>
    <col min="3075" max="3075" width="10.75" style="117" customWidth="1"/>
    <col min="3076" max="3076" width="14.25" style="117" customWidth="1"/>
    <col min="3077" max="3077" width="14.5" style="117" customWidth="1"/>
    <col min="3078" max="3078" width="14.375" style="117" customWidth="1"/>
    <col min="3079" max="3079" width="16.75" style="117" customWidth="1"/>
    <col min="3080" max="3080" width="12.875" style="117" customWidth="1"/>
    <col min="3081" max="3081" width="7.375" style="117" customWidth="1"/>
    <col min="3082" max="3082" width="11.25" style="117" customWidth="1"/>
    <col min="3083" max="3083" width="14.625" style="117" customWidth="1"/>
    <col min="3084" max="3084" width="19.75" style="117" customWidth="1"/>
    <col min="3085" max="3085" width="14.125" style="117" bestFit="1" customWidth="1"/>
    <col min="3086" max="3329" width="9" style="117"/>
    <col min="3330" max="3330" width="29" style="117" customWidth="1"/>
    <col min="3331" max="3331" width="10.75" style="117" customWidth="1"/>
    <col min="3332" max="3332" width="14.25" style="117" customWidth="1"/>
    <col min="3333" max="3333" width="14.5" style="117" customWidth="1"/>
    <col min="3334" max="3334" width="14.375" style="117" customWidth="1"/>
    <col min="3335" max="3335" width="16.75" style="117" customWidth="1"/>
    <col min="3336" max="3336" width="12.875" style="117" customWidth="1"/>
    <col min="3337" max="3337" width="7.375" style="117" customWidth="1"/>
    <col min="3338" max="3338" width="11.25" style="117" customWidth="1"/>
    <col min="3339" max="3339" width="14.625" style="117" customWidth="1"/>
    <col min="3340" max="3340" width="19.75" style="117" customWidth="1"/>
    <col min="3341" max="3341" width="14.125" style="117" bestFit="1" customWidth="1"/>
    <col min="3342" max="3585" width="9" style="117"/>
    <col min="3586" max="3586" width="29" style="117" customWidth="1"/>
    <col min="3587" max="3587" width="10.75" style="117" customWidth="1"/>
    <col min="3588" max="3588" width="14.25" style="117" customWidth="1"/>
    <col min="3589" max="3589" width="14.5" style="117" customWidth="1"/>
    <col min="3590" max="3590" width="14.375" style="117" customWidth="1"/>
    <col min="3591" max="3591" width="16.75" style="117" customWidth="1"/>
    <col min="3592" max="3592" width="12.875" style="117" customWidth="1"/>
    <col min="3593" max="3593" width="7.375" style="117" customWidth="1"/>
    <col min="3594" max="3594" width="11.25" style="117" customWidth="1"/>
    <col min="3595" max="3595" width="14.625" style="117" customWidth="1"/>
    <col min="3596" max="3596" width="19.75" style="117" customWidth="1"/>
    <col min="3597" max="3597" width="14.125" style="117" bestFit="1" customWidth="1"/>
    <col min="3598" max="3841" width="9" style="117"/>
    <col min="3842" max="3842" width="29" style="117" customWidth="1"/>
    <col min="3843" max="3843" width="10.75" style="117" customWidth="1"/>
    <col min="3844" max="3844" width="14.25" style="117" customWidth="1"/>
    <col min="3845" max="3845" width="14.5" style="117" customWidth="1"/>
    <col min="3846" max="3846" width="14.375" style="117" customWidth="1"/>
    <col min="3847" max="3847" width="16.75" style="117" customWidth="1"/>
    <col min="3848" max="3848" width="12.875" style="117" customWidth="1"/>
    <col min="3849" max="3849" width="7.375" style="117" customWidth="1"/>
    <col min="3850" max="3850" width="11.25" style="117" customWidth="1"/>
    <col min="3851" max="3851" width="14.625" style="117" customWidth="1"/>
    <col min="3852" max="3852" width="19.75" style="117" customWidth="1"/>
    <col min="3853" max="3853" width="14.125" style="117" bestFit="1" customWidth="1"/>
    <col min="3854" max="4097" width="9" style="117"/>
    <col min="4098" max="4098" width="29" style="117" customWidth="1"/>
    <col min="4099" max="4099" width="10.75" style="117" customWidth="1"/>
    <col min="4100" max="4100" width="14.25" style="117" customWidth="1"/>
    <col min="4101" max="4101" width="14.5" style="117" customWidth="1"/>
    <col min="4102" max="4102" width="14.375" style="117" customWidth="1"/>
    <col min="4103" max="4103" width="16.75" style="117" customWidth="1"/>
    <col min="4104" max="4104" width="12.875" style="117" customWidth="1"/>
    <col min="4105" max="4105" width="7.375" style="117" customWidth="1"/>
    <col min="4106" max="4106" width="11.25" style="117" customWidth="1"/>
    <col min="4107" max="4107" width="14.625" style="117" customWidth="1"/>
    <col min="4108" max="4108" width="19.75" style="117" customWidth="1"/>
    <col min="4109" max="4109" width="14.125" style="117" bestFit="1" customWidth="1"/>
    <col min="4110" max="4353" width="9" style="117"/>
    <col min="4354" max="4354" width="29" style="117" customWidth="1"/>
    <col min="4355" max="4355" width="10.75" style="117" customWidth="1"/>
    <col min="4356" max="4356" width="14.25" style="117" customWidth="1"/>
    <col min="4357" max="4357" width="14.5" style="117" customWidth="1"/>
    <col min="4358" max="4358" width="14.375" style="117" customWidth="1"/>
    <col min="4359" max="4359" width="16.75" style="117" customWidth="1"/>
    <col min="4360" max="4360" width="12.875" style="117" customWidth="1"/>
    <col min="4361" max="4361" width="7.375" style="117" customWidth="1"/>
    <col min="4362" max="4362" width="11.25" style="117" customWidth="1"/>
    <col min="4363" max="4363" width="14.625" style="117" customWidth="1"/>
    <col min="4364" max="4364" width="19.75" style="117" customWidth="1"/>
    <col min="4365" max="4365" width="14.125" style="117" bestFit="1" customWidth="1"/>
    <col min="4366" max="4609" width="9" style="117"/>
    <col min="4610" max="4610" width="29" style="117" customWidth="1"/>
    <col min="4611" max="4611" width="10.75" style="117" customWidth="1"/>
    <col min="4612" max="4612" width="14.25" style="117" customWidth="1"/>
    <col min="4613" max="4613" width="14.5" style="117" customWidth="1"/>
    <col min="4614" max="4614" width="14.375" style="117" customWidth="1"/>
    <col min="4615" max="4615" width="16.75" style="117" customWidth="1"/>
    <col min="4616" max="4616" width="12.875" style="117" customWidth="1"/>
    <col min="4617" max="4617" width="7.375" style="117" customWidth="1"/>
    <col min="4618" max="4618" width="11.25" style="117" customWidth="1"/>
    <col min="4619" max="4619" width="14.625" style="117" customWidth="1"/>
    <col min="4620" max="4620" width="19.75" style="117" customWidth="1"/>
    <col min="4621" max="4621" width="14.125" style="117" bestFit="1" customWidth="1"/>
    <col min="4622" max="4865" width="9" style="117"/>
    <col min="4866" max="4866" width="29" style="117" customWidth="1"/>
    <col min="4867" max="4867" width="10.75" style="117" customWidth="1"/>
    <col min="4868" max="4868" width="14.25" style="117" customWidth="1"/>
    <col min="4869" max="4869" width="14.5" style="117" customWidth="1"/>
    <col min="4870" max="4870" width="14.375" style="117" customWidth="1"/>
    <col min="4871" max="4871" width="16.75" style="117" customWidth="1"/>
    <col min="4872" max="4872" width="12.875" style="117" customWidth="1"/>
    <col min="4873" max="4873" width="7.375" style="117" customWidth="1"/>
    <col min="4874" max="4874" width="11.25" style="117" customWidth="1"/>
    <col min="4875" max="4875" width="14.625" style="117" customWidth="1"/>
    <col min="4876" max="4876" width="19.75" style="117" customWidth="1"/>
    <col min="4877" max="4877" width="14.125" style="117" bestFit="1" customWidth="1"/>
    <col min="4878" max="5121" width="9" style="117"/>
    <col min="5122" max="5122" width="29" style="117" customWidth="1"/>
    <col min="5123" max="5123" width="10.75" style="117" customWidth="1"/>
    <col min="5124" max="5124" width="14.25" style="117" customWidth="1"/>
    <col min="5125" max="5125" width="14.5" style="117" customWidth="1"/>
    <col min="5126" max="5126" width="14.375" style="117" customWidth="1"/>
    <col min="5127" max="5127" width="16.75" style="117" customWidth="1"/>
    <col min="5128" max="5128" width="12.875" style="117" customWidth="1"/>
    <col min="5129" max="5129" width="7.375" style="117" customWidth="1"/>
    <col min="5130" max="5130" width="11.25" style="117" customWidth="1"/>
    <col min="5131" max="5131" width="14.625" style="117" customWidth="1"/>
    <col min="5132" max="5132" width="19.75" style="117" customWidth="1"/>
    <col min="5133" max="5133" width="14.125" style="117" bestFit="1" customWidth="1"/>
    <col min="5134" max="5377" width="9" style="117"/>
    <col min="5378" max="5378" width="29" style="117" customWidth="1"/>
    <col min="5379" max="5379" width="10.75" style="117" customWidth="1"/>
    <col min="5380" max="5380" width="14.25" style="117" customWidth="1"/>
    <col min="5381" max="5381" width="14.5" style="117" customWidth="1"/>
    <col min="5382" max="5382" width="14.375" style="117" customWidth="1"/>
    <col min="5383" max="5383" width="16.75" style="117" customWidth="1"/>
    <col min="5384" max="5384" width="12.875" style="117" customWidth="1"/>
    <col min="5385" max="5385" width="7.375" style="117" customWidth="1"/>
    <col min="5386" max="5386" width="11.25" style="117" customWidth="1"/>
    <col min="5387" max="5387" width="14.625" style="117" customWidth="1"/>
    <col min="5388" max="5388" width="19.75" style="117" customWidth="1"/>
    <col min="5389" max="5389" width="14.125" style="117" bestFit="1" customWidth="1"/>
    <col min="5390" max="5633" width="9" style="117"/>
    <col min="5634" max="5634" width="29" style="117" customWidth="1"/>
    <col min="5635" max="5635" width="10.75" style="117" customWidth="1"/>
    <col min="5636" max="5636" width="14.25" style="117" customWidth="1"/>
    <col min="5637" max="5637" width="14.5" style="117" customWidth="1"/>
    <col min="5638" max="5638" width="14.375" style="117" customWidth="1"/>
    <col min="5639" max="5639" width="16.75" style="117" customWidth="1"/>
    <col min="5640" max="5640" width="12.875" style="117" customWidth="1"/>
    <col min="5641" max="5641" width="7.375" style="117" customWidth="1"/>
    <col min="5642" max="5642" width="11.25" style="117" customWidth="1"/>
    <col min="5643" max="5643" width="14.625" style="117" customWidth="1"/>
    <col min="5644" max="5644" width="19.75" style="117" customWidth="1"/>
    <col min="5645" max="5645" width="14.125" style="117" bestFit="1" customWidth="1"/>
    <col min="5646" max="5889" width="9" style="117"/>
    <col min="5890" max="5890" width="29" style="117" customWidth="1"/>
    <col min="5891" max="5891" width="10.75" style="117" customWidth="1"/>
    <col min="5892" max="5892" width="14.25" style="117" customWidth="1"/>
    <col min="5893" max="5893" width="14.5" style="117" customWidth="1"/>
    <col min="5894" max="5894" width="14.375" style="117" customWidth="1"/>
    <col min="5895" max="5895" width="16.75" style="117" customWidth="1"/>
    <col min="5896" max="5896" width="12.875" style="117" customWidth="1"/>
    <col min="5897" max="5897" width="7.375" style="117" customWidth="1"/>
    <col min="5898" max="5898" width="11.25" style="117" customWidth="1"/>
    <col min="5899" max="5899" width="14.625" style="117" customWidth="1"/>
    <col min="5900" max="5900" width="19.75" style="117" customWidth="1"/>
    <col min="5901" max="5901" width="14.125" style="117" bestFit="1" customWidth="1"/>
    <col min="5902" max="6145" width="9" style="117"/>
    <col min="6146" max="6146" width="29" style="117" customWidth="1"/>
    <col min="6147" max="6147" width="10.75" style="117" customWidth="1"/>
    <col min="6148" max="6148" width="14.25" style="117" customWidth="1"/>
    <col min="6149" max="6149" width="14.5" style="117" customWidth="1"/>
    <col min="6150" max="6150" width="14.375" style="117" customWidth="1"/>
    <col min="6151" max="6151" width="16.75" style="117" customWidth="1"/>
    <col min="6152" max="6152" width="12.875" style="117" customWidth="1"/>
    <col min="6153" max="6153" width="7.375" style="117" customWidth="1"/>
    <col min="6154" max="6154" width="11.25" style="117" customWidth="1"/>
    <col min="6155" max="6155" width="14.625" style="117" customWidth="1"/>
    <col min="6156" max="6156" width="19.75" style="117" customWidth="1"/>
    <col min="6157" max="6157" width="14.125" style="117" bestFit="1" customWidth="1"/>
    <col min="6158" max="6401" width="9" style="117"/>
    <col min="6402" max="6402" width="29" style="117" customWidth="1"/>
    <col min="6403" max="6403" width="10.75" style="117" customWidth="1"/>
    <col min="6404" max="6404" width="14.25" style="117" customWidth="1"/>
    <col min="6405" max="6405" width="14.5" style="117" customWidth="1"/>
    <col min="6406" max="6406" width="14.375" style="117" customWidth="1"/>
    <col min="6407" max="6407" width="16.75" style="117" customWidth="1"/>
    <col min="6408" max="6408" width="12.875" style="117" customWidth="1"/>
    <col min="6409" max="6409" width="7.375" style="117" customWidth="1"/>
    <col min="6410" max="6410" width="11.25" style="117" customWidth="1"/>
    <col min="6411" max="6411" width="14.625" style="117" customWidth="1"/>
    <col min="6412" max="6412" width="19.75" style="117" customWidth="1"/>
    <col min="6413" max="6413" width="14.125" style="117" bestFit="1" customWidth="1"/>
    <col min="6414" max="6657" width="9" style="117"/>
    <col min="6658" max="6658" width="29" style="117" customWidth="1"/>
    <col min="6659" max="6659" width="10.75" style="117" customWidth="1"/>
    <col min="6660" max="6660" width="14.25" style="117" customWidth="1"/>
    <col min="6661" max="6661" width="14.5" style="117" customWidth="1"/>
    <col min="6662" max="6662" width="14.375" style="117" customWidth="1"/>
    <col min="6663" max="6663" width="16.75" style="117" customWidth="1"/>
    <col min="6664" max="6664" width="12.875" style="117" customWidth="1"/>
    <col min="6665" max="6665" width="7.375" style="117" customWidth="1"/>
    <col min="6666" max="6666" width="11.25" style="117" customWidth="1"/>
    <col min="6667" max="6667" width="14.625" style="117" customWidth="1"/>
    <col min="6668" max="6668" width="19.75" style="117" customWidth="1"/>
    <col min="6669" max="6669" width="14.125" style="117" bestFit="1" customWidth="1"/>
    <col min="6670" max="6913" width="9" style="117"/>
    <col min="6914" max="6914" width="29" style="117" customWidth="1"/>
    <col min="6915" max="6915" width="10.75" style="117" customWidth="1"/>
    <col min="6916" max="6916" width="14.25" style="117" customWidth="1"/>
    <col min="6917" max="6917" width="14.5" style="117" customWidth="1"/>
    <col min="6918" max="6918" width="14.375" style="117" customWidth="1"/>
    <col min="6919" max="6919" width="16.75" style="117" customWidth="1"/>
    <col min="6920" max="6920" width="12.875" style="117" customWidth="1"/>
    <col min="6921" max="6921" width="7.375" style="117" customWidth="1"/>
    <col min="6922" max="6922" width="11.25" style="117" customWidth="1"/>
    <col min="6923" max="6923" width="14.625" style="117" customWidth="1"/>
    <col min="6924" max="6924" width="19.75" style="117" customWidth="1"/>
    <col min="6925" max="6925" width="14.125" style="117" bestFit="1" customWidth="1"/>
    <col min="6926" max="7169" width="9" style="117"/>
    <col min="7170" max="7170" width="29" style="117" customWidth="1"/>
    <col min="7171" max="7171" width="10.75" style="117" customWidth="1"/>
    <col min="7172" max="7172" width="14.25" style="117" customWidth="1"/>
    <col min="7173" max="7173" width="14.5" style="117" customWidth="1"/>
    <col min="7174" max="7174" width="14.375" style="117" customWidth="1"/>
    <col min="7175" max="7175" width="16.75" style="117" customWidth="1"/>
    <col min="7176" max="7176" width="12.875" style="117" customWidth="1"/>
    <col min="7177" max="7177" width="7.375" style="117" customWidth="1"/>
    <col min="7178" max="7178" width="11.25" style="117" customWidth="1"/>
    <col min="7179" max="7179" width="14.625" style="117" customWidth="1"/>
    <col min="7180" max="7180" width="19.75" style="117" customWidth="1"/>
    <col min="7181" max="7181" width="14.125" style="117" bestFit="1" customWidth="1"/>
    <col min="7182" max="7425" width="9" style="117"/>
    <col min="7426" max="7426" width="29" style="117" customWidth="1"/>
    <col min="7427" max="7427" width="10.75" style="117" customWidth="1"/>
    <col min="7428" max="7428" width="14.25" style="117" customWidth="1"/>
    <col min="7429" max="7429" width="14.5" style="117" customWidth="1"/>
    <col min="7430" max="7430" width="14.375" style="117" customWidth="1"/>
    <col min="7431" max="7431" width="16.75" style="117" customWidth="1"/>
    <col min="7432" max="7432" width="12.875" style="117" customWidth="1"/>
    <col min="7433" max="7433" width="7.375" style="117" customWidth="1"/>
    <col min="7434" max="7434" width="11.25" style="117" customWidth="1"/>
    <col min="7435" max="7435" width="14.625" style="117" customWidth="1"/>
    <col min="7436" max="7436" width="19.75" style="117" customWidth="1"/>
    <col min="7437" max="7437" width="14.125" style="117" bestFit="1" customWidth="1"/>
    <col min="7438" max="7681" width="9" style="117"/>
    <col min="7682" max="7682" width="29" style="117" customWidth="1"/>
    <col min="7683" max="7683" width="10.75" style="117" customWidth="1"/>
    <col min="7684" max="7684" width="14.25" style="117" customWidth="1"/>
    <col min="7685" max="7685" width="14.5" style="117" customWidth="1"/>
    <col min="7686" max="7686" width="14.375" style="117" customWidth="1"/>
    <col min="7687" max="7687" width="16.75" style="117" customWidth="1"/>
    <col min="7688" max="7688" width="12.875" style="117" customWidth="1"/>
    <col min="7689" max="7689" width="7.375" style="117" customWidth="1"/>
    <col min="7690" max="7690" width="11.25" style="117" customWidth="1"/>
    <col min="7691" max="7691" width="14.625" style="117" customWidth="1"/>
    <col min="7692" max="7692" width="19.75" style="117" customWidth="1"/>
    <col min="7693" max="7693" width="14.125" style="117" bestFit="1" customWidth="1"/>
    <col min="7694" max="7937" width="9" style="117"/>
    <col min="7938" max="7938" width="29" style="117" customWidth="1"/>
    <col min="7939" max="7939" width="10.75" style="117" customWidth="1"/>
    <col min="7940" max="7940" width="14.25" style="117" customWidth="1"/>
    <col min="7941" max="7941" width="14.5" style="117" customWidth="1"/>
    <col min="7942" max="7942" width="14.375" style="117" customWidth="1"/>
    <col min="7943" max="7943" width="16.75" style="117" customWidth="1"/>
    <col min="7944" max="7944" width="12.875" style="117" customWidth="1"/>
    <col min="7945" max="7945" width="7.375" style="117" customWidth="1"/>
    <col min="7946" max="7946" width="11.25" style="117" customWidth="1"/>
    <col min="7947" max="7947" width="14.625" style="117" customWidth="1"/>
    <col min="7948" max="7948" width="19.75" style="117" customWidth="1"/>
    <col min="7949" max="7949" width="14.125" style="117" bestFit="1" customWidth="1"/>
    <col min="7950" max="8193" width="9" style="117"/>
    <col min="8194" max="8194" width="29" style="117" customWidth="1"/>
    <col min="8195" max="8195" width="10.75" style="117" customWidth="1"/>
    <col min="8196" max="8196" width="14.25" style="117" customWidth="1"/>
    <col min="8197" max="8197" width="14.5" style="117" customWidth="1"/>
    <col min="8198" max="8198" width="14.375" style="117" customWidth="1"/>
    <col min="8199" max="8199" width="16.75" style="117" customWidth="1"/>
    <col min="8200" max="8200" width="12.875" style="117" customWidth="1"/>
    <col min="8201" max="8201" width="7.375" style="117" customWidth="1"/>
    <col min="8202" max="8202" width="11.25" style="117" customWidth="1"/>
    <col min="8203" max="8203" width="14.625" style="117" customWidth="1"/>
    <col min="8204" max="8204" width="19.75" style="117" customWidth="1"/>
    <col min="8205" max="8205" width="14.125" style="117" bestFit="1" customWidth="1"/>
    <col min="8206" max="8449" width="9" style="117"/>
    <col min="8450" max="8450" width="29" style="117" customWidth="1"/>
    <col min="8451" max="8451" width="10.75" style="117" customWidth="1"/>
    <col min="8452" max="8452" width="14.25" style="117" customWidth="1"/>
    <col min="8453" max="8453" width="14.5" style="117" customWidth="1"/>
    <col min="8454" max="8454" width="14.375" style="117" customWidth="1"/>
    <col min="8455" max="8455" width="16.75" style="117" customWidth="1"/>
    <col min="8456" max="8456" width="12.875" style="117" customWidth="1"/>
    <col min="8457" max="8457" width="7.375" style="117" customWidth="1"/>
    <col min="8458" max="8458" width="11.25" style="117" customWidth="1"/>
    <col min="8459" max="8459" width="14.625" style="117" customWidth="1"/>
    <col min="8460" max="8460" width="19.75" style="117" customWidth="1"/>
    <col min="8461" max="8461" width="14.125" style="117" bestFit="1" customWidth="1"/>
    <col min="8462" max="8705" width="9" style="117"/>
    <col min="8706" max="8706" width="29" style="117" customWidth="1"/>
    <col min="8707" max="8707" width="10.75" style="117" customWidth="1"/>
    <col min="8708" max="8708" width="14.25" style="117" customWidth="1"/>
    <col min="8709" max="8709" width="14.5" style="117" customWidth="1"/>
    <col min="8710" max="8710" width="14.375" style="117" customWidth="1"/>
    <col min="8711" max="8711" width="16.75" style="117" customWidth="1"/>
    <col min="8712" max="8712" width="12.875" style="117" customWidth="1"/>
    <col min="8713" max="8713" width="7.375" style="117" customWidth="1"/>
    <col min="8714" max="8714" width="11.25" style="117" customWidth="1"/>
    <col min="8715" max="8715" width="14.625" style="117" customWidth="1"/>
    <col min="8716" max="8716" width="19.75" style="117" customWidth="1"/>
    <col min="8717" max="8717" width="14.125" style="117" bestFit="1" customWidth="1"/>
    <col min="8718" max="8961" width="9" style="117"/>
    <col min="8962" max="8962" width="29" style="117" customWidth="1"/>
    <col min="8963" max="8963" width="10.75" style="117" customWidth="1"/>
    <col min="8964" max="8964" width="14.25" style="117" customWidth="1"/>
    <col min="8965" max="8965" width="14.5" style="117" customWidth="1"/>
    <col min="8966" max="8966" width="14.375" style="117" customWidth="1"/>
    <col min="8967" max="8967" width="16.75" style="117" customWidth="1"/>
    <col min="8968" max="8968" width="12.875" style="117" customWidth="1"/>
    <col min="8969" max="8969" width="7.375" style="117" customWidth="1"/>
    <col min="8970" max="8970" width="11.25" style="117" customWidth="1"/>
    <col min="8971" max="8971" width="14.625" style="117" customWidth="1"/>
    <col min="8972" max="8972" width="19.75" style="117" customWidth="1"/>
    <col min="8973" max="8973" width="14.125" style="117" bestFit="1" customWidth="1"/>
    <col min="8974" max="9217" width="9" style="117"/>
    <col min="9218" max="9218" width="29" style="117" customWidth="1"/>
    <col min="9219" max="9219" width="10.75" style="117" customWidth="1"/>
    <col min="9220" max="9220" width="14.25" style="117" customWidth="1"/>
    <col min="9221" max="9221" width="14.5" style="117" customWidth="1"/>
    <col min="9222" max="9222" width="14.375" style="117" customWidth="1"/>
    <col min="9223" max="9223" width="16.75" style="117" customWidth="1"/>
    <col min="9224" max="9224" width="12.875" style="117" customWidth="1"/>
    <col min="9225" max="9225" width="7.375" style="117" customWidth="1"/>
    <col min="9226" max="9226" width="11.25" style="117" customWidth="1"/>
    <col min="9227" max="9227" width="14.625" style="117" customWidth="1"/>
    <col min="9228" max="9228" width="19.75" style="117" customWidth="1"/>
    <col min="9229" max="9229" width="14.125" style="117" bestFit="1" customWidth="1"/>
    <col min="9230" max="9473" width="9" style="117"/>
    <col min="9474" max="9474" width="29" style="117" customWidth="1"/>
    <col min="9475" max="9475" width="10.75" style="117" customWidth="1"/>
    <col min="9476" max="9476" width="14.25" style="117" customWidth="1"/>
    <col min="9477" max="9477" width="14.5" style="117" customWidth="1"/>
    <col min="9478" max="9478" width="14.375" style="117" customWidth="1"/>
    <col min="9479" max="9479" width="16.75" style="117" customWidth="1"/>
    <col min="9480" max="9480" width="12.875" style="117" customWidth="1"/>
    <col min="9481" max="9481" width="7.375" style="117" customWidth="1"/>
    <col min="9482" max="9482" width="11.25" style="117" customWidth="1"/>
    <col min="9483" max="9483" width="14.625" style="117" customWidth="1"/>
    <col min="9484" max="9484" width="19.75" style="117" customWidth="1"/>
    <col min="9485" max="9485" width="14.125" style="117" bestFit="1" customWidth="1"/>
    <col min="9486" max="9729" width="9" style="117"/>
    <col min="9730" max="9730" width="29" style="117" customWidth="1"/>
    <col min="9731" max="9731" width="10.75" style="117" customWidth="1"/>
    <col min="9732" max="9732" width="14.25" style="117" customWidth="1"/>
    <col min="9733" max="9733" width="14.5" style="117" customWidth="1"/>
    <col min="9734" max="9734" width="14.375" style="117" customWidth="1"/>
    <col min="9735" max="9735" width="16.75" style="117" customWidth="1"/>
    <col min="9736" max="9736" width="12.875" style="117" customWidth="1"/>
    <col min="9737" max="9737" width="7.375" style="117" customWidth="1"/>
    <col min="9738" max="9738" width="11.25" style="117" customWidth="1"/>
    <col min="9739" max="9739" width="14.625" style="117" customWidth="1"/>
    <col min="9740" max="9740" width="19.75" style="117" customWidth="1"/>
    <col min="9741" max="9741" width="14.125" style="117" bestFit="1" customWidth="1"/>
    <col min="9742" max="9985" width="9" style="117"/>
    <col min="9986" max="9986" width="29" style="117" customWidth="1"/>
    <col min="9987" max="9987" width="10.75" style="117" customWidth="1"/>
    <col min="9988" max="9988" width="14.25" style="117" customWidth="1"/>
    <col min="9989" max="9989" width="14.5" style="117" customWidth="1"/>
    <col min="9990" max="9990" width="14.375" style="117" customWidth="1"/>
    <col min="9991" max="9991" width="16.75" style="117" customWidth="1"/>
    <col min="9992" max="9992" width="12.875" style="117" customWidth="1"/>
    <col min="9993" max="9993" width="7.375" style="117" customWidth="1"/>
    <col min="9994" max="9994" width="11.25" style="117" customWidth="1"/>
    <col min="9995" max="9995" width="14.625" style="117" customWidth="1"/>
    <col min="9996" max="9996" width="19.75" style="117" customWidth="1"/>
    <col min="9997" max="9997" width="14.125" style="117" bestFit="1" customWidth="1"/>
    <col min="9998" max="10241" width="9" style="117"/>
    <col min="10242" max="10242" width="29" style="117" customWidth="1"/>
    <col min="10243" max="10243" width="10.75" style="117" customWidth="1"/>
    <col min="10244" max="10244" width="14.25" style="117" customWidth="1"/>
    <col min="10245" max="10245" width="14.5" style="117" customWidth="1"/>
    <col min="10246" max="10246" width="14.375" style="117" customWidth="1"/>
    <col min="10247" max="10247" width="16.75" style="117" customWidth="1"/>
    <col min="10248" max="10248" width="12.875" style="117" customWidth="1"/>
    <col min="10249" max="10249" width="7.375" style="117" customWidth="1"/>
    <col min="10250" max="10250" width="11.25" style="117" customWidth="1"/>
    <col min="10251" max="10251" width="14.625" style="117" customWidth="1"/>
    <col min="10252" max="10252" width="19.75" style="117" customWidth="1"/>
    <col min="10253" max="10253" width="14.125" style="117" bestFit="1" customWidth="1"/>
    <col min="10254" max="10497" width="9" style="117"/>
    <col min="10498" max="10498" width="29" style="117" customWidth="1"/>
    <col min="10499" max="10499" width="10.75" style="117" customWidth="1"/>
    <col min="10500" max="10500" width="14.25" style="117" customWidth="1"/>
    <col min="10501" max="10501" width="14.5" style="117" customWidth="1"/>
    <col min="10502" max="10502" width="14.375" style="117" customWidth="1"/>
    <col min="10503" max="10503" width="16.75" style="117" customWidth="1"/>
    <col min="10504" max="10504" width="12.875" style="117" customWidth="1"/>
    <col min="10505" max="10505" width="7.375" style="117" customWidth="1"/>
    <col min="10506" max="10506" width="11.25" style="117" customWidth="1"/>
    <col min="10507" max="10507" width="14.625" style="117" customWidth="1"/>
    <col min="10508" max="10508" width="19.75" style="117" customWidth="1"/>
    <col min="10509" max="10509" width="14.125" style="117" bestFit="1" customWidth="1"/>
    <col min="10510" max="10753" width="9" style="117"/>
    <col min="10754" max="10754" width="29" style="117" customWidth="1"/>
    <col min="10755" max="10755" width="10.75" style="117" customWidth="1"/>
    <col min="10756" max="10756" width="14.25" style="117" customWidth="1"/>
    <col min="10757" max="10757" width="14.5" style="117" customWidth="1"/>
    <col min="10758" max="10758" width="14.375" style="117" customWidth="1"/>
    <col min="10759" max="10759" width="16.75" style="117" customWidth="1"/>
    <col min="10760" max="10760" width="12.875" style="117" customWidth="1"/>
    <col min="10761" max="10761" width="7.375" style="117" customWidth="1"/>
    <col min="10762" max="10762" width="11.25" style="117" customWidth="1"/>
    <col min="10763" max="10763" width="14.625" style="117" customWidth="1"/>
    <col min="10764" max="10764" width="19.75" style="117" customWidth="1"/>
    <col min="10765" max="10765" width="14.125" style="117" bestFit="1" customWidth="1"/>
    <col min="10766" max="11009" width="9" style="117"/>
    <col min="11010" max="11010" width="29" style="117" customWidth="1"/>
    <col min="11011" max="11011" width="10.75" style="117" customWidth="1"/>
    <col min="11012" max="11012" width="14.25" style="117" customWidth="1"/>
    <col min="11013" max="11013" width="14.5" style="117" customWidth="1"/>
    <col min="11014" max="11014" width="14.375" style="117" customWidth="1"/>
    <col min="11015" max="11015" width="16.75" style="117" customWidth="1"/>
    <col min="11016" max="11016" width="12.875" style="117" customWidth="1"/>
    <col min="11017" max="11017" width="7.375" style="117" customWidth="1"/>
    <col min="11018" max="11018" width="11.25" style="117" customWidth="1"/>
    <col min="11019" max="11019" width="14.625" style="117" customWidth="1"/>
    <col min="11020" max="11020" width="19.75" style="117" customWidth="1"/>
    <col min="11021" max="11021" width="14.125" style="117" bestFit="1" customWidth="1"/>
    <col min="11022" max="11265" width="9" style="117"/>
    <col min="11266" max="11266" width="29" style="117" customWidth="1"/>
    <col min="11267" max="11267" width="10.75" style="117" customWidth="1"/>
    <col min="11268" max="11268" width="14.25" style="117" customWidth="1"/>
    <col min="11269" max="11269" width="14.5" style="117" customWidth="1"/>
    <col min="11270" max="11270" width="14.375" style="117" customWidth="1"/>
    <col min="11271" max="11271" width="16.75" style="117" customWidth="1"/>
    <col min="11272" max="11272" width="12.875" style="117" customWidth="1"/>
    <col min="11273" max="11273" width="7.375" style="117" customWidth="1"/>
    <col min="11274" max="11274" width="11.25" style="117" customWidth="1"/>
    <col min="11275" max="11275" width="14.625" style="117" customWidth="1"/>
    <col min="11276" max="11276" width="19.75" style="117" customWidth="1"/>
    <col min="11277" max="11277" width="14.125" style="117" bestFit="1" customWidth="1"/>
    <col min="11278" max="11521" width="9" style="117"/>
    <col min="11522" max="11522" width="29" style="117" customWidth="1"/>
    <col min="11523" max="11523" width="10.75" style="117" customWidth="1"/>
    <col min="11524" max="11524" width="14.25" style="117" customWidth="1"/>
    <col min="11525" max="11525" width="14.5" style="117" customWidth="1"/>
    <col min="11526" max="11526" width="14.375" style="117" customWidth="1"/>
    <col min="11527" max="11527" width="16.75" style="117" customWidth="1"/>
    <col min="11528" max="11528" width="12.875" style="117" customWidth="1"/>
    <col min="11529" max="11529" width="7.375" style="117" customWidth="1"/>
    <col min="11530" max="11530" width="11.25" style="117" customWidth="1"/>
    <col min="11531" max="11531" width="14.625" style="117" customWidth="1"/>
    <col min="11532" max="11532" width="19.75" style="117" customWidth="1"/>
    <col min="11533" max="11533" width="14.125" style="117" bestFit="1" customWidth="1"/>
    <col min="11534" max="11777" width="9" style="117"/>
    <col min="11778" max="11778" width="29" style="117" customWidth="1"/>
    <col min="11779" max="11779" width="10.75" style="117" customWidth="1"/>
    <col min="11780" max="11780" width="14.25" style="117" customWidth="1"/>
    <col min="11781" max="11781" width="14.5" style="117" customWidth="1"/>
    <col min="11782" max="11782" width="14.375" style="117" customWidth="1"/>
    <col min="11783" max="11783" width="16.75" style="117" customWidth="1"/>
    <col min="11784" max="11784" width="12.875" style="117" customWidth="1"/>
    <col min="11785" max="11785" width="7.375" style="117" customWidth="1"/>
    <col min="11786" max="11786" width="11.25" style="117" customWidth="1"/>
    <col min="11787" max="11787" width="14.625" style="117" customWidth="1"/>
    <col min="11788" max="11788" width="19.75" style="117" customWidth="1"/>
    <col min="11789" max="11789" width="14.125" style="117" bestFit="1" customWidth="1"/>
    <col min="11790" max="12033" width="9" style="117"/>
    <col min="12034" max="12034" width="29" style="117" customWidth="1"/>
    <col min="12035" max="12035" width="10.75" style="117" customWidth="1"/>
    <col min="12036" max="12036" width="14.25" style="117" customWidth="1"/>
    <col min="12037" max="12037" width="14.5" style="117" customWidth="1"/>
    <col min="12038" max="12038" width="14.375" style="117" customWidth="1"/>
    <col min="12039" max="12039" width="16.75" style="117" customWidth="1"/>
    <col min="12040" max="12040" width="12.875" style="117" customWidth="1"/>
    <col min="12041" max="12041" width="7.375" style="117" customWidth="1"/>
    <col min="12042" max="12042" width="11.25" style="117" customWidth="1"/>
    <col min="12043" max="12043" width="14.625" style="117" customWidth="1"/>
    <col min="12044" max="12044" width="19.75" style="117" customWidth="1"/>
    <col min="12045" max="12045" width="14.125" style="117" bestFit="1" customWidth="1"/>
    <col min="12046" max="12289" width="9" style="117"/>
    <col min="12290" max="12290" width="29" style="117" customWidth="1"/>
    <col min="12291" max="12291" width="10.75" style="117" customWidth="1"/>
    <col min="12292" max="12292" width="14.25" style="117" customWidth="1"/>
    <col min="12293" max="12293" width="14.5" style="117" customWidth="1"/>
    <col min="12294" max="12294" width="14.375" style="117" customWidth="1"/>
    <col min="12295" max="12295" width="16.75" style="117" customWidth="1"/>
    <col min="12296" max="12296" width="12.875" style="117" customWidth="1"/>
    <col min="12297" max="12297" width="7.375" style="117" customWidth="1"/>
    <col min="12298" max="12298" width="11.25" style="117" customWidth="1"/>
    <col min="12299" max="12299" width="14.625" style="117" customWidth="1"/>
    <col min="12300" max="12300" width="19.75" style="117" customWidth="1"/>
    <col min="12301" max="12301" width="14.125" style="117" bestFit="1" customWidth="1"/>
    <col min="12302" max="12545" width="9" style="117"/>
    <col min="12546" max="12546" width="29" style="117" customWidth="1"/>
    <col min="12547" max="12547" width="10.75" style="117" customWidth="1"/>
    <col min="12548" max="12548" width="14.25" style="117" customWidth="1"/>
    <col min="12549" max="12549" width="14.5" style="117" customWidth="1"/>
    <col min="12550" max="12550" width="14.375" style="117" customWidth="1"/>
    <col min="12551" max="12551" width="16.75" style="117" customWidth="1"/>
    <col min="12552" max="12552" width="12.875" style="117" customWidth="1"/>
    <col min="12553" max="12553" width="7.375" style="117" customWidth="1"/>
    <col min="12554" max="12554" width="11.25" style="117" customWidth="1"/>
    <col min="12555" max="12555" width="14.625" style="117" customWidth="1"/>
    <col min="12556" max="12556" width="19.75" style="117" customWidth="1"/>
    <col min="12557" max="12557" width="14.125" style="117" bestFit="1" customWidth="1"/>
    <col min="12558" max="12801" width="9" style="117"/>
    <col min="12802" max="12802" width="29" style="117" customWidth="1"/>
    <col min="12803" max="12803" width="10.75" style="117" customWidth="1"/>
    <col min="12804" max="12804" width="14.25" style="117" customWidth="1"/>
    <col min="12805" max="12805" width="14.5" style="117" customWidth="1"/>
    <col min="12806" max="12806" width="14.375" style="117" customWidth="1"/>
    <col min="12807" max="12807" width="16.75" style="117" customWidth="1"/>
    <col min="12808" max="12808" width="12.875" style="117" customWidth="1"/>
    <col min="12809" max="12809" width="7.375" style="117" customWidth="1"/>
    <col min="12810" max="12810" width="11.25" style="117" customWidth="1"/>
    <col min="12811" max="12811" width="14.625" style="117" customWidth="1"/>
    <col min="12812" max="12812" width="19.75" style="117" customWidth="1"/>
    <col min="12813" max="12813" width="14.125" style="117" bestFit="1" customWidth="1"/>
    <col min="12814" max="13057" width="9" style="117"/>
    <col min="13058" max="13058" width="29" style="117" customWidth="1"/>
    <col min="13059" max="13059" width="10.75" style="117" customWidth="1"/>
    <col min="13060" max="13060" width="14.25" style="117" customWidth="1"/>
    <col min="13061" max="13061" width="14.5" style="117" customWidth="1"/>
    <col min="13062" max="13062" width="14.375" style="117" customWidth="1"/>
    <col min="13063" max="13063" width="16.75" style="117" customWidth="1"/>
    <col min="13064" max="13064" width="12.875" style="117" customWidth="1"/>
    <col min="13065" max="13065" width="7.375" style="117" customWidth="1"/>
    <col min="13066" max="13066" width="11.25" style="117" customWidth="1"/>
    <col min="13067" max="13067" width="14.625" style="117" customWidth="1"/>
    <col min="13068" max="13068" width="19.75" style="117" customWidth="1"/>
    <col min="13069" max="13069" width="14.125" style="117" bestFit="1" customWidth="1"/>
    <col min="13070" max="13313" width="9" style="117"/>
    <col min="13314" max="13314" width="29" style="117" customWidth="1"/>
    <col min="13315" max="13315" width="10.75" style="117" customWidth="1"/>
    <col min="13316" max="13316" width="14.25" style="117" customWidth="1"/>
    <col min="13317" max="13317" width="14.5" style="117" customWidth="1"/>
    <col min="13318" max="13318" width="14.375" style="117" customWidth="1"/>
    <col min="13319" max="13319" width="16.75" style="117" customWidth="1"/>
    <col min="13320" max="13320" width="12.875" style="117" customWidth="1"/>
    <col min="13321" max="13321" width="7.375" style="117" customWidth="1"/>
    <col min="13322" max="13322" width="11.25" style="117" customWidth="1"/>
    <col min="13323" max="13323" width="14.625" style="117" customWidth="1"/>
    <col min="13324" max="13324" width="19.75" style="117" customWidth="1"/>
    <col min="13325" max="13325" width="14.125" style="117" bestFit="1" customWidth="1"/>
    <col min="13326" max="13569" width="9" style="117"/>
    <col min="13570" max="13570" width="29" style="117" customWidth="1"/>
    <col min="13571" max="13571" width="10.75" style="117" customWidth="1"/>
    <col min="13572" max="13572" width="14.25" style="117" customWidth="1"/>
    <col min="13573" max="13573" width="14.5" style="117" customWidth="1"/>
    <col min="13574" max="13574" width="14.375" style="117" customWidth="1"/>
    <col min="13575" max="13575" width="16.75" style="117" customWidth="1"/>
    <col min="13576" max="13576" width="12.875" style="117" customWidth="1"/>
    <col min="13577" max="13577" width="7.375" style="117" customWidth="1"/>
    <col min="13578" max="13578" width="11.25" style="117" customWidth="1"/>
    <col min="13579" max="13579" width="14.625" style="117" customWidth="1"/>
    <col min="13580" max="13580" width="19.75" style="117" customWidth="1"/>
    <col min="13581" max="13581" width="14.125" style="117" bestFit="1" customWidth="1"/>
    <col min="13582" max="13825" width="9" style="117"/>
    <col min="13826" max="13826" width="29" style="117" customWidth="1"/>
    <col min="13827" max="13827" width="10.75" style="117" customWidth="1"/>
    <col min="13828" max="13828" width="14.25" style="117" customWidth="1"/>
    <col min="13829" max="13829" width="14.5" style="117" customWidth="1"/>
    <col min="13830" max="13830" width="14.375" style="117" customWidth="1"/>
    <col min="13831" max="13831" width="16.75" style="117" customWidth="1"/>
    <col min="13832" max="13832" width="12.875" style="117" customWidth="1"/>
    <col min="13833" max="13833" width="7.375" style="117" customWidth="1"/>
    <col min="13834" max="13834" width="11.25" style="117" customWidth="1"/>
    <col min="13835" max="13835" width="14.625" style="117" customWidth="1"/>
    <col min="13836" max="13836" width="19.75" style="117" customWidth="1"/>
    <col min="13837" max="13837" width="14.125" style="117" bestFit="1" customWidth="1"/>
    <col min="13838" max="14081" width="9" style="117"/>
    <col min="14082" max="14082" width="29" style="117" customWidth="1"/>
    <col min="14083" max="14083" width="10.75" style="117" customWidth="1"/>
    <col min="14084" max="14084" width="14.25" style="117" customWidth="1"/>
    <col min="14085" max="14085" width="14.5" style="117" customWidth="1"/>
    <col min="14086" max="14086" width="14.375" style="117" customWidth="1"/>
    <col min="14087" max="14087" width="16.75" style="117" customWidth="1"/>
    <col min="14088" max="14088" width="12.875" style="117" customWidth="1"/>
    <col min="14089" max="14089" width="7.375" style="117" customWidth="1"/>
    <col min="14090" max="14090" width="11.25" style="117" customWidth="1"/>
    <col min="14091" max="14091" width="14.625" style="117" customWidth="1"/>
    <col min="14092" max="14092" width="19.75" style="117" customWidth="1"/>
    <col min="14093" max="14093" width="14.125" style="117" bestFit="1" customWidth="1"/>
    <col min="14094" max="14337" width="9" style="117"/>
    <col min="14338" max="14338" width="29" style="117" customWidth="1"/>
    <col min="14339" max="14339" width="10.75" style="117" customWidth="1"/>
    <col min="14340" max="14340" width="14.25" style="117" customWidth="1"/>
    <col min="14341" max="14341" width="14.5" style="117" customWidth="1"/>
    <col min="14342" max="14342" width="14.375" style="117" customWidth="1"/>
    <col min="14343" max="14343" width="16.75" style="117" customWidth="1"/>
    <col min="14344" max="14344" width="12.875" style="117" customWidth="1"/>
    <col min="14345" max="14345" width="7.375" style="117" customWidth="1"/>
    <col min="14346" max="14346" width="11.25" style="117" customWidth="1"/>
    <col min="14347" max="14347" width="14.625" style="117" customWidth="1"/>
    <col min="14348" max="14348" width="19.75" style="117" customWidth="1"/>
    <col min="14349" max="14349" width="14.125" style="117" bestFit="1" customWidth="1"/>
    <col min="14350" max="14593" width="9" style="117"/>
    <col min="14594" max="14594" width="29" style="117" customWidth="1"/>
    <col min="14595" max="14595" width="10.75" style="117" customWidth="1"/>
    <col min="14596" max="14596" width="14.25" style="117" customWidth="1"/>
    <col min="14597" max="14597" width="14.5" style="117" customWidth="1"/>
    <col min="14598" max="14598" width="14.375" style="117" customWidth="1"/>
    <col min="14599" max="14599" width="16.75" style="117" customWidth="1"/>
    <col min="14600" max="14600" width="12.875" style="117" customWidth="1"/>
    <col min="14601" max="14601" width="7.375" style="117" customWidth="1"/>
    <col min="14602" max="14602" width="11.25" style="117" customWidth="1"/>
    <col min="14603" max="14603" width="14.625" style="117" customWidth="1"/>
    <col min="14604" max="14604" width="19.75" style="117" customWidth="1"/>
    <col min="14605" max="14605" width="14.125" style="117" bestFit="1" customWidth="1"/>
    <col min="14606" max="14849" width="9" style="117"/>
    <col min="14850" max="14850" width="29" style="117" customWidth="1"/>
    <col min="14851" max="14851" width="10.75" style="117" customWidth="1"/>
    <col min="14852" max="14852" width="14.25" style="117" customWidth="1"/>
    <col min="14853" max="14853" width="14.5" style="117" customWidth="1"/>
    <col min="14854" max="14854" width="14.375" style="117" customWidth="1"/>
    <col min="14855" max="14855" width="16.75" style="117" customWidth="1"/>
    <col min="14856" max="14856" width="12.875" style="117" customWidth="1"/>
    <col min="14857" max="14857" width="7.375" style="117" customWidth="1"/>
    <col min="14858" max="14858" width="11.25" style="117" customWidth="1"/>
    <col min="14859" max="14859" width="14.625" style="117" customWidth="1"/>
    <col min="14860" max="14860" width="19.75" style="117" customWidth="1"/>
    <col min="14861" max="14861" width="14.125" style="117" bestFit="1" customWidth="1"/>
    <col min="14862" max="15105" width="9" style="117"/>
    <col min="15106" max="15106" width="29" style="117" customWidth="1"/>
    <col min="15107" max="15107" width="10.75" style="117" customWidth="1"/>
    <col min="15108" max="15108" width="14.25" style="117" customWidth="1"/>
    <col min="15109" max="15109" width="14.5" style="117" customWidth="1"/>
    <col min="15110" max="15110" width="14.375" style="117" customWidth="1"/>
    <col min="15111" max="15111" width="16.75" style="117" customWidth="1"/>
    <col min="15112" max="15112" width="12.875" style="117" customWidth="1"/>
    <col min="15113" max="15113" width="7.375" style="117" customWidth="1"/>
    <col min="15114" max="15114" width="11.25" style="117" customWidth="1"/>
    <col min="15115" max="15115" width="14.625" style="117" customWidth="1"/>
    <col min="15116" max="15116" width="19.75" style="117" customWidth="1"/>
    <col min="15117" max="15117" width="14.125" style="117" bestFit="1" customWidth="1"/>
    <col min="15118" max="15361" width="9" style="117"/>
    <col min="15362" max="15362" width="29" style="117" customWidth="1"/>
    <col min="15363" max="15363" width="10.75" style="117" customWidth="1"/>
    <col min="15364" max="15364" width="14.25" style="117" customWidth="1"/>
    <col min="15365" max="15365" width="14.5" style="117" customWidth="1"/>
    <col min="15366" max="15366" width="14.375" style="117" customWidth="1"/>
    <col min="15367" max="15367" width="16.75" style="117" customWidth="1"/>
    <col min="15368" max="15368" width="12.875" style="117" customWidth="1"/>
    <col min="15369" max="15369" width="7.375" style="117" customWidth="1"/>
    <col min="15370" max="15370" width="11.25" style="117" customWidth="1"/>
    <col min="15371" max="15371" width="14.625" style="117" customWidth="1"/>
    <col min="15372" max="15372" width="19.75" style="117" customWidth="1"/>
    <col min="15373" max="15373" width="14.125" style="117" bestFit="1" customWidth="1"/>
    <col min="15374" max="15617" width="9" style="117"/>
    <col min="15618" max="15618" width="29" style="117" customWidth="1"/>
    <col min="15619" max="15619" width="10.75" style="117" customWidth="1"/>
    <col min="15620" max="15620" width="14.25" style="117" customWidth="1"/>
    <col min="15621" max="15621" width="14.5" style="117" customWidth="1"/>
    <col min="15622" max="15622" width="14.375" style="117" customWidth="1"/>
    <col min="15623" max="15623" width="16.75" style="117" customWidth="1"/>
    <col min="15624" max="15624" width="12.875" style="117" customWidth="1"/>
    <col min="15625" max="15625" width="7.375" style="117" customWidth="1"/>
    <col min="15626" max="15626" width="11.25" style="117" customWidth="1"/>
    <col min="15627" max="15627" width="14.625" style="117" customWidth="1"/>
    <col min="15628" max="15628" width="19.75" style="117" customWidth="1"/>
    <col min="15629" max="15629" width="14.125" style="117" bestFit="1" customWidth="1"/>
    <col min="15630" max="15873" width="9" style="117"/>
    <col min="15874" max="15874" width="29" style="117" customWidth="1"/>
    <col min="15875" max="15875" width="10.75" style="117" customWidth="1"/>
    <col min="15876" max="15876" width="14.25" style="117" customWidth="1"/>
    <col min="15877" max="15877" width="14.5" style="117" customWidth="1"/>
    <col min="15878" max="15878" width="14.375" style="117" customWidth="1"/>
    <col min="15879" max="15879" width="16.75" style="117" customWidth="1"/>
    <col min="15880" max="15880" width="12.875" style="117" customWidth="1"/>
    <col min="15881" max="15881" width="7.375" style="117" customWidth="1"/>
    <col min="15882" max="15882" width="11.25" style="117" customWidth="1"/>
    <col min="15883" max="15883" width="14.625" style="117" customWidth="1"/>
    <col min="15884" max="15884" width="19.75" style="117" customWidth="1"/>
    <col min="15885" max="15885" width="14.125" style="117" bestFit="1" customWidth="1"/>
    <col min="15886" max="16129" width="9" style="117"/>
    <col min="16130" max="16130" width="29" style="117" customWidth="1"/>
    <col min="16131" max="16131" width="10.75" style="117" customWidth="1"/>
    <col min="16132" max="16132" width="14.25" style="117" customWidth="1"/>
    <col min="16133" max="16133" width="14.5" style="117" customWidth="1"/>
    <col min="16134" max="16134" width="14.375" style="117" customWidth="1"/>
    <col min="16135" max="16135" width="16.75" style="117" customWidth="1"/>
    <col min="16136" max="16136" width="12.875" style="117" customWidth="1"/>
    <col min="16137" max="16137" width="7.375" style="117" customWidth="1"/>
    <col min="16138" max="16138" width="11.25" style="117" customWidth="1"/>
    <col min="16139" max="16139" width="14.625" style="117" customWidth="1"/>
    <col min="16140" max="16140" width="19.75" style="117" customWidth="1"/>
    <col min="16141" max="16141" width="14.125" style="117" bestFit="1" customWidth="1"/>
    <col min="16142" max="16384" width="9" style="117"/>
  </cols>
  <sheetData>
    <row r="1" spans="1:13">
      <c r="A1" s="1438" t="s">
        <v>367</v>
      </c>
      <c r="B1" s="1438"/>
      <c r="C1" s="1438"/>
      <c r="D1" s="1438"/>
      <c r="E1" s="1438"/>
      <c r="F1" s="1438"/>
      <c r="G1" s="1438"/>
      <c r="H1" s="1438"/>
      <c r="I1" s="1438"/>
      <c r="J1" s="1438"/>
      <c r="K1" s="1438"/>
      <c r="L1" s="1438"/>
    </row>
    <row r="2" spans="1:13">
      <c r="A2" s="118"/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</row>
    <row r="3" spans="1:13" s="396" customFormat="1">
      <c r="A3" s="394"/>
      <c r="B3" s="394"/>
      <c r="C3" s="395"/>
      <c r="D3" s="394"/>
      <c r="E3" s="1536" t="s">
        <v>368</v>
      </c>
      <c r="F3" s="1537"/>
      <c r="G3" s="1537"/>
      <c r="H3" s="1538"/>
      <c r="I3" s="1536" t="s">
        <v>94</v>
      </c>
      <c r="J3" s="1537"/>
      <c r="K3" s="1537"/>
      <c r="L3" s="1538"/>
    </row>
    <row r="4" spans="1:13" s="396" customFormat="1">
      <c r="A4" s="397"/>
      <c r="B4" s="398" t="s">
        <v>369</v>
      </c>
      <c r="C4" s="399" t="s">
        <v>370</v>
      </c>
      <c r="D4" s="397" t="s">
        <v>371</v>
      </c>
      <c r="E4" s="1539" t="s">
        <v>372</v>
      </c>
      <c r="F4" s="1540"/>
      <c r="G4" s="1539" t="s">
        <v>373</v>
      </c>
      <c r="H4" s="1540"/>
      <c r="I4" s="1539" t="s">
        <v>374</v>
      </c>
      <c r="J4" s="1540"/>
      <c r="K4" s="1539" t="s">
        <v>373</v>
      </c>
      <c r="L4" s="1540"/>
    </row>
    <row r="5" spans="1:13" s="396" customFormat="1">
      <c r="A5" s="397"/>
      <c r="B5" s="397"/>
      <c r="C5" s="400"/>
      <c r="D5" s="397"/>
      <c r="E5" s="401" t="s">
        <v>375</v>
      </c>
      <c r="F5" s="402" t="s">
        <v>376</v>
      </c>
      <c r="G5" s="403"/>
      <c r="H5" s="402"/>
      <c r="I5" s="401" t="s">
        <v>375</v>
      </c>
      <c r="J5" s="402" t="s">
        <v>376</v>
      </c>
      <c r="K5" s="403"/>
      <c r="L5" s="402"/>
    </row>
    <row r="6" spans="1:13" s="396" customFormat="1">
      <c r="A6" s="404"/>
      <c r="B6" s="404"/>
      <c r="C6" s="405"/>
      <c r="D6" s="404" t="s">
        <v>377</v>
      </c>
      <c r="E6" s="406" t="s">
        <v>133</v>
      </c>
      <c r="F6" s="407" t="s">
        <v>378</v>
      </c>
      <c r="G6" s="408" t="s">
        <v>379</v>
      </c>
      <c r="H6" s="409" t="s">
        <v>380</v>
      </c>
      <c r="I6" s="406" t="s">
        <v>381</v>
      </c>
      <c r="J6" s="407" t="s">
        <v>382</v>
      </c>
      <c r="K6" s="408" t="s">
        <v>383</v>
      </c>
      <c r="L6" s="409" t="s">
        <v>384</v>
      </c>
    </row>
    <row r="7" spans="1:13" ht="12.75" customHeight="1">
      <c r="A7" s="1541" t="s">
        <v>385</v>
      </c>
      <c r="B7" s="1544" t="s">
        <v>504</v>
      </c>
      <c r="C7" s="410" t="s">
        <v>386</v>
      </c>
      <c r="D7" s="288">
        <v>50</v>
      </c>
      <c r="E7" s="411">
        <v>0.5</v>
      </c>
      <c r="F7" s="412">
        <v>0</v>
      </c>
      <c r="G7" s="413">
        <f>D7*E7*365</f>
        <v>9125</v>
      </c>
      <c r="H7" s="412">
        <f>D7*F7*12</f>
        <v>0</v>
      </c>
      <c r="I7" s="411">
        <v>0</v>
      </c>
      <c r="J7" s="412">
        <v>0</v>
      </c>
      <c r="K7" s="411">
        <f>D7*I7*365</f>
        <v>0</v>
      </c>
      <c r="L7" s="412">
        <f>D7*J7*12</f>
        <v>0</v>
      </c>
      <c r="M7" s="135"/>
    </row>
    <row r="8" spans="1:13">
      <c r="A8" s="1542"/>
      <c r="B8" s="1545"/>
      <c r="C8" s="410" t="s">
        <v>387</v>
      </c>
      <c r="D8" s="288">
        <v>50</v>
      </c>
      <c r="E8" s="411">
        <v>0.5</v>
      </c>
      <c r="F8" s="412">
        <v>0</v>
      </c>
      <c r="G8" s="414">
        <f t="shared" ref="G8:G20" si="0">D8*E8*365</f>
        <v>9125</v>
      </c>
      <c r="H8" s="412">
        <f t="shared" ref="H8:H20" si="1">D8*F8*12</f>
        <v>0</v>
      </c>
      <c r="I8" s="411">
        <v>0</v>
      </c>
      <c r="J8" s="412">
        <v>0</v>
      </c>
      <c r="K8" s="411">
        <f t="shared" ref="K8:K20" si="2">D8*I8*365</f>
        <v>0</v>
      </c>
      <c r="L8" s="412">
        <f t="shared" ref="L8:L20" si="3">D8*J8*12</f>
        <v>0</v>
      </c>
      <c r="M8" s="135"/>
    </row>
    <row r="9" spans="1:13">
      <c r="A9" s="1542"/>
      <c r="B9" s="1545"/>
      <c r="C9" s="410" t="s">
        <v>388</v>
      </c>
      <c r="D9" s="288">
        <v>50</v>
      </c>
      <c r="E9" s="411">
        <v>0.5</v>
      </c>
      <c r="F9" s="412">
        <v>0</v>
      </c>
      <c r="G9" s="414">
        <f t="shared" si="0"/>
        <v>9125</v>
      </c>
      <c r="H9" s="412">
        <f t="shared" si="1"/>
        <v>0</v>
      </c>
      <c r="I9" s="411">
        <v>0</v>
      </c>
      <c r="J9" s="412">
        <v>0</v>
      </c>
      <c r="K9" s="411">
        <f t="shared" si="2"/>
        <v>0</v>
      </c>
      <c r="L9" s="412">
        <f t="shared" si="3"/>
        <v>0</v>
      </c>
      <c r="M9" s="135"/>
    </row>
    <row r="10" spans="1:13">
      <c r="A10" s="1542"/>
      <c r="B10" s="1545"/>
      <c r="C10" s="410" t="s">
        <v>389</v>
      </c>
      <c r="D10" s="288">
        <v>50</v>
      </c>
      <c r="E10" s="411">
        <v>0.5</v>
      </c>
      <c r="F10" s="412"/>
      <c r="G10" s="414">
        <f t="shared" si="0"/>
        <v>9125</v>
      </c>
      <c r="H10" s="412">
        <f t="shared" si="1"/>
        <v>0</v>
      </c>
      <c r="I10" s="411">
        <v>0</v>
      </c>
      <c r="J10" s="412">
        <v>0</v>
      </c>
      <c r="K10" s="411">
        <f t="shared" si="2"/>
        <v>0</v>
      </c>
      <c r="L10" s="412">
        <f t="shared" si="3"/>
        <v>0</v>
      </c>
      <c r="M10" s="135"/>
    </row>
    <row r="11" spans="1:13">
      <c r="A11" s="1542"/>
      <c r="B11" s="1545"/>
      <c r="C11" s="410" t="s">
        <v>390</v>
      </c>
      <c r="D11" s="288">
        <v>50</v>
      </c>
      <c r="E11" s="411">
        <v>0.5</v>
      </c>
      <c r="F11" s="412">
        <v>0</v>
      </c>
      <c r="G11" s="414">
        <f t="shared" si="0"/>
        <v>9125</v>
      </c>
      <c r="H11" s="412">
        <f t="shared" si="1"/>
        <v>0</v>
      </c>
      <c r="I11" s="411">
        <v>0</v>
      </c>
      <c r="J11" s="412">
        <v>0</v>
      </c>
      <c r="K11" s="411">
        <f t="shared" si="2"/>
        <v>0</v>
      </c>
      <c r="L11" s="412">
        <f t="shared" si="3"/>
        <v>0</v>
      </c>
      <c r="M11" s="135"/>
    </row>
    <row r="12" spans="1:13">
      <c r="A12" s="1542"/>
      <c r="B12" s="1545"/>
      <c r="C12" s="410" t="s">
        <v>391</v>
      </c>
      <c r="D12" s="288">
        <v>50</v>
      </c>
      <c r="E12" s="411">
        <v>0.5</v>
      </c>
      <c r="F12" s="412">
        <v>0</v>
      </c>
      <c r="G12" s="414">
        <f t="shared" si="0"/>
        <v>9125</v>
      </c>
      <c r="H12" s="412">
        <f t="shared" si="1"/>
        <v>0</v>
      </c>
      <c r="I12" s="411">
        <v>0</v>
      </c>
      <c r="J12" s="412">
        <v>0</v>
      </c>
      <c r="K12" s="411">
        <f t="shared" si="2"/>
        <v>0</v>
      </c>
      <c r="L12" s="412">
        <f t="shared" si="3"/>
        <v>0</v>
      </c>
      <c r="M12" s="135"/>
    </row>
    <row r="13" spans="1:13">
      <c r="A13" s="1542"/>
      <c r="B13" s="1545"/>
      <c r="C13" s="410" t="s">
        <v>392</v>
      </c>
      <c r="D13" s="288">
        <v>50</v>
      </c>
      <c r="E13" s="411">
        <v>0.5</v>
      </c>
      <c r="F13" s="412">
        <v>0</v>
      </c>
      <c r="G13" s="414">
        <f t="shared" si="0"/>
        <v>9125</v>
      </c>
      <c r="H13" s="412">
        <f t="shared" si="1"/>
        <v>0</v>
      </c>
      <c r="I13" s="411">
        <v>0</v>
      </c>
      <c r="J13" s="412">
        <v>0</v>
      </c>
      <c r="K13" s="411">
        <f t="shared" si="2"/>
        <v>0</v>
      </c>
      <c r="L13" s="412">
        <f t="shared" si="3"/>
        <v>0</v>
      </c>
      <c r="M13" s="135"/>
    </row>
    <row r="14" spans="1:13">
      <c r="A14" s="1542"/>
      <c r="B14" s="1545"/>
      <c r="C14" s="410" t="s">
        <v>393</v>
      </c>
      <c r="D14" s="288">
        <v>50</v>
      </c>
      <c r="E14" s="411">
        <v>0.5</v>
      </c>
      <c r="F14" s="412">
        <v>0</v>
      </c>
      <c r="G14" s="414">
        <f t="shared" si="0"/>
        <v>9125</v>
      </c>
      <c r="H14" s="412">
        <f t="shared" si="1"/>
        <v>0</v>
      </c>
      <c r="I14" s="411">
        <v>0</v>
      </c>
      <c r="J14" s="412">
        <v>0</v>
      </c>
      <c r="K14" s="411">
        <f t="shared" si="2"/>
        <v>0</v>
      </c>
      <c r="L14" s="412">
        <f t="shared" si="3"/>
        <v>0</v>
      </c>
      <c r="M14" s="135"/>
    </row>
    <row r="15" spans="1:13" ht="12.75" customHeight="1">
      <c r="A15" s="1542"/>
      <c r="B15" s="1545"/>
      <c r="C15" s="410" t="s">
        <v>394</v>
      </c>
      <c r="D15" s="288">
        <v>50</v>
      </c>
      <c r="E15" s="411">
        <v>0.5</v>
      </c>
      <c r="F15" s="412">
        <v>0</v>
      </c>
      <c r="G15" s="414">
        <f t="shared" si="0"/>
        <v>9125</v>
      </c>
      <c r="H15" s="412">
        <f t="shared" si="1"/>
        <v>0</v>
      </c>
      <c r="I15" s="411">
        <v>0</v>
      </c>
      <c r="J15" s="412">
        <v>0</v>
      </c>
      <c r="K15" s="411">
        <f t="shared" si="2"/>
        <v>0</v>
      </c>
      <c r="L15" s="412">
        <f t="shared" si="3"/>
        <v>0</v>
      </c>
      <c r="M15" s="135"/>
    </row>
    <row r="16" spans="1:13" ht="12.75" customHeight="1">
      <c r="A16" s="1542"/>
      <c r="B16" s="1545"/>
      <c r="C16" s="410" t="s">
        <v>395</v>
      </c>
      <c r="D16" s="288">
        <v>50</v>
      </c>
      <c r="E16" s="411">
        <v>0.5</v>
      </c>
      <c r="F16" s="412">
        <v>0</v>
      </c>
      <c r="G16" s="414">
        <f t="shared" si="0"/>
        <v>9125</v>
      </c>
      <c r="H16" s="412">
        <f t="shared" si="1"/>
        <v>0</v>
      </c>
      <c r="I16" s="411">
        <v>0</v>
      </c>
      <c r="J16" s="412">
        <v>0</v>
      </c>
      <c r="K16" s="411">
        <f t="shared" si="2"/>
        <v>0</v>
      </c>
      <c r="L16" s="412">
        <f t="shared" si="3"/>
        <v>0</v>
      </c>
      <c r="M16" s="135"/>
    </row>
    <row r="17" spans="1:13" ht="12.75" customHeight="1">
      <c r="A17" s="1542"/>
      <c r="B17" s="1545"/>
      <c r="C17" s="410" t="s">
        <v>396</v>
      </c>
      <c r="D17" s="288">
        <v>50</v>
      </c>
      <c r="E17" s="411">
        <v>0.5</v>
      </c>
      <c r="F17" s="412">
        <v>0</v>
      </c>
      <c r="G17" s="414">
        <f t="shared" si="0"/>
        <v>9125</v>
      </c>
      <c r="H17" s="412">
        <f t="shared" si="1"/>
        <v>0</v>
      </c>
      <c r="I17" s="411">
        <v>0</v>
      </c>
      <c r="J17" s="412">
        <v>0</v>
      </c>
      <c r="K17" s="411">
        <f t="shared" si="2"/>
        <v>0</v>
      </c>
      <c r="L17" s="412">
        <f t="shared" si="3"/>
        <v>0</v>
      </c>
      <c r="M17" s="135"/>
    </row>
    <row r="18" spans="1:13" ht="12.75" customHeight="1">
      <c r="A18" s="1542"/>
      <c r="B18" s="1545"/>
      <c r="C18" s="410" t="s">
        <v>397</v>
      </c>
      <c r="D18" s="288">
        <v>50</v>
      </c>
      <c r="E18" s="411">
        <v>0.5</v>
      </c>
      <c r="F18" s="412">
        <v>0</v>
      </c>
      <c r="G18" s="414">
        <f t="shared" si="0"/>
        <v>9125</v>
      </c>
      <c r="H18" s="412">
        <f t="shared" si="1"/>
        <v>0</v>
      </c>
      <c r="I18" s="411">
        <v>0</v>
      </c>
      <c r="J18" s="412">
        <v>0</v>
      </c>
      <c r="K18" s="411">
        <f t="shared" si="2"/>
        <v>0</v>
      </c>
      <c r="L18" s="412">
        <f t="shared" si="3"/>
        <v>0</v>
      </c>
      <c r="M18" s="135"/>
    </row>
    <row r="19" spans="1:13" ht="12.75" customHeight="1">
      <c r="A19" s="1542"/>
      <c r="B19" s="1545"/>
      <c r="C19" s="410" t="s">
        <v>398</v>
      </c>
      <c r="D19" s="288">
        <v>50</v>
      </c>
      <c r="E19" s="411">
        <v>0.5</v>
      </c>
      <c r="F19" s="412">
        <v>0</v>
      </c>
      <c r="G19" s="414">
        <f t="shared" si="0"/>
        <v>9125</v>
      </c>
      <c r="H19" s="412">
        <f t="shared" si="1"/>
        <v>0</v>
      </c>
      <c r="I19" s="411">
        <v>0</v>
      </c>
      <c r="J19" s="412">
        <v>0</v>
      </c>
      <c r="K19" s="411">
        <f t="shared" si="2"/>
        <v>0</v>
      </c>
      <c r="L19" s="412">
        <f t="shared" si="3"/>
        <v>0</v>
      </c>
      <c r="M19" s="135"/>
    </row>
    <row r="20" spans="1:13" ht="12.75" customHeight="1">
      <c r="A20" s="1542"/>
      <c r="B20" s="1545"/>
      <c r="C20" s="410" t="s">
        <v>392</v>
      </c>
      <c r="D20" s="288">
        <v>50</v>
      </c>
      <c r="E20" s="411">
        <v>0.5</v>
      </c>
      <c r="F20" s="412">
        <v>0</v>
      </c>
      <c r="G20" s="414">
        <f t="shared" si="0"/>
        <v>9125</v>
      </c>
      <c r="H20" s="412">
        <f t="shared" si="1"/>
        <v>0</v>
      </c>
      <c r="I20" s="411">
        <v>0</v>
      </c>
      <c r="J20" s="412">
        <v>0</v>
      </c>
      <c r="K20" s="411">
        <f t="shared" si="2"/>
        <v>0</v>
      </c>
      <c r="L20" s="412">
        <f t="shared" si="3"/>
        <v>0</v>
      </c>
      <c r="M20" s="135"/>
    </row>
    <row r="21" spans="1:13">
      <c r="A21" s="1542"/>
      <c r="B21" s="1545"/>
      <c r="C21" s="410" t="s">
        <v>399</v>
      </c>
      <c r="D21" s="288">
        <v>50</v>
      </c>
      <c r="E21" s="411">
        <v>0.5</v>
      </c>
      <c r="F21" s="412">
        <v>0</v>
      </c>
      <c r="G21" s="414">
        <f>D21*E21*365</f>
        <v>9125</v>
      </c>
      <c r="H21" s="412">
        <f>D21*F21*12</f>
        <v>0</v>
      </c>
      <c r="I21" s="411">
        <v>0</v>
      </c>
      <c r="J21" s="412">
        <v>0</v>
      </c>
      <c r="K21" s="411">
        <f>D21*I21*365</f>
        <v>0</v>
      </c>
      <c r="L21" s="412">
        <f>D21*J21*12</f>
        <v>0</v>
      </c>
      <c r="M21" s="135"/>
    </row>
    <row r="22" spans="1:13" ht="12.75" customHeight="1">
      <c r="A22" s="1542"/>
      <c r="B22" s="1545"/>
      <c r="C22" s="410" t="s">
        <v>400</v>
      </c>
      <c r="D22" s="288">
        <v>50</v>
      </c>
      <c r="E22" s="411">
        <v>0.5</v>
      </c>
      <c r="F22" s="412">
        <v>0</v>
      </c>
      <c r="G22" s="414">
        <f>D22*E22*365</f>
        <v>9125</v>
      </c>
      <c r="H22" s="412">
        <f>D22*F22*12</f>
        <v>0</v>
      </c>
      <c r="I22" s="411">
        <v>0</v>
      </c>
      <c r="J22" s="412">
        <v>0</v>
      </c>
      <c r="K22" s="411">
        <f>D22*I22*365</f>
        <v>0</v>
      </c>
      <c r="L22" s="412">
        <f>D22*J22*12</f>
        <v>0</v>
      </c>
      <c r="M22" s="135"/>
    </row>
    <row r="23" spans="1:13" ht="12.75" customHeight="1">
      <c r="A23" s="1542"/>
      <c r="B23" s="1545"/>
      <c r="C23" s="410" t="s">
        <v>401</v>
      </c>
      <c r="D23" s="288">
        <v>50</v>
      </c>
      <c r="E23" s="411">
        <v>0.5</v>
      </c>
      <c r="F23" s="412">
        <v>0</v>
      </c>
      <c r="G23" s="414">
        <f>D23*E23*365</f>
        <v>9125</v>
      </c>
      <c r="H23" s="412">
        <f>D23*F23*12</f>
        <v>0</v>
      </c>
      <c r="I23" s="411">
        <v>0</v>
      </c>
      <c r="J23" s="412">
        <v>0</v>
      </c>
      <c r="K23" s="411">
        <f>D23*I23*365</f>
        <v>0</v>
      </c>
      <c r="L23" s="412">
        <f>D23*J23*12</f>
        <v>0</v>
      </c>
      <c r="M23" s="135"/>
    </row>
    <row r="24" spans="1:13" ht="12.75" customHeight="1">
      <c r="A24" s="1542"/>
      <c r="B24" s="1546"/>
      <c r="C24" s="410" t="s">
        <v>402</v>
      </c>
      <c r="D24" s="288">
        <v>50</v>
      </c>
      <c r="E24" s="411">
        <v>0.5</v>
      </c>
      <c r="F24" s="412">
        <v>0</v>
      </c>
      <c r="G24" s="414">
        <f>D24*E24*365</f>
        <v>9125</v>
      </c>
      <c r="H24" s="412">
        <f>D24*F24*12</f>
        <v>0</v>
      </c>
      <c r="I24" s="411">
        <v>0</v>
      </c>
      <c r="J24" s="412">
        <v>0</v>
      </c>
      <c r="K24" s="411">
        <f>D24*I24*365</f>
        <v>0</v>
      </c>
      <c r="L24" s="412">
        <f>D24*J24*12</f>
        <v>0</v>
      </c>
      <c r="M24" s="135"/>
    </row>
    <row r="25" spans="1:13">
      <c r="A25" s="1542"/>
      <c r="B25" s="420" t="s">
        <v>404</v>
      </c>
      <c r="C25" s="421"/>
      <c r="D25" s="542">
        <f>SUM(D7:D24)</f>
        <v>900</v>
      </c>
      <c r="E25" s="422">
        <v>0.5</v>
      </c>
      <c r="F25" s="422">
        <f>SUM(F13:F24)</f>
        <v>0</v>
      </c>
      <c r="G25" s="542">
        <f>SUM(G7:G24)*5.9%</f>
        <v>9690.75</v>
      </c>
      <c r="H25" s="422">
        <f>SUM(H13:H24)</f>
        <v>0</v>
      </c>
      <c r="I25" s="422">
        <f>SUM(I13:I24)</f>
        <v>0</v>
      </c>
      <c r="J25" s="422">
        <f>SUM(J13:J24)</f>
        <v>0</v>
      </c>
      <c r="K25" s="422">
        <f>SUM(K13:K24)</f>
        <v>0</v>
      </c>
      <c r="L25" s="422">
        <f>SUM(L13:L24)</f>
        <v>0</v>
      </c>
    </row>
    <row r="26" spans="1:13">
      <c r="A26" s="1542"/>
      <c r="B26" s="423" t="s">
        <v>405</v>
      </c>
      <c r="C26" s="424"/>
      <c r="D26" s="425"/>
      <c r="E26" s="425"/>
      <c r="F26" s="425"/>
      <c r="G26" s="426"/>
      <c r="H26" s="425"/>
      <c r="I26" s="425"/>
      <c r="J26" s="425"/>
      <c r="K26" s="425"/>
      <c r="L26" s="427">
        <f>G25+H25+K25+L25</f>
        <v>9690.75</v>
      </c>
    </row>
    <row r="27" spans="1:13">
      <c r="A27" s="1542"/>
      <c r="B27" s="1547"/>
      <c r="C27" s="410" t="s">
        <v>406</v>
      </c>
      <c r="D27" s="288">
        <v>50</v>
      </c>
      <c r="E27" s="411">
        <v>0</v>
      </c>
      <c r="F27" s="412">
        <v>20</v>
      </c>
      <c r="G27" s="414">
        <f>D27*E27*365</f>
        <v>0</v>
      </c>
      <c r="H27" s="433">
        <f>D27*F27*12</f>
        <v>12000</v>
      </c>
      <c r="I27" s="411">
        <v>0</v>
      </c>
      <c r="J27" s="417">
        <v>35</v>
      </c>
      <c r="K27" s="413">
        <f>D27*I27*365</f>
        <v>0</v>
      </c>
      <c r="L27" s="433">
        <f>D27*J27*12</f>
        <v>21000</v>
      </c>
      <c r="M27" s="8"/>
    </row>
    <row r="28" spans="1:13">
      <c r="A28" s="1542"/>
      <c r="B28" s="1547"/>
      <c r="C28" s="410" t="s">
        <v>407</v>
      </c>
      <c r="D28" s="493">
        <v>50</v>
      </c>
      <c r="E28" s="411">
        <v>0</v>
      </c>
      <c r="F28" s="412">
        <v>20</v>
      </c>
      <c r="G28" s="414">
        <f>D28*E28*365</f>
        <v>0</v>
      </c>
      <c r="H28" s="433">
        <f>D28*F28*12</f>
        <v>12000</v>
      </c>
      <c r="I28" s="411">
        <v>0</v>
      </c>
      <c r="J28" s="519">
        <v>37</v>
      </c>
      <c r="K28" s="413">
        <f>D28*I28*365</f>
        <v>0</v>
      </c>
      <c r="L28" s="433">
        <f>D28*J28*12</f>
        <v>22200</v>
      </c>
      <c r="M28" s="518"/>
    </row>
    <row r="29" spans="1:13">
      <c r="A29" s="1542"/>
      <c r="B29" s="420" t="s">
        <v>404</v>
      </c>
      <c r="C29" s="421"/>
      <c r="D29" s="422"/>
      <c r="E29" s="429"/>
      <c r="F29" s="430"/>
      <c r="G29" s="431">
        <f>SUM(G27:G28)</f>
        <v>0</v>
      </c>
      <c r="H29" s="432">
        <f>SUM(H27:H28)</f>
        <v>24000</v>
      </c>
      <c r="I29" s="429"/>
      <c r="J29" s="430"/>
      <c r="K29" s="431">
        <f>SUM(K27:K28)</f>
        <v>0</v>
      </c>
      <c r="L29" s="432">
        <f>SUM(L27:L28)</f>
        <v>43200</v>
      </c>
      <c r="M29" s="8"/>
    </row>
    <row r="30" spans="1:13">
      <c r="A30" s="1543"/>
      <c r="B30" s="423" t="s">
        <v>405</v>
      </c>
      <c r="C30" s="424"/>
      <c r="D30" s="425"/>
      <c r="E30" s="425"/>
      <c r="F30" s="425"/>
      <c r="G30" s="426"/>
      <c r="H30" s="425"/>
      <c r="I30" s="425"/>
      <c r="J30" s="425"/>
      <c r="K30" s="425"/>
      <c r="L30" s="427">
        <f>G29+H29+K29+L29</f>
        <v>67200</v>
      </c>
      <c r="M30" s="8"/>
    </row>
    <row r="31" spans="1:13" ht="12.75" customHeight="1">
      <c r="A31" s="1541" t="s">
        <v>408</v>
      </c>
      <c r="B31" s="1548" t="s">
        <v>403</v>
      </c>
      <c r="C31" s="1534" t="s">
        <v>505</v>
      </c>
      <c r="D31" s="528">
        <v>2</v>
      </c>
      <c r="E31" s="411">
        <v>0</v>
      </c>
      <c r="F31" s="412">
        <v>5</v>
      </c>
      <c r="G31" s="414">
        <f t="shared" ref="G31:G36" si="4">D31*E31*365</f>
        <v>0</v>
      </c>
      <c r="H31" s="433">
        <f t="shared" ref="H31:H36" si="5">D31*F31*12</f>
        <v>120</v>
      </c>
      <c r="I31" s="411">
        <v>0</v>
      </c>
      <c r="J31" s="412">
        <v>0</v>
      </c>
      <c r="K31" s="413">
        <f t="shared" ref="K31:K36" si="6">D31*I31*365</f>
        <v>0</v>
      </c>
      <c r="L31" s="412">
        <f>D31*J31*12</f>
        <v>0</v>
      </c>
      <c r="M31" s="8"/>
    </row>
    <row r="32" spans="1:13">
      <c r="A32" s="1542"/>
      <c r="B32" s="1547"/>
      <c r="C32" s="1535"/>
      <c r="D32" s="528">
        <v>1</v>
      </c>
      <c r="E32" s="411">
        <v>0</v>
      </c>
      <c r="F32" s="412">
        <v>0</v>
      </c>
      <c r="G32" s="414">
        <f t="shared" si="4"/>
        <v>0</v>
      </c>
      <c r="H32" s="412">
        <f t="shared" si="5"/>
        <v>0</v>
      </c>
      <c r="I32" s="411">
        <v>0</v>
      </c>
      <c r="J32" s="412">
        <f>0</f>
        <v>0</v>
      </c>
      <c r="K32" s="413">
        <f t="shared" si="6"/>
        <v>0</v>
      </c>
      <c r="L32" s="433">
        <f>D32*J32*12</f>
        <v>0</v>
      </c>
      <c r="M32" s="44"/>
    </row>
    <row r="33" spans="1:13">
      <c r="A33" s="1542"/>
      <c r="B33" s="1547"/>
      <c r="C33" s="415" t="s">
        <v>409</v>
      </c>
      <c r="D33" s="434">
        <v>0</v>
      </c>
      <c r="E33" s="416">
        <v>0</v>
      </c>
      <c r="F33" s="417">
        <v>0</v>
      </c>
      <c r="G33" s="418">
        <f t="shared" si="4"/>
        <v>0</v>
      </c>
      <c r="H33" s="417">
        <f t="shared" si="5"/>
        <v>0</v>
      </c>
      <c r="I33" s="416">
        <v>0</v>
      </c>
      <c r="J33" s="417">
        <v>7</v>
      </c>
      <c r="K33" s="419">
        <f t="shared" si="6"/>
        <v>0</v>
      </c>
      <c r="L33" s="435">
        <f>J33*D33*12</f>
        <v>0</v>
      </c>
      <c r="M33" s="428"/>
    </row>
    <row r="34" spans="1:13">
      <c r="A34" s="1542"/>
      <c r="B34" s="1547"/>
      <c r="C34" s="415" t="s">
        <v>410</v>
      </c>
      <c r="D34" s="434">
        <v>2</v>
      </c>
      <c r="E34" s="416">
        <v>0</v>
      </c>
      <c r="F34" s="417">
        <v>15</v>
      </c>
      <c r="G34" s="418">
        <f t="shared" si="4"/>
        <v>0</v>
      </c>
      <c r="H34" s="435">
        <f t="shared" si="5"/>
        <v>360</v>
      </c>
      <c r="I34" s="416">
        <v>0</v>
      </c>
      <c r="J34" s="417">
        <v>6</v>
      </c>
      <c r="K34" s="419">
        <f t="shared" si="6"/>
        <v>0</v>
      </c>
      <c r="L34" s="435">
        <f>D34*J34*12</f>
        <v>144</v>
      </c>
      <c r="M34" s="44"/>
    </row>
    <row r="35" spans="1:13">
      <c r="A35" s="1542"/>
      <c r="B35" s="1547"/>
      <c r="C35" s="415" t="s">
        <v>411</v>
      </c>
      <c r="D35" s="434">
        <v>2</v>
      </c>
      <c r="E35" s="416"/>
      <c r="F35" s="417">
        <v>16</v>
      </c>
      <c r="G35" s="418"/>
      <c r="H35" s="435">
        <f t="shared" si="5"/>
        <v>384</v>
      </c>
      <c r="I35" s="416"/>
      <c r="J35" s="417">
        <v>6</v>
      </c>
      <c r="K35" s="419"/>
      <c r="L35" s="435">
        <f>D35*J35*12</f>
        <v>144</v>
      </c>
      <c r="M35" s="44"/>
    </row>
    <row r="36" spans="1:13">
      <c r="A36" s="1542"/>
      <c r="B36" s="1547"/>
      <c r="C36" s="415" t="s">
        <v>544</v>
      </c>
      <c r="D36" s="521">
        <v>2</v>
      </c>
      <c r="E36" s="416">
        <v>0</v>
      </c>
      <c r="F36" s="417"/>
      <c r="G36" s="418">
        <f t="shared" si="4"/>
        <v>0</v>
      </c>
      <c r="H36" s="417">
        <f t="shared" si="5"/>
        <v>0</v>
      </c>
      <c r="I36" s="416">
        <v>0</v>
      </c>
      <c r="J36" s="522">
        <v>7</v>
      </c>
      <c r="K36" s="419">
        <f t="shared" si="6"/>
        <v>0</v>
      </c>
      <c r="L36" s="435">
        <f>D36*J36*12</f>
        <v>168</v>
      </c>
      <c r="M36" s="523"/>
    </row>
    <row r="37" spans="1:13">
      <c r="A37" s="1542"/>
      <c r="B37" s="420" t="s">
        <v>404</v>
      </c>
      <c r="C37" s="421"/>
      <c r="D37" s="436"/>
      <c r="E37" s="429"/>
      <c r="F37" s="430"/>
      <c r="G37" s="431">
        <f>SUM(G31:G36)</f>
        <v>0</v>
      </c>
      <c r="H37" s="432">
        <f>SUM(H31:H36)</f>
        <v>864</v>
      </c>
      <c r="I37" s="429"/>
      <c r="J37" s="430"/>
      <c r="K37" s="431">
        <f>SUM(K31:K36)</f>
        <v>0</v>
      </c>
      <c r="L37" s="432">
        <f>SUM(L31:L36)</f>
        <v>456</v>
      </c>
      <c r="M37" s="8"/>
    </row>
    <row r="38" spans="1:13">
      <c r="A38" s="1543"/>
      <c r="B38" s="423" t="s">
        <v>405</v>
      </c>
      <c r="C38" s="424"/>
      <c r="D38" s="437"/>
      <c r="E38" s="425"/>
      <c r="F38" s="425"/>
      <c r="G38" s="426"/>
      <c r="H38" s="425"/>
      <c r="I38" s="425"/>
      <c r="J38" s="425"/>
      <c r="K38" s="425"/>
      <c r="L38" s="427">
        <f>G37+H37+K37+L37</f>
        <v>1320</v>
      </c>
      <c r="M38" s="8"/>
    </row>
    <row r="39" spans="1:13">
      <c r="D39" s="122"/>
      <c r="E39" s="122"/>
      <c r="G39" s="122"/>
      <c r="H39" s="122"/>
      <c r="I39" s="122"/>
      <c r="J39" s="122"/>
      <c r="K39" s="122" t="s">
        <v>413</v>
      </c>
      <c r="L39" s="438">
        <f>H31+L32</f>
        <v>120</v>
      </c>
    </row>
    <row r="40" spans="1:13">
      <c r="D40" s="122"/>
      <c r="E40" s="122"/>
      <c r="G40" s="122"/>
      <c r="H40" s="122"/>
      <c r="I40" s="122"/>
      <c r="J40" s="122"/>
      <c r="K40" s="439" t="s">
        <v>414</v>
      </c>
      <c r="L40" s="440">
        <f>L33</f>
        <v>0</v>
      </c>
    </row>
    <row r="44" spans="1:13" s="396" customFormat="1">
      <c r="A44" s="587"/>
      <c r="B44" s="587"/>
      <c r="C44" s="395"/>
      <c r="D44" s="587"/>
      <c r="E44" s="1536" t="s">
        <v>368</v>
      </c>
      <c r="F44" s="1537"/>
      <c r="G44" s="1537"/>
      <c r="H44" s="1538"/>
      <c r="I44" s="1536" t="s">
        <v>94</v>
      </c>
      <c r="J44" s="1537"/>
      <c r="K44" s="1537"/>
      <c r="L44" s="1538"/>
    </row>
    <row r="45" spans="1:13" s="396" customFormat="1">
      <c r="A45" s="588"/>
      <c r="B45" s="590" t="s">
        <v>369</v>
      </c>
      <c r="C45" s="399" t="s">
        <v>370</v>
      </c>
      <c r="D45" s="588" t="s">
        <v>371</v>
      </c>
      <c r="E45" s="1539" t="s">
        <v>372</v>
      </c>
      <c r="F45" s="1540"/>
      <c r="G45" s="1539" t="s">
        <v>373</v>
      </c>
      <c r="H45" s="1540"/>
      <c r="I45" s="1539" t="s">
        <v>374</v>
      </c>
      <c r="J45" s="1540"/>
      <c r="K45" s="1539" t="s">
        <v>373</v>
      </c>
      <c r="L45" s="1540"/>
    </row>
    <row r="46" spans="1:13" s="396" customFormat="1">
      <c r="A46" s="588"/>
      <c r="B46" s="588"/>
      <c r="C46" s="400"/>
      <c r="D46" s="588"/>
      <c r="E46" s="401" t="s">
        <v>375</v>
      </c>
      <c r="F46" s="402" t="s">
        <v>376</v>
      </c>
      <c r="G46" s="403"/>
      <c r="H46" s="402"/>
      <c r="I46" s="401" t="s">
        <v>375</v>
      </c>
      <c r="J46" s="402" t="s">
        <v>376</v>
      </c>
      <c r="K46" s="403"/>
      <c r="L46" s="402"/>
    </row>
    <row r="47" spans="1:13" s="396" customFormat="1">
      <c r="A47" s="589"/>
      <c r="B47" s="589"/>
      <c r="C47" s="405"/>
      <c r="D47" s="589" t="s">
        <v>377</v>
      </c>
      <c r="E47" s="406" t="s">
        <v>133</v>
      </c>
      <c r="F47" s="407" t="s">
        <v>378</v>
      </c>
      <c r="G47" s="408" t="s">
        <v>379</v>
      </c>
      <c r="H47" s="409" t="s">
        <v>380</v>
      </c>
      <c r="I47" s="406" t="s">
        <v>381</v>
      </c>
      <c r="J47" s="407" t="s">
        <v>382</v>
      </c>
      <c r="K47" s="408" t="s">
        <v>383</v>
      </c>
      <c r="L47" s="409" t="s">
        <v>384</v>
      </c>
    </row>
    <row r="48" spans="1:13">
      <c r="A48" s="1549" t="s">
        <v>415</v>
      </c>
      <c r="C48" s="410" t="s">
        <v>416</v>
      </c>
      <c r="D48" s="288">
        <v>50</v>
      </c>
      <c r="E48" s="411">
        <v>0</v>
      </c>
      <c r="F48" s="412">
        <v>20</v>
      </c>
      <c r="G48" s="414">
        <f>D48*E48*365</f>
        <v>0</v>
      </c>
      <c r="H48" s="433">
        <f>(D48*F48+1500)*12</f>
        <v>30000</v>
      </c>
      <c r="I48" s="411">
        <v>0</v>
      </c>
      <c r="J48" s="417">
        <v>5</v>
      </c>
      <c r="K48" s="413">
        <f>D48*I48*365</f>
        <v>0</v>
      </c>
      <c r="L48" s="433">
        <f>D48*J48*12</f>
        <v>3000</v>
      </c>
      <c r="M48" s="4"/>
    </row>
    <row r="49" spans="1:13">
      <c r="A49" s="1549"/>
      <c r="B49" s="441" t="s">
        <v>14</v>
      </c>
      <c r="C49" s="410" t="s">
        <v>417</v>
      </c>
      <c r="D49" s="288">
        <v>50</v>
      </c>
      <c r="E49" s="411">
        <v>0</v>
      </c>
      <c r="F49" s="412">
        <v>20</v>
      </c>
      <c r="G49" s="414">
        <f>D49*E49*365</f>
        <v>0</v>
      </c>
      <c r="H49" s="433">
        <f>D49*F49*12</f>
        <v>12000</v>
      </c>
      <c r="I49" s="411">
        <v>0</v>
      </c>
      <c r="J49" s="417">
        <v>5</v>
      </c>
      <c r="K49" s="413">
        <f>D49*I49*365</f>
        <v>0</v>
      </c>
      <c r="L49" s="433">
        <f>D49*J49*12</f>
        <v>3000</v>
      </c>
      <c r="M49" s="8"/>
    </row>
    <row r="50" spans="1:13">
      <c r="A50" s="1549"/>
      <c r="C50" s="410" t="s">
        <v>407</v>
      </c>
      <c r="D50" s="493">
        <v>50</v>
      </c>
      <c r="E50" s="411">
        <v>0</v>
      </c>
      <c r="F50" s="412">
        <v>20</v>
      </c>
      <c r="G50" s="414">
        <f>D50*E50*365</f>
        <v>0</v>
      </c>
      <c r="H50" s="433">
        <f>D50*F50*12</f>
        <v>12000</v>
      </c>
      <c r="I50" s="411">
        <v>0</v>
      </c>
      <c r="J50" s="519">
        <v>5</v>
      </c>
      <c r="K50" s="413">
        <f>D50*I50*365</f>
        <v>0</v>
      </c>
      <c r="L50" s="433">
        <f>D50*J50*12</f>
        <v>3000</v>
      </c>
      <c r="M50" s="518"/>
    </row>
    <row r="51" spans="1:13">
      <c r="A51" s="1549"/>
      <c r="B51" s="442" t="s">
        <v>404</v>
      </c>
      <c r="C51" s="421"/>
      <c r="D51" s="422">
        <f>SUM(D48:D49)</f>
        <v>100</v>
      </c>
      <c r="E51" s="422">
        <f>SUM(E38:E50)</f>
        <v>0</v>
      </c>
      <c r="F51" s="422">
        <f>SUM(F48:F50)</f>
        <v>60</v>
      </c>
      <c r="G51" s="422">
        <f>SUM(G36:G49)*11%+G50</f>
        <v>0</v>
      </c>
      <c r="H51" s="698">
        <f>SUM(H48:H50)</f>
        <v>54000</v>
      </c>
      <c r="I51" s="422">
        <f>SUM(I38:I50)</f>
        <v>0</v>
      </c>
      <c r="J51" s="422">
        <f>SUM(J48:J50)</f>
        <v>15</v>
      </c>
      <c r="K51" s="422">
        <f>SUM(K38:K50)</f>
        <v>0</v>
      </c>
      <c r="L51" s="698">
        <f>SUM(L48:L50)</f>
        <v>9000</v>
      </c>
    </row>
    <row r="52" spans="1:13">
      <c r="A52" s="1549"/>
      <c r="B52" s="443" t="s">
        <v>405</v>
      </c>
      <c r="C52" s="424"/>
      <c r="D52" s="425"/>
      <c r="E52" s="425"/>
      <c r="F52" s="425"/>
      <c r="G52" s="426"/>
      <c r="H52" s="425"/>
      <c r="I52" s="425"/>
      <c r="J52" s="425"/>
      <c r="K52" s="425"/>
      <c r="L52" s="427">
        <f>G51+H51+K51+L51</f>
        <v>63000</v>
      </c>
      <c r="M52" s="8"/>
    </row>
    <row r="53" spans="1:13">
      <c r="A53" s="1549" t="s">
        <v>418</v>
      </c>
      <c r="C53" s="415" t="s">
        <v>419</v>
      </c>
      <c r="D53" s="434">
        <v>1</v>
      </c>
      <c r="E53" s="416">
        <v>0</v>
      </c>
      <c r="F53" s="417">
        <v>2</v>
      </c>
      <c r="G53" s="418">
        <f>D53*E53*365</f>
        <v>0</v>
      </c>
      <c r="H53" s="435">
        <f>D53*F53*12</f>
        <v>24</v>
      </c>
      <c r="I53" s="416">
        <v>0</v>
      </c>
      <c r="J53" s="417">
        <v>700</v>
      </c>
      <c r="K53" s="419">
        <f>D53*I53*365</f>
        <v>0</v>
      </c>
      <c r="L53" s="435">
        <f>D53*J53*12</f>
        <v>8400</v>
      </c>
      <c r="M53" s="44"/>
    </row>
    <row r="54" spans="1:13">
      <c r="A54" s="1549"/>
      <c r="C54" s="415" t="s">
        <v>411</v>
      </c>
      <c r="D54" s="520">
        <v>1</v>
      </c>
      <c r="E54" s="416"/>
      <c r="F54" s="417">
        <v>2</v>
      </c>
      <c r="G54" s="418"/>
      <c r="H54" s="435">
        <f>D54*F54*12</f>
        <v>24</v>
      </c>
      <c r="I54" s="416"/>
      <c r="J54" s="417">
        <v>700</v>
      </c>
      <c r="K54" s="419"/>
      <c r="L54" s="435">
        <f>D54*J54*12</f>
        <v>8400</v>
      </c>
      <c r="M54" s="44"/>
    </row>
    <row r="55" spans="1:13">
      <c r="A55" s="1549"/>
      <c r="C55" s="415" t="s">
        <v>412</v>
      </c>
      <c r="D55" s="520">
        <v>1</v>
      </c>
      <c r="E55" s="416">
        <v>0</v>
      </c>
      <c r="F55" s="417"/>
      <c r="G55" s="418">
        <f>D55*E55*365</f>
        <v>0</v>
      </c>
      <c r="H55" s="417">
        <f>D55*F55*12</f>
        <v>0</v>
      </c>
      <c r="I55" s="416">
        <v>0</v>
      </c>
      <c r="J55" s="519">
        <v>800</v>
      </c>
      <c r="K55" s="419">
        <f>D55*I55*365</f>
        <v>0</v>
      </c>
      <c r="L55" s="435">
        <f>D55*J55*12</f>
        <v>9600</v>
      </c>
      <c r="M55" s="523"/>
    </row>
    <row r="56" spans="1:13">
      <c r="A56" s="1549"/>
      <c r="B56" s="442" t="s">
        <v>404</v>
      </c>
      <c r="C56" s="421"/>
      <c r="D56" s="436"/>
      <c r="E56" s="429"/>
      <c r="F56" s="430"/>
      <c r="G56" s="431">
        <f>SUM(G53:G55)</f>
        <v>0</v>
      </c>
      <c r="H56" s="431">
        <f>SUM(H53:H55)</f>
        <v>48</v>
      </c>
      <c r="I56" s="429"/>
      <c r="J56" s="430"/>
      <c r="K56" s="431">
        <f>SUM(K44:K52)</f>
        <v>0</v>
      </c>
      <c r="L56" s="432">
        <f>SUM(L53:L55)</f>
        <v>26400</v>
      </c>
      <c r="M56" s="8"/>
    </row>
    <row r="57" spans="1:13">
      <c r="A57" s="1549"/>
      <c r="B57" s="443" t="s">
        <v>405</v>
      </c>
      <c r="C57" s="424"/>
      <c r="D57" s="437"/>
      <c r="E57" s="425"/>
      <c r="F57" s="425"/>
      <c r="G57" s="426"/>
      <c r="H57" s="425"/>
      <c r="I57" s="425"/>
      <c r="J57" s="425"/>
      <c r="K57" s="425"/>
      <c r="L57" s="427">
        <f>G56+H56+K56+L56</f>
        <v>26448</v>
      </c>
      <c r="M57" s="8"/>
    </row>
  </sheetData>
  <mergeCells count="21">
    <mergeCell ref="A48:A52"/>
    <mergeCell ref="A53:A57"/>
    <mergeCell ref="E44:H44"/>
    <mergeCell ref="I44:L44"/>
    <mergeCell ref="E45:F45"/>
    <mergeCell ref="G45:H45"/>
    <mergeCell ref="I45:J45"/>
    <mergeCell ref="K45:L45"/>
    <mergeCell ref="C31:C32"/>
    <mergeCell ref="A1:L1"/>
    <mergeCell ref="E3:H3"/>
    <mergeCell ref="I3:L3"/>
    <mergeCell ref="E4:F4"/>
    <mergeCell ref="G4:H4"/>
    <mergeCell ref="I4:J4"/>
    <mergeCell ref="K4:L4"/>
    <mergeCell ref="A7:A30"/>
    <mergeCell ref="B7:B24"/>
    <mergeCell ref="B27:B28"/>
    <mergeCell ref="A31:A38"/>
    <mergeCell ref="B31:B36"/>
  </mergeCells>
  <phoneticPr fontId="5" type="noConversion"/>
  <printOptions horizontalCentered="1"/>
  <pageMargins left="0.23622047244094491" right="0.23622047244094491" top="0.43307086614173229" bottom="0.27559055118110237" header="0.31496062992125984" footer="0.15748031496062992"/>
  <pageSetup paperSize="9" scale="8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80"/>
  <sheetViews>
    <sheetView showGridLines="0" topLeftCell="A33" workbookViewId="0">
      <selection activeCell="F29" sqref="F29"/>
    </sheetView>
  </sheetViews>
  <sheetFormatPr defaultRowHeight="12.75"/>
  <cols>
    <col min="1" max="1" width="23.5" style="396" customWidth="1"/>
    <col min="2" max="2" width="21.25" style="396" customWidth="1"/>
    <col min="3" max="13" width="15.625" style="396" customWidth="1"/>
    <col min="14" max="16384" width="9" style="396"/>
  </cols>
  <sheetData>
    <row r="1" spans="1:4">
      <c r="A1" s="444" t="s">
        <v>509</v>
      </c>
    </row>
    <row r="3" spans="1:4">
      <c r="A3" s="444" t="s">
        <v>97</v>
      </c>
    </row>
    <row r="4" spans="1:4">
      <c r="A4" s="1472" t="s">
        <v>251</v>
      </c>
      <c r="B4" s="445"/>
      <c r="C4" s="446"/>
      <c r="D4" s="446"/>
    </row>
    <row r="5" spans="1:4">
      <c r="A5" s="1473"/>
      <c r="B5" s="447" t="s">
        <v>420</v>
      </c>
    </row>
    <row r="6" spans="1:4">
      <c r="A6" s="257" t="s">
        <v>257</v>
      </c>
      <c r="B6" s="543">
        <v>100</v>
      </c>
    </row>
    <row r="7" spans="1:4">
      <c r="A7" s="257" t="s">
        <v>258</v>
      </c>
      <c r="B7" s="543">
        <v>100</v>
      </c>
    </row>
    <row r="8" spans="1:4">
      <c r="A8" s="257" t="s">
        <v>259</v>
      </c>
      <c r="B8" s="543">
        <v>100</v>
      </c>
    </row>
    <row r="9" spans="1:4">
      <c r="A9" s="257" t="s">
        <v>260</v>
      </c>
      <c r="B9" s="543">
        <v>100</v>
      </c>
    </row>
    <row r="10" spans="1:4">
      <c r="A10" s="257" t="s">
        <v>261</v>
      </c>
      <c r="B10" s="543">
        <v>100</v>
      </c>
      <c r="C10" s="396" t="s">
        <v>421</v>
      </c>
    </row>
    <row r="11" spans="1:4">
      <c r="A11" s="257" t="s">
        <v>262</v>
      </c>
      <c r="B11" s="543">
        <v>100</v>
      </c>
    </row>
    <row r="12" spans="1:4">
      <c r="A12" s="257" t="s">
        <v>263</v>
      </c>
      <c r="B12" s="543">
        <v>100</v>
      </c>
    </row>
    <row r="13" spans="1:4">
      <c r="A13" s="257" t="s">
        <v>264</v>
      </c>
      <c r="B13" s="543">
        <v>100</v>
      </c>
    </row>
    <row r="14" spans="1:4">
      <c r="A14" s="257" t="s">
        <v>265</v>
      </c>
      <c r="B14" s="543">
        <v>100</v>
      </c>
      <c r="C14" s="506" t="s">
        <v>545</v>
      </c>
    </row>
    <row r="15" spans="1:4">
      <c r="A15" s="257" t="s">
        <v>422</v>
      </c>
      <c r="B15" s="543">
        <v>100</v>
      </c>
      <c r="C15" s="506" t="s">
        <v>546</v>
      </c>
    </row>
    <row r="16" spans="1:4">
      <c r="A16" s="257" t="s">
        <v>423</v>
      </c>
      <c r="B16" s="543">
        <v>100</v>
      </c>
    </row>
    <row r="17" spans="1:4">
      <c r="A17" s="257" t="s">
        <v>424</v>
      </c>
      <c r="B17" s="543">
        <v>100</v>
      </c>
    </row>
    <row r="18" spans="1:4">
      <c r="A18" s="261" t="s">
        <v>266</v>
      </c>
      <c r="B18" s="544">
        <f>SUM(B6:B17)</f>
        <v>1200</v>
      </c>
      <c r="C18" s="448"/>
    </row>
    <row r="19" spans="1:4">
      <c r="A19" s="268" t="s">
        <v>510</v>
      </c>
      <c r="B19" s="545">
        <f>媒体大厦物业费测算!D17</f>
        <v>79.449152542372886</v>
      </c>
      <c r="C19" s="448" t="s">
        <v>547</v>
      </c>
    </row>
    <row r="20" spans="1:4">
      <c r="A20" s="450"/>
      <c r="B20" s="451"/>
    </row>
    <row r="21" spans="1:4">
      <c r="A21" s="452" t="s">
        <v>425</v>
      </c>
    </row>
    <row r="22" spans="1:4">
      <c r="A22" s="1472" t="s">
        <v>251</v>
      </c>
      <c r="B22" s="1477"/>
      <c r="C22" s="1478"/>
      <c r="D22" s="1479"/>
    </row>
    <row r="23" spans="1:4">
      <c r="A23" s="1473"/>
      <c r="B23" s="253" t="s">
        <v>549</v>
      </c>
      <c r="C23" s="453" t="s">
        <v>548</v>
      </c>
      <c r="D23" s="255" t="s">
        <v>256</v>
      </c>
    </row>
    <row r="24" spans="1:4">
      <c r="A24" s="257" t="s">
        <v>257</v>
      </c>
      <c r="B24" s="529">
        <v>5</v>
      </c>
      <c r="C24" s="546">
        <v>4</v>
      </c>
      <c r="D24" s="530">
        <f>B24*C24</f>
        <v>20</v>
      </c>
    </row>
    <row r="25" spans="1:4">
      <c r="A25" s="257" t="s">
        <v>258</v>
      </c>
      <c r="B25" s="529">
        <v>5</v>
      </c>
      <c r="C25" s="546">
        <v>4</v>
      </c>
      <c r="D25" s="530">
        <f t="shared" ref="D25:D33" si="0">B25*C25</f>
        <v>20</v>
      </c>
    </row>
    <row r="26" spans="1:4">
      <c r="A26" s="257" t="s">
        <v>259</v>
      </c>
      <c r="B26" s="529">
        <v>5</v>
      </c>
      <c r="C26" s="546">
        <v>4</v>
      </c>
      <c r="D26" s="530">
        <f t="shared" si="0"/>
        <v>20</v>
      </c>
    </row>
    <row r="27" spans="1:4">
      <c r="A27" s="257" t="s">
        <v>260</v>
      </c>
      <c r="B27" s="529">
        <v>5</v>
      </c>
      <c r="C27" s="546">
        <v>4</v>
      </c>
      <c r="D27" s="530">
        <f t="shared" si="0"/>
        <v>20</v>
      </c>
    </row>
    <row r="28" spans="1:4">
      <c r="A28" s="257" t="s">
        <v>261</v>
      </c>
      <c r="B28" s="529">
        <v>5</v>
      </c>
      <c r="C28" s="546">
        <v>4</v>
      </c>
      <c r="D28" s="530">
        <f t="shared" si="0"/>
        <v>20</v>
      </c>
    </row>
    <row r="29" spans="1:4">
      <c r="A29" s="257" t="s">
        <v>262</v>
      </c>
      <c r="B29" s="529">
        <v>5</v>
      </c>
      <c r="C29" s="546">
        <v>4</v>
      </c>
      <c r="D29" s="530">
        <f t="shared" si="0"/>
        <v>20</v>
      </c>
    </row>
    <row r="30" spans="1:4">
      <c r="A30" s="257" t="s">
        <v>263</v>
      </c>
      <c r="B30" s="529">
        <v>5</v>
      </c>
      <c r="C30" s="546">
        <v>4</v>
      </c>
      <c r="D30" s="530">
        <f t="shared" si="0"/>
        <v>20</v>
      </c>
    </row>
    <row r="31" spans="1:4">
      <c r="A31" s="257" t="s">
        <v>264</v>
      </c>
      <c r="B31" s="529">
        <v>5</v>
      </c>
      <c r="C31" s="546">
        <v>4</v>
      </c>
      <c r="D31" s="530">
        <f t="shared" si="0"/>
        <v>20</v>
      </c>
    </row>
    <row r="32" spans="1:4">
      <c r="A32" s="257" t="s">
        <v>265</v>
      </c>
      <c r="B32" s="529">
        <v>5</v>
      </c>
      <c r="C32" s="546">
        <v>4</v>
      </c>
      <c r="D32" s="530">
        <f t="shared" si="0"/>
        <v>20</v>
      </c>
    </row>
    <row r="33" spans="1:4">
      <c r="A33" s="257" t="s">
        <v>422</v>
      </c>
      <c r="B33" s="529">
        <v>5</v>
      </c>
      <c r="C33" s="546">
        <v>4</v>
      </c>
      <c r="D33" s="530">
        <f t="shared" si="0"/>
        <v>20</v>
      </c>
    </row>
    <row r="34" spans="1:4">
      <c r="A34" s="261" t="s">
        <v>266</v>
      </c>
      <c r="B34" s="538">
        <f>SUM(B24:B33)</f>
        <v>50</v>
      </c>
      <c r="C34" s="539"/>
      <c r="D34" s="547">
        <f>SUM(D24:D33)</f>
        <v>200</v>
      </c>
    </row>
    <row r="35" spans="1:4">
      <c r="A35" s="265" t="s">
        <v>511</v>
      </c>
      <c r="B35" s="529">
        <f>B34/10</f>
        <v>5</v>
      </c>
      <c r="C35" s="541"/>
      <c r="D35" s="530">
        <f>D34/10</f>
        <v>20</v>
      </c>
    </row>
    <row r="36" spans="1:4">
      <c r="A36" s="265" t="s">
        <v>512</v>
      </c>
      <c r="B36" s="1551">
        <f>基础数据!E17</f>
        <v>0.16666666666666666</v>
      </c>
      <c r="C36" s="1551"/>
      <c r="D36" s="1551"/>
    </row>
    <row r="37" spans="1:4">
      <c r="A37" s="268" t="s">
        <v>513</v>
      </c>
      <c r="B37" s="548">
        <f>B35*(1+B36)</f>
        <v>5.8333333333333339</v>
      </c>
      <c r="C37" s="549">
        <v>8.15</v>
      </c>
      <c r="D37" s="550">
        <f>ROUND(B37*C37,0)</f>
        <v>48</v>
      </c>
    </row>
    <row r="39" spans="1:4">
      <c r="A39" s="444" t="s">
        <v>250</v>
      </c>
    </row>
    <row r="40" spans="1:4">
      <c r="A40" s="1552" t="s">
        <v>251</v>
      </c>
      <c r="B40" s="1553" t="s">
        <v>136</v>
      </c>
      <c r="C40" s="1554"/>
      <c r="D40" s="1554"/>
    </row>
    <row r="41" spans="1:4">
      <c r="A41" s="1552"/>
      <c r="B41" s="447" t="s">
        <v>254</v>
      </c>
      <c r="C41" s="447" t="s">
        <v>255</v>
      </c>
      <c r="D41" s="454" t="s">
        <v>256</v>
      </c>
    </row>
    <row r="42" spans="1:4">
      <c r="A42" s="257" t="s">
        <v>257</v>
      </c>
      <c r="B42" s="551">
        <v>50</v>
      </c>
      <c r="C42" s="546">
        <v>0.2</v>
      </c>
      <c r="D42" s="543">
        <v>460821.28</v>
      </c>
    </row>
    <row r="43" spans="1:4">
      <c r="A43" s="257" t="s">
        <v>258</v>
      </c>
      <c r="B43" s="551">
        <v>50</v>
      </c>
      <c r="C43" s="546">
        <v>0.2</v>
      </c>
      <c r="D43" s="543">
        <v>388808.69</v>
      </c>
    </row>
    <row r="44" spans="1:4">
      <c r="A44" s="257" t="s">
        <v>259</v>
      </c>
      <c r="B44" s="551">
        <v>50</v>
      </c>
      <c r="C44" s="546">
        <v>0.2</v>
      </c>
      <c r="D44" s="543">
        <v>400023.02</v>
      </c>
    </row>
    <row r="45" spans="1:4">
      <c r="A45" s="257" t="s">
        <v>260</v>
      </c>
      <c r="B45" s="551">
        <v>50</v>
      </c>
      <c r="C45" s="546">
        <v>0.2</v>
      </c>
      <c r="D45" s="543">
        <v>394723.46</v>
      </c>
    </row>
    <row r="46" spans="1:4">
      <c r="A46" s="257" t="s">
        <v>261</v>
      </c>
      <c r="B46" s="551">
        <v>50</v>
      </c>
      <c r="C46" s="546">
        <v>0.2</v>
      </c>
      <c r="D46" s="543">
        <v>448657.73</v>
      </c>
    </row>
    <row r="47" spans="1:4">
      <c r="A47" s="257" t="s">
        <v>262</v>
      </c>
      <c r="B47" s="551">
        <v>50</v>
      </c>
      <c r="C47" s="546">
        <v>0.2</v>
      </c>
      <c r="D47" s="543">
        <v>475365.72</v>
      </c>
    </row>
    <row r="48" spans="1:4">
      <c r="A48" s="257" t="s">
        <v>263</v>
      </c>
      <c r="B48" s="551">
        <v>50</v>
      </c>
      <c r="C48" s="546">
        <v>0.2</v>
      </c>
      <c r="D48" s="543">
        <v>532685.61</v>
      </c>
    </row>
    <row r="49" spans="1:9">
      <c r="A49" s="257" t="s">
        <v>264</v>
      </c>
      <c r="B49" s="551">
        <v>50</v>
      </c>
      <c r="C49" s="546">
        <v>0.2</v>
      </c>
      <c r="D49" s="543">
        <v>512914.39</v>
      </c>
    </row>
    <row r="50" spans="1:9">
      <c r="A50" s="257" t="s">
        <v>265</v>
      </c>
      <c r="B50" s="551">
        <v>50</v>
      </c>
      <c r="C50" s="546">
        <v>0.2</v>
      </c>
      <c r="D50" s="543">
        <v>401914.52</v>
      </c>
    </row>
    <row r="51" spans="1:9">
      <c r="A51" s="261" t="s">
        <v>266</v>
      </c>
      <c r="B51" s="544">
        <f>SUM(B42:B50)</f>
        <v>450</v>
      </c>
      <c r="C51" s="552"/>
      <c r="D51" s="553">
        <f>SUM(D42:D50)</f>
        <v>4015914.42</v>
      </c>
    </row>
    <row r="52" spans="1:9">
      <c r="A52" s="265" t="s">
        <v>515</v>
      </c>
      <c r="B52" s="551">
        <f>B51/9</f>
        <v>50</v>
      </c>
      <c r="C52" s="546"/>
      <c r="D52" s="543">
        <f>D51/9</f>
        <v>446212.71333333332</v>
      </c>
    </row>
    <row r="53" spans="1:9">
      <c r="A53" s="265" t="s">
        <v>514</v>
      </c>
      <c r="B53" s="1551">
        <f>基础数据!E17</f>
        <v>0.16666666666666666</v>
      </c>
      <c r="C53" s="1551"/>
      <c r="D53" s="1551"/>
    </row>
    <row r="54" spans="1:9">
      <c r="A54" s="268" t="s">
        <v>516</v>
      </c>
      <c r="B54" s="545">
        <f>ROUND(B52*(1+B53),0)</f>
        <v>58</v>
      </c>
      <c r="C54" s="554">
        <f>C42</f>
        <v>0.2</v>
      </c>
      <c r="D54" s="555">
        <f>ROUND(B54*C54,0)</f>
        <v>12</v>
      </c>
    </row>
    <row r="57" spans="1:9">
      <c r="A57" s="444" t="s">
        <v>517</v>
      </c>
    </row>
    <row r="58" spans="1:9">
      <c r="A58" s="455"/>
      <c r="B58" s="303" t="s">
        <v>518</v>
      </c>
      <c r="C58" s="303" t="s">
        <v>519</v>
      </c>
      <c r="D58" s="302" t="s">
        <v>520</v>
      </c>
      <c r="E58" s="456" t="s">
        <v>521</v>
      </c>
      <c r="F58" s="303" t="s">
        <v>522</v>
      </c>
      <c r="G58" s="303" t="s">
        <v>523</v>
      </c>
      <c r="H58" s="303" t="s">
        <v>524</v>
      </c>
      <c r="I58" s="303" t="s">
        <v>525</v>
      </c>
    </row>
    <row r="59" spans="1:9">
      <c r="A59" s="192" t="s">
        <v>526</v>
      </c>
      <c r="B59" s="556">
        <v>300</v>
      </c>
      <c r="C59" s="556">
        <v>2</v>
      </c>
      <c r="D59" s="556">
        <v>121</v>
      </c>
      <c r="E59" s="561">
        <f>B59*C59</f>
        <v>600</v>
      </c>
      <c r="F59" s="556">
        <v>8</v>
      </c>
      <c r="G59" s="557">
        <v>75</v>
      </c>
      <c r="H59" s="557">
        <f>F59*G59</f>
        <v>600</v>
      </c>
      <c r="I59" s="557">
        <f>H59*D59</f>
        <v>72600</v>
      </c>
    </row>
    <row r="60" spans="1:9">
      <c r="A60" s="261" t="s">
        <v>527</v>
      </c>
      <c r="B60" s="558"/>
      <c r="C60" s="558"/>
      <c r="D60" s="559">
        <v>121</v>
      </c>
      <c r="E60" s="558"/>
      <c r="F60" s="558"/>
      <c r="G60" s="558"/>
      <c r="H60" s="558"/>
      <c r="I60" s="562">
        <f>E59+I59</f>
        <v>73200</v>
      </c>
    </row>
    <row r="61" spans="1:9">
      <c r="A61" s="265" t="s">
        <v>528</v>
      </c>
      <c r="B61" s="1555">
        <v>0</v>
      </c>
      <c r="C61" s="1556"/>
      <c r="D61" s="1556"/>
      <c r="E61" s="1556"/>
      <c r="F61" s="1556"/>
      <c r="G61" s="1556"/>
      <c r="H61" s="1556"/>
      <c r="I61" s="1557"/>
    </row>
    <row r="62" spans="1:9">
      <c r="A62" s="268" t="s">
        <v>529</v>
      </c>
      <c r="B62" s="457"/>
      <c r="C62" s="457"/>
      <c r="D62" s="457"/>
      <c r="E62" s="457"/>
      <c r="F62" s="457"/>
      <c r="G62" s="457"/>
      <c r="H62" s="457"/>
      <c r="I62" s="458">
        <f>I60*(1+B61)</f>
        <v>73200</v>
      </c>
    </row>
    <row r="66" spans="1:10">
      <c r="A66" s="444" t="s">
        <v>427</v>
      </c>
    </row>
    <row r="67" spans="1:10">
      <c r="A67" s="192" t="s">
        <v>428</v>
      </c>
      <c r="B67" s="192" t="s">
        <v>429</v>
      </c>
      <c r="C67" s="192" t="s">
        <v>426</v>
      </c>
      <c r="D67" s="192" t="s">
        <v>430</v>
      </c>
      <c r="E67" s="192" t="s">
        <v>431</v>
      </c>
      <c r="J67" s="193"/>
    </row>
    <row r="68" spans="1:10">
      <c r="A68" s="176" t="s">
        <v>432</v>
      </c>
      <c r="B68" s="487">
        <v>1.72</v>
      </c>
      <c r="C68" s="556">
        <v>8</v>
      </c>
      <c r="D68" s="557">
        <v>121</v>
      </c>
      <c r="E68" s="488">
        <f>B68*C68*D68</f>
        <v>1664.96</v>
      </c>
      <c r="J68" s="188"/>
    </row>
    <row r="69" spans="1:10">
      <c r="A69" s="176" t="s">
        <v>433</v>
      </c>
      <c r="B69" s="557">
        <v>1</v>
      </c>
      <c r="C69" s="556">
        <v>8</v>
      </c>
      <c r="D69" s="557">
        <v>244</v>
      </c>
      <c r="E69" s="488">
        <f>B69*C69*D69</f>
        <v>1952</v>
      </c>
      <c r="F69" s="193"/>
      <c r="G69" s="193"/>
      <c r="H69" s="193"/>
      <c r="I69" s="193"/>
      <c r="J69" s="180"/>
    </row>
    <row r="70" spans="1:10">
      <c r="A70" s="261" t="s">
        <v>266</v>
      </c>
      <c r="B70" s="558"/>
      <c r="C70" s="558"/>
      <c r="D70" s="559"/>
      <c r="E70" s="560">
        <f>SUM(E68:E69)</f>
        <v>3616.96</v>
      </c>
      <c r="F70" s="193"/>
      <c r="G70" s="193"/>
      <c r="H70" s="193"/>
      <c r="I70" s="193"/>
      <c r="J70" s="180"/>
    </row>
    <row r="71" spans="1:10">
      <c r="A71" s="265" t="s">
        <v>530</v>
      </c>
      <c r="B71" s="1550">
        <f>基础数据!E17</f>
        <v>0.16666666666666666</v>
      </c>
      <c r="C71" s="1550"/>
      <c r="D71" s="1550"/>
      <c r="E71" s="1550"/>
      <c r="F71" s="188"/>
      <c r="G71" s="188"/>
      <c r="H71" s="188"/>
      <c r="I71" s="188"/>
      <c r="J71" s="180"/>
    </row>
    <row r="72" spans="1:10">
      <c r="A72" s="268" t="s">
        <v>531</v>
      </c>
      <c r="B72" s="151"/>
      <c r="C72" s="151"/>
      <c r="D72" s="151"/>
      <c r="E72" s="151">
        <f>E70*(1+B71)</f>
        <v>4219.7866666666669</v>
      </c>
      <c r="F72" s="180"/>
      <c r="G72" s="180"/>
      <c r="H72" s="180"/>
      <c r="I72" s="180"/>
      <c r="J72" s="180"/>
    </row>
    <row r="74" spans="1:10" s="248" customFormat="1">
      <c r="A74" s="275"/>
    </row>
    <row r="77" spans="1:10">
      <c r="A77" s="444" t="s">
        <v>434</v>
      </c>
    </row>
    <row r="78" spans="1:10">
      <c r="A78" s="178" t="s">
        <v>435</v>
      </c>
      <c r="B78" s="178">
        <f>300*8</f>
        <v>2400</v>
      </c>
      <c r="C78" s="396" t="s">
        <v>436</v>
      </c>
    </row>
    <row r="79" spans="1:10">
      <c r="A79" s="459" t="s">
        <v>550</v>
      </c>
      <c r="B79" s="460">
        <f>SUM(B78:B78)</f>
        <v>2400</v>
      </c>
    </row>
    <row r="80" spans="1:10">
      <c r="B80" s="449">
        <f>B79/3</f>
        <v>800</v>
      </c>
      <c r="C80" s="396" t="s">
        <v>437</v>
      </c>
    </row>
  </sheetData>
  <mergeCells count="9">
    <mergeCell ref="A4:A5"/>
    <mergeCell ref="A22:A23"/>
    <mergeCell ref="B22:D22"/>
    <mergeCell ref="B71:E71"/>
    <mergeCell ref="B36:D36"/>
    <mergeCell ref="A40:A41"/>
    <mergeCell ref="B40:D40"/>
    <mergeCell ref="B53:D53"/>
    <mergeCell ref="B61:I61"/>
  </mergeCells>
  <phoneticPr fontId="5" type="noConversion"/>
  <printOptions horizontalCentered="1"/>
  <pageMargins left="0.23622047244094491" right="0.23622047244094491" top="0.39370078740157483" bottom="0.74803149606299213" header="0.31496062992125984" footer="0.31496062992125984"/>
  <pageSetup paperSize="9"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78"/>
  <sheetViews>
    <sheetView topLeftCell="A73" zoomScale="98" zoomScaleNormal="98" workbookViewId="0">
      <selection activeCell="E10" sqref="E10"/>
    </sheetView>
  </sheetViews>
  <sheetFormatPr defaultRowHeight="5.65" customHeight="1"/>
  <cols>
    <col min="1" max="1" width="9" style="463"/>
    <col min="2" max="2" width="7.5" style="461" customWidth="1"/>
    <col min="3" max="3" width="10.875" style="461" customWidth="1"/>
    <col min="4" max="4" width="19.375" style="463" customWidth="1"/>
    <col min="5" max="5" width="12.75" style="463" bestFit="1" customWidth="1"/>
    <col min="6" max="6" width="10.125" style="463" bestFit="1" customWidth="1"/>
    <col min="7" max="9" width="11.5" style="463" bestFit="1" customWidth="1"/>
    <col min="10" max="16384" width="9" style="461"/>
  </cols>
  <sheetData>
    <row r="1" spans="1:10" ht="20.25">
      <c r="A1" s="1558" t="s">
        <v>1240</v>
      </c>
      <c r="B1" s="1558"/>
      <c r="C1" s="1558"/>
      <c r="D1" s="1558"/>
      <c r="E1" s="1558"/>
      <c r="F1" s="1558"/>
      <c r="G1" s="1558"/>
      <c r="H1" s="1558"/>
      <c r="I1" s="1558"/>
    </row>
    <row r="2" spans="1:10" ht="23.25">
      <c r="A2" s="596"/>
      <c r="B2" s="596"/>
      <c r="C2" s="596"/>
      <c r="D2" s="596"/>
      <c r="E2" s="596"/>
      <c r="F2" s="596"/>
      <c r="G2" s="596"/>
      <c r="H2" s="596"/>
      <c r="I2" s="596"/>
    </row>
    <row r="3" spans="1:10" ht="27">
      <c r="A3" s="1014" t="s">
        <v>1241</v>
      </c>
      <c r="B3" s="1559" t="s">
        <v>969</v>
      </c>
      <c r="C3" s="1559"/>
      <c r="D3" s="1014" t="s">
        <v>1242</v>
      </c>
      <c r="E3" s="597" t="s">
        <v>1243</v>
      </c>
      <c r="F3" s="628" t="s">
        <v>1244</v>
      </c>
      <c r="G3" s="628" t="s">
        <v>1245</v>
      </c>
      <c r="H3" s="628" t="s">
        <v>1246</v>
      </c>
      <c r="I3" s="628" t="s">
        <v>1247</v>
      </c>
    </row>
    <row r="4" spans="1:10" s="462" customFormat="1" ht="16.5">
      <c r="A4" s="600">
        <v>1</v>
      </c>
      <c r="B4" s="1560" t="s">
        <v>1249</v>
      </c>
      <c r="C4" s="1560" t="s">
        <v>1250</v>
      </c>
      <c r="D4" s="601" t="s">
        <v>1251</v>
      </c>
      <c r="E4" s="1012">
        <f t="shared" ref="E4:E18" si="0">SUM(F4:I4)</f>
        <v>150</v>
      </c>
      <c r="F4" s="602">
        <v>50</v>
      </c>
      <c r="G4" s="602">
        <v>50</v>
      </c>
      <c r="H4" s="602">
        <v>25</v>
      </c>
      <c r="I4" s="602">
        <v>25</v>
      </c>
      <c r="J4" s="598"/>
    </row>
    <row r="5" spans="1:10" s="462" customFormat="1" ht="16.5">
      <c r="A5" s="600">
        <v>2</v>
      </c>
      <c r="B5" s="1560"/>
      <c r="C5" s="1560"/>
      <c r="D5" s="601" t="s">
        <v>1252</v>
      </c>
      <c r="E5" s="1012">
        <f t="shared" si="0"/>
        <v>55</v>
      </c>
      <c r="F5" s="602"/>
      <c r="G5" s="602"/>
      <c r="H5" s="602">
        <v>55</v>
      </c>
      <c r="I5" s="602"/>
      <c r="J5" s="598"/>
    </row>
    <row r="6" spans="1:10" s="462" customFormat="1" ht="16.5">
      <c r="A6" s="600">
        <v>3</v>
      </c>
      <c r="B6" s="1560"/>
      <c r="C6" s="1560"/>
      <c r="D6" s="604" t="s">
        <v>1253</v>
      </c>
      <c r="E6" s="605">
        <f t="shared" si="0"/>
        <v>2800</v>
      </c>
      <c r="F6" s="606">
        <f>175*5</f>
        <v>875</v>
      </c>
      <c r="G6" s="606">
        <f>175*5.5</f>
        <v>962.5</v>
      </c>
      <c r="H6" s="606">
        <f>175*5.5</f>
        <v>962.5</v>
      </c>
      <c r="I6" s="606"/>
      <c r="J6" s="598"/>
    </row>
    <row r="7" spans="1:10" s="462" customFormat="1" ht="16.5">
      <c r="A7" s="600">
        <v>4</v>
      </c>
      <c r="B7" s="1560"/>
      <c r="C7" s="1560"/>
      <c r="D7" s="607" t="s">
        <v>1254</v>
      </c>
      <c r="E7" s="605">
        <f t="shared" si="0"/>
        <v>6060</v>
      </c>
      <c r="F7" s="606">
        <f>101*30</f>
        <v>3030</v>
      </c>
      <c r="G7" s="606"/>
      <c r="H7" s="606">
        <f>101*30</f>
        <v>3030</v>
      </c>
      <c r="I7" s="606"/>
      <c r="J7" s="598"/>
    </row>
    <row r="8" spans="1:10" s="462" customFormat="1" ht="16.5">
      <c r="A8" s="600">
        <v>5</v>
      </c>
      <c r="B8" s="1560"/>
      <c r="C8" s="1560"/>
      <c r="D8" s="607" t="s">
        <v>1255</v>
      </c>
      <c r="E8" s="605">
        <f t="shared" si="0"/>
        <v>7500</v>
      </c>
      <c r="F8" s="606"/>
      <c r="G8" s="606"/>
      <c r="H8" s="606">
        <f>500*15</f>
        <v>7500</v>
      </c>
      <c r="I8" s="606"/>
      <c r="J8" s="598"/>
    </row>
    <row r="9" spans="1:10" ht="16.5">
      <c r="A9" s="600">
        <v>6</v>
      </c>
      <c r="B9" s="1560"/>
      <c r="C9" s="1560"/>
      <c r="D9" s="603" t="s">
        <v>1634</v>
      </c>
      <c r="E9" s="1012">
        <f t="shared" si="0"/>
        <v>96</v>
      </c>
      <c r="F9" s="602">
        <v>24</v>
      </c>
      <c r="G9" s="602">
        <v>24</v>
      </c>
      <c r="H9" s="602">
        <v>24</v>
      </c>
      <c r="I9" s="602">
        <v>24</v>
      </c>
    </row>
    <row r="10" spans="1:10" ht="16.5">
      <c r="A10" s="600">
        <v>7</v>
      </c>
      <c r="B10" s="1560"/>
      <c r="C10" s="1560"/>
      <c r="D10" s="601" t="s">
        <v>1256</v>
      </c>
      <c r="E10" s="1012">
        <f t="shared" si="0"/>
        <v>132</v>
      </c>
      <c r="F10" s="602">
        <v>33</v>
      </c>
      <c r="G10" s="602">
        <v>33</v>
      </c>
      <c r="H10" s="602">
        <v>33</v>
      </c>
      <c r="I10" s="602">
        <v>33</v>
      </c>
    </row>
    <row r="11" spans="1:10" ht="16.5">
      <c r="A11" s="600">
        <v>8</v>
      </c>
      <c r="B11" s="1560"/>
      <c r="C11" s="1560"/>
      <c r="D11" s="601" t="s">
        <v>1257</v>
      </c>
      <c r="E11" s="1012">
        <f t="shared" si="0"/>
        <v>35</v>
      </c>
      <c r="F11" s="602"/>
      <c r="G11" s="608">
        <v>35</v>
      </c>
      <c r="H11" s="609"/>
      <c r="I11" s="602"/>
    </row>
    <row r="12" spans="1:10" ht="126" customHeight="1">
      <c r="A12" s="600">
        <v>9</v>
      </c>
      <c r="B12" s="1560"/>
      <c r="C12" s="1560"/>
      <c r="D12" s="601" t="s">
        <v>1258</v>
      </c>
      <c r="E12" s="1012">
        <f t="shared" si="0"/>
        <v>908</v>
      </c>
      <c r="F12" s="602">
        <v>219</v>
      </c>
      <c r="G12" s="602">
        <v>230</v>
      </c>
      <c r="H12" s="602">
        <v>152</v>
      </c>
      <c r="I12" s="609">
        <v>307</v>
      </c>
    </row>
    <row r="13" spans="1:10" ht="16.5">
      <c r="A13" s="600">
        <v>10</v>
      </c>
      <c r="B13" s="1560"/>
      <c r="C13" s="1560"/>
      <c r="D13" s="610" t="s">
        <v>1259</v>
      </c>
      <c r="E13" s="1012">
        <f t="shared" si="0"/>
        <v>363</v>
      </c>
      <c r="F13" s="602">
        <v>3</v>
      </c>
      <c r="G13" s="602">
        <v>30</v>
      </c>
      <c r="H13" s="602">
        <v>30</v>
      </c>
      <c r="I13" s="602">
        <v>300</v>
      </c>
    </row>
    <row r="14" spans="1:10" ht="16.5">
      <c r="A14" s="600">
        <v>11</v>
      </c>
      <c r="B14" s="1560"/>
      <c r="C14" s="1560"/>
      <c r="D14" s="610" t="s">
        <v>1260</v>
      </c>
      <c r="E14" s="1012">
        <f t="shared" si="0"/>
        <v>5</v>
      </c>
      <c r="F14" s="1561">
        <v>5</v>
      </c>
      <c r="G14" s="1562"/>
      <c r="H14" s="1562"/>
      <c r="I14" s="1563"/>
    </row>
    <row r="15" spans="1:10" ht="16.5">
      <c r="A15" s="600">
        <v>12</v>
      </c>
      <c r="B15" s="1560"/>
      <c r="C15" s="1560"/>
      <c r="D15" s="610" t="s">
        <v>1261</v>
      </c>
      <c r="E15" s="1012">
        <f t="shared" si="0"/>
        <v>84</v>
      </c>
      <c r="F15" s="602">
        <v>21</v>
      </c>
      <c r="G15" s="602">
        <v>21</v>
      </c>
      <c r="H15" s="602">
        <v>21</v>
      </c>
      <c r="I15" s="602">
        <v>21</v>
      </c>
    </row>
    <row r="16" spans="1:10" ht="16.5">
      <c r="A16" s="600">
        <v>13</v>
      </c>
      <c r="B16" s="1560"/>
      <c r="C16" s="1560"/>
      <c r="D16" s="610" t="s">
        <v>1262</v>
      </c>
      <c r="E16" s="1012">
        <f t="shared" si="0"/>
        <v>50</v>
      </c>
      <c r="F16" s="602"/>
      <c r="G16" s="602">
        <v>50</v>
      </c>
      <c r="H16" s="602"/>
      <c r="I16" s="602"/>
    </row>
    <row r="17" spans="1:9" ht="16.5">
      <c r="A17" s="600">
        <v>14</v>
      </c>
      <c r="B17" s="1560"/>
      <c r="C17" s="1560"/>
      <c r="D17" s="610" t="s">
        <v>1263</v>
      </c>
      <c r="E17" s="1012">
        <f t="shared" si="0"/>
        <v>2</v>
      </c>
      <c r="F17" s="602"/>
      <c r="G17" s="602"/>
      <c r="H17" s="602">
        <v>2</v>
      </c>
      <c r="I17" s="602"/>
    </row>
    <row r="18" spans="1:9" ht="24">
      <c r="A18" s="600">
        <v>15</v>
      </c>
      <c r="B18" s="1560"/>
      <c r="C18" s="1564"/>
      <c r="D18" s="610" t="s">
        <v>1264</v>
      </c>
      <c r="E18" s="1090">
        <f t="shared" si="0"/>
        <v>148</v>
      </c>
      <c r="F18" s="602">
        <v>37</v>
      </c>
      <c r="G18" s="602">
        <v>37</v>
      </c>
      <c r="H18" s="602">
        <v>37</v>
      </c>
      <c r="I18" s="602">
        <v>37</v>
      </c>
    </row>
    <row r="19" spans="1:9" ht="16.5">
      <c r="A19" s="600">
        <v>16</v>
      </c>
      <c r="B19" s="1560"/>
      <c r="C19" s="1565"/>
      <c r="D19" s="610" t="s">
        <v>1265</v>
      </c>
      <c r="E19" s="1090">
        <f>SUM(F19:I19)</f>
        <v>500</v>
      </c>
      <c r="F19" s="602">
        <v>125</v>
      </c>
      <c r="G19" s="602">
        <v>125</v>
      </c>
      <c r="H19" s="602">
        <v>125</v>
      </c>
      <c r="I19" s="602">
        <v>125</v>
      </c>
    </row>
    <row r="20" spans="1:9" ht="16.5">
      <c r="A20" s="600">
        <v>17</v>
      </c>
      <c r="B20" s="1560"/>
      <c r="C20" s="1565"/>
      <c r="D20" s="610" t="s">
        <v>1266</v>
      </c>
      <c r="E20" s="1090">
        <f>SUM(F20:I20)</f>
        <v>1200</v>
      </c>
      <c r="F20" s="602">
        <v>300</v>
      </c>
      <c r="G20" s="602">
        <v>300</v>
      </c>
      <c r="H20" s="602">
        <v>300</v>
      </c>
      <c r="I20" s="602">
        <v>300</v>
      </c>
    </row>
    <row r="21" spans="1:9" ht="16.5">
      <c r="A21" s="600">
        <v>18</v>
      </c>
      <c r="B21" s="1560"/>
      <c r="C21" s="1565"/>
      <c r="D21" s="603" t="s">
        <v>1267</v>
      </c>
      <c r="E21" s="1090">
        <f>SUM(F21:I21)</f>
        <v>500</v>
      </c>
      <c r="F21" s="602"/>
      <c r="G21" s="602">
        <v>500</v>
      </c>
      <c r="H21" s="602"/>
      <c r="I21" s="602"/>
    </row>
    <row r="22" spans="1:9" ht="16.5">
      <c r="A22" s="600">
        <v>19</v>
      </c>
      <c r="B22" s="1560"/>
      <c r="C22" s="1566"/>
      <c r="D22" s="603" t="s">
        <v>1268</v>
      </c>
      <c r="E22" s="1090">
        <f>SUM(F22:I22)</f>
        <v>0</v>
      </c>
      <c r="F22" s="602"/>
      <c r="G22" s="602"/>
      <c r="H22" s="602"/>
      <c r="I22" s="602"/>
    </row>
    <row r="23" spans="1:9" ht="16.5">
      <c r="A23" s="600">
        <v>20</v>
      </c>
      <c r="B23" s="1560"/>
      <c r="C23" s="1560" t="s">
        <v>1269</v>
      </c>
      <c r="D23" s="601" t="s">
        <v>1270</v>
      </c>
      <c r="E23" s="1012">
        <f t="shared" ref="E23:E29" si="1">SUM(F23:I23)</f>
        <v>200</v>
      </c>
      <c r="F23" s="612">
        <v>100</v>
      </c>
      <c r="G23" s="613"/>
      <c r="H23" s="613"/>
      <c r="I23" s="613">
        <v>100</v>
      </c>
    </row>
    <row r="24" spans="1:9" ht="16.5">
      <c r="A24" s="600">
        <v>21</v>
      </c>
      <c r="B24" s="1560"/>
      <c r="C24" s="1560"/>
      <c r="D24" s="601" t="s">
        <v>1271</v>
      </c>
      <c r="E24" s="1012">
        <f t="shared" si="1"/>
        <v>100</v>
      </c>
      <c r="F24" s="613"/>
      <c r="G24" s="613"/>
      <c r="H24" s="613"/>
      <c r="I24" s="614">
        <v>100</v>
      </c>
    </row>
    <row r="25" spans="1:9" ht="16.5">
      <c r="A25" s="600">
        <v>22</v>
      </c>
      <c r="B25" s="1560"/>
      <c r="C25" s="1560"/>
      <c r="D25" s="603" t="s">
        <v>1272</v>
      </c>
      <c r="E25" s="1012">
        <f t="shared" si="1"/>
        <v>500</v>
      </c>
      <c r="F25" s="613"/>
      <c r="G25" s="613">
        <v>250</v>
      </c>
      <c r="H25" s="613"/>
      <c r="I25" s="614">
        <v>250</v>
      </c>
    </row>
    <row r="26" spans="1:9" ht="16.5">
      <c r="A26" s="600">
        <v>23</v>
      </c>
      <c r="B26" s="1560"/>
      <c r="C26" s="1560"/>
      <c r="D26" s="603" t="s">
        <v>1273</v>
      </c>
      <c r="E26" s="1012">
        <f t="shared" si="1"/>
        <v>900</v>
      </c>
      <c r="F26" s="613"/>
      <c r="G26" s="613">
        <v>300</v>
      </c>
      <c r="H26" s="613"/>
      <c r="I26" s="614">
        <v>600</v>
      </c>
    </row>
    <row r="27" spans="1:9" ht="16.5">
      <c r="A27" s="600">
        <v>24</v>
      </c>
      <c r="B27" s="1560"/>
      <c r="C27" s="1560"/>
      <c r="D27" s="603" t="s">
        <v>1274</v>
      </c>
      <c r="E27" s="1012">
        <f t="shared" si="1"/>
        <v>1200</v>
      </c>
      <c r="F27" s="613"/>
      <c r="G27" s="613">
        <v>600</v>
      </c>
      <c r="H27" s="613"/>
      <c r="I27" s="614">
        <v>600</v>
      </c>
    </row>
    <row r="28" spans="1:9" ht="16.5">
      <c r="A28" s="600">
        <v>25</v>
      </c>
      <c r="B28" s="1560"/>
      <c r="C28" s="1560"/>
      <c r="D28" s="603" t="s">
        <v>1275</v>
      </c>
      <c r="E28" s="1012">
        <f t="shared" si="1"/>
        <v>150</v>
      </c>
      <c r="F28" s="613"/>
      <c r="G28" s="613">
        <v>150</v>
      </c>
      <c r="H28" s="613"/>
      <c r="I28" s="614"/>
    </row>
    <row r="29" spans="1:9" ht="16.5">
      <c r="A29" s="600">
        <v>26</v>
      </c>
      <c r="B29" s="1560"/>
      <c r="C29" s="1560"/>
      <c r="D29" s="603" t="s">
        <v>1276</v>
      </c>
      <c r="E29" s="1012">
        <f t="shared" si="1"/>
        <v>600</v>
      </c>
      <c r="F29" s="613"/>
      <c r="G29" s="613"/>
      <c r="H29" s="613">
        <v>600</v>
      </c>
      <c r="I29" s="614"/>
    </row>
    <row r="30" spans="1:9" ht="16.5">
      <c r="A30" s="1569" t="s">
        <v>1564</v>
      </c>
      <c r="B30" s="1569"/>
      <c r="C30" s="1569"/>
      <c r="D30" s="1569"/>
      <c r="E30" s="615">
        <f>SUM(E4:E29)</f>
        <v>24238</v>
      </c>
      <c r="F30" s="616">
        <f>SUM(F4:F29)</f>
        <v>4822</v>
      </c>
      <c r="G30" s="616">
        <f>SUM(G4:G29)</f>
        <v>3697.5</v>
      </c>
      <c r="H30" s="616">
        <f>SUM(H4:H29)</f>
        <v>12896.5</v>
      </c>
      <c r="I30" s="616">
        <f>SUM(I4:I29)</f>
        <v>2822</v>
      </c>
    </row>
    <row r="31" spans="1:9" ht="16.5">
      <c r="A31" s="600">
        <v>1</v>
      </c>
      <c r="B31" s="1560" t="s">
        <v>1277</v>
      </c>
      <c r="C31" s="1013" t="s">
        <v>1250</v>
      </c>
      <c r="D31" s="603" t="s">
        <v>1278</v>
      </c>
      <c r="E31" s="617">
        <f t="shared" ref="E31:E50" si="2">SUM(F31:I31)</f>
        <v>210</v>
      </c>
      <c r="F31" s="602"/>
      <c r="G31" s="609">
        <v>210</v>
      </c>
      <c r="H31" s="609"/>
      <c r="I31" s="602"/>
    </row>
    <row r="32" spans="1:9" ht="16.5">
      <c r="A32" s="600">
        <v>2</v>
      </c>
      <c r="B32" s="1570"/>
      <c r="C32" s="1564" t="s">
        <v>1279</v>
      </c>
      <c r="D32" s="1085" t="s">
        <v>1280</v>
      </c>
      <c r="E32" s="1086">
        <f t="shared" si="2"/>
        <v>100</v>
      </c>
      <c r="F32" s="1087"/>
      <c r="G32" s="1087">
        <v>100</v>
      </c>
      <c r="H32" s="1086"/>
      <c r="I32" s="1086"/>
    </row>
    <row r="33" spans="1:9" ht="16.5">
      <c r="A33" s="600">
        <v>3</v>
      </c>
      <c r="B33" s="1570"/>
      <c r="C33" s="1565"/>
      <c r="D33" s="1085" t="s">
        <v>1281</v>
      </c>
      <c r="E33" s="1086">
        <f t="shared" si="2"/>
        <v>0</v>
      </c>
      <c r="F33" s="1087"/>
      <c r="G33" s="1087"/>
      <c r="H33" s="1086"/>
      <c r="I33" s="1086"/>
    </row>
    <row r="34" spans="1:9" ht="16.5">
      <c r="A34" s="600">
        <v>4</v>
      </c>
      <c r="B34" s="1570"/>
      <c r="C34" s="1565"/>
      <c r="D34" s="603" t="s">
        <v>1282</v>
      </c>
      <c r="E34" s="602">
        <f t="shared" si="2"/>
        <v>47</v>
      </c>
      <c r="F34" s="609"/>
      <c r="G34" s="609">
        <v>47</v>
      </c>
      <c r="H34" s="602"/>
      <c r="I34" s="602"/>
    </row>
    <row r="35" spans="1:9" ht="24">
      <c r="A35" s="600">
        <v>5</v>
      </c>
      <c r="B35" s="1570"/>
      <c r="C35" s="1565"/>
      <c r="D35" s="1085" t="s">
        <v>1283</v>
      </c>
      <c r="E35" s="1086">
        <f t="shared" si="2"/>
        <v>98</v>
      </c>
      <c r="F35" s="1091"/>
      <c r="G35" s="1087">
        <v>98</v>
      </c>
      <c r="H35" s="1086"/>
      <c r="I35" s="1086"/>
    </row>
    <row r="36" spans="1:9" ht="16.5">
      <c r="A36" s="600">
        <v>7</v>
      </c>
      <c r="B36" s="1570"/>
      <c r="C36" s="1565"/>
      <c r="D36" s="603" t="s">
        <v>1284</v>
      </c>
      <c r="E36" s="602">
        <f t="shared" si="2"/>
        <v>93</v>
      </c>
      <c r="F36" s="461"/>
      <c r="G36" s="609">
        <v>93</v>
      </c>
      <c r="H36" s="602"/>
      <c r="I36" s="602"/>
    </row>
    <row r="37" spans="1:9" ht="16.5">
      <c r="A37" s="600">
        <v>8</v>
      </c>
      <c r="B37" s="1570"/>
      <c r="C37" s="1565"/>
      <c r="D37" s="603" t="s">
        <v>1285</v>
      </c>
      <c r="E37" s="602">
        <f t="shared" si="2"/>
        <v>1200</v>
      </c>
      <c r="F37" s="609">
        <v>300</v>
      </c>
      <c r="G37" s="609">
        <v>300</v>
      </c>
      <c r="H37" s="609">
        <v>300</v>
      </c>
      <c r="I37" s="609">
        <v>300</v>
      </c>
    </row>
    <row r="38" spans="1:9" ht="16.5">
      <c r="A38" s="600">
        <v>9</v>
      </c>
      <c r="B38" s="1570"/>
      <c r="C38" s="1565"/>
      <c r="D38" s="603" t="s">
        <v>1286</v>
      </c>
      <c r="E38" s="602">
        <f t="shared" si="2"/>
        <v>200</v>
      </c>
      <c r="F38" s="609"/>
      <c r="G38" s="609"/>
      <c r="H38" s="602">
        <v>200</v>
      </c>
      <c r="I38" s="602"/>
    </row>
    <row r="39" spans="1:9" ht="16.5">
      <c r="A39" s="600">
        <v>10</v>
      </c>
      <c r="B39" s="1570"/>
      <c r="C39" s="1565"/>
      <c r="D39" s="603" t="s">
        <v>1287</v>
      </c>
      <c r="E39" s="602">
        <f t="shared" si="2"/>
        <v>300</v>
      </c>
      <c r="F39" s="609"/>
      <c r="G39" s="609">
        <v>300</v>
      </c>
      <c r="H39" s="602"/>
      <c r="I39" s="602"/>
    </row>
    <row r="40" spans="1:9" ht="16.5">
      <c r="A40" s="600">
        <v>11</v>
      </c>
      <c r="B40" s="1570"/>
      <c r="C40" s="1565"/>
      <c r="D40" s="603" t="s">
        <v>1288</v>
      </c>
      <c r="E40" s="602">
        <f t="shared" si="2"/>
        <v>0</v>
      </c>
      <c r="F40" s="609"/>
      <c r="G40" s="609"/>
      <c r="H40" s="602"/>
      <c r="I40" s="602"/>
    </row>
    <row r="41" spans="1:9" ht="37.5" customHeight="1">
      <c r="A41" s="600"/>
      <c r="B41" s="1570"/>
      <c r="C41" s="1565"/>
      <c r="D41" s="1085" t="s">
        <v>1289</v>
      </c>
      <c r="E41" s="1086">
        <f t="shared" si="2"/>
        <v>350</v>
      </c>
      <c r="F41" s="1087"/>
      <c r="G41" s="1087">
        <v>350</v>
      </c>
      <c r="H41" s="1086"/>
      <c r="I41" s="1086"/>
    </row>
    <row r="42" spans="1:9" ht="16.5">
      <c r="A42" s="600">
        <v>12</v>
      </c>
      <c r="B42" s="1570"/>
      <c r="C42" s="1565"/>
      <c r="D42" s="603" t="s">
        <v>1290</v>
      </c>
      <c r="E42" s="602">
        <f t="shared" si="2"/>
        <v>1200</v>
      </c>
      <c r="F42" s="609"/>
      <c r="G42" s="609"/>
      <c r="H42" s="602"/>
      <c r="I42" s="602">
        <v>1200</v>
      </c>
    </row>
    <row r="43" spans="1:9" ht="16.5">
      <c r="A43" s="600">
        <v>13</v>
      </c>
      <c r="B43" s="1570"/>
      <c r="C43" s="1565"/>
      <c r="D43" s="603" t="s">
        <v>1291</v>
      </c>
      <c r="E43" s="602">
        <f t="shared" si="2"/>
        <v>0</v>
      </c>
      <c r="F43" s="609"/>
      <c r="G43" s="609"/>
      <c r="H43" s="602"/>
      <c r="I43" s="602"/>
    </row>
    <row r="44" spans="1:9" ht="24">
      <c r="A44" s="600">
        <v>14</v>
      </c>
      <c r="B44" s="1570"/>
      <c r="C44" s="1565"/>
      <c r="D44" s="603" t="s">
        <v>1292</v>
      </c>
      <c r="E44" s="602">
        <f t="shared" si="2"/>
        <v>4400</v>
      </c>
      <c r="F44" s="609">
        <v>200</v>
      </c>
      <c r="G44" s="609">
        <v>2000</v>
      </c>
      <c r="H44" s="609">
        <v>2000</v>
      </c>
      <c r="I44" s="609">
        <v>200</v>
      </c>
    </row>
    <row r="45" spans="1:9" ht="16.5">
      <c r="A45" s="600">
        <v>15</v>
      </c>
      <c r="B45" s="1570"/>
      <c r="C45" s="1565"/>
      <c r="D45" s="1085" t="s">
        <v>1603</v>
      </c>
      <c r="E45" s="602">
        <f t="shared" si="2"/>
        <v>150</v>
      </c>
      <c r="F45" s="1087"/>
      <c r="G45" s="1087"/>
      <c r="H45" s="1086">
        <v>150</v>
      </c>
      <c r="I45" s="1086"/>
    </row>
    <row r="46" spans="1:9" ht="16.5">
      <c r="A46" s="600">
        <v>16</v>
      </c>
      <c r="B46" s="1570"/>
      <c r="C46" s="1565"/>
      <c r="D46" s="603" t="s">
        <v>1293</v>
      </c>
      <c r="E46" s="602">
        <f t="shared" si="2"/>
        <v>2100</v>
      </c>
      <c r="F46" s="602">
        <v>500</v>
      </c>
      <c r="G46" s="602">
        <v>1600</v>
      </c>
      <c r="H46" s="1088"/>
      <c r="I46" s="602"/>
    </row>
    <row r="47" spans="1:9" ht="16.5">
      <c r="A47" s="600">
        <v>17</v>
      </c>
      <c r="B47" s="1570"/>
      <c r="C47" s="1565"/>
      <c r="D47" s="603" t="s">
        <v>1294</v>
      </c>
      <c r="E47" s="602">
        <f t="shared" si="2"/>
        <v>6060</v>
      </c>
      <c r="F47" s="602"/>
      <c r="G47" s="602">
        <v>60</v>
      </c>
      <c r="H47" s="602"/>
      <c r="I47" s="602">
        <v>6000</v>
      </c>
    </row>
    <row r="48" spans="1:9" ht="16.5">
      <c r="A48" s="600">
        <v>18</v>
      </c>
      <c r="B48" s="1570"/>
      <c r="C48" s="1565"/>
      <c r="D48" s="1085" t="s">
        <v>1295</v>
      </c>
      <c r="E48" s="1086">
        <f t="shared" si="2"/>
        <v>460</v>
      </c>
      <c r="F48" s="1086">
        <v>300</v>
      </c>
      <c r="G48" s="1086">
        <v>100</v>
      </c>
      <c r="H48" s="1086">
        <v>30</v>
      </c>
      <c r="I48" s="1086">
        <v>30</v>
      </c>
    </row>
    <row r="49" spans="1:10" ht="16.5">
      <c r="A49" s="600">
        <v>19</v>
      </c>
      <c r="B49" s="1570"/>
      <c r="C49" s="1565"/>
      <c r="D49" s="1085" t="s">
        <v>1296</v>
      </c>
      <c r="E49" s="1086">
        <f t="shared" si="2"/>
        <v>300</v>
      </c>
      <c r="F49" s="1086"/>
      <c r="G49" s="1086"/>
      <c r="H49" s="1086">
        <v>300</v>
      </c>
      <c r="I49" s="1086"/>
    </row>
    <row r="50" spans="1:10" ht="16.5">
      <c r="A50" s="600">
        <v>20</v>
      </c>
      <c r="B50" s="1570"/>
      <c r="C50" s="1565"/>
      <c r="D50" s="1085" t="s">
        <v>1297</v>
      </c>
      <c r="E50" s="1086">
        <f t="shared" si="2"/>
        <v>600</v>
      </c>
      <c r="F50" s="1086"/>
      <c r="G50" s="1086">
        <v>600</v>
      </c>
      <c r="H50" s="1086"/>
      <c r="I50" s="1086"/>
    </row>
    <row r="51" spans="1:10" ht="16.5">
      <c r="A51" s="600"/>
      <c r="B51" s="1570"/>
      <c r="C51" s="1565"/>
      <c r="D51" s="1085" t="s">
        <v>1298</v>
      </c>
      <c r="E51" s="1086">
        <f>SUM(F51:I51)</f>
        <v>1200</v>
      </c>
      <c r="F51" s="1086"/>
      <c r="G51" s="1086">
        <v>1200</v>
      </c>
      <c r="H51" s="1086"/>
      <c r="I51" s="1086"/>
    </row>
    <row r="52" spans="1:10" ht="16.5">
      <c r="A52" s="600"/>
      <c r="B52" s="1570"/>
      <c r="C52" s="1565"/>
      <c r="D52" s="1085" t="s">
        <v>1299</v>
      </c>
      <c r="E52" s="1086">
        <f>SUM(F52:I52)</f>
        <v>800</v>
      </c>
      <c r="F52" s="1086"/>
      <c r="G52" s="1086">
        <v>400</v>
      </c>
      <c r="H52" s="1086">
        <v>400</v>
      </c>
      <c r="I52" s="1086"/>
    </row>
    <row r="53" spans="1:10" ht="16.5">
      <c r="A53" s="600">
        <v>21</v>
      </c>
      <c r="B53" s="1570"/>
      <c r="C53" s="1565"/>
      <c r="D53" s="603" t="s">
        <v>1300</v>
      </c>
      <c r="E53" s="602">
        <f>SUM(F53:I53)</f>
        <v>1200</v>
      </c>
      <c r="F53" s="602">
        <v>1200</v>
      </c>
      <c r="G53" s="602"/>
      <c r="H53" s="602"/>
      <c r="I53" s="602"/>
    </row>
    <row r="54" spans="1:10" ht="16.5">
      <c r="A54" s="600">
        <v>22</v>
      </c>
      <c r="B54" s="1570"/>
      <c r="C54" s="1566"/>
      <c r="D54" s="603" t="s">
        <v>1301</v>
      </c>
      <c r="E54" s="602">
        <f>SUM(F54:I54)</f>
        <v>405</v>
      </c>
      <c r="F54" s="602"/>
      <c r="G54" s="602">
        <v>405</v>
      </c>
      <c r="H54" s="602"/>
      <c r="I54" s="602"/>
    </row>
    <row r="55" spans="1:10" ht="16.5">
      <c r="A55" s="1571" t="s">
        <v>1302</v>
      </c>
      <c r="B55" s="1571"/>
      <c r="C55" s="1571"/>
      <c r="D55" s="1571"/>
      <c r="E55" s="615">
        <f>SUM(E31:E54)</f>
        <v>21473</v>
      </c>
      <c r="F55" s="616">
        <f>SUM(F31:F54)</f>
        <v>2500</v>
      </c>
      <c r="G55" s="616">
        <f>SUM(G31:G54)</f>
        <v>7863</v>
      </c>
      <c r="H55" s="616">
        <f>SUM(H31:H54)</f>
        <v>3380</v>
      </c>
      <c r="I55" s="616">
        <f>SUM(I31:I54)</f>
        <v>7730</v>
      </c>
    </row>
    <row r="56" spans="1:10" ht="16.5">
      <c r="A56" s="600">
        <v>1</v>
      </c>
      <c r="B56" s="1564" t="s">
        <v>1303</v>
      </c>
      <c r="C56" s="1564" t="s">
        <v>1250</v>
      </c>
      <c r="D56" s="601" t="s">
        <v>1304</v>
      </c>
      <c r="E56" s="602">
        <f t="shared" ref="E56:E61" si="3">SUM(F56:I56)</f>
        <v>1000</v>
      </c>
      <c r="F56" s="611">
        <v>250</v>
      </c>
      <c r="G56" s="611">
        <v>250</v>
      </c>
      <c r="H56" s="611">
        <v>250</v>
      </c>
      <c r="I56" s="611">
        <v>250</v>
      </c>
    </row>
    <row r="57" spans="1:10" ht="16.5">
      <c r="A57" s="600">
        <v>2</v>
      </c>
      <c r="B57" s="1565"/>
      <c r="C57" s="1566"/>
      <c r="D57" s="603" t="s">
        <v>1305</v>
      </c>
      <c r="E57" s="602">
        <f t="shared" si="3"/>
        <v>3000</v>
      </c>
      <c r="F57" s="608">
        <v>1000</v>
      </c>
      <c r="G57" s="602">
        <v>500</v>
      </c>
      <c r="H57" s="602">
        <v>500</v>
      </c>
      <c r="I57" s="602">
        <v>1000</v>
      </c>
    </row>
    <row r="58" spans="1:10" ht="16.5">
      <c r="A58" s="600">
        <v>3</v>
      </c>
      <c r="B58" s="1565"/>
      <c r="C58" s="1564" t="s">
        <v>1279</v>
      </c>
      <c r="D58" s="601" t="s">
        <v>1306</v>
      </c>
      <c r="E58" s="602">
        <f t="shared" si="3"/>
        <v>0</v>
      </c>
      <c r="F58" s="618"/>
      <c r="G58" s="618"/>
      <c r="H58" s="618"/>
      <c r="I58" s="618"/>
    </row>
    <row r="59" spans="1:10" ht="24.75">
      <c r="A59" s="600">
        <v>4</v>
      </c>
      <c r="B59" s="1565"/>
      <c r="C59" s="1565"/>
      <c r="D59" s="601" t="s">
        <v>1307</v>
      </c>
      <c r="E59" s="602">
        <f t="shared" si="3"/>
        <v>0</v>
      </c>
      <c r="F59" s="618"/>
      <c r="G59" s="618"/>
      <c r="H59" s="618"/>
      <c r="I59" s="618"/>
    </row>
    <row r="60" spans="1:10" ht="16.5">
      <c r="A60" s="600">
        <v>5</v>
      </c>
      <c r="B60" s="1565"/>
      <c r="C60" s="1565"/>
      <c r="D60" s="603" t="s">
        <v>1308</v>
      </c>
      <c r="E60" s="602">
        <f t="shared" si="3"/>
        <v>1499.04</v>
      </c>
      <c r="F60" s="618">
        <f>3*124.92</f>
        <v>374.76</v>
      </c>
      <c r="G60" s="618">
        <f>3*124.92</f>
        <v>374.76</v>
      </c>
      <c r="H60" s="618">
        <f>3*124.92</f>
        <v>374.76</v>
      </c>
      <c r="I60" s="618">
        <f>3*124.92</f>
        <v>374.76</v>
      </c>
    </row>
    <row r="61" spans="1:10" ht="16.5">
      <c r="A61" s="600">
        <v>6</v>
      </c>
      <c r="B61" s="1565"/>
      <c r="C61" s="1565"/>
      <c r="D61" s="601" t="s">
        <v>1309</v>
      </c>
      <c r="E61" s="602">
        <f t="shared" si="3"/>
        <v>720</v>
      </c>
      <c r="F61" s="613">
        <v>180</v>
      </c>
      <c r="G61" s="613">
        <v>180</v>
      </c>
      <c r="H61" s="613">
        <v>180</v>
      </c>
      <c r="I61" s="613">
        <v>180</v>
      </c>
    </row>
    <row r="62" spans="1:10" ht="16.5">
      <c r="A62" s="600">
        <v>7</v>
      </c>
      <c r="B62" s="1565"/>
      <c r="C62" s="1565"/>
      <c r="D62" s="601" t="s">
        <v>1310</v>
      </c>
      <c r="E62" s="1573">
        <f>SUM(F62:I63)</f>
        <v>2500</v>
      </c>
      <c r="F62" s="1567">
        <v>625</v>
      </c>
      <c r="G62" s="1567">
        <v>625</v>
      </c>
      <c r="H62" s="1567">
        <v>625</v>
      </c>
      <c r="I62" s="1567">
        <v>625</v>
      </c>
    </row>
    <row r="63" spans="1:10" ht="16.5">
      <c r="A63" s="600">
        <v>8</v>
      </c>
      <c r="B63" s="1565"/>
      <c r="C63" s="1565"/>
      <c r="D63" s="601" t="s">
        <v>1311</v>
      </c>
      <c r="E63" s="1573"/>
      <c r="F63" s="1568"/>
      <c r="G63" s="1568"/>
      <c r="H63" s="1568"/>
      <c r="I63" s="1568"/>
      <c r="J63" s="599"/>
    </row>
    <row r="64" spans="1:10" ht="16.5">
      <c r="A64" s="600">
        <v>9</v>
      </c>
      <c r="B64" s="1565"/>
      <c r="C64" s="1565"/>
      <c r="D64" s="601" t="s">
        <v>1312</v>
      </c>
      <c r="E64" s="609">
        <f>SUM(F64:I64)</f>
        <v>5100</v>
      </c>
      <c r="F64" s="613">
        <v>1275</v>
      </c>
      <c r="G64" s="613">
        <v>1275</v>
      </c>
      <c r="H64" s="613">
        <v>1275</v>
      </c>
      <c r="I64" s="613">
        <v>1275</v>
      </c>
    </row>
    <row r="65" spans="1:9" ht="16.5">
      <c r="A65" s="600">
        <v>10</v>
      </c>
      <c r="B65" s="1565"/>
      <c r="C65" s="1565"/>
      <c r="D65" s="603" t="s">
        <v>1313</v>
      </c>
      <c r="E65" s="609">
        <f>SUM(F65:I65)</f>
        <v>718.8</v>
      </c>
      <c r="F65" s="619">
        <v>179.7</v>
      </c>
      <c r="G65" s="619">
        <v>179.7</v>
      </c>
      <c r="H65" s="619">
        <v>179.7</v>
      </c>
      <c r="I65" s="619">
        <v>179.7</v>
      </c>
    </row>
    <row r="66" spans="1:9" ht="16.5">
      <c r="A66" s="600">
        <v>11</v>
      </c>
      <c r="B66" s="1565"/>
      <c r="C66" s="1565"/>
      <c r="D66" s="603" t="s">
        <v>1314</v>
      </c>
      <c r="E66" s="609">
        <f>SUM(F66:I66)</f>
        <v>1242</v>
      </c>
      <c r="F66" s="618">
        <v>310.5</v>
      </c>
      <c r="G66" s="618">
        <v>310.5</v>
      </c>
      <c r="H66" s="618">
        <v>310.5</v>
      </c>
      <c r="I66" s="618">
        <v>310.5</v>
      </c>
    </row>
    <row r="67" spans="1:9" ht="16.5">
      <c r="A67" s="600">
        <v>12</v>
      </c>
      <c r="B67" s="1565"/>
      <c r="C67" s="1565"/>
      <c r="D67" s="601" t="s">
        <v>1315</v>
      </c>
      <c r="E67" s="609">
        <f>SUM(F67:I67)</f>
        <v>1288</v>
      </c>
      <c r="F67" s="613">
        <v>322</v>
      </c>
      <c r="G67" s="613">
        <v>322</v>
      </c>
      <c r="H67" s="613">
        <v>322</v>
      </c>
      <c r="I67" s="613">
        <v>322</v>
      </c>
    </row>
    <row r="68" spans="1:9" ht="16.5">
      <c r="A68" s="600">
        <v>13</v>
      </c>
      <c r="B68" s="1565"/>
      <c r="C68" s="1565"/>
      <c r="D68" s="603" t="s">
        <v>1316</v>
      </c>
      <c r="E68" s="609">
        <f>SUM(F68:I68)</f>
        <v>160</v>
      </c>
      <c r="F68" s="618"/>
      <c r="G68" s="620">
        <v>160</v>
      </c>
      <c r="H68" s="621"/>
      <c r="I68" s="618"/>
    </row>
    <row r="69" spans="1:9" ht="16.5">
      <c r="A69" s="600">
        <v>14</v>
      </c>
      <c r="B69" s="1565"/>
      <c r="C69" s="1565"/>
      <c r="D69" s="601" t="s">
        <v>1317</v>
      </c>
      <c r="E69" s="609"/>
      <c r="F69" s="618"/>
      <c r="G69" s="618"/>
      <c r="H69" s="618"/>
      <c r="I69" s="618"/>
    </row>
    <row r="70" spans="1:9" ht="16.5">
      <c r="A70" s="600">
        <v>15</v>
      </c>
      <c r="B70" s="1565"/>
      <c r="C70" s="1566"/>
      <c r="D70" s="603" t="s">
        <v>1318</v>
      </c>
      <c r="E70" s="609">
        <f t="shared" ref="E70:E76" si="4">SUM(F70:I70)</f>
        <v>1024</v>
      </c>
      <c r="F70" s="618">
        <v>256</v>
      </c>
      <c r="G70" s="618">
        <v>256</v>
      </c>
      <c r="H70" s="618">
        <v>256</v>
      </c>
      <c r="I70" s="618">
        <v>256</v>
      </c>
    </row>
    <row r="71" spans="1:9" ht="16.5">
      <c r="A71" s="600">
        <v>16</v>
      </c>
      <c r="B71" s="1565"/>
      <c r="C71" s="1560" t="s">
        <v>1319</v>
      </c>
      <c r="D71" s="603" t="s">
        <v>589</v>
      </c>
      <c r="E71" s="609">
        <f t="shared" si="4"/>
        <v>0</v>
      </c>
      <c r="F71" s="622"/>
      <c r="G71" s="622"/>
      <c r="H71" s="622"/>
      <c r="I71" s="622"/>
    </row>
    <row r="72" spans="1:9" ht="16.5">
      <c r="A72" s="600">
        <v>17</v>
      </c>
      <c r="B72" s="1565"/>
      <c r="C72" s="1560"/>
      <c r="D72" s="607" t="s">
        <v>1320</v>
      </c>
      <c r="E72" s="605">
        <f t="shared" si="4"/>
        <v>264</v>
      </c>
      <c r="F72" s="606">
        <v>66</v>
      </c>
      <c r="G72" s="606">
        <v>66</v>
      </c>
      <c r="H72" s="606">
        <v>66</v>
      </c>
      <c r="I72" s="606">
        <v>66</v>
      </c>
    </row>
    <row r="73" spans="1:9" ht="16.5">
      <c r="A73" s="600">
        <v>18</v>
      </c>
      <c r="B73" s="1565"/>
      <c r="C73" s="1570"/>
      <c r="D73" s="603" t="s">
        <v>590</v>
      </c>
      <c r="E73" s="623">
        <f t="shared" si="4"/>
        <v>1800</v>
      </c>
      <c r="F73" s="624">
        <v>450</v>
      </c>
      <c r="G73" s="624">
        <v>450</v>
      </c>
      <c r="H73" s="624">
        <v>450</v>
      </c>
      <c r="I73" s="624">
        <v>450</v>
      </c>
    </row>
    <row r="74" spans="1:9" ht="16.5">
      <c r="A74" s="600">
        <v>19</v>
      </c>
      <c r="B74" s="1565"/>
      <c r="C74" s="1570"/>
      <c r="D74" s="603" t="s">
        <v>591</v>
      </c>
      <c r="E74" s="609">
        <f t="shared" si="4"/>
        <v>200</v>
      </c>
      <c r="F74" s="622"/>
      <c r="G74" s="625">
        <v>200</v>
      </c>
      <c r="H74" s="622"/>
      <c r="I74" s="622"/>
    </row>
    <row r="75" spans="1:9" ht="16.5">
      <c r="A75" s="600"/>
      <c r="B75" s="1565"/>
      <c r="C75" s="1570"/>
      <c r="D75" s="1085" t="s">
        <v>1321</v>
      </c>
      <c r="E75" s="1087">
        <f t="shared" si="4"/>
        <v>200</v>
      </c>
      <c r="F75" s="1089">
        <v>50</v>
      </c>
      <c r="G75" s="1089">
        <v>50</v>
      </c>
      <c r="H75" s="1089">
        <v>50</v>
      </c>
      <c r="I75" s="1089">
        <v>50</v>
      </c>
    </row>
    <row r="76" spans="1:9" ht="16.5">
      <c r="A76" s="600">
        <v>20</v>
      </c>
      <c r="B76" s="1565"/>
      <c r="C76" s="1570"/>
      <c r="D76" s="603" t="s">
        <v>1322</v>
      </c>
      <c r="E76" s="609">
        <f t="shared" si="4"/>
        <v>0</v>
      </c>
      <c r="F76" s="622"/>
      <c r="G76" s="622"/>
      <c r="H76" s="622"/>
      <c r="I76" s="622"/>
    </row>
    <row r="77" spans="1:9" ht="16.5">
      <c r="A77" s="1571" t="s">
        <v>1323</v>
      </c>
      <c r="B77" s="1571"/>
      <c r="C77" s="1571"/>
      <c r="D77" s="1571"/>
      <c r="E77" s="615">
        <f>SUM(E56:E76)</f>
        <v>20715.84</v>
      </c>
      <c r="F77" s="616">
        <f>SUM(F56:F76)</f>
        <v>5338.96</v>
      </c>
      <c r="G77" s="616">
        <f>SUM(G56:G76)</f>
        <v>5198.96</v>
      </c>
      <c r="H77" s="616">
        <f>SUM(H56:H76)</f>
        <v>4838.96</v>
      </c>
      <c r="I77" s="616">
        <f>SUM(I56:I76)</f>
        <v>5338.96</v>
      </c>
    </row>
    <row r="78" spans="1:9" ht="16.5">
      <c r="A78" s="1572" t="s">
        <v>1324</v>
      </c>
      <c r="B78" s="1572"/>
      <c r="C78" s="1572"/>
      <c r="D78" s="1572"/>
      <c r="E78" s="626">
        <f>E55+E77</f>
        <v>42188.84</v>
      </c>
      <c r="F78" s="627">
        <f>F55+F77</f>
        <v>7838.96</v>
      </c>
      <c r="G78" s="627">
        <f>G55+G77</f>
        <v>13061.96</v>
      </c>
      <c r="H78" s="627">
        <f>H55+H77</f>
        <v>8218.9599999999991</v>
      </c>
      <c r="I78" s="627">
        <f>I55+I77</f>
        <v>13068.96</v>
      </c>
    </row>
  </sheetData>
  <mergeCells count="22">
    <mergeCell ref="A77:D77"/>
    <mergeCell ref="A78:D78"/>
    <mergeCell ref="E62:E63"/>
    <mergeCell ref="F62:F63"/>
    <mergeCell ref="G62:G63"/>
    <mergeCell ref="H62:H63"/>
    <mergeCell ref="I62:I63"/>
    <mergeCell ref="A30:D30"/>
    <mergeCell ref="B31:B54"/>
    <mergeCell ref="C32:C54"/>
    <mergeCell ref="A55:D55"/>
    <mergeCell ref="B56:B76"/>
    <mergeCell ref="C56:C57"/>
    <mergeCell ref="C58:C70"/>
    <mergeCell ref="C71:C76"/>
    <mergeCell ref="A1:I1"/>
    <mergeCell ref="B3:C3"/>
    <mergeCell ref="B4:B29"/>
    <mergeCell ref="C4:C17"/>
    <mergeCell ref="F14:I14"/>
    <mergeCell ref="C18:C22"/>
    <mergeCell ref="C23:C29"/>
  </mergeCells>
  <phoneticPr fontId="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3:O22"/>
  <sheetViews>
    <sheetView showGridLines="0" workbookViewId="0">
      <selection activeCell="C21" sqref="C21"/>
    </sheetView>
  </sheetViews>
  <sheetFormatPr defaultRowHeight="12.75"/>
  <cols>
    <col min="1" max="1" width="3.875" style="396" customWidth="1"/>
    <col min="2" max="2" width="35.375" style="396" customWidth="1"/>
    <col min="3" max="4" width="8.625" style="396" customWidth="1"/>
    <col min="5" max="5" width="9.25" style="396" customWidth="1"/>
    <col min="6" max="14" width="8.625" style="396" customWidth="1"/>
    <col min="15" max="15" width="12.75" style="396" bestFit="1" customWidth="1"/>
    <col min="16" max="16384" width="9" style="396"/>
  </cols>
  <sheetData>
    <row r="3" spans="2:15">
      <c r="B3" s="1574" t="s">
        <v>438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74"/>
      <c r="M3" s="1574"/>
      <c r="N3" s="1574"/>
      <c r="O3" s="1574"/>
    </row>
    <row r="4" spans="2:15">
      <c r="B4" s="464" t="s">
        <v>439</v>
      </c>
      <c r="C4" s="465" t="s">
        <v>440</v>
      </c>
      <c r="D4" s="465" t="s">
        <v>441</v>
      </c>
      <c r="E4" s="465" t="s">
        <v>442</v>
      </c>
      <c r="F4" s="465" t="s">
        <v>443</v>
      </c>
      <c r="G4" s="466" t="s">
        <v>444</v>
      </c>
      <c r="H4" s="466" t="s">
        <v>445</v>
      </c>
      <c r="I4" s="467" t="s">
        <v>446</v>
      </c>
      <c r="J4" s="466" t="s">
        <v>447</v>
      </c>
      <c r="K4" s="466" t="s">
        <v>448</v>
      </c>
      <c r="L4" s="467" t="s">
        <v>449</v>
      </c>
      <c r="M4" s="467" t="s">
        <v>450</v>
      </c>
      <c r="N4" s="467" t="s">
        <v>451</v>
      </c>
      <c r="O4" s="466" t="s">
        <v>452</v>
      </c>
    </row>
    <row r="5" spans="2:15">
      <c r="B5" s="501" t="s">
        <v>532</v>
      </c>
      <c r="C5" s="499">
        <v>100</v>
      </c>
      <c r="D5" s="499">
        <v>100</v>
      </c>
      <c r="E5" s="499">
        <v>100</v>
      </c>
      <c r="F5" s="499">
        <v>100</v>
      </c>
      <c r="G5" s="499">
        <v>100</v>
      </c>
      <c r="H5" s="499">
        <v>100</v>
      </c>
      <c r="I5" s="499">
        <v>100</v>
      </c>
      <c r="J5" s="499">
        <v>100</v>
      </c>
      <c r="K5" s="499">
        <v>100</v>
      </c>
      <c r="L5" s="499">
        <v>100</v>
      </c>
      <c r="M5" s="499">
        <v>100</v>
      </c>
      <c r="N5" s="499">
        <v>100</v>
      </c>
      <c r="O5" s="500">
        <f>SUM(C5:N5)</f>
        <v>1200</v>
      </c>
    </row>
    <row r="6" spans="2:15">
      <c r="B6" s="501" t="s">
        <v>533</v>
      </c>
      <c r="C6" s="499">
        <v>1</v>
      </c>
      <c r="D6" s="499">
        <v>1</v>
      </c>
      <c r="E6" s="499">
        <v>1</v>
      </c>
      <c r="F6" s="499">
        <v>1</v>
      </c>
      <c r="G6" s="499">
        <v>1</v>
      </c>
      <c r="H6" s="499">
        <v>1</v>
      </c>
      <c r="I6" s="499">
        <v>1</v>
      </c>
      <c r="J6" s="499">
        <v>1</v>
      </c>
      <c r="K6" s="499">
        <v>1</v>
      </c>
      <c r="L6" s="499">
        <v>1</v>
      </c>
      <c r="M6" s="499">
        <v>1</v>
      </c>
      <c r="N6" s="499">
        <v>1</v>
      </c>
      <c r="O6" s="500">
        <f>SUM(C6:N6)</f>
        <v>12</v>
      </c>
    </row>
    <row r="7" spans="2:15">
      <c r="B7" s="501" t="s">
        <v>534</v>
      </c>
      <c r="C7" s="499">
        <v>2</v>
      </c>
      <c r="D7" s="499">
        <v>2</v>
      </c>
      <c r="E7" s="499">
        <v>2</v>
      </c>
      <c r="F7" s="499">
        <v>2</v>
      </c>
      <c r="G7" s="499">
        <v>2</v>
      </c>
      <c r="H7" s="499">
        <v>2</v>
      </c>
      <c r="I7" s="499">
        <v>2</v>
      </c>
      <c r="J7" s="499">
        <v>2</v>
      </c>
      <c r="K7" s="499">
        <v>2</v>
      </c>
      <c r="L7" s="499">
        <v>2</v>
      </c>
      <c r="M7" s="499">
        <v>2</v>
      </c>
      <c r="N7" s="499">
        <v>2</v>
      </c>
      <c r="O7" s="500">
        <f>SUM(C7:N7)</f>
        <v>24</v>
      </c>
    </row>
    <row r="8" spans="2:15">
      <c r="B8" s="470" t="s">
        <v>453</v>
      </c>
      <c r="C8" s="471">
        <f>SUM(C5:C7)</f>
        <v>103</v>
      </c>
      <c r="D8" s="471">
        <f t="shared" ref="D8:M8" si="0">SUM(D5:D7)</f>
        <v>103</v>
      </c>
      <c r="E8" s="471">
        <f t="shared" si="0"/>
        <v>103</v>
      </c>
      <c r="F8" s="471">
        <f t="shared" si="0"/>
        <v>103</v>
      </c>
      <c r="G8" s="471">
        <f>SUM(G5:G7)</f>
        <v>103</v>
      </c>
      <c r="H8" s="471">
        <f t="shared" si="0"/>
        <v>103</v>
      </c>
      <c r="I8" s="471">
        <f t="shared" si="0"/>
        <v>103</v>
      </c>
      <c r="J8" s="471">
        <f t="shared" si="0"/>
        <v>103</v>
      </c>
      <c r="K8" s="471">
        <f t="shared" si="0"/>
        <v>103</v>
      </c>
      <c r="L8" s="471">
        <f t="shared" si="0"/>
        <v>103</v>
      </c>
      <c r="M8" s="471">
        <f t="shared" si="0"/>
        <v>103</v>
      </c>
      <c r="N8" s="471">
        <f>SUM(N5:N7)</f>
        <v>103</v>
      </c>
      <c r="O8" s="471">
        <f>SUM(O5:O7)</f>
        <v>1236</v>
      </c>
    </row>
    <row r="9" spans="2:15">
      <c r="B9" s="468" t="s">
        <v>454</v>
      </c>
      <c r="C9" s="469">
        <v>3</v>
      </c>
      <c r="D9" s="469">
        <v>3</v>
      </c>
      <c r="E9" s="469">
        <v>3</v>
      </c>
      <c r="F9" s="469">
        <v>3</v>
      </c>
      <c r="G9" s="469">
        <v>3</v>
      </c>
      <c r="H9" s="469">
        <v>3</v>
      </c>
      <c r="I9" s="469">
        <v>3</v>
      </c>
      <c r="J9" s="469">
        <v>3</v>
      </c>
      <c r="K9" s="469">
        <v>3</v>
      </c>
      <c r="L9" s="469">
        <v>3</v>
      </c>
      <c r="M9" s="469">
        <v>3</v>
      </c>
      <c r="N9" s="469">
        <v>0</v>
      </c>
      <c r="O9" s="469">
        <f>SUM(C9:N9)</f>
        <v>33</v>
      </c>
    </row>
    <row r="10" spans="2:15">
      <c r="B10" s="468" t="s">
        <v>455</v>
      </c>
      <c r="C10" s="469">
        <v>4</v>
      </c>
      <c r="D10" s="469">
        <v>4</v>
      </c>
      <c r="E10" s="469">
        <v>4</v>
      </c>
      <c r="F10" s="469">
        <v>6</v>
      </c>
      <c r="G10" s="469">
        <v>4</v>
      </c>
      <c r="H10" s="469">
        <v>4</v>
      </c>
      <c r="I10" s="469">
        <v>4</v>
      </c>
      <c r="J10" s="469">
        <v>4</v>
      </c>
      <c r="K10" s="469">
        <v>4</v>
      </c>
      <c r="L10" s="469">
        <v>4</v>
      </c>
      <c r="M10" s="469">
        <v>4</v>
      </c>
      <c r="N10" s="469"/>
      <c r="O10" s="469">
        <f>SUM(C10:N10)</f>
        <v>46</v>
      </c>
    </row>
    <row r="11" spans="2:15">
      <c r="B11" s="468" t="s">
        <v>456</v>
      </c>
      <c r="C11" s="469">
        <f>SUM(C8:C10)</f>
        <v>110</v>
      </c>
      <c r="D11" s="469">
        <f t="shared" ref="D11:N11" si="1">SUM(D8:D10)</f>
        <v>110</v>
      </c>
      <c r="E11" s="469">
        <f t="shared" si="1"/>
        <v>110</v>
      </c>
      <c r="F11" s="469">
        <f t="shared" si="1"/>
        <v>112</v>
      </c>
      <c r="G11" s="469">
        <f t="shared" si="1"/>
        <v>110</v>
      </c>
      <c r="H11" s="469">
        <f t="shared" si="1"/>
        <v>110</v>
      </c>
      <c r="I11" s="469">
        <f t="shared" si="1"/>
        <v>110</v>
      </c>
      <c r="J11" s="469">
        <f t="shared" si="1"/>
        <v>110</v>
      </c>
      <c r="K11" s="469">
        <f t="shared" si="1"/>
        <v>110</v>
      </c>
      <c r="L11" s="469">
        <f t="shared" si="1"/>
        <v>110</v>
      </c>
      <c r="M11" s="469">
        <f t="shared" si="1"/>
        <v>110</v>
      </c>
      <c r="N11" s="469">
        <f t="shared" si="1"/>
        <v>103</v>
      </c>
      <c r="O11" s="469">
        <f>SUM(O8:O10)</f>
        <v>1315</v>
      </c>
    </row>
    <row r="12" spans="2:15" ht="24" customHeight="1"/>
    <row r="13" spans="2:15">
      <c r="B13" s="1574" t="s">
        <v>457</v>
      </c>
      <c r="C13" s="1574"/>
      <c r="D13" s="1574"/>
      <c r="E13" s="1574"/>
      <c r="F13" s="1574"/>
      <c r="G13" s="1574"/>
      <c r="H13" s="1574"/>
      <c r="I13" s="1574"/>
      <c r="J13" s="1574"/>
      <c r="K13" s="1574"/>
      <c r="L13" s="1574"/>
      <c r="M13" s="1574"/>
      <c r="N13" s="1574"/>
      <c r="O13" s="1574"/>
    </row>
    <row r="14" spans="2:15">
      <c r="B14" s="464" t="s">
        <v>439</v>
      </c>
      <c r="C14" s="466" t="s">
        <v>440</v>
      </c>
      <c r="D14" s="466" t="s">
        <v>441</v>
      </c>
      <c r="E14" s="466" t="s">
        <v>442</v>
      </c>
      <c r="F14" s="466" t="s">
        <v>443</v>
      </c>
      <c r="G14" s="466" t="s">
        <v>444</v>
      </c>
      <c r="H14" s="466" t="s">
        <v>445</v>
      </c>
      <c r="I14" s="467" t="s">
        <v>446</v>
      </c>
      <c r="J14" s="466" t="s">
        <v>447</v>
      </c>
      <c r="K14" s="466" t="s">
        <v>448</v>
      </c>
      <c r="L14" s="467" t="s">
        <v>449</v>
      </c>
      <c r="M14" s="467" t="s">
        <v>450</v>
      </c>
      <c r="N14" s="467" t="s">
        <v>451</v>
      </c>
      <c r="O14" s="466" t="s">
        <v>452</v>
      </c>
    </row>
    <row r="15" spans="2:15">
      <c r="B15" s="501" t="s">
        <v>489</v>
      </c>
      <c r="C15" s="499">
        <v>100</v>
      </c>
      <c r="D15" s="499">
        <v>100</v>
      </c>
      <c r="E15" s="499">
        <v>100</v>
      </c>
      <c r="F15" s="499">
        <v>100</v>
      </c>
      <c r="G15" s="499">
        <v>100</v>
      </c>
      <c r="H15" s="499">
        <v>100</v>
      </c>
      <c r="I15" s="499">
        <v>100</v>
      </c>
      <c r="J15" s="499">
        <v>100</v>
      </c>
      <c r="K15" s="499">
        <v>100</v>
      </c>
      <c r="L15" s="499">
        <v>100</v>
      </c>
      <c r="M15" s="499">
        <v>100</v>
      </c>
      <c r="N15" s="499">
        <v>100</v>
      </c>
      <c r="O15" s="500">
        <f>SUM(C15:N15)</f>
        <v>1200</v>
      </c>
    </row>
    <row r="16" spans="2:15">
      <c r="B16" s="501" t="s">
        <v>490</v>
      </c>
      <c r="C16" s="499">
        <v>1</v>
      </c>
      <c r="D16" s="499">
        <v>1</v>
      </c>
      <c r="E16" s="499">
        <v>1</v>
      </c>
      <c r="F16" s="499">
        <v>1</v>
      </c>
      <c r="G16" s="499">
        <v>1</v>
      </c>
      <c r="H16" s="499">
        <v>1</v>
      </c>
      <c r="I16" s="499">
        <v>1</v>
      </c>
      <c r="J16" s="499">
        <v>1</v>
      </c>
      <c r="K16" s="499">
        <v>1</v>
      </c>
      <c r="L16" s="499">
        <v>1</v>
      </c>
      <c r="M16" s="499">
        <v>1</v>
      </c>
      <c r="N16" s="499">
        <v>1</v>
      </c>
      <c r="O16" s="500">
        <f>SUM(C16:N16)</f>
        <v>12</v>
      </c>
    </row>
    <row r="17" spans="2:15">
      <c r="B17" s="501" t="s">
        <v>491</v>
      </c>
      <c r="C17" s="499">
        <v>2</v>
      </c>
      <c r="D17" s="499">
        <v>2</v>
      </c>
      <c r="E17" s="499">
        <v>2</v>
      </c>
      <c r="F17" s="499">
        <v>2</v>
      </c>
      <c r="G17" s="499">
        <v>2</v>
      </c>
      <c r="H17" s="499">
        <v>2</v>
      </c>
      <c r="I17" s="499">
        <v>2</v>
      </c>
      <c r="J17" s="499">
        <v>2</v>
      </c>
      <c r="K17" s="499">
        <v>2</v>
      </c>
      <c r="L17" s="499">
        <v>2</v>
      </c>
      <c r="M17" s="499">
        <v>2</v>
      </c>
      <c r="N17" s="499">
        <v>2</v>
      </c>
      <c r="O17" s="500">
        <f>SUM(C17:N17)</f>
        <v>24</v>
      </c>
    </row>
    <row r="18" spans="2:15">
      <c r="B18" s="502" t="s">
        <v>492</v>
      </c>
      <c r="C18" s="505">
        <f>SUM(C16:C17)</f>
        <v>3</v>
      </c>
      <c r="D18" s="505">
        <f t="shared" ref="D18:N18" si="2">SUM(D16:D17)</f>
        <v>3</v>
      </c>
      <c r="E18" s="505">
        <f t="shared" si="2"/>
        <v>3</v>
      </c>
      <c r="F18" s="505">
        <f t="shared" si="2"/>
        <v>3</v>
      </c>
      <c r="G18" s="505">
        <f t="shared" si="2"/>
        <v>3</v>
      </c>
      <c r="H18" s="505">
        <f t="shared" si="2"/>
        <v>3</v>
      </c>
      <c r="I18" s="505">
        <f t="shared" si="2"/>
        <v>3</v>
      </c>
      <c r="J18" s="505">
        <f t="shared" si="2"/>
        <v>3</v>
      </c>
      <c r="K18" s="505">
        <f t="shared" si="2"/>
        <v>3</v>
      </c>
      <c r="L18" s="505">
        <f t="shared" si="2"/>
        <v>3</v>
      </c>
      <c r="M18" s="505">
        <f t="shared" si="2"/>
        <v>3</v>
      </c>
      <c r="N18" s="505">
        <f t="shared" si="2"/>
        <v>3</v>
      </c>
      <c r="O18" s="505">
        <f>SUM(C18:N18)</f>
        <v>36</v>
      </c>
    </row>
    <row r="19" spans="2:15">
      <c r="B19" s="503" t="s">
        <v>493</v>
      </c>
      <c r="C19" s="504">
        <f>C15+C18</f>
        <v>103</v>
      </c>
      <c r="D19" s="504">
        <f>SUM(D15:D17)</f>
        <v>103</v>
      </c>
      <c r="E19" s="504">
        <f t="shared" ref="E19:O19" si="3">SUM(E15:E17)</f>
        <v>103</v>
      </c>
      <c r="F19" s="504">
        <f t="shared" si="3"/>
        <v>103</v>
      </c>
      <c r="G19" s="504">
        <f t="shared" si="3"/>
        <v>103</v>
      </c>
      <c r="H19" s="504">
        <f t="shared" si="3"/>
        <v>103</v>
      </c>
      <c r="I19" s="504">
        <f t="shared" si="3"/>
        <v>103</v>
      </c>
      <c r="J19" s="504">
        <f t="shared" si="3"/>
        <v>103</v>
      </c>
      <c r="K19" s="504">
        <f t="shared" si="3"/>
        <v>103</v>
      </c>
      <c r="L19" s="504">
        <f t="shared" si="3"/>
        <v>103</v>
      </c>
      <c r="M19" s="504">
        <f t="shared" si="3"/>
        <v>103</v>
      </c>
      <c r="N19" s="504">
        <f t="shared" si="3"/>
        <v>103</v>
      </c>
      <c r="O19" s="504">
        <f t="shared" si="3"/>
        <v>1236</v>
      </c>
    </row>
    <row r="20" spans="2:15">
      <c r="B20" s="468" t="s">
        <v>458</v>
      </c>
      <c r="C20" s="1575">
        <v>3969</v>
      </c>
      <c r="D20" s="1576"/>
      <c r="E20" s="1576"/>
      <c r="F20" s="1576"/>
      <c r="G20" s="1576"/>
      <c r="H20" s="1576"/>
      <c r="I20" s="1576"/>
      <c r="J20" s="1576"/>
      <c r="K20" s="1576"/>
      <c r="L20" s="1576"/>
      <c r="M20" s="1576"/>
      <c r="N20" s="1576"/>
      <c r="O20" s="1577"/>
    </row>
    <row r="21" spans="2:15">
      <c r="B21" s="472" t="s">
        <v>459</v>
      </c>
      <c r="C21" s="473">
        <f>C18*C20</f>
        <v>11907</v>
      </c>
      <c r="D21" s="473">
        <f>D18*C20</f>
        <v>11907</v>
      </c>
      <c r="E21" s="473">
        <f>E18*C20</f>
        <v>11907</v>
      </c>
      <c r="F21" s="473">
        <f>F18*C20</f>
        <v>11907</v>
      </c>
      <c r="G21" s="473">
        <f>G18*C20</f>
        <v>11907</v>
      </c>
      <c r="H21" s="473">
        <f>H18*C20</f>
        <v>11907</v>
      </c>
      <c r="I21" s="473">
        <f>I18*C20</f>
        <v>11907</v>
      </c>
      <c r="J21" s="473">
        <f>J18*C20</f>
        <v>11907</v>
      </c>
      <c r="K21" s="473">
        <f>K18*C20</f>
        <v>11907</v>
      </c>
      <c r="L21" s="473">
        <f>L18*C20</f>
        <v>11907</v>
      </c>
      <c r="M21" s="473">
        <f>M18*C20</f>
        <v>11907</v>
      </c>
      <c r="N21" s="473">
        <f>N18*C20</f>
        <v>11907</v>
      </c>
      <c r="O21" s="473">
        <f>(O18*C20)-(45*C20)</f>
        <v>-35721</v>
      </c>
    </row>
    <row r="22" spans="2:15">
      <c r="O22" s="506"/>
    </row>
  </sheetData>
  <mergeCells count="3">
    <mergeCell ref="B3:O3"/>
    <mergeCell ref="B13:O13"/>
    <mergeCell ref="C20:O20"/>
  </mergeCells>
  <phoneticPr fontId="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14" sqref="C14"/>
    </sheetView>
  </sheetViews>
  <sheetFormatPr defaultRowHeight="16.5"/>
  <cols>
    <col min="1" max="1" width="12.25" customWidth="1"/>
    <col min="2" max="2" width="16.5" customWidth="1"/>
    <col min="3" max="4" width="12.25" style="585" customWidth="1"/>
    <col min="5" max="6" width="12.25" style="585" hidden="1" customWidth="1"/>
    <col min="7" max="8" width="12.25" style="585" customWidth="1"/>
    <col min="9" max="10" width="12.25" style="585" hidden="1" customWidth="1"/>
    <col min="11" max="12" width="12.25" style="585" customWidth="1"/>
  </cols>
  <sheetData>
    <row r="1" spans="1:12" s="566" customFormat="1" ht="13.5">
      <c r="A1" s="1583" t="s">
        <v>551</v>
      </c>
      <c r="B1" s="1583"/>
      <c r="C1" s="1583"/>
      <c r="D1" s="1583"/>
      <c r="E1" s="1583"/>
      <c r="F1" s="1583"/>
      <c r="G1" s="1583"/>
      <c r="H1" s="1583"/>
      <c r="I1" s="1583"/>
      <c r="J1" s="565"/>
      <c r="K1" s="565"/>
      <c r="L1" s="565"/>
    </row>
    <row r="2" spans="1:12" s="570" customFormat="1">
      <c r="A2" s="567" t="s">
        <v>552</v>
      </c>
      <c r="B2" s="567"/>
      <c r="C2" s="568"/>
      <c r="D2" s="568"/>
      <c r="E2" s="568"/>
      <c r="F2" s="569"/>
      <c r="G2" s="568"/>
      <c r="H2" s="568"/>
      <c r="I2" s="568"/>
      <c r="J2" s="569"/>
      <c r="K2" s="569"/>
      <c r="L2" s="569"/>
    </row>
    <row r="3" spans="1:12" s="572" customFormat="1">
      <c r="A3" s="1584" t="s">
        <v>553</v>
      </c>
      <c r="B3" s="1584"/>
      <c r="C3" s="1585" t="s">
        <v>554</v>
      </c>
      <c r="D3" s="1585"/>
      <c r="E3" s="1585"/>
      <c r="F3" s="571"/>
      <c r="G3" s="1584" t="s">
        <v>555</v>
      </c>
      <c r="H3" s="1584"/>
      <c r="I3" s="1584"/>
      <c r="J3" s="571"/>
      <c r="K3" s="1578" t="s">
        <v>556</v>
      </c>
      <c r="L3" s="1579"/>
    </row>
    <row r="4" spans="1:12" s="572" customFormat="1" ht="33">
      <c r="A4" s="1584"/>
      <c r="B4" s="1584"/>
      <c r="C4" s="573" t="s">
        <v>557</v>
      </c>
      <c r="D4" s="573" t="s">
        <v>558</v>
      </c>
      <c r="E4" s="574" t="s">
        <v>559</v>
      </c>
      <c r="F4" s="571"/>
      <c r="G4" s="573" t="s">
        <v>557</v>
      </c>
      <c r="H4" s="573" t="s">
        <v>558</v>
      </c>
      <c r="I4" s="574" t="s">
        <v>559</v>
      </c>
      <c r="J4" s="571"/>
      <c r="K4" s="573" t="s">
        <v>557</v>
      </c>
      <c r="L4" s="573" t="s">
        <v>558</v>
      </c>
    </row>
    <row r="5" spans="1:12" s="581" customFormat="1">
      <c r="A5" s="575" t="s">
        <v>560</v>
      </c>
      <c r="B5" s="576" t="s">
        <v>561</v>
      </c>
      <c r="C5" s="577">
        <v>10</v>
      </c>
      <c r="D5" s="577">
        <v>10</v>
      </c>
      <c r="E5" s="577">
        <v>10</v>
      </c>
      <c r="F5" s="577">
        <v>10</v>
      </c>
      <c r="G5" s="577">
        <v>10</v>
      </c>
      <c r="H5" s="577">
        <v>10</v>
      </c>
      <c r="I5" s="577">
        <v>10</v>
      </c>
      <c r="J5" s="577">
        <v>10</v>
      </c>
      <c r="K5" s="577">
        <v>10</v>
      </c>
      <c r="L5" s="577">
        <v>10</v>
      </c>
    </row>
    <row r="6" spans="1:12" s="581" customFormat="1">
      <c r="A6" s="575" t="s">
        <v>562</v>
      </c>
      <c r="B6" s="576" t="s">
        <v>563</v>
      </c>
      <c r="C6" s="577">
        <v>20</v>
      </c>
      <c r="D6" s="577">
        <v>20</v>
      </c>
      <c r="E6" s="577">
        <v>20</v>
      </c>
      <c r="F6" s="577">
        <v>20</v>
      </c>
      <c r="G6" s="577">
        <v>20</v>
      </c>
      <c r="H6" s="577">
        <v>20</v>
      </c>
      <c r="I6" s="577">
        <v>20</v>
      </c>
      <c r="J6" s="577">
        <v>20</v>
      </c>
      <c r="K6" s="577">
        <v>20</v>
      </c>
      <c r="L6" s="577">
        <v>20</v>
      </c>
    </row>
    <row r="7" spans="1:12" s="581" customFormat="1">
      <c r="A7" s="575" t="s">
        <v>564</v>
      </c>
      <c r="B7" s="576" t="s">
        <v>565</v>
      </c>
      <c r="C7" s="577">
        <v>30</v>
      </c>
      <c r="D7" s="577">
        <v>30</v>
      </c>
      <c r="E7" s="577">
        <v>30</v>
      </c>
      <c r="F7" s="577">
        <v>30</v>
      </c>
      <c r="G7" s="577">
        <v>30</v>
      </c>
      <c r="H7" s="577">
        <v>30</v>
      </c>
      <c r="I7" s="577">
        <v>30</v>
      </c>
      <c r="J7" s="577">
        <v>30</v>
      </c>
      <c r="K7" s="577">
        <v>30</v>
      </c>
      <c r="L7" s="577">
        <v>30</v>
      </c>
    </row>
    <row r="8" spans="1:12" s="581" customFormat="1">
      <c r="A8" s="575" t="s">
        <v>566</v>
      </c>
      <c r="B8" s="576" t="s">
        <v>567</v>
      </c>
      <c r="C8" s="577">
        <v>40</v>
      </c>
      <c r="D8" s="577">
        <v>40</v>
      </c>
      <c r="E8" s="577">
        <v>40</v>
      </c>
      <c r="F8" s="577">
        <v>40</v>
      </c>
      <c r="G8" s="577">
        <v>40</v>
      </c>
      <c r="H8" s="577">
        <v>40</v>
      </c>
      <c r="I8" s="577">
        <v>40</v>
      </c>
      <c r="J8" s="577">
        <v>40</v>
      </c>
      <c r="K8" s="577">
        <v>40</v>
      </c>
      <c r="L8" s="577">
        <v>40</v>
      </c>
    </row>
    <row r="9" spans="1:12" s="581" customFormat="1">
      <c r="A9" s="575" t="s">
        <v>568</v>
      </c>
      <c r="B9" s="576" t="s">
        <v>569</v>
      </c>
      <c r="C9" s="577">
        <v>50</v>
      </c>
      <c r="D9" s="577">
        <v>50</v>
      </c>
      <c r="E9" s="577">
        <v>50</v>
      </c>
      <c r="F9" s="577">
        <v>50</v>
      </c>
      <c r="G9" s="577">
        <v>50</v>
      </c>
      <c r="H9" s="577">
        <v>50</v>
      </c>
      <c r="I9" s="577">
        <v>50</v>
      </c>
      <c r="J9" s="577">
        <v>50</v>
      </c>
      <c r="K9" s="577">
        <v>50</v>
      </c>
      <c r="L9" s="577">
        <v>50</v>
      </c>
    </row>
    <row r="10" spans="1:12" s="581" customFormat="1">
      <c r="A10" s="575" t="s">
        <v>570</v>
      </c>
      <c r="B10" s="576" t="s">
        <v>571</v>
      </c>
      <c r="C10" s="577">
        <v>10</v>
      </c>
      <c r="D10" s="577">
        <v>10</v>
      </c>
      <c r="E10" s="577">
        <v>10</v>
      </c>
      <c r="F10" s="577">
        <v>10</v>
      </c>
      <c r="G10" s="577">
        <v>10</v>
      </c>
      <c r="H10" s="577">
        <v>10</v>
      </c>
      <c r="I10" s="577">
        <v>10</v>
      </c>
      <c r="J10" s="577">
        <v>10</v>
      </c>
      <c r="K10" s="577">
        <v>10</v>
      </c>
      <c r="L10" s="577">
        <v>10</v>
      </c>
    </row>
    <row r="11" spans="1:12" s="581" customFormat="1">
      <c r="A11" s="575" t="s">
        <v>572</v>
      </c>
      <c r="B11" s="576" t="s">
        <v>573</v>
      </c>
      <c r="C11" s="577">
        <v>20</v>
      </c>
      <c r="D11" s="577">
        <v>20</v>
      </c>
      <c r="E11" s="577">
        <v>20</v>
      </c>
      <c r="F11" s="577">
        <v>20</v>
      </c>
      <c r="G11" s="577">
        <v>20</v>
      </c>
      <c r="H11" s="577">
        <v>20</v>
      </c>
      <c r="I11" s="577">
        <v>20</v>
      </c>
      <c r="J11" s="577">
        <v>20</v>
      </c>
      <c r="K11" s="577">
        <v>20</v>
      </c>
      <c r="L11" s="577">
        <v>20</v>
      </c>
    </row>
    <row r="12" spans="1:12" s="581" customFormat="1">
      <c r="A12" s="575" t="s">
        <v>574</v>
      </c>
      <c r="B12" s="576" t="s">
        <v>575</v>
      </c>
      <c r="C12" s="577">
        <v>0</v>
      </c>
      <c r="D12" s="577">
        <v>0</v>
      </c>
      <c r="E12" s="578">
        <f t="shared" ref="E12:E15" si="0">C12+D12</f>
        <v>0</v>
      </c>
      <c r="F12" s="579"/>
      <c r="G12" s="577">
        <v>0</v>
      </c>
      <c r="H12" s="577">
        <v>0</v>
      </c>
      <c r="I12" s="580">
        <f>G12+H12</f>
        <v>0</v>
      </c>
      <c r="J12" s="579"/>
      <c r="K12" s="577">
        <v>0</v>
      </c>
      <c r="L12" s="577">
        <v>0</v>
      </c>
    </row>
    <row r="13" spans="1:12" s="581" customFormat="1">
      <c r="A13" s="575" t="s">
        <v>576</v>
      </c>
      <c r="B13" s="576" t="s">
        <v>577</v>
      </c>
      <c r="C13" s="577">
        <v>0</v>
      </c>
      <c r="D13" s="577">
        <v>0</v>
      </c>
      <c r="E13" s="578">
        <f t="shared" si="0"/>
        <v>0</v>
      </c>
      <c r="F13" s="579"/>
      <c r="G13" s="577">
        <v>0</v>
      </c>
      <c r="H13" s="577">
        <v>0</v>
      </c>
      <c r="I13" s="580">
        <f>G13+H13</f>
        <v>0</v>
      </c>
      <c r="J13" s="579"/>
      <c r="K13" s="577">
        <v>0</v>
      </c>
      <c r="L13" s="577">
        <v>0</v>
      </c>
    </row>
    <row r="14" spans="1:12" s="581" customFormat="1">
      <c r="A14" s="575" t="s">
        <v>578</v>
      </c>
      <c r="B14" s="576" t="s">
        <v>579</v>
      </c>
      <c r="C14" s="577">
        <f>60*8</f>
        <v>480</v>
      </c>
      <c r="D14" s="577">
        <f>60*12</f>
        <v>720</v>
      </c>
      <c r="E14" s="578">
        <f t="shared" si="0"/>
        <v>1200</v>
      </c>
      <c r="F14" s="579"/>
      <c r="G14" s="577">
        <v>264</v>
      </c>
      <c r="H14" s="577">
        <v>396</v>
      </c>
      <c r="I14" s="580">
        <f>G14+H14</f>
        <v>660</v>
      </c>
      <c r="J14" s="579"/>
      <c r="K14" s="577">
        <v>216</v>
      </c>
      <c r="L14" s="577">
        <v>324</v>
      </c>
    </row>
    <row r="15" spans="1:12" s="581" customFormat="1">
      <c r="A15" s="575" t="s">
        <v>580</v>
      </c>
      <c r="B15" s="576" t="s">
        <v>581</v>
      </c>
      <c r="C15" s="577">
        <f>(C5+C6+C7+C8+C9+C10+C11+C12+C13+C14)/0.944*0.056</f>
        <v>39.152542372881356</v>
      </c>
      <c r="D15" s="577">
        <f>(D5+D6+D7+D8+D9+D10+D11+D12+D13+D14)/0.944*0.056</f>
        <v>53.389830508474574</v>
      </c>
      <c r="E15" s="578">
        <f t="shared" si="0"/>
        <v>92.542372881355931</v>
      </c>
      <c r="F15" s="579"/>
      <c r="G15" s="577">
        <v>307720.53000000003</v>
      </c>
      <c r="H15" s="577">
        <v>478726.78</v>
      </c>
      <c r="I15" s="580">
        <v>786447.31</v>
      </c>
      <c r="J15" s="579"/>
      <c r="K15" s="577">
        <v>251771.34</v>
      </c>
      <c r="L15" s="577">
        <v>391685.55</v>
      </c>
    </row>
    <row r="16" spans="1:12" s="581" customFormat="1">
      <c r="A16" s="1580" t="s">
        <v>582</v>
      </c>
      <c r="B16" s="1580"/>
      <c r="C16" s="582">
        <f>C5+C6+C7+C8+C9+C10+C11+C12+C13+C14+C15</f>
        <v>699.15254237288138</v>
      </c>
      <c r="D16" s="582">
        <f>D5+D6+D7+D8+D9+D10+D11+D12+D13+D14+D15</f>
        <v>953.38983050847457</v>
      </c>
      <c r="E16" s="583">
        <f>E5+E6+E7+E8+E9+E10+E11+E13+E14+E15</f>
        <v>1472.542372881356</v>
      </c>
      <c r="F16" s="584"/>
      <c r="G16" s="582">
        <f>SUM(G5:G15)</f>
        <v>308164.53000000003</v>
      </c>
      <c r="H16" s="582">
        <f>SUM(H5:H15)</f>
        <v>479302.78</v>
      </c>
      <c r="I16" s="583">
        <f>I5+I6+I7+I8+I9+I10+I11+I13+I14+I15</f>
        <v>787287.31</v>
      </c>
      <c r="J16" s="584"/>
      <c r="K16" s="582">
        <f>SUM(K5:K15)</f>
        <v>252167.34</v>
      </c>
      <c r="L16" s="582">
        <f>SUM(L5:L15)</f>
        <v>392189.55</v>
      </c>
    </row>
    <row r="17" spans="1:12" s="581" customFormat="1">
      <c r="A17" s="1581" t="s">
        <v>583</v>
      </c>
      <c r="B17" s="1582"/>
      <c r="C17" s="582">
        <f>C16/8</f>
        <v>87.394067796610173</v>
      </c>
      <c r="D17" s="582">
        <f>D16/12</f>
        <v>79.449152542372886</v>
      </c>
      <c r="E17" s="583">
        <f>E16/20</f>
        <v>73.627118644067792</v>
      </c>
      <c r="F17" s="584"/>
      <c r="G17" s="582">
        <f>G16/8</f>
        <v>38520.566250000003</v>
      </c>
      <c r="H17" s="582">
        <f>H16/12</f>
        <v>39941.898333333338</v>
      </c>
      <c r="I17" s="583">
        <f>I16/20</f>
        <v>39364.3655</v>
      </c>
      <c r="J17" s="584"/>
      <c r="K17" s="582">
        <f>K16/8</f>
        <v>31520.9175</v>
      </c>
      <c r="L17" s="582">
        <f>L16/12</f>
        <v>32682.462499999998</v>
      </c>
    </row>
  </sheetData>
  <mergeCells count="7">
    <mergeCell ref="K3:L3"/>
    <mergeCell ref="A16:B16"/>
    <mergeCell ref="A17:B17"/>
    <mergeCell ref="A1:I1"/>
    <mergeCell ref="A3:B4"/>
    <mergeCell ref="C3:E3"/>
    <mergeCell ref="G3:I3"/>
  </mergeCells>
  <phoneticPr fontId="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T50"/>
  <sheetViews>
    <sheetView workbookViewId="0">
      <pane xSplit="6" ySplit="3" topLeftCell="G35" activePane="bottomRight" state="frozen"/>
      <selection pane="topRight" activeCell="G1" sqref="G1"/>
      <selection pane="bottomLeft" activeCell="A4" sqref="A4"/>
      <selection pane="bottomRight" activeCell="L46" sqref="L46"/>
    </sheetView>
  </sheetViews>
  <sheetFormatPr defaultRowHeight="12.75"/>
  <cols>
    <col min="1" max="1" width="3.125" style="1016" bestFit="1" customWidth="1"/>
    <col min="2" max="2" width="9.125" style="1030" customWidth="1"/>
    <col min="3" max="3" width="1.25" style="1023" customWidth="1"/>
    <col min="4" max="4" width="11.5" style="1020" customWidth="1"/>
    <col min="5" max="5" width="4.75" style="1020" customWidth="1"/>
    <col min="6" max="6" width="25" style="1021" customWidth="1"/>
    <col min="7" max="10" width="10.125" style="1022" customWidth="1"/>
    <col min="11" max="11" width="11.125" style="1022" customWidth="1"/>
    <col min="12" max="13" width="9" style="1023"/>
    <col min="14" max="14" width="36.5" style="1023" customWidth="1"/>
    <col min="15" max="253" width="9" style="1023"/>
    <col min="254" max="254" width="2.875" style="1023" customWidth="1"/>
    <col min="255" max="255" width="15" style="1023" customWidth="1"/>
    <col min="256" max="256" width="1.25" style="1023" customWidth="1"/>
    <col min="257" max="257" width="22.75" style="1023" customWidth="1"/>
    <col min="258" max="258" width="3.25" style="1023" customWidth="1"/>
    <col min="259" max="259" width="15.75" style="1023" customWidth="1"/>
    <col min="260" max="260" width="12.125" style="1023" customWidth="1"/>
    <col min="261" max="261" width="13.125" style="1023" customWidth="1"/>
    <col min="262" max="262" width="12.5" style="1023" customWidth="1"/>
    <col min="263" max="263" width="12.75" style="1023" customWidth="1"/>
    <col min="264" max="264" width="17.875" style="1023" customWidth="1"/>
    <col min="265" max="265" width="91.125" style="1023" customWidth="1"/>
    <col min="266" max="266" width="27.125" style="1023" customWidth="1"/>
    <col min="267" max="509" width="9" style="1023"/>
    <col min="510" max="510" width="2.875" style="1023" customWidth="1"/>
    <col min="511" max="511" width="15" style="1023" customWidth="1"/>
    <col min="512" max="512" width="1.25" style="1023" customWidth="1"/>
    <col min="513" max="513" width="22.75" style="1023" customWidth="1"/>
    <col min="514" max="514" width="3.25" style="1023" customWidth="1"/>
    <col min="515" max="515" width="15.75" style="1023" customWidth="1"/>
    <col min="516" max="516" width="12.125" style="1023" customWidth="1"/>
    <col min="517" max="517" width="13.125" style="1023" customWidth="1"/>
    <col min="518" max="518" width="12.5" style="1023" customWidth="1"/>
    <col min="519" max="519" width="12.75" style="1023" customWidth="1"/>
    <col min="520" max="520" width="17.875" style="1023" customWidth="1"/>
    <col min="521" max="521" width="91.125" style="1023" customWidth="1"/>
    <col min="522" max="522" width="27.125" style="1023" customWidth="1"/>
    <col min="523" max="765" width="9" style="1023"/>
    <col min="766" max="766" width="2.875" style="1023" customWidth="1"/>
    <col min="767" max="767" width="15" style="1023" customWidth="1"/>
    <col min="768" max="768" width="1.25" style="1023" customWidth="1"/>
    <col min="769" max="769" width="22.75" style="1023" customWidth="1"/>
    <col min="770" max="770" width="3.25" style="1023" customWidth="1"/>
    <col min="771" max="771" width="15.75" style="1023" customWidth="1"/>
    <col min="772" max="772" width="12.125" style="1023" customWidth="1"/>
    <col min="773" max="773" width="13.125" style="1023" customWidth="1"/>
    <col min="774" max="774" width="12.5" style="1023" customWidth="1"/>
    <col min="775" max="775" width="12.75" style="1023" customWidth="1"/>
    <col min="776" max="776" width="17.875" style="1023" customWidth="1"/>
    <col min="777" max="777" width="91.125" style="1023" customWidth="1"/>
    <col min="778" max="778" width="27.125" style="1023" customWidth="1"/>
    <col min="779" max="1021" width="9" style="1023"/>
    <col min="1022" max="1022" width="2.875" style="1023" customWidth="1"/>
    <col min="1023" max="1023" width="15" style="1023" customWidth="1"/>
    <col min="1024" max="1024" width="1.25" style="1023" customWidth="1"/>
    <col min="1025" max="1025" width="22.75" style="1023" customWidth="1"/>
    <col min="1026" max="1026" width="3.25" style="1023" customWidth="1"/>
    <col min="1027" max="1027" width="15.75" style="1023" customWidth="1"/>
    <col min="1028" max="1028" width="12.125" style="1023" customWidth="1"/>
    <col min="1029" max="1029" width="13.125" style="1023" customWidth="1"/>
    <col min="1030" max="1030" width="12.5" style="1023" customWidth="1"/>
    <col min="1031" max="1031" width="12.75" style="1023" customWidth="1"/>
    <col min="1032" max="1032" width="17.875" style="1023" customWidth="1"/>
    <col min="1033" max="1033" width="91.125" style="1023" customWidth="1"/>
    <col min="1034" max="1034" width="27.125" style="1023" customWidth="1"/>
    <col min="1035" max="1277" width="9" style="1023"/>
    <col min="1278" max="1278" width="2.875" style="1023" customWidth="1"/>
    <col min="1279" max="1279" width="15" style="1023" customWidth="1"/>
    <col min="1280" max="1280" width="1.25" style="1023" customWidth="1"/>
    <col min="1281" max="1281" width="22.75" style="1023" customWidth="1"/>
    <col min="1282" max="1282" width="3.25" style="1023" customWidth="1"/>
    <col min="1283" max="1283" width="15.75" style="1023" customWidth="1"/>
    <col min="1284" max="1284" width="12.125" style="1023" customWidth="1"/>
    <col min="1285" max="1285" width="13.125" style="1023" customWidth="1"/>
    <col min="1286" max="1286" width="12.5" style="1023" customWidth="1"/>
    <col min="1287" max="1287" width="12.75" style="1023" customWidth="1"/>
    <col min="1288" max="1288" width="17.875" style="1023" customWidth="1"/>
    <col min="1289" max="1289" width="91.125" style="1023" customWidth="1"/>
    <col min="1290" max="1290" width="27.125" style="1023" customWidth="1"/>
    <col min="1291" max="1533" width="9" style="1023"/>
    <col min="1534" max="1534" width="2.875" style="1023" customWidth="1"/>
    <col min="1535" max="1535" width="15" style="1023" customWidth="1"/>
    <col min="1536" max="1536" width="1.25" style="1023" customWidth="1"/>
    <col min="1537" max="1537" width="22.75" style="1023" customWidth="1"/>
    <col min="1538" max="1538" width="3.25" style="1023" customWidth="1"/>
    <col min="1539" max="1539" width="15.75" style="1023" customWidth="1"/>
    <col min="1540" max="1540" width="12.125" style="1023" customWidth="1"/>
    <col min="1541" max="1541" width="13.125" style="1023" customWidth="1"/>
    <col min="1542" max="1542" width="12.5" style="1023" customWidth="1"/>
    <col min="1543" max="1543" width="12.75" style="1023" customWidth="1"/>
    <col min="1544" max="1544" width="17.875" style="1023" customWidth="1"/>
    <col min="1545" max="1545" width="91.125" style="1023" customWidth="1"/>
    <col min="1546" max="1546" width="27.125" style="1023" customWidth="1"/>
    <col min="1547" max="1789" width="9" style="1023"/>
    <col min="1790" max="1790" width="2.875" style="1023" customWidth="1"/>
    <col min="1791" max="1791" width="15" style="1023" customWidth="1"/>
    <col min="1792" max="1792" width="1.25" style="1023" customWidth="1"/>
    <col min="1793" max="1793" width="22.75" style="1023" customWidth="1"/>
    <col min="1794" max="1794" width="3.25" style="1023" customWidth="1"/>
    <col min="1795" max="1795" width="15.75" style="1023" customWidth="1"/>
    <col min="1796" max="1796" width="12.125" style="1023" customWidth="1"/>
    <col min="1797" max="1797" width="13.125" style="1023" customWidth="1"/>
    <col min="1798" max="1798" width="12.5" style="1023" customWidth="1"/>
    <col min="1799" max="1799" width="12.75" style="1023" customWidth="1"/>
    <col min="1800" max="1800" width="17.875" style="1023" customWidth="1"/>
    <col min="1801" max="1801" width="91.125" style="1023" customWidth="1"/>
    <col min="1802" max="1802" width="27.125" style="1023" customWidth="1"/>
    <col min="1803" max="2045" width="9" style="1023"/>
    <col min="2046" max="2046" width="2.875" style="1023" customWidth="1"/>
    <col min="2047" max="2047" width="15" style="1023" customWidth="1"/>
    <col min="2048" max="2048" width="1.25" style="1023" customWidth="1"/>
    <col min="2049" max="2049" width="22.75" style="1023" customWidth="1"/>
    <col min="2050" max="2050" width="3.25" style="1023" customWidth="1"/>
    <col min="2051" max="2051" width="15.75" style="1023" customWidth="1"/>
    <col min="2052" max="2052" width="12.125" style="1023" customWidth="1"/>
    <col min="2053" max="2053" width="13.125" style="1023" customWidth="1"/>
    <col min="2054" max="2054" width="12.5" style="1023" customWidth="1"/>
    <col min="2055" max="2055" width="12.75" style="1023" customWidth="1"/>
    <col min="2056" max="2056" width="17.875" style="1023" customWidth="1"/>
    <col min="2057" max="2057" width="91.125" style="1023" customWidth="1"/>
    <col min="2058" max="2058" width="27.125" style="1023" customWidth="1"/>
    <col min="2059" max="2301" width="9" style="1023"/>
    <col min="2302" max="2302" width="2.875" style="1023" customWidth="1"/>
    <col min="2303" max="2303" width="15" style="1023" customWidth="1"/>
    <col min="2304" max="2304" width="1.25" style="1023" customWidth="1"/>
    <col min="2305" max="2305" width="22.75" style="1023" customWidth="1"/>
    <col min="2306" max="2306" width="3.25" style="1023" customWidth="1"/>
    <col min="2307" max="2307" width="15.75" style="1023" customWidth="1"/>
    <col min="2308" max="2308" width="12.125" style="1023" customWidth="1"/>
    <col min="2309" max="2309" width="13.125" style="1023" customWidth="1"/>
    <col min="2310" max="2310" width="12.5" style="1023" customWidth="1"/>
    <col min="2311" max="2311" width="12.75" style="1023" customWidth="1"/>
    <col min="2312" max="2312" width="17.875" style="1023" customWidth="1"/>
    <col min="2313" max="2313" width="91.125" style="1023" customWidth="1"/>
    <col min="2314" max="2314" width="27.125" style="1023" customWidth="1"/>
    <col min="2315" max="2557" width="9" style="1023"/>
    <col min="2558" max="2558" width="2.875" style="1023" customWidth="1"/>
    <col min="2559" max="2559" width="15" style="1023" customWidth="1"/>
    <col min="2560" max="2560" width="1.25" style="1023" customWidth="1"/>
    <col min="2561" max="2561" width="22.75" style="1023" customWidth="1"/>
    <col min="2562" max="2562" width="3.25" style="1023" customWidth="1"/>
    <col min="2563" max="2563" width="15.75" style="1023" customWidth="1"/>
    <col min="2564" max="2564" width="12.125" style="1023" customWidth="1"/>
    <col min="2565" max="2565" width="13.125" style="1023" customWidth="1"/>
    <col min="2566" max="2566" width="12.5" style="1023" customWidth="1"/>
    <col min="2567" max="2567" width="12.75" style="1023" customWidth="1"/>
    <col min="2568" max="2568" width="17.875" style="1023" customWidth="1"/>
    <col min="2569" max="2569" width="91.125" style="1023" customWidth="1"/>
    <col min="2570" max="2570" width="27.125" style="1023" customWidth="1"/>
    <col min="2571" max="2813" width="9" style="1023"/>
    <col min="2814" max="2814" width="2.875" style="1023" customWidth="1"/>
    <col min="2815" max="2815" width="15" style="1023" customWidth="1"/>
    <col min="2816" max="2816" width="1.25" style="1023" customWidth="1"/>
    <col min="2817" max="2817" width="22.75" style="1023" customWidth="1"/>
    <col min="2818" max="2818" width="3.25" style="1023" customWidth="1"/>
    <col min="2819" max="2819" width="15.75" style="1023" customWidth="1"/>
    <col min="2820" max="2820" width="12.125" style="1023" customWidth="1"/>
    <col min="2821" max="2821" width="13.125" style="1023" customWidth="1"/>
    <col min="2822" max="2822" width="12.5" style="1023" customWidth="1"/>
    <col min="2823" max="2823" width="12.75" style="1023" customWidth="1"/>
    <col min="2824" max="2824" width="17.875" style="1023" customWidth="1"/>
    <col min="2825" max="2825" width="91.125" style="1023" customWidth="1"/>
    <col min="2826" max="2826" width="27.125" style="1023" customWidth="1"/>
    <col min="2827" max="3069" width="9" style="1023"/>
    <col min="3070" max="3070" width="2.875" style="1023" customWidth="1"/>
    <col min="3071" max="3071" width="15" style="1023" customWidth="1"/>
    <col min="3072" max="3072" width="1.25" style="1023" customWidth="1"/>
    <col min="3073" max="3073" width="22.75" style="1023" customWidth="1"/>
    <col min="3074" max="3074" width="3.25" style="1023" customWidth="1"/>
    <col min="3075" max="3075" width="15.75" style="1023" customWidth="1"/>
    <col min="3076" max="3076" width="12.125" style="1023" customWidth="1"/>
    <col min="3077" max="3077" width="13.125" style="1023" customWidth="1"/>
    <col min="3078" max="3078" width="12.5" style="1023" customWidth="1"/>
    <col min="3079" max="3079" width="12.75" style="1023" customWidth="1"/>
    <col min="3080" max="3080" width="17.875" style="1023" customWidth="1"/>
    <col min="3081" max="3081" width="91.125" style="1023" customWidth="1"/>
    <col min="3082" max="3082" width="27.125" style="1023" customWidth="1"/>
    <col min="3083" max="3325" width="9" style="1023"/>
    <col min="3326" max="3326" width="2.875" style="1023" customWidth="1"/>
    <col min="3327" max="3327" width="15" style="1023" customWidth="1"/>
    <col min="3328" max="3328" width="1.25" style="1023" customWidth="1"/>
    <col min="3329" max="3329" width="22.75" style="1023" customWidth="1"/>
    <col min="3330" max="3330" width="3.25" style="1023" customWidth="1"/>
    <col min="3331" max="3331" width="15.75" style="1023" customWidth="1"/>
    <col min="3332" max="3332" width="12.125" style="1023" customWidth="1"/>
    <col min="3333" max="3333" width="13.125" style="1023" customWidth="1"/>
    <col min="3334" max="3334" width="12.5" style="1023" customWidth="1"/>
    <col min="3335" max="3335" width="12.75" style="1023" customWidth="1"/>
    <col min="3336" max="3336" width="17.875" style="1023" customWidth="1"/>
    <col min="3337" max="3337" width="91.125" style="1023" customWidth="1"/>
    <col min="3338" max="3338" width="27.125" style="1023" customWidth="1"/>
    <col min="3339" max="3581" width="9" style="1023"/>
    <col min="3582" max="3582" width="2.875" style="1023" customWidth="1"/>
    <col min="3583" max="3583" width="15" style="1023" customWidth="1"/>
    <col min="3584" max="3584" width="1.25" style="1023" customWidth="1"/>
    <col min="3585" max="3585" width="22.75" style="1023" customWidth="1"/>
    <col min="3586" max="3586" width="3.25" style="1023" customWidth="1"/>
    <col min="3587" max="3587" width="15.75" style="1023" customWidth="1"/>
    <col min="3588" max="3588" width="12.125" style="1023" customWidth="1"/>
    <col min="3589" max="3589" width="13.125" style="1023" customWidth="1"/>
    <col min="3590" max="3590" width="12.5" style="1023" customWidth="1"/>
    <col min="3591" max="3591" width="12.75" style="1023" customWidth="1"/>
    <col min="3592" max="3592" width="17.875" style="1023" customWidth="1"/>
    <col min="3593" max="3593" width="91.125" style="1023" customWidth="1"/>
    <col min="3594" max="3594" width="27.125" style="1023" customWidth="1"/>
    <col min="3595" max="3837" width="9" style="1023"/>
    <col min="3838" max="3838" width="2.875" style="1023" customWidth="1"/>
    <col min="3839" max="3839" width="15" style="1023" customWidth="1"/>
    <col min="3840" max="3840" width="1.25" style="1023" customWidth="1"/>
    <col min="3841" max="3841" width="22.75" style="1023" customWidth="1"/>
    <col min="3842" max="3842" width="3.25" style="1023" customWidth="1"/>
    <col min="3843" max="3843" width="15.75" style="1023" customWidth="1"/>
    <col min="3844" max="3844" width="12.125" style="1023" customWidth="1"/>
    <col min="3845" max="3845" width="13.125" style="1023" customWidth="1"/>
    <col min="3846" max="3846" width="12.5" style="1023" customWidth="1"/>
    <col min="3847" max="3847" width="12.75" style="1023" customWidth="1"/>
    <col min="3848" max="3848" width="17.875" style="1023" customWidth="1"/>
    <col min="3849" max="3849" width="91.125" style="1023" customWidth="1"/>
    <col min="3850" max="3850" width="27.125" style="1023" customWidth="1"/>
    <col min="3851" max="4093" width="9" style="1023"/>
    <col min="4094" max="4094" width="2.875" style="1023" customWidth="1"/>
    <col min="4095" max="4095" width="15" style="1023" customWidth="1"/>
    <col min="4096" max="4096" width="1.25" style="1023" customWidth="1"/>
    <col min="4097" max="4097" width="22.75" style="1023" customWidth="1"/>
    <col min="4098" max="4098" width="3.25" style="1023" customWidth="1"/>
    <col min="4099" max="4099" width="15.75" style="1023" customWidth="1"/>
    <col min="4100" max="4100" width="12.125" style="1023" customWidth="1"/>
    <col min="4101" max="4101" width="13.125" style="1023" customWidth="1"/>
    <col min="4102" max="4102" width="12.5" style="1023" customWidth="1"/>
    <col min="4103" max="4103" width="12.75" style="1023" customWidth="1"/>
    <col min="4104" max="4104" width="17.875" style="1023" customWidth="1"/>
    <col min="4105" max="4105" width="91.125" style="1023" customWidth="1"/>
    <col min="4106" max="4106" width="27.125" style="1023" customWidth="1"/>
    <col min="4107" max="4349" width="9" style="1023"/>
    <col min="4350" max="4350" width="2.875" style="1023" customWidth="1"/>
    <col min="4351" max="4351" width="15" style="1023" customWidth="1"/>
    <col min="4352" max="4352" width="1.25" style="1023" customWidth="1"/>
    <col min="4353" max="4353" width="22.75" style="1023" customWidth="1"/>
    <col min="4354" max="4354" width="3.25" style="1023" customWidth="1"/>
    <col min="4355" max="4355" width="15.75" style="1023" customWidth="1"/>
    <col min="4356" max="4356" width="12.125" style="1023" customWidth="1"/>
    <col min="4357" max="4357" width="13.125" style="1023" customWidth="1"/>
    <col min="4358" max="4358" width="12.5" style="1023" customWidth="1"/>
    <col min="4359" max="4359" width="12.75" style="1023" customWidth="1"/>
    <col min="4360" max="4360" width="17.875" style="1023" customWidth="1"/>
    <col min="4361" max="4361" width="91.125" style="1023" customWidth="1"/>
    <col min="4362" max="4362" width="27.125" style="1023" customWidth="1"/>
    <col min="4363" max="4605" width="9" style="1023"/>
    <col min="4606" max="4606" width="2.875" style="1023" customWidth="1"/>
    <col min="4607" max="4607" width="15" style="1023" customWidth="1"/>
    <col min="4608" max="4608" width="1.25" style="1023" customWidth="1"/>
    <col min="4609" max="4609" width="22.75" style="1023" customWidth="1"/>
    <col min="4610" max="4610" width="3.25" style="1023" customWidth="1"/>
    <col min="4611" max="4611" width="15.75" style="1023" customWidth="1"/>
    <col min="4612" max="4612" width="12.125" style="1023" customWidth="1"/>
    <col min="4613" max="4613" width="13.125" style="1023" customWidth="1"/>
    <col min="4614" max="4614" width="12.5" style="1023" customWidth="1"/>
    <col min="4615" max="4615" width="12.75" style="1023" customWidth="1"/>
    <col min="4616" max="4616" width="17.875" style="1023" customWidth="1"/>
    <col min="4617" max="4617" width="91.125" style="1023" customWidth="1"/>
    <col min="4618" max="4618" width="27.125" style="1023" customWidth="1"/>
    <col min="4619" max="4861" width="9" style="1023"/>
    <col min="4862" max="4862" width="2.875" style="1023" customWidth="1"/>
    <col min="4863" max="4863" width="15" style="1023" customWidth="1"/>
    <col min="4864" max="4864" width="1.25" style="1023" customWidth="1"/>
    <col min="4865" max="4865" width="22.75" style="1023" customWidth="1"/>
    <col min="4866" max="4866" width="3.25" style="1023" customWidth="1"/>
    <col min="4867" max="4867" width="15.75" style="1023" customWidth="1"/>
    <col min="4868" max="4868" width="12.125" style="1023" customWidth="1"/>
    <col min="4869" max="4869" width="13.125" style="1023" customWidth="1"/>
    <col min="4870" max="4870" width="12.5" style="1023" customWidth="1"/>
    <col min="4871" max="4871" width="12.75" style="1023" customWidth="1"/>
    <col min="4872" max="4872" width="17.875" style="1023" customWidth="1"/>
    <col min="4873" max="4873" width="91.125" style="1023" customWidth="1"/>
    <col min="4874" max="4874" width="27.125" style="1023" customWidth="1"/>
    <col min="4875" max="5117" width="9" style="1023"/>
    <col min="5118" max="5118" width="2.875" style="1023" customWidth="1"/>
    <col min="5119" max="5119" width="15" style="1023" customWidth="1"/>
    <col min="5120" max="5120" width="1.25" style="1023" customWidth="1"/>
    <col min="5121" max="5121" width="22.75" style="1023" customWidth="1"/>
    <col min="5122" max="5122" width="3.25" style="1023" customWidth="1"/>
    <col min="5123" max="5123" width="15.75" style="1023" customWidth="1"/>
    <col min="5124" max="5124" width="12.125" style="1023" customWidth="1"/>
    <col min="5125" max="5125" width="13.125" style="1023" customWidth="1"/>
    <col min="5126" max="5126" width="12.5" style="1023" customWidth="1"/>
    <col min="5127" max="5127" width="12.75" style="1023" customWidth="1"/>
    <col min="5128" max="5128" width="17.875" style="1023" customWidth="1"/>
    <col min="5129" max="5129" width="91.125" style="1023" customWidth="1"/>
    <col min="5130" max="5130" width="27.125" style="1023" customWidth="1"/>
    <col min="5131" max="5373" width="9" style="1023"/>
    <col min="5374" max="5374" width="2.875" style="1023" customWidth="1"/>
    <col min="5375" max="5375" width="15" style="1023" customWidth="1"/>
    <col min="5376" max="5376" width="1.25" style="1023" customWidth="1"/>
    <col min="5377" max="5377" width="22.75" style="1023" customWidth="1"/>
    <col min="5378" max="5378" width="3.25" style="1023" customWidth="1"/>
    <col min="5379" max="5379" width="15.75" style="1023" customWidth="1"/>
    <col min="5380" max="5380" width="12.125" style="1023" customWidth="1"/>
    <col min="5381" max="5381" width="13.125" style="1023" customWidth="1"/>
    <col min="5382" max="5382" width="12.5" style="1023" customWidth="1"/>
    <col min="5383" max="5383" width="12.75" style="1023" customWidth="1"/>
    <col min="5384" max="5384" width="17.875" style="1023" customWidth="1"/>
    <col min="5385" max="5385" width="91.125" style="1023" customWidth="1"/>
    <col min="5386" max="5386" width="27.125" style="1023" customWidth="1"/>
    <col min="5387" max="5629" width="9" style="1023"/>
    <col min="5630" max="5630" width="2.875" style="1023" customWidth="1"/>
    <col min="5631" max="5631" width="15" style="1023" customWidth="1"/>
    <col min="5632" max="5632" width="1.25" style="1023" customWidth="1"/>
    <col min="5633" max="5633" width="22.75" style="1023" customWidth="1"/>
    <col min="5634" max="5634" width="3.25" style="1023" customWidth="1"/>
    <col min="5635" max="5635" width="15.75" style="1023" customWidth="1"/>
    <col min="5636" max="5636" width="12.125" style="1023" customWidth="1"/>
    <col min="5637" max="5637" width="13.125" style="1023" customWidth="1"/>
    <col min="5638" max="5638" width="12.5" style="1023" customWidth="1"/>
    <col min="5639" max="5639" width="12.75" style="1023" customWidth="1"/>
    <col min="5640" max="5640" width="17.875" style="1023" customWidth="1"/>
    <col min="5641" max="5641" width="91.125" style="1023" customWidth="1"/>
    <col min="5642" max="5642" width="27.125" style="1023" customWidth="1"/>
    <col min="5643" max="5885" width="9" style="1023"/>
    <col min="5886" max="5886" width="2.875" style="1023" customWidth="1"/>
    <col min="5887" max="5887" width="15" style="1023" customWidth="1"/>
    <col min="5888" max="5888" width="1.25" style="1023" customWidth="1"/>
    <col min="5889" max="5889" width="22.75" style="1023" customWidth="1"/>
    <col min="5890" max="5890" width="3.25" style="1023" customWidth="1"/>
    <col min="5891" max="5891" width="15.75" style="1023" customWidth="1"/>
    <col min="5892" max="5892" width="12.125" style="1023" customWidth="1"/>
    <col min="5893" max="5893" width="13.125" style="1023" customWidth="1"/>
    <col min="5894" max="5894" width="12.5" style="1023" customWidth="1"/>
    <col min="5895" max="5895" width="12.75" style="1023" customWidth="1"/>
    <col min="5896" max="5896" width="17.875" style="1023" customWidth="1"/>
    <col min="5897" max="5897" width="91.125" style="1023" customWidth="1"/>
    <col min="5898" max="5898" width="27.125" style="1023" customWidth="1"/>
    <col min="5899" max="6141" width="9" style="1023"/>
    <col min="6142" max="6142" width="2.875" style="1023" customWidth="1"/>
    <col min="6143" max="6143" width="15" style="1023" customWidth="1"/>
    <col min="6144" max="6144" width="1.25" style="1023" customWidth="1"/>
    <col min="6145" max="6145" width="22.75" style="1023" customWidth="1"/>
    <col min="6146" max="6146" width="3.25" style="1023" customWidth="1"/>
    <col min="6147" max="6147" width="15.75" style="1023" customWidth="1"/>
    <col min="6148" max="6148" width="12.125" style="1023" customWidth="1"/>
    <col min="6149" max="6149" width="13.125" style="1023" customWidth="1"/>
    <col min="6150" max="6150" width="12.5" style="1023" customWidth="1"/>
    <col min="6151" max="6151" width="12.75" style="1023" customWidth="1"/>
    <col min="6152" max="6152" width="17.875" style="1023" customWidth="1"/>
    <col min="6153" max="6153" width="91.125" style="1023" customWidth="1"/>
    <col min="6154" max="6154" width="27.125" style="1023" customWidth="1"/>
    <col min="6155" max="6397" width="9" style="1023"/>
    <col min="6398" max="6398" width="2.875" style="1023" customWidth="1"/>
    <col min="6399" max="6399" width="15" style="1023" customWidth="1"/>
    <col min="6400" max="6400" width="1.25" style="1023" customWidth="1"/>
    <col min="6401" max="6401" width="22.75" style="1023" customWidth="1"/>
    <col min="6402" max="6402" width="3.25" style="1023" customWidth="1"/>
    <col min="6403" max="6403" width="15.75" style="1023" customWidth="1"/>
    <col min="6404" max="6404" width="12.125" style="1023" customWidth="1"/>
    <col min="6405" max="6405" width="13.125" style="1023" customWidth="1"/>
    <col min="6406" max="6406" width="12.5" style="1023" customWidth="1"/>
    <col min="6407" max="6407" width="12.75" style="1023" customWidth="1"/>
    <col min="6408" max="6408" width="17.875" style="1023" customWidth="1"/>
    <col min="6409" max="6409" width="91.125" style="1023" customWidth="1"/>
    <col min="6410" max="6410" width="27.125" style="1023" customWidth="1"/>
    <col min="6411" max="6653" width="9" style="1023"/>
    <col min="6654" max="6654" width="2.875" style="1023" customWidth="1"/>
    <col min="6655" max="6655" width="15" style="1023" customWidth="1"/>
    <col min="6656" max="6656" width="1.25" style="1023" customWidth="1"/>
    <col min="6657" max="6657" width="22.75" style="1023" customWidth="1"/>
    <col min="6658" max="6658" width="3.25" style="1023" customWidth="1"/>
    <col min="6659" max="6659" width="15.75" style="1023" customWidth="1"/>
    <col min="6660" max="6660" width="12.125" style="1023" customWidth="1"/>
    <col min="6661" max="6661" width="13.125" style="1023" customWidth="1"/>
    <col min="6662" max="6662" width="12.5" style="1023" customWidth="1"/>
    <col min="6663" max="6663" width="12.75" style="1023" customWidth="1"/>
    <col min="6664" max="6664" width="17.875" style="1023" customWidth="1"/>
    <col min="6665" max="6665" width="91.125" style="1023" customWidth="1"/>
    <col min="6666" max="6666" width="27.125" style="1023" customWidth="1"/>
    <col min="6667" max="6909" width="9" style="1023"/>
    <col min="6910" max="6910" width="2.875" style="1023" customWidth="1"/>
    <col min="6911" max="6911" width="15" style="1023" customWidth="1"/>
    <col min="6912" max="6912" width="1.25" style="1023" customWidth="1"/>
    <col min="6913" max="6913" width="22.75" style="1023" customWidth="1"/>
    <col min="6914" max="6914" width="3.25" style="1023" customWidth="1"/>
    <col min="6915" max="6915" width="15.75" style="1023" customWidth="1"/>
    <col min="6916" max="6916" width="12.125" style="1023" customWidth="1"/>
    <col min="6917" max="6917" width="13.125" style="1023" customWidth="1"/>
    <col min="6918" max="6918" width="12.5" style="1023" customWidth="1"/>
    <col min="6919" max="6919" width="12.75" style="1023" customWidth="1"/>
    <col min="6920" max="6920" width="17.875" style="1023" customWidth="1"/>
    <col min="6921" max="6921" width="91.125" style="1023" customWidth="1"/>
    <col min="6922" max="6922" width="27.125" style="1023" customWidth="1"/>
    <col min="6923" max="7165" width="9" style="1023"/>
    <col min="7166" max="7166" width="2.875" style="1023" customWidth="1"/>
    <col min="7167" max="7167" width="15" style="1023" customWidth="1"/>
    <col min="7168" max="7168" width="1.25" style="1023" customWidth="1"/>
    <col min="7169" max="7169" width="22.75" style="1023" customWidth="1"/>
    <col min="7170" max="7170" width="3.25" style="1023" customWidth="1"/>
    <col min="7171" max="7171" width="15.75" style="1023" customWidth="1"/>
    <col min="7172" max="7172" width="12.125" style="1023" customWidth="1"/>
    <col min="7173" max="7173" width="13.125" style="1023" customWidth="1"/>
    <col min="7174" max="7174" width="12.5" style="1023" customWidth="1"/>
    <col min="7175" max="7175" width="12.75" style="1023" customWidth="1"/>
    <col min="7176" max="7176" width="17.875" style="1023" customWidth="1"/>
    <col min="7177" max="7177" width="91.125" style="1023" customWidth="1"/>
    <col min="7178" max="7178" width="27.125" style="1023" customWidth="1"/>
    <col min="7179" max="7421" width="9" style="1023"/>
    <col min="7422" max="7422" width="2.875" style="1023" customWidth="1"/>
    <col min="7423" max="7423" width="15" style="1023" customWidth="1"/>
    <col min="7424" max="7424" width="1.25" style="1023" customWidth="1"/>
    <col min="7425" max="7425" width="22.75" style="1023" customWidth="1"/>
    <col min="7426" max="7426" width="3.25" style="1023" customWidth="1"/>
    <col min="7427" max="7427" width="15.75" style="1023" customWidth="1"/>
    <col min="7428" max="7428" width="12.125" style="1023" customWidth="1"/>
    <col min="7429" max="7429" width="13.125" style="1023" customWidth="1"/>
    <col min="7430" max="7430" width="12.5" style="1023" customWidth="1"/>
    <col min="7431" max="7431" width="12.75" style="1023" customWidth="1"/>
    <col min="7432" max="7432" width="17.875" style="1023" customWidth="1"/>
    <col min="7433" max="7433" width="91.125" style="1023" customWidth="1"/>
    <col min="7434" max="7434" width="27.125" style="1023" customWidth="1"/>
    <col min="7435" max="7677" width="9" style="1023"/>
    <col min="7678" max="7678" width="2.875" style="1023" customWidth="1"/>
    <col min="7679" max="7679" width="15" style="1023" customWidth="1"/>
    <col min="7680" max="7680" width="1.25" style="1023" customWidth="1"/>
    <col min="7681" max="7681" width="22.75" style="1023" customWidth="1"/>
    <col min="7682" max="7682" width="3.25" style="1023" customWidth="1"/>
    <col min="7683" max="7683" width="15.75" style="1023" customWidth="1"/>
    <col min="7684" max="7684" width="12.125" style="1023" customWidth="1"/>
    <col min="7685" max="7685" width="13.125" style="1023" customWidth="1"/>
    <col min="7686" max="7686" width="12.5" style="1023" customWidth="1"/>
    <col min="7687" max="7687" width="12.75" style="1023" customWidth="1"/>
    <col min="7688" max="7688" width="17.875" style="1023" customWidth="1"/>
    <col min="7689" max="7689" width="91.125" style="1023" customWidth="1"/>
    <col min="7690" max="7690" width="27.125" style="1023" customWidth="1"/>
    <col min="7691" max="7933" width="9" style="1023"/>
    <col min="7934" max="7934" width="2.875" style="1023" customWidth="1"/>
    <col min="7935" max="7935" width="15" style="1023" customWidth="1"/>
    <col min="7936" max="7936" width="1.25" style="1023" customWidth="1"/>
    <col min="7937" max="7937" width="22.75" style="1023" customWidth="1"/>
    <col min="7938" max="7938" width="3.25" style="1023" customWidth="1"/>
    <col min="7939" max="7939" width="15.75" style="1023" customWidth="1"/>
    <col min="7940" max="7940" width="12.125" style="1023" customWidth="1"/>
    <col min="7941" max="7941" width="13.125" style="1023" customWidth="1"/>
    <col min="7942" max="7942" width="12.5" style="1023" customWidth="1"/>
    <col min="7943" max="7943" width="12.75" style="1023" customWidth="1"/>
    <col min="7944" max="7944" width="17.875" style="1023" customWidth="1"/>
    <col min="7945" max="7945" width="91.125" style="1023" customWidth="1"/>
    <col min="7946" max="7946" width="27.125" style="1023" customWidth="1"/>
    <col min="7947" max="8189" width="9" style="1023"/>
    <col min="8190" max="8190" width="2.875" style="1023" customWidth="1"/>
    <col min="8191" max="8191" width="15" style="1023" customWidth="1"/>
    <col min="8192" max="8192" width="1.25" style="1023" customWidth="1"/>
    <col min="8193" max="8193" width="22.75" style="1023" customWidth="1"/>
    <col min="8194" max="8194" width="3.25" style="1023" customWidth="1"/>
    <col min="8195" max="8195" width="15.75" style="1023" customWidth="1"/>
    <col min="8196" max="8196" width="12.125" style="1023" customWidth="1"/>
    <col min="8197" max="8197" width="13.125" style="1023" customWidth="1"/>
    <col min="8198" max="8198" width="12.5" style="1023" customWidth="1"/>
    <col min="8199" max="8199" width="12.75" style="1023" customWidth="1"/>
    <col min="8200" max="8200" width="17.875" style="1023" customWidth="1"/>
    <col min="8201" max="8201" width="91.125" style="1023" customWidth="1"/>
    <col min="8202" max="8202" width="27.125" style="1023" customWidth="1"/>
    <col min="8203" max="8445" width="9" style="1023"/>
    <col min="8446" max="8446" width="2.875" style="1023" customWidth="1"/>
    <col min="8447" max="8447" width="15" style="1023" customWidth="1"/>
    <col min="8448" max="8448" width="1.25" style="1023" customWidth="1"/>
    <col min="8449" max="8449" width="22.75" style="1023" customWidth="1"/>
    <col min="8450" max="8450" width="3.25" style="1023" customWidth="1"/>
    <col min="8451" max="8451" width="15.75" style="1023" customWidth="1"/>
    <col min="8452" max="8452" width="12.125" style="1023" customWidth="1"/>
    <col min="8453" max="8453" width="13.125" style="1023" customWidth="1"/>
    <col min="8454" max="8454" width="12.5" style="1023" customWidth="1"/>
    <col min="8455" max="8455" width="12.75" style="1023" customWidth="1"/>
    <col min="8456" max="8456" width="17.875" style="1023" customWidth="1"/>
    <col min="8457" max="8457" width="91.125" style="1023" customWidth="1"/>
    <col min="8458" max="8458" width="27.125" style="1023" customWidth="1"/>
    <col min="8459" max="8701" width="9" style="1023"/>
    <col min="8702" max="8702" width="2.875" style="1023" customWidth="1"/>
    <col min="8703" max="8703" width="15" style="1023" customWidth="1"/>
    <col min="8704" max="8704" width="1.25" style="1023" customWidth="1"/>
    <col min="8705" max="8705" width="22.75" style="1023" customWidth="1"/>
    <col min="8706" max="8706" width="3.25" style="1023" customWidth="1"/>
    <col min="8707" max="8707" width="15.75" style="1023" customWidth="1"/>
    <col min="8708" max="8708" width="12.125" style="1023" customWidth="1"/>
    <col min="8709" max="8709" width="13.125" style="1023" customWidth="1"/>
    <col min="8710" max="8710" width="12.5" style="1023" customWidth="1"/>
    <col min="8711" max="8711" width="12.75" style="1023" customWidth="1"/>
    <col min="8712" max="8712" width="17.875" style="1023" customWidth="1"/>
    <col min="8713" max="8713" width="91.125" style="1023" customWidth="1"/>
    <col min="8714" max="8714" width="27.125" style="1023" customWidth="1"/>
    <col min="8715" max="8957" width="9" style="1023"/>
    <col min="8958" max="8958" width="2.875" style="1023" customWidth="1"/>
    <col min="8959" max="8959" width="15" style="1023" customWidth="1"/>
    <col min="8960" max="8960" width="1.25" style="1023" customWidth="1"/>
    <col min="8961" max="8961" width="22.75" style="1023" customWidth="1"/>
    <col min="8962" max="8962" width="3.25" style="1023" customWidth="1"/>
    <col min="8963" max="8963" width="15.75" style="1023" customWidth="1"/>
    <col min="8964" max="8964" width="12.125" style="1023" customWidth="1"/>
    <col min="8965" max="8965" width="13.125" style="1023" customWidth="1"/>
    <col min="8966" max="8966" width="12.5" style="1023" customWidth="1"/>
    <col min="8967" max="8967" width="12.75" style="1023" customWidth="1"/>
    <col min="8968" max="8968" width="17.875" style="1023" customWidth="1"/>
    <col min="8969" max="8969" width="91.125" style="1023" customWidth="1"/>
    <col min="8970" max="8970" width="27.125" style="1023" customWidth="1"/>
    <col min="8971" max="9213" width="9" style="1023"/>
    <col min="9214" max="9214" width="2.875" style="1023" customWidth="1"/>
    <col min="9215" max="9215" width="15" style="1023" customWidth="1"/>
    <col min="9216" max="9216" width="1.25" style="1023" customWidth="1"/>
    <col min="9217" max="9217" width="22.75" style="1023" customWidth="1"/>
    <col min="9218" max="9218" width="3.25" style="1023" customWidth="1"/>
    <col min="9219" max="9219" width="15.75" style="1023" customWidth="1"/>
    <col min="9220" max="9220" width="12.125" style="1023" customWidth="1"/>
    <col min="9221" max="9221" width="13.125" style="1023" customWidth="1"/>
    <col min="9222" max="9222" width="12.5" style="1023" customWidth="1"/>
    <col min="9223" max="9223" width="12.75" style="1023" customWidth="1"/>
    <col min="9224" max="9224" width="17.875" style="1023" customWidth="1"/>
    <col min="9225" max="9225" width="91.125" style="1023" customWidth="1"/>
    <col min="9226" max="9226" width="27.125" style="1023" customWidth="1"/>
    <col min="9227" max="9469" width="9" style="1023"/>
    <col min="9470" max="9470" width="2.875" style="1023" customWidth="1"/>
    <col min="9471" max="9471" width="15" style="1023" customWidth="1"/>
    <col min="9472" max="9472" width="1.25" style="1023" customWidth="1"/>
    <col min="9473" max="9473" width="22.75" style="1023" customWidth="1"/>
    <col min="9474" max="9474" width="3.25" style="1023" customWidth="1"/>
    <col min="9475" max="9475" width="15.75" style="1023" customWidth="1"/>
    <col min="9476" max="9476" width="12.125" style="1023" customWidth="1"/>
    <col min="9477" max="9477" width="13.125" style="1023" customWidth="1"/>
    <col min="9478" max="9478" width="12.5" style="1023" customWidth="1"/>
    <col min="9479" max="9479" width="12.75" style="1023" customWidth="1"/>
    <col min="9480" max="9480" width="17.875" style="1023" customWidth="1"/>
    <col min="9481" max="9481" width="91.125" style="1023" customWidth="1"/>
    <col min="9482" max="9482" width="27.125" style="1023" customWidth="1"/>
    <col min="9483" max="9725" width="9" style="1023"/>
    <col min="9726" max="9726" width="2.875" style="1023" customWidth="1"/>
    <col min="9727" max="9727" width="15" style="1023" customWidth="1"/>
    <col min="9728" max="9728" width="1.25" style="1023" customWidth="1"/>
    <col min="9729" max="9729" width="22.75" style="1023" customWidth="1"/>
    <col min="9730" max="9730" width="3.25" style="1023" customWidth="1"/>
    <col min="9731" max="9731" width="15.75" style="1023" customWidth="1"/>
    <col min="9732" max="9732" width="12.125" style="1023" customWidth="1"/>
    <col min="9733" max="9733" width="13.125" style="1023" customWidth="1"/>
    <col min="9734" max="9734" width="12.5" style="1023" customWidth="1"/>
    <col min="9735" max="9735" width="12.75" style="1023" customWidth="1"/>
    <col min="9736" max="9736" width="17.875" style="1023" customWidth="1"/>
    <col min="9737" max="9737" width="91.125" style="1023" customWidth="1"/>
    <col min="9738" max="9738" width="27.125" style="1023" customWidth="1"/>
    <col min="9739" max="9981" width="9" style="1023"/>
    <col min="9982" max="9982" width="2.875" style="1023" customWidth="1"/>
    <col min="9983" max="9983" width="15" style="1023" customWidth="1"/>
    <col min="9984" max="9984" width="1.25" style="1023" customWidth="1"/>
    <col min="9985" max="9985" width="22.75" style="1023" customWidth="1"/>
    <col min="9986" max="9986" width="3.25" style="1023" customWidth="1"/>
    <col min="9987" max="9987" width="15.75" style="1023" customWidth="1"/>
    <col min="9988" max="9988" width="12.125" style="1023" customWidth="1"/>
    <col min="9989" max="9989" width="13.125" style="1023" customWidth="1"/>
    <col min="9990" max="9990" width="12.5" style="1023" customWidth="1"/>
    <col min="9991" max="9991" width="12.75" style="1023" customWidth="1"/>
    <col min="9992" max="9992" width="17.875" style="1023" customWidth="1"/>
    <col min="9993" max="9993" width="91.125" style="1023" customWidth="1"/>
    <col min="9994" max="9994" width="27.125" style="1023" customWidth="1"/>
    <col min="9995" max="10237" width="9" style="1023"/>
    <col min="10238" max="10238" width="2.875" style="1023" customWidth="1"/>
    <col min="10239" max="10239" width="15" style="1023" customWidth="1"/>
    <col min="10240" max="10240" width="1.25" style="1023" customWidth="1"/>
    <col min="10241" max="10241" width="22.75" style="1023" customWidth="1"/>
    <col min="10242" max="10242" width="3.25" style="1023" customWidth="1"/>
    <col min="10243" max="10243" width="15.75" style="1023" customWidth="1"/>
    <col min="10244" max="10244" width="12.125" style="1023" customWidth="1"/>
    <col min="10245" max="10245" width="13.125" style="1023" customWidth="1"/>
    <col min="10246" max="10246" width="12.5" style="1023" customWidth="1"/>
    <col min="10247" max="10247" width="12.75" style="1023" customWidth="1"/>
    <col min="10248" max="10248" width="17.875" style="1023" customWidth="1"/>
    <col min="10249" max="10249" width="91.125" style="1023" customWidth="1"/>
    <col min="10250" max="10250" width="27.125" style="1023" customWidth="1"/>
    <col min="10251" max="10493" width="9" style="1023"/>
    <col min="10494" max="10494" width="2.875" style="1023" customWidth="1"/>
    <col min="10495" max="10495" width="15" style="1023" customWidth="1"/>
    <col min="10496" max="10496" width="1.25" style="1023" customWidth="1"/>
    <col min="10497" max="10497" width="22.75" style="1023" customWidth="1"/>
    <col min="10498" max="10498" width="3.25" style="1023" customWidth="1"/>
    <col min="10499" max="10499" width="15.75" style="1023" customWidth="1"/>
    <col min="10500" max="10500" width="12.125" style="1023" customWidth="1"/>
    <col min="10501" max="10501" width="13.125" style="1023" customWidth="1"/>
    <col min="10502" max="10502" width="12.5" style="1023" customWidth="1"/>
    <col min="10503" max="10503" width="12.75" style="1023" customWidth="1"/>
    <col min="10504" max="10504" width="17.875" style="1023" customWidth="1"/>
    <col min="10505" max="10505" width="91.125" style="1023" customWidth="1"/>
    <col min="10506" max="10506" width="27.125" style="1023" customWidth="1"/>
    <col min="10507" max="10749" width="9" style="1023"/>
    <col min="10750" max="10750" width="2.875" style="1023" customWidth="1"/>
    <col min="10751" max="10751" width="15" style="1023" customWidth="1"/>
    <col min="10752" max="10752" width="1.25" style="1023" customWidth="1"/>
    <col min="10753" max="10753" width="22.75" style="1023" customWidth="1"/>
    <col min="10754" max="10754" width="3.25" style="1023" customWidth="1"/>
    <col min="10755" max="10755" width="15.75" style="1023" customWidth="1"/>
    <col min="10756" max="10756" width="12.125" style="1023" customWidth="1"/>
    <col min="10757" max="10757" width="13.125" style="1023" customWidth="1"/>
    <col min="10758" max="10758" width="12.5" style="1023" customWidth="1"/>
    <col min="10759" max="10759" width="12.75" style="1023" customWidth="1"/>
    <col min="10760" max="10760" width="17.875" style="1023" customWidth="1"/>
    <col min="10761" max="10761" width="91.125" style="1023" customWidth="1"/>
    <col min="10762" max="10762" width="27.125" style="1023" customWidth="1"/>
    <col min="10763" max="11005" width="9" style="1023"/>
    <col min="11006" max="11006" width="2.875" style="1023" customWidth="1"/>
    <col min="11007" max="11007" width="15" style="1023" customWidth="1"/>
    <col min="11008" max="11008" width="1.25" style="1023" customWidth="1"/>
    <col min="11009" max="11009" width="22.75" style="1023" customWidth="1"/>
    <col min="11010" max="11010" width="3.25" style="1023" customWidth="1"/>
    <col min="11011" max="11011" width="15.75" style="1023" customWidth="1"/>
    <col min="11012" max="11012" width="12.125" style="1023" customWidth="1"/>
    <col min="11013" max="11013" width="13.125" style="1023" customWidth="1"/>
    <col min="11014" max="11014" width="12.5" style="1023" customWidth="1"/>
    <col min="11015" max="11015" width="12.75" style="1023" customWidth="1"/>
    <col min="11016" max="11016" width="17.875" style="1023" customWidth="1"/>
    <col min="11017" max="11017" width="91.125" style="1023" customWidth="1"/>
    <col min="11018" max="11018" width="27.125" style="1023" customWidth="1"/>
    <col min="11019" max="11261" width="9" style="1023"/>
    <col min="11262" max="11262" width="2.875" style="1023" customWidth="1"/>
    <col min="11263" max="11263" width="15" style="1023" customWidth="1"/>
    <col min="11264" max="11264" width="1.25" style="1023" customWidth="1"/>
    <col min="11265" max="11265" width="22.75" style="1023" customWidth="1"/>
    <col min="11266" max="11266" width="3.25" style="1023" customWidth="1"/>
    <col min="11267" max="11267" width="15.75" style="1023" customWidth="1"/>
    <col min="11268" max="11268" width="12.125" style="1023" customWidth="1"/>
    <col min="11269" max="11269" width="13.125" style="1023" customWidth="1"/>
    <col min="11270" max="11270" width="12.5" style="1023" customWidth="1"/>
    <col min="11271" max="11271" width="12.75" style="1023" customWidth="1"/>
    <col min="11272" max="11272" width="17.875" style="1023" customWidth="1"/>
    <col min="11273" max="11273" width="91.125" style="1023" customWidth="1"/>
    <col min="11274" max="11274" width="27.125" style="1023" customWidth="1"/>
    <col min="11275" max="11517" width="9" style="1023"/>
    <col min="11518" max="11518" width="2.875" style="1023" customWidth="1"/>
    <col min="11519" max="11519" width="15" style="1023" customWidth="1"/>
    <col min="11520" max="11520" width="1.25" style="1023" customWidth="1"/>
    <col min="11521" max="11521" width="22.75" style="1023" customWidth="1"/>
    <col min="11522" max="11522" width="3.25" style="1023" customWidth="1"/>
    <col min="11523" max="11523" width="15.75" style="1023" customWidth="1"/>
    <col min="11524" max="11524" width="12.125" style="1023" customWidth="1"/>
    <col min="11525" max="11525" width="13.125" style="1023" customWidth="1"/>
    <col min="11526" max="11526" width="12.5" style="1023" customWidth="1"/>
    <col min="11527" max="11527" width="12.75" style="1023" customWidth="1"/>
    <col min="11528" max="11528" width="17.875" style="1023" customWidth="1"/>
    <col min="11529" max="11529" width="91.125" style="1023" customWidth="1"/>
    <col min="11530" max="11530" width="27.125" style="1023" customWidth="1"/>
    <col min="11531" max="11773" width="9" style="1023"/>
    <col min="11774" max="11774" width="2.875" style="1023" customWidth="1"/>
    <col min="11775" max="11775" width="15" style="1023" customWidth="1"/>
    <col min="11776" max="11776" width="1.25" style="1023" customWidth="1"/>
    <col min="11777" max="11777" width="22.75" style="1023" customWidth="1"/>
    <col min="11778" max="11778" width="3.25" style="1023" customWidth="1"/>
    <col min="11779" max="11779" width="15.75" style="1023" customWidth="1"/>
    <col min="11780" max="11780" width="12.125" style="1023" customWidth="1"/>
    <col min="11781" max="11781" width="13.125" style="1023" customWidth="1"/>
    <col min="11782" max="11782" width="12.5" style="1023" customWidth="1"/>
    <col min="11783" max="11783" width="12.75" style="1023" customWidth="1"/>
    <col min="11784" max="11784" width="17.875" style="1023" customWidth="1"/>
    <col min="11785" max="11785" width="91.125" style="1023" customWidth="1"/>
    <col min="11786" max="11786" width="27.125" style="1023" customWidth="1"/>
    <col min="11787" max="12029" width="9" style="1023"/>
    <col min="12030" max="12030" width="2.875" style="1023" customWidth="1"/>
    <col min="12031" max="12031" width="15" style="1023" customWidth="1"/>
    <col min="12032" max="12032" width="1.25" style="1023" customWidth="1"/>
    <col min="12033" max="12033" width="22.75" style="1023" customWidth="1"/>
    <col min="12034" max="12034" width="3.25" style="1023" customWidth="1"/>
    <col min="12035" max="12035" width="15.75" style="1023" customWidth="1"/>
    <col min="12036" max="12036" width="12.125" style="1023" customWidth="1"/>
    <col min="12037" max="12037" width="13.125" style="1023" customWidth="1"/>
    <col min="12038" max="12038" width="12.5" style="1023" customWidth="1"/>
    <col min="12039" max="12039" width="12.75" style="1023" customWidth="1"/>
    <col min="12040" max="12040" width="17.875" style="1023" customWidth="1"/>
    <col min="12041" max="12041" width="91.125" style="1023" customWidth="1"/>
    <col min="12042" max="12042" width="27.125" style="1023" customWidth="1"/>
    <col min="12043" max="12285" width="9" style="1023"/>
    <col min="12286" max="12286" width="2.875" style="1023" customWidth="1"/>
    <col min="12287" max="12287" width="15" style="1023" customWidth="1"/>
    <col min="12288" max="12288" width="1.25" style="1023" customWidth="1"/>
    <col min="12289" max="12289" width="22.75" style="1023" customWidth="1"/>
    <col min="12290" max="12290" width="3.25" style="1023" customWidth="1"/>
    <col min="12291" max="12291" width="15.75" style="1023" customWidth="1"/>
    <col min="12292" max="12292" width="12.125" style="1023" customWidth="1"/>
    <col min="12293" max="12293" width="13.125" style="1023" customWidth="1"/>
    <col min="12294" max="12294" width="12.5" style="1023" customWidth="1"/>
    <col min="12295" max="12295" width="12.75" style="1023" customWidth="1"/>
    <col min="12296" max="12296" width="17.875" style="1023" customWidth="1"/>
    <col min="12297" max="12297" width="91.125" style="1023" customWidth="1"/>
    <col min="12298" max="12298" width="27.125" style="1023" customWidth="1"/>
    <col min="12299" max="12541" width="9" style="1023"/>
    <col min="12542" max="12542" width="2.875" style="1023" customWidth="1"/>
    <col min="12543" max="12543" width="15" style="1023" customWidth="1"/>
    <col min="12544" max="12544" width="1.25" style="1023" customWidth="1"/>
    <col min="12545" max="12545" width="22.75" style="1023" customWidth="1"/>
    <col min="12546" max="12546" width="3.25" style="1023" customWidth="1"/>
    <col min="12547" max="12547" width="15.75" style="1023" customWidth="1"/>
    <col min="12548" max="12548" width="12.125" style="1023" customWidth="1"/>
    <col min="12549" max="12549" width="13.125" style="1023" customWidth="1"/>
    <col min="12550" max="12550" width="12.5" style="1023" customWidth="1"/>
    <col min="12551" max="12551" width="12.75" style="1023" customWidth="1"/>
    <col min="12552" max="12552" width="17.875" style="1023" customWidth="1"/>
    <col min="12553" max="12553" width="91.125" style="1023" customWidth="1"/>
    <col min="12554" max="12554" width="27.125" style="1023" customWidth="1"/>
    <col min="12555" max="12797" width="9" style="1023"/>
    <col min="12798" max="12798" width="2.875" style="1023" customWidth="1"/>
    <col min="12799" max="12799" width="15" style="1023" customWidth="1"/>
    <col min="12800" max="12800" width="1.25" style="1023" customWidth="1"/>
    <col min="12801" max="12801" width="22.75" style="1023" customWidth="1"/>
    <col min="12802" max="12802" width="3.25" style="1023" customWidth="1"/>
    <col min="12803" max="12803" width="15.75" style="1023" customWidth="1"/>
    <col min="12804" max="12804" width="12.125" style="1023" customWidth="1"/>
    <col min="12805" max="12805" width="13.125" style="1023" customWidth="1"/>
    <col min="12806" max="12806" width="12.5" style="1023" customWidth="1"/>
    <col min="12807" max="12807" width="12.75" style="1023" customWidth="1"/>
    <col min="12808" max="12808" width="17.875" style="1023" customWidth="1"/>
    <col min="12809" max="12809" width="91.125" style="1023" customWidth="1"/>
    <col min="12810" max="12810" width="27.125" style="1023" customWidth="1"/>
    <col min="12811" max="13053" width="9" style="1023"/>
    <col min="13054" max="13054" width="2.875" style="1023" customWidth="1"/>
    <col min="13055" max="13055" width="15" style="1023" customWidth="1"/>
    <col min="13056" max="13056" width="1.25" style="1023" customWidth="1"/>
    <col min="13057" max="13057" width="22.75" style="1023" customWidth="1"/>
    <col min="13058" max="13058" width="3.25" style="1023" customWidth="1"/>
    <col min="13059" max="13059" width="15.75" style="1023" customWidth="1"/>
    <col min="13060" max="13060" width="12.125" style="1023" customWidth="1"/>
    <col min="13061" max="13061" width="13.125" style="1023" customWidth="1"/>
    <col min="13062" max="13062" width="12.5" style="1023" customWidth="1"/>
    <col min="13063" max="13063" width="12.75" style="1023" customWidth="1"/>
    <col min="13064" max="13064" width="17.875" style="1023" customWidth="1"/>
    <col min="13065" max="13065" width="91.125" style="1023" customWidth="1"/>
    <col min="13066" max="13066" width="27.125" style="1023" customWidth="1"/>
    <col min="13067" max="13309" width="9" style="1023"/>
    <col min="13310" max="13310" width="2.875" style="1023" customWidth="1"/>
    <col min="13311" max="13311" width="15" style="1023" customWidth="1"/>
    <col min="13312" max="13312" width="1.25" style="1023" customWidth="1"/>
    <col min="13313" max="13313" width="22.75" style="1023" customWidth="1"/>
    <col min="13314" max="13314" width="3.25" style="1023" customWidth="1"/>
    <col min="13315" max="13315" width="15.75" style="1023" customWidth="1"/>
    <col min="13316" max="13316" width="12.125" style="1023" customWidth="1"/>
    <col min="13317" max="13317" width="13.125" style="1023" customWidth="1"/>
    <col min="13318" max="13318" width="12.5" style="1023" customWidth="1"/>
    <col min="13319" max="13319" width="12.75" style="1023" customWidth="1"/>
    <col min="13320" max="13320" width="17.875" style="1023" customWidth="1"/>
    <col min="13321" max="13321" width="91.125" style="1023" customWidth="1"/>
    <col min="13322" max="13322" width="27.125" style="1023" customWidth="1"/>
    <col min="13323" max="13565" width="9" style="1023"/>
    <col min="13566" max="13566" width="2.875" style="1023" customWidth="1"/>
    <col min="13567" max="13567" width="15" style="1023" customWidth="1"/>
    <col min="13568" max="13568" width="1.25" style="1023" customWidth="1"/>
    <col min="13569" max="13569" width="22.75" style="1023" customWidth="1"/>
    <col min="13570" max="13570" width="3.25" style="1023" customWidth="1"/>
    <col min="13571" max="13571" width="15.75" style="1023" customWidth="1"/>
    <col min="13572" max="13572" width="12.125" style="1023" customWidth="1"/>
    <col min="13573" max="13573" width="13.125" style="1023" customWidth="1"/>
    <col min="13574" max="13574" width="12.5" style="1023" customWidth="1"/>
    <col min="13575" max="13575" width="12.75" style="1023" customWidth="1"/>
    <col min="13576" max="13576" width="17.875" style="1023" customWidth="1"/>
    <col min="13577" max="13577" width="91.125" style="1023" customWidth="1"/>
    <col min="13578" max="13578" width="27.125" style="1023" customWidth="1"/>
    <col min="13579" max="13821" width="9" style="1023"/>
    <col min="13822" max="13822" width="2.875" style="1023" customWidth="1"/>
    <col min="13823" max="13823" width="15" style="1023" customWidth="1"/>
    <col min="13824" max="13824" width="1.25" style="1023" customWidth="1"/>
    <col min="13825" max="13825" width="22.75" style="1023" customWidth="1"/>
    <col min="13826" max="13826" width="3.25" style="1023" customWidth="1"/>
    <col min="13827" max="13827" width="15.75" style="1023" customWidth="1"/>
    <col min="13828" max="13828" width="12.125" style="1023" customWidth="1"/>
    <col min="13829" max="13829" width="13.125" style="1023" customWidth="1"/>
    <col min="13830" max="13830" width="12.5" style="1023" customWidth="1"/>
    <col min="13831" max="13831" width="12.75" style="1023" customWidth="1"/>
    <col min="13832" max="13832" width="17.875" style="1023" customWidth="1"/>
    <col min="13833" max="13833" width="91.125" style="1023" customWidth="1"/>
    <col min="13834" max="13834" width="27.125" style="1023" customWidth="1"/>
    <col min="13835" max="14077" width="9" style="1023"/>
    <col min="14078" max="14078" width="2.875" style="1023" customWidth="1"/>
    <col min="14079" max="14079" width="15" style="1023" customWidth="1"/>
    <col min="14080" max="14080" width="1.25" style="1023" customWidth="1"/>
    <col min="14081" max="14081" width="22.75" style="1023" customWidth="1"/>
    <col min="14082" max="14082" width="3.25" style="1023" customWidth="1"/>
    <col min="14083" max="14083" width="15.75" style="1023" customWidth="1"/>
    <col min="14084" max="14084" width="12.125" style="1023" customWidth="1"/>
    <col min="14085" max="14085" width="13.125" style="1023" customWidth="1"/>
    <col min="14086" max="14086" width="12.5" style="1023" customWidth="1"/>
    <col min="14087" max="14087" width="12.75" style="1023" customWidth="1"/>
    <col min="14088" max="14088" width="17.875" style="1023" customWidth="1"/>
    <col min="14089" max="14089" width="91.125" style="1023" customWidth="1"/>
    <col min="14090" max="14090" width="27.125" style="1023" customWidth="1"/>
    <col min="14091" max="14333" width="9" style="1023"/>
    <col min="14334" max="14334" width="2.875" style="1023" customWidth="1"/>
    <col min="14335" max="14335" width="15" style="1023" customWidth="1"/>
    <col min="14336" max="14336" width="1.25" style="1023" customWidth="1"/>
    <col min="14337" max="14337" width="22.75" style="1023" customWidth="1"/>
    <col min="14338" max="14338" width="3.25" style="1023" customWidth="1"/>
    <col min="14339" max="14339" width="15.75" style="1023" customWidth="1"/>
    <col min="14340" max="14340" width="12.125" style="1023" customWidth="1"/>
    <col min="14341" max="14341" width="13.125" style="1023" customWidth="1"/>
    <col min="14342" max="14342" width="12.5" style="1023" customWidth="1"/>
    <col min="14343" max="14343" width="12.75" style="1023" customWidth="1"/>
    <col min="14344" max="14344" width="17.875" style="1023" customWidth="1"/>
    <col min="14345" max="14345" width="91.125" style="1023" customWidth="1"/>
    <col min="14346" max="14346" width="27.125" style="1023" customWidth="1"/>
    <col min="14347" max="14589" width="9" style="1023"/>
    <col min="14590" max="14590" width="2.875" style="1023" customWidth="1"/>
    <col min="14591" max="14591" width="15" style="1023" customWidth="1"/>
    <col min="14592" max="14592" width="1.25" style="1023" customWidth="1"/>
    <col min="14593" max="14593" width="22.75" style="1023" customWidth="1"/>
    <col min="14594" max="14594" width="3.25" style="1023" customWidth="1"/>
    <col min="14595" max="14595" width="15.75" style="1023" customWidth="1"/>
    <col min="14596" max="14596" width="12.125" style="1023" customWidth="1"/>
    <col min="14597" max="14597" width="13.125" style="1023" customWidth="1"/>
    <col min="14598" max="14598" width="12.5" style="1023" customWidth="1"/>
    <col min="14599" max="14599" width="12.75" style="1023" customWidth="1"/>
    <col min="14600" max="14600" width="17.875" style="1023" customWidth="1"/>
    <col min="14601" max="14601" width="91.125" style="1023" customWidth="1"/>
    <col min="14602" max="14602" width="27.125" style="1023" customWidth="1"/>
    <col min="14603" max="14845" width="9" style="1023"/>
    <col min="14846" max="14846" width="2.875" style="1023" customWidth="1"/>
    <col min="14847" max="14847" width="15" style="1023" customWidth="1"/>
    <col min="14848" max="14848" width="1.25" style="1023" customWidth="1"/>
    <col min="14849" max="14849" width="22.75" style="1023" customWidth="1"/>
    <col min="14850" max="14850" width="3.25" style="1023" customWidth="1"/>
    <col min="14851" max="14851" width="15.75" style="1023" customWidth="1"/>
    <col min="14852" max="14852" width="12.125" style="1023" customWidth="1"/>
    <col min="14853" max="14853" width="13.125" style="1023" customWidth="1"/>
    <col min="14854" max="14854" width="12.5" style="1023" customWidth="1"/>
    <col min="14855" max="14855" width="12.75" style="1023" customWidth="1"/>
    <col min="14856" max="14856" width="17.875" style="1023" customWidth="1"/>
    <col min="14857" max="14857" width="91.125" style="1023" customWidth="1"/>
    <col min="14858" max="14858" width="27.125" style="1023" customWidth="1"/>
    <col min="14859" max="15101" width="9" style="1023"/>
    <col min="15102" max="15102" width="2.875" style="1023" customWidth="1"/>
    <col min="15103" max="15103" width="15" style="1023" customWidth="1"/>
    <col min="15104" max="15104" width="1.25" style="1023" customWidth="1"/>
    <col min="15105" max="15105" width="22.75" style="1023" customWidth="1"/>
    <col min="15106" max="15106" width="3.25" style="1023" customWidth="1"/>
    <col min="15107" max="15107" width="15.75" style="1023" customWidth="1"/>
    <col min="15108" max="15108" width="12.125" style="1023" customWidth="1"/>
    <col min="15109" max="15109" width="13.125" style="1023" customWidth="1"/>
    <col min="15110" max="15110" width="12.5" style="1023" customWidth="1"/>
    <col min="15111" max="15111" width="12.75" style="1023" customWidth="1"/>
    <col min="15112" max="15112" width="17.875" style="1023" customWidth="1"/>
    <col min="15113" max="15113" width="91.125" style="1023" customWidth="1"/>
    <col min="15114" max="15114" width="27.125" style="1023" customWidth="1"/>
    <col min="15115" max="15357" width="9" style="1023"/>
    <col min="15358" max="15358" width="2.875" style="1023" customWidth="1"/>
    <col min="15359" max="15359" width="15" style="1023" customWidth="1"/>
    <col min="15360" max="15360" width="1.25" style="1023" customWidth="1"/>
    <col min="15361" max="15361" width="22.75" style="1023" customWidth="1"/>
    <col min="15362" max="15362" width="3.25" style="1023" customWidth="1"/>
    <col min="15363" max="15363" width="15.75" style="1023" customWidth="1"/>
    <col min="15364" max="15364" width="12.125" style="1023" customWidth="1"/>
    <col min="15365" max="15365" width="13.125" style="1023" customWidth="1"/>
    <col min="15366" max="15366" width="12.5" style="1023" customWidth="1"/>
    <col min="15367" max="15367" width="12.75" style="1023" customWidth="1"/>
    <col min="15368" max="15368" width="17.875" style="1023" customWidth="1"/>
    <col min="15369" max="15369" width="91.125" style="1023" customWidth="1"/>
    <col min="15370" max="15370" width="27.125" style="1023" customWidth="1"/>
    <col min="15371" max="15613" width="9" style="1023"/>
    <col min="15614" max="15614" width="2.875" style="1023" customWidth="1"/>
    <col min="15615" max="15615" width="15" style="1023" customWidth="1"/>
    <col min="15616" max="15616" width="1.25" style="1023" customWidth="1"/>
    <col min="15617" max="15617" width="22.75" style="1023" customWidth="1"/>
    <col min="15618" max="15618" width="3.25" style="1023" customWidth="1"/>
    <col min="15619" max="15619" width="15.75" style="1023" customWidth="1"/>
    <col min="15620" max="15620" width="12.125" style="1023" customWidth="1"/>
    <col min="15621" max="15621" width="13.125" style="1023" customWidth="1"/>
    <col min="15622" max="15622" width="12.5" style="1023" customWidth="1"/>
    <col min="15623" max="15623" width="12.75" style="1023" customWidth="1"/>
    <col min="15624" max="15624" width="17.875" style="1023" customWidth="1"/>
    <col min="15625" max="15625" width="91.125" style="1023" customWidth="1"/>
    <col min="15626" max="15626" width="27.125" style="1023" customWidth="1"/>
    <col min="15627" max="15869" width="9" style="1023"/>
    <col min="15870" max="15870" width="2.875" style="1023" customWidth="1"/>
    <col min="15871" max="15871" width="15" style="1023" customWidth="1"/>
    <col min="15872" max="15872" width="1.25" style="1023" customWidth="1"/>
    <col min="15873" max="15873" width="22.75" style="1023" customWidth="1"/>
    <col min="15874" max="15874" width="3.25" style="1023" customWidth="1"/>
    <col min="15875" max="15875" width="15.75" style="1023" customWidth="1"/>
    <col min="15876" max="15876" width="12.125" style="1023" customWidth="1"/>
    <col min="15877" max="15877" width="13.125" style="1023" customWidth="1"/>
    <col min="15878" max="15878" width="12.5" style="1023" customWidth="1"/>
    <col min="15879" max="15879" width="12.75" style="1023" customWidth="1"/>
    <col min="15880" max="15880" width="17.875" style="1023" customWidth="1"/>
    <col min="15881" max="15881" width="91.125" style="1023" customWidth="1"/>
    <col min="15882" max="15882" width="27.125" style="1023" customWidth="1"/>
    <col min="15883" max="16125" width="9" style="1023"/>
    <col min="16126" max="16126" width="2.875" style="1023" customWidth="1"/>
    <col min="16127" max="16127" width="15" style="1023" customWidth="1"/>
    <col min="16128" max="16128" width="1.25" style="1023" customWidth="1"/>
    <col min="16129" max="16129" width="22.75" style="1023" customWidth="1"/>
    <col min="16130" max="16130" width="3.25" style="1023" customWidth="1"/>
    <col min="16131" max="16131" width="15.75" style="1023" customWidth="1"/>
    <col min="16132" max="16132" width="12.125" style="1023" customWidth="1"/>
    <col min="16133" max="16133" width="13.125" style="1023" customWidth="1"/>
    <col min="16134" max="16134" width="12.5" style="1023" customWidth="1"/>
    <col min="16135" max="16135" width="12.75" style="1023" customWidth="1"/>
    <col min="16136" max="16136" width="17.875" style="1023" customWidth="1"/>
    <col min="16137" max="16137" width="91.125" style="1023" customWidth="1"/>
    <col min="16138" max="16138" width="27.125" style="1023" customWidth="1"/>
    <col min="16139" max="16384" width="9" style="1023"/>
  </cols>
  <sheetData>
    <row r="1" spans="1:16">
      <c r="B1" s="1017" t="s">
        <v>1164</v>
      </c>
      <c r="C1" s="1018"/>
      <c r="D1" s="1019" t="s">
        <v>1165</v>
      </c>
    </row>
    <row r="2" spans="1:16" s="1030" customFormat="1" ht="25.5">
      <c r="A2" s="1024"/>
      <c r="B2" s="1025" t="s">
        <v>1166</v>
      </c>
      <c r="C2" s="1026"/>
      <c r="D2" s="1027" t="s">
        <v>1167</v>
      </c>
      <c r="E2" s="1027"/>
      <c r="F2" s="1028"/>
      <c r="G2" s="1029"/>
      <c r="H2" s="1029"/>
      <c r="I2" s="1029"/>
      <c r="J2" s="1029"/>
      <c r="K2" s="1029"/>
    </row>
    <row r="3" spans="1:16">
      <c r="B3" s="1031"/>
      <c r="C3" s="1032"/>
      <c r="D3" s="1033"/>
      <c r="E3" s="1033"/>
      <c r="F3" s="1034"/>
      <c r="G3" s="1035" t="s">
        <v>1168</v>
      </c>
      <c r="H3" s="1035" t="s">
        <v>1169</v>
      </c>
      <c r="I3" s="1035" t="s">
        <v>1170</v>
      </c>
      <c r="J3" s="1035" t="s">
        <v>1171</v>
      </c>
      <c r="K3" s="1035"/>
    </row>
    <row r="4" spans="1:16" s="1037" customFormat="1" ht="38.25">
      <c r="A4" s="1036" t="s">
        <v>719</v>
      </c>
      <c r="B4" s="1037" t="s">
        <v>1172</v>
      </c>
      <c r="D4" s="1038" t="s">
        <v>1173</v>
      </c>
      <c r="E4" s="1039" t="s">
        <v>1174</v>
      </c>
      <c r="F4" s="1040" t="s">
        <v>1175</v>
      </c>
      <c r="G4" s="1041">
        <f>231*3</f>
        <v>693</v>
      </c>
      <c r="H4" s="1041">
        <f>231*3</f>
        <v>693</v>
      </c>
      <c r="I4" s="1041">
        <f>231.3*3</f>
        <v>693.90000000000009</v>
      </c>
      <c r="J4" s="1041">
        <f>231*3</f>
        <v>693</v>
      </c>
      <c r="K4" s="1042">
        <f t="shared" ref="K4:K9" si="0">SUBTOTAL(9,G4:J4)</f>
        <v>2772.9</v>
      </c>
      <c r="L4" s="1044"/>
      <c r="N4" s="1043"/>
      <c r="O4" s="1044"/>
      <c r="P4" s="1044"/>
    </row>
    <row r="5" spans="1:16" s="1037" customFormat="1" ht="15">
      <c r="A5" s="1036"/>
      <c r="D5" s="1038"/>
      <c r="E5" s="1039"/>
      <c r="F5" s="1045" t="s">
        <v>1176</v>
      </c>
      <c r="G5" s="1041">
        <f>G4</f>
        <v>693</v>
      </c>
      <c r="H5" s="1041">
        <f>H4</f>
        <v>693</v>
      </c>
      <c r="I5" s="1041">
        <f>I4</f>
        <v>693.90000000000009</v>
      </c>
      <c r="J5" s="1041">
        <f>J4</f>
        <v>693</v>
      </c>
      <c r="K5" s="1042">
        <f t="shared" si="0"/>
        <v>2772.9</v>
      </c>
      <c r="L5" s="1044"/>
      <c r="N5" s="1043"/>
      <c r="O5" s="1044"/>
      <c r="P5" s="1044"/>
    </row>
    <row r="6" spans="1:16" s="1037" customFormat="1" ht="15">
      <c r="A6" s="1036"/>
      <c r="D6" s="1038"/>
      <c r="E6" s="1039"/>
      <c r="F6" s="1045" t="s">
        <v>1177</v>
      </c>
      <c r="G6" s="1041">
        <f>294*3</f>
        <v>882</v>
      </c>
      <c r="H6" s="1041">
        <f>294.82*3</f>
        <v>884.46</v>
      </c>
      <c r="I6" s="1041">
        <f>294.82*3</f>
        <v>884.46</v>
      </c>
      <c r="J6" s="1041">
        <f>294.82*3</f>
        <v>884.46</v>
      </c>
      <c r="K6" s="1042">
        <f t="shared" si="0"/>
        <v>3535.38</v>
      </c>
      <c r="L6" s="1044"/>
      <c r="N6" s="1043"/>
      <c r="O6" s="1044"/>
      <c r="P6" s="1044"/>
    </row>
    <row r="7" spans="1:16" s="1037" customFormat="1" ht="15">
      <c r="A7" s="1036"/>
      <c r="D7" s="1038"/>
      <c r="E7" s="1039" t="s">
        <v>1178</v>
      </c>
      <c r="F7" s="1040" t="s">
        <v>1179</v>
      </c>
      <c r="G7" s="1046">
        <f>G8</f>
        <v>33</v>
      </c>
      <c r="H7" s="1046">
        <f>H8</f>
        <v>35</v>
      </c>
      <c r="I7" s="1046">
        <f>I8</f>
        <v>36</v>
      </c>
      <c r="J7" s="1046">
        <f>J8</f>
        <v>36</v>
      </c>
      <c r="K7" s="1042">
        <f t="shared" si="0"/>
        <v>140</v>
      </c>
    </row>
    <row r="8" spans="1:16" s="1037" customFormat="1" ht="15" customHeight="1">
      <c r="A8" s="1036"/>
      <c r="D8" s="1038"/>
      <c r="E8" s="1039"/>
      <c r="F8" s="1045" t="s">
        <v>1180</v>
      </c>
      <c r="G8" s="1046">
        <f>11*3</f>
        <v>33</v>
      </c>
      <c r="H8" s="1046">
        <f>11+12*2</f>
        <v>35</v>
      </c>
      <c r="I8" s="1046">
        <f>12*3</f>
        <v>36</v>
      </c>
      <c r="J8" s="1046">
        <f>12*3</f>
        <v>36</v>
      </c>
      <c r="K8" s="1042">
        <f t="shared" si="0"/>
        <v>140</v>
      </c>
      <c r="L8" s="1044"/>
    </row>
    <row r="9" spans="1:16" s="1037" customFormat="1" ht="39.75" customHeight="1">
      <c r="A9" s="1036"/>
      <c r="D9" s="1038"/>
      <c r="E9" s="1039"/>
      <c r="F9" s="1045" t="s">
        <v>1177</v>
      </c>
      <c r="G9" s="1046">
        <f>52*3</f>
        <v>156</v>
      </c>
      <c r="H9" s="1046">
        <f>529.23*1+1891.22*2</f>
        <v>4311.67</v>
      </c>
      <c r="I9" s="1046">
        <f>1891.22*3</f>
        <v>5673.66</v>
      </c>
      <c r="J9" s="1046">
        <f>1891.22*3</f>
        <v>5673.66</v>
      </c>
      <c r="K9" s="1042">
        <f t="shared" si="0"/>
        <v>15814.99</v>
      </c>
      <c r="L9" s="1044"/>
    </row>
    <row r="10" spans="1:16" s="1037" customFormat="1" ht="15">
      <c r="A10" s="1036"/>
      <c r="D10" s="1038"/>
      <c r="E10" s="1039" t="s">
        <v>1181</v>
      </c>
      <c r="F10" s="1040" t="s">
        <v>1182</v>
      </c>
      <c r="G10" s="1046">
        <v>225</v>
      </c>
      <c r="H10" s="1046">
        <v>225</v>
      </c>
      <c r="I10" s="1046">
        <v>225</v>
      </c>
      <c r="J10" s="1046">
        <v>225</v>
      </c>
      <c r="K10" s="1041">
        <f t="shared" ref="K10:K17" si="1">SUM(G10:J10)</f>
        <v>900</v>
      </c>
    </row>
    <row r="11" spans="1:16" s="1037" customFormat="1" ht="15">
      <c r="A11" s="1036"/>
      <c r="D11" s="1038"/>
      <c r="E11" s="1039" t="s">
        <v>1183</v>
      </c>
      <c r="F11" s="1040" t="s">
        <v>1184</v>
      </c>
      <c r="G11" s="1046">
        <f>G12</f>
        <v>7513.92</v>
      </c>
      <c r="H11" s="1046">
        <f>H12</f>
        <v>7513.92</v>
      </c>
      <c r="I11" s="1046">
        <f>I12</f>
        <v>7513.92</v>
      </c>
      <c r="J11" s="1046">
        <f>J12</f>
        <v>7513.92</v>
      </c>
      <c r="K11" s="1041">
        <f t="shared" si="1"/>
        <v>30055.68</v>
      </c>
    </row>
    <row r="12" spans="1:16" s="1037" customFormat="1" ht="21.75" customHeight="1">
      <c r="A12" s="1036"/>
      <c r="D12" s="1038"/>
      <c r="E12" s="1039"/>
      <c r="F12" s="1045" t="s">
        <v>1180</v>
      </c>
      <c r="G12" s="1046">
        <f>2504.64*3</f>
        <v>7513.92</v>
      </c>
      <c r="H12" s="1046">
        <f>2504.64*3</f>
        <v>7513.92</v>
      </c>
      <c r="I12" s="1046">
        <f>2504.64*3</f>
        <v>7513.92</v>
      </c>
      <c r="J12" s="1046">
        <f>2504.64*3</f>
        <v>7513.92</v>
      </c>
      <c r="K12" s="1041">
        <f t="shared" si="1"/>
        <v>30055.68</v>
      </c>
    </row>
    <row r="13" spans="1:16" s="1037" customFormat="1" ht="15.75" customHeight="1">
      <c r="A13" s="1036"/>
      <c r="D13" s="1038"/>
      <c r="E13" s="1039"/>
      <c r="F13" s="1045" t="s">
        <v>1177</v>
      </c>
      <c r="G13" s="1046">
        <v>180</v>
      </c>
      <c r="H13" s="1046">
        <v>180</v>
      </c>
      <c r="I13" s="1046">
        <v>180</v>
      </c>
      <c r="J13" s="1046">
        <v>180</v>
      </c>
      <c r="K13" s="1041">
        <f t="shared" si="1"/>
        <v>720</v>
      </c>
    </row>
    <row r="14" spans="1:16" s="1037" customFormat="1" ht="32.25" customHeight="1">
      <c r="A14" s="1036"/>
      <c r="D14" s="1038"/>
      <c r="E14" s="1039" t="s">
        <v>1185</v>
      </c>
      <c r="F14" s="1040" t="s">
        <v>1186</v>
      </c>
      <c r="G14" s="1046">
        <v>62</v>
      </c>
      <c r="H14" s="1046">
        <v>62</v>
      </c>
      <c r="I14" s="1046">
        <v>62</v>
      </c>
      <c r="J14" s="1046">
        <v>92</v>
      </c>
      <c r="K14" s="1041">
        <f t="shared" si="1"/>
        <v>278</v>
      </c>
    </row>
    <row r="15" spans="1:16" s="1037" customFormat="1" ht="32.25" customHeight="1">
      <c r="A15" s="1036"/>
      <c r="D15" s="1038"/>
      <c r="E15" s="1039" t="s">
        <v>1187</v>
      </c>
      <c r="F15" s="1040" t="s">
        <v>1188</v>
      </c>
      <c r="G15" s="1046">
        <v>10</v>
      </c>
      <c r="H15" s="1046">
        <v>10</v>
      </c>
      <c r="I15" s="1046">
        <v>10</v>
      </c>
      <c r="J15" s="1046">
        <v>10</v>
      </c>
      <c r="K15" s="1041">
        <f t="shared" si="1"/>
        <v>40</v>
      </c>
    </row>
    <row r="16" spans="1:16" s="1049" customFormat="1" ht="15">
      <c r="A16" s="1047"/>
      <c r="B16" s="1047"/>
      <c r="C16" s="1048"/>
      <c r="D16" s="1048"/>
      <c r="E16" s="1039" t="s">
        <v>1238</v>
      </c>
      <c r="F16" s="1040" t="s">
        <v>1189</v>
      </c>
      <c r="G16" s="1046">
        <v>75</v>
      </c>
      <c r="H16" s="1046">
        <v>75</v>
      </c>
      <c r="I16" s="1046">
        <v>75</v>
      </c>
      <c r="J16" s="1046">
        <f>25+25+25</f>
        <v>75</v>
      </c>
      <c r="K16" s="1041">
        <f t="shared" si="1"/>
        <v>300</v>
      </c>
    </row>
    <row r="17" spans="1:20" s="1049" customFormat="1" ht="47.25" customHeight="1">
      <c r="A17" s="1047"/>
      <c r="B17" s="1047"/>
      <c r="C17" s="1048"/>
      <c r="D17" s="1048"/>
      <c r="E17" s="1039" t="s">
        <v>1239</v>
      </c>
      <c r="F17" s="1040" t="s">
        <v>1190</v>
      </c>
      <c r="G17" s="1046">
        <f>9</f>
        <v>9</v>
      </c>
      <c r="H17" s="1046">
        <f>9</f>
        <v>9</v>
      </c>
      <c r="I17" s="1046">
        <f>9</f>
        <v>9</v>
      </c>
      <c r="J17" s="1046">
        <f>9</f>
        <v>9</v>
      </c>
      <c r="K17" s="1041">
        <f t="shared" si="1"/>
        <v>36</v>
      </c>
    </row>
    <row r="18" spans="1:20" s="1037" customFormat="1">
      <c r="B18" s="1050"/>
      <c r="C18" s="1050"/>
      <c r="D18" s="1051"/>
      <c r="E18" s="1051"/>
      <c r="F18" s="1052" t="s">
        <v>1191</v>
      </c>
      <c r="G18" s="1053">
        <f>SUM(G11,G10,G7,G4,,G16,G17,G15,)</f>
        <v>8558.92</v>
      </c>
      <c r="H18" s="1053">
        <f>SUM(H11,H10,H7,H4,,H16,H17,H15,)</f>
        <v>8560.92</v>
      </c>
      <c r="I18" s="1053">
        <f>SUM(I11,I10,I7,I4,,I16,I17,I15,)</f>
        <v>8562.82</v>
      </c>
      <c r="J18" s="1053">
        <f>SUM(J11,J10,J7,J4,,J16,J17,J15,)</f>
        <v>8561.92</v>
      </c>
      <c r="K18" s="1053">
        <f>SUM(K11,K10,K7,K4,K16,K17,K15)</f>
        <v>34244.58</v>
      </c>
    </row>
    <row r="19" spans="1:20" s="1037" customFormat="1">
      <c r="B19" s="1054"/>
      <c r="C19" s="1054"/>
      <c r="D19" s="1055"/>
      <c r="E19" s="1055"/>
      <c r="F19" s="1056" t="s">
        <v>1192</v>
      </c>
      <c r="G19" s="1057">
        <f>SUM(G6,G9,G13)</f>
        <v>1218</v>
      </c>
      <c r="H19" s="1057">
        <f>SUM(H6,H9,H13)</f>
        <v>5376.13</v>
      </c>
      <c r="I19" s="1057">
        <f>SUM(I6,I9,I13)</f>
        <v>6738.12</v>
      </c>
      <c r="J19" s="1057">
        <f>SUM(J6,J9,J13)</f>
        <v>6738.12</v>
      </c>
      <c r="K19" s="1057">
        <f>SUM(K6,K9,K13)</f>
        <v>20070.37</v>
      </c>
    </row>
    <row r="20" spans="1:20" s="1049" customFormat="1" ht="25.5">
      <c r="A20" s="1047"/>
      <c r="B20" s="1047"/>
      <c r="C20" s="1048"/>
      <c r="D20" s="1058" t="s">
        <v>1193</v>
      </c>
      <c r="E20" s="1059" t="s">
        <v>1194</v>
      </c>
      <c r="F20" s="1060" t="s">
        <v>1195</v>
      </c>
      <c r="G20" s="1061"/>
      <c r="H20" s="1061">
        <v>38</v>
      </c>
      <c r="I20" s="1061"/>
      <c r="J20" s="1061">
        <v>15</v>
      </c>
      <c r="K20" s="1061">
        <f t="shared" ref="K20:K39" si="2">SUM(G20:J20)</f>
        <v>53</v>
      </c>
    </row>
    <row r="21" spans="1:20" s="1049" customFormat="1">
      <c r="A21" s="1047"/>
      <c r="B21" s="1047"/>
      <c r="C21" s="1048"/>
      <c r="D21" s="1048"/>
      <c r="E21" s="1059" t="s">
        <v>1196</v>
      </c>
      <c r="F21" s="1062" t="s">
        <v>1197</v>
      </c>
      <c r="G21" s="1061">
        <v>5</v>
      </c>
      <c r="H21" s="1061">
        <v>100</v>
      </c>
      <c r="I21" s="1061">
        <v>50</v>
      </c>
      <c r="J21" s="1061">
        <v>50</v>
      </c>
      <c r="K21" s="1061">
        <f t="shared" si="2"/>
        <v>205</v>
      </c>
    </row>
    <row r="22" spans="1:20" s="1049" customFormat="1" ht="15">
      <c r="A22" s="1047"/>
      <c r="B22" s="1047"/>
      <c r="C22" s="1048"/>
      <c r="D22" s="1048"/>
      <c r="E22" s="1059" t="s">
        <v>1198</v>
      </c>
      <c r="F22" s="1062" t="s">
        <v>1199</v>
      </c>
      <c r="G22" s="1061"/>
      <c r="H22" s="1061">
        <v>50</v>
      </c>
      <c r="I22" s="1061"/>
      <c r="J22" s="1061"/>
      <c r="K22" s="1042">
        <f t="shared" si="2"/>
        <v>50</v>
      </c>
    </row>
    <row r="23" spans="1:20" s="1037" customFormat="1" ht="31.5" customHeight="1">
      <c r="A23" s="1063"/>
      <c r="B23" s="1063"/>
      <c r="C23" s="1063"/>
      <c r="D23" s="1058"/>
      <c r="E23" s="1059" t="s">
        <v>1200</v>
      </c>
      <c r="F23" s="1062" t="s">
        <v>1201</v>
      </c>
      <c r="G23" s="1061"/>
      <c r="H23" s="1061">
        <v>100</v>
      </c>
      <c r="I23" s="1061"/>
      <c r="J23" s="1061">
        <v>100</v>
      </c>
      <c r="K23" s="1042">
        <f t="shared" si="2"/>
        <v>200</v>
      </c>
    </row>
    <row r="24" spans="1:20" s="1037" customFormat="1" ht="48" customHeight="1">
      <c r="A24" s="1063"/>
      <c r="B24" s="1063"/>
      <c r="C24" s="1063"/>
      <c r="D24" s="1058"/>
      <c r="E24" s="1059" t="s">
        <v>1202</v>
      </c>
      <c r="F24" s="1060" t="s">
        <v>1203</v>
      </c>
      <c r="G24" s="1046">
        <v>24</v>
      </c>
      <c r="H24" s="1046">
        <v>24</v>
      </c>
      <c r="I24" s="1046">
        <v>24</v>
      </c>
      <c r="J24" s="1046">
        <v>24</v>
      </c>
      <c r="K24" s="1061">
        <f t="shared" si="2"/>
        <v>96</v>
      </c>
    </row>
    <row r="25" spans="1:20" s="1037" customFormat="1">
      <c r="A25" s="1063"/>
      <c r="B25" s="1063"/>
      <c r="C25" s="1063"/>
      <c r="D25" s="1058"/>
      <c r="E25" s="1059" t="s">
        <v>1204</v>
      </c>
      <c r="F25" s="1062" t="s">
        <v>1205</v>
      </c>
      <c r="G25" s="1061"/>
      <c r="H25" s="1061">
        <v>50</v>
      </c>
      <c r="J25" s="1061">
        <v>50</v>
      </c>
      <c r="K25" s="1061">
        <f t="shared" si="2"/>
        <v>100</v>
      </c>
    </row>
    <row r="26" spans="1:20" s="1049" customFormat="1">
      <c r="A26" s="1047"/>
      <c r="B26" s="1047"/>
      <c r="C26" s="1048"/>
      <c r="D26" s="1048"/>
      <c r="E26" s="1059" t="s">
        <v>1206</v>
      </c>
      <c r="F26" s="1062" t="s">
        <v>1207</v>
      </c>
      <c r="G26" s="1061"/>
      <c r="H26" s="1061">
        <v>125</v>
      </c>
      <c r="I26" s="1061"/>
      <c r="J26" s="1061">
        <v>125</v>
      </c>
      <c r="K26" s="1061">
        <f t="shared" si="2"/>
        <v>250</v>
      </c>
    </row>
    <row r="27" spans="1:20" s="1037" customFormat="1">
      <c r="A27" s="1063"/>
      <c r="B27" s="1063"/>
      <c r="C27" s="1064"/>
      <c r="D27" s="1058"/>
      <c r="E27" s="1059" t="s">
        <v>1208</v>
      </c>
      <c r="F27" s="1062" t="s">
        <v>1209</v>
      </c>
      <c r="G27" s="1061">
        <v>50</v>
      </c>
      <c r="H27" s="1061">
        <v>50</v>
      </c>
      <c r="I27" s="1061">
        <v>50</v>
      </c>
      <c r="J27" s="1061">
        <v>50</v>
      </c>
      <c r="K27" s="1061">
        <f t="shared" si="2"/>
        <v>200</v>
      </c>
    </row>
    <row r="28" spans="1:20" s="1037" customFormat="1">
      <c r="A28" s="1063"/>
      <c r="B28" s="1065"/>
      <c r="C28" s="1063"/>
      <c r="D28" s="1058"/>
      <c r="E28" s="1059" t="s">
        <v>1210</v>
      </c>
      <c r="F28" s="1062" t="s">
        <v>1211</v>
      </c>
      <c r="G28" s="1066"/>
      <c r="H28" s="1061">
        <v>0</v>
      </c>
      <c r="I28" s="1061"/>
      <c r="J28" s="1061">
        <v>0</v>
      </c>
      <c r="K28" s="1061">
        <f>SUM(G28:J28)</f>
        <v>0</v>
      </c>
    </row>
    <row r="29" spans="1:20" s="1037" customFormat="1">
      <c r="A29" s="1063"/>
      <c r="B29" s="1063"/>
      <c r="C29" s="1063"/>
      <c r="D29" s="1058"/>
      <c r="E29" s="1059" t="s">
        <v>1212</v>
      </c>
      <c r="F29" s="1062" t="s">
        <v>1213</v>
      </c>
      <c r="G29" s="1061"/>
      <c r="H29" s="1061">
        <v>400</v>
      </c>
      <c r="I29" s="1061">
        <v>400</v>
      </c>
      <c r="J29" s="1061">
        <v>400</v>
      </c>
      <c r="K29" s="1061">
        <f t="shared" si="2"/>
        <v>1200</v>
      </c>
    </row>
    <row r="30" spans="1:20" s="1037" customFormat="1">
      <c r="A30" s="1063"/>
      <c r="B30" s="1063"/>
      <c r="C30" s="1063"/>
      <c r="D30" s="1058"/>
      <c r="E30" s="1059" t="s">
        <v>1214</v>
      </c>
      <c r="F30" s="1062" t="s">
        <v>1215</v>
      </c>
      <c r="G30" s="1061">
        <v>10</v>
      </c>
      <c r="H30" s="1061">
        <v>10</v>
      </c>
      <c r="I30" s="1061">
        <v>10</v>
      </c>
      <c r="J30" s="1061">
        <v>10</v>
      </c>
      <c r="K30" s="1061">
        <f t="shared" si="2"/>
        <v>40</v>
      </c>
    </row>
    <row r="31" spans="1:20" s="1037" customFormat="1">
      <c r="A31" s="1063"/>
      <c r="B31" s="1063"/>
      <c r="C31" s="1063"/>
      <c r="D31" s="1058"/>
      <c r="E31" s="1059" t="s">
        <v>1216</v>
      </c>
      <c r="F31" s="1062" t="s">
        <v>1217</v>
      </c>
      <c r="G31" s="1061">
        <v>10</v>
      </c>
      <c r="H31" s="1061"/>
      <c r="I31" s="1061">
        <v>10</v>
      </c>
      <c r="J31" s="1061"/>
      <c r="K31" s="1061">
        <f t="shared" si="2"/>
        <v>20</v>
      </c>
    </row>
    <row r="32" spans="1:20" s="1037" customFormat="1">
      <c r="B32" s="1054"/>
      <c r="C32" s="1054"/>
      <c r="D32" s="1055"/>
      <c r="E32" s="1059" t="s">
        <v>1218</v>
      </c>
      <c r="F32" s="1067" t="s">
        <v>1219</v>
      </c>
      <c r="G32" s="1068">
        <v>101</v>
      </c>
      <c r="H32" s="1068">
        <v>101</v>
      </c>
      <c r="I32" s="1068">
        <v>101</v>
      </c>
      <c r="J32" s="1068">
        <v>101</v>
      </c>
      <c r="K32" s="1068">
        <f t="shared" si="2"/>
        <v>404</v>
      </c>
      <c r="L32" s="1054"/>
      <c r="M32" s="1054"/>
      <c r="N32" s="1054"/>
      <c r="O32" s="1054"/>
      <c r="P32" s="1054"/>
      <c r="Q32" s="1054"/>
      <c r="R32" s="1054"/>
      <c r="S32" s="1054"/>
      <c r="T32" s="1054"/>
    </row>
    <row r="33" spans="1:20" s="1037" customFormat="1" ht="21" customHeight="1">
      <c r="B33" s="1054"/>
      <c r="C33" s="1054"/>
      <c r="D33" s="1055"/>
      <c r="E33" s="1059"/>
      <c r="F33" s="1045" t="s">
        <v>1220</v>
      </c>
      <c r="G33" s="1068">
        <f>G32</f>
        <v>101</v>
      </c>
      <c r="H33" s="1068">
        <f>H32</f>
        <v>101</v>
      </c>
      <c r="I33" s="1068">
        <f>I32</f>
        <v>101</v>
      </c>
      <c r="J33" s="1068">
        <f>J32</f>
        <v>101</v>
      </c>
      <c r="K33" s="1068">
        <f t="shared" si="2"/>
        <v>404</v>
      </c>
      <c r="L33" s="1054"/>
      <c r="M33" s="1068"/>
      <c r="N33" s="1054"/>
      <c r="O33" s="1054"/>
      <c r="P33" s="1054"/>
      <c r="Q33" s="1054"/>
      <c r="R33" s="1054"/>
      <c r="S33" s="1054"/>
      <c r="T33" s="1054"/>
    </row>
    <row r="34" spans="1:20" s="1037" customFormat="1" ht="21" customHeight="1">
      <c r="B34" s="1054"/>
      <c r="C34" s="1054"/>
      <c r="D34" s="1055"/>
      <c r="E34" s="1059"/>
      <c r="F34" s="1045" t="s">
        <v>1221</v>
      </c>
      <c r="G34" s="1068">
        <v>93</v>
      </c>
      <c r="H34" s="1068">
        <v>93</v>
      </c>
      <c r="I34" s="1068">
        <v>93</v>
      </c>
      <c r="J34" s="1068">
        <v>93</v>
      </c>
      <c r="K34" s="1068">
        <f t="shared" si="2"/>
        <v>372</v>
      </c>
      <c r="L34" s="1054"/>
      <c r="M34" s="1068"/>
      <c r="N34" s="1054"/>
      <c r="O34" s="1054"/>
      <c r="P34" s="1054"/>
      <c r="Q34" s="1054"/>
      <c r="R34" s="1054"/>
      <c r="S34" s="1054"/>
      <c r="T34" s="1054"/>
    </row>
    <row r="35" spans="1:20" s="1037" customFormat="1">
      <c r="A35" s="1036"/>
      <c r="D35" s="1038"/>
      <c r="E35" s="1059" t="s">
        <v>1222</v>
      </c>
      <c r="F35" s="1040" t="s">
        <v>1223</v>
      </c>
      <c r="G35" s="1041"/>
      <c r="H35" s="1041">
        <v>250</v>
      </c>
      <c r="I35" s="1041"/>
      <c r="J35" s="1041">
        <v>0</v>
      </c>
      <c r="K35" s="1041">
        <f t="shared" si="2"/>
        <v>250</v>
      </c>
    </row>
    <row r="36" spans="1:20" s="1037" customFormat="1" ht="24">
      <c r="A36" s="1036"/>
      <c r="D36" s="1038"/>
      <c r="E36" s="1059" t="s">
        <v>1224</v>
      </c>
      <c r="F36" s="1040" t="s">
        <v>1225</v>
      </c>
      <c r="G36" s="1041">
        <v>50</v>
      </c>
      <c r="H36" s="1041">
        <v>50</v>
      </c>
      <c r="I36" s="1041">
        <v>50</v>
      </c>
      <c r="J36" s="1041">
        <v>50</v>
      </c>
      <c r="K36" s="1041">
        <f t="shared" si="2"/>
        <v>200</v>
      </c>
    </row>
    <row r="37" spans="1:20" s="1037" customFormat="1" ht="24">
      <c r="A37" s="1063"/>
      <c r="B37" s="1063"/>
      <c r="C37" s="1063"/>
      <c r="D37" s="1058"/>
      <c r="E37" s="1059" t="s">
        <v>1226</v>
      </c>
      <c r="F37" s="1069" t="s">
        <v>1227</v>
      </c>
      <c r="G37" s="1061">
        <v>30</v>
      </c>
      <c r="H37" s="1061">
        <f>21+300</f>
        <v>321</v>
      </c>
      <c r="I37" s="1061">
        <v>300</v>
      </c>
      <c r="J37" s="1061">
        <v>300</v>
      </c>
      <c r="K37" s="1061">
        <f t="shared" si="2"/>
        <v>951</v>
      </c>
    </row>
    <row r="38" spans="1:20" s="1037" customFormat="1">
      <c r="A38" s="1063"/>
      <c r="B38" s="1063"/>
      <c r="C38" s="1063"/>
      <c r="D38" s="1058"/>
      <c r="E38" s="1059" t="s">
        <v>1228</v>
      </c>
      <c r="F38" s="1069" t="s">
        <v>1229</v>
      </c>
      <c r="G38" s="1061"/>
      <c r="H38" s="1061">
        <f>805*110%</f>
        <v>885.50000000000011</v>
      </c>
      <c r="I38" s="1061"/>
      <c r="J38" s="1061"/>
      <c r="K38" s="1061">
        <f t="shared" si="2"/>
        <v>885.50000000000011</v>
      </c>
    </row>
    <row r="39" spans="1:20" s="1037" customFormat="1">
      <c r="A39" s="1063"/>
      <c r="B39" s="1063"/>
      <c r="C39" s="1063"/>
      <c r="D39" s="1058"/>
      <c r="E39" s="1059" t="s">
        <v>1230</v>
      </c>
      <c r="F39" s="1275" t="s">
        <v>1589</v>
      </c>
      <c r="G39" s="1061"/>
      <c r="H39" s="1061">
        <v>540</v>
      </c>
      <c r="I39" s="1061"/>
      <c r="J39" s="1061"/>
      <c r="K39" s="1061">
        <f t="shared" si="2"/>
        <v>540</v>
      </c>
    </row>
    <row r="40" spans="1:20">
      <c r="A40" s="1070"/>
      <c r="B40" s="1071"/>
      <c r="C40" s="1071"/>
      <c r="D40" s="1072"/>
      <c r="E40" s="1073"/>
      <c r="F40" s="1074" t="s">
        <v>1231</v>
      </c>
      <c r="G40" s="1075">
        <f>SUM(G20:G39)-G34</f>
        <v>381</v>
      </c>
      <c r="H40" s="1075">
        <f>SUM(H20:H39)-H34</f>
        <v>3195.5</v>
      </c>
      <c r="I40" s="1075">
        <f>SUM(I20:I39)-I34</f>
        <v>1096</v>
      </c>
      <c r="J40" s="1075">
        <f>SUM(J20:J39)-J34</f>
        <v>1376</v>
      </c>
      <c r="K40" s="1075">
        <f>SUM(K20:K39)-K34</f>
        <v>6048.5</v>
      </c>
    </row>
    <row r="41" spans="1:20">
      <c r="A41" s="1070"/>
      <c r="B41" s="1070"/>
      <c r="C41" s="1070"/>
      <c r="D41" s="1076"/>
      <c r="E41" s="1077"/>
      <c r="F41" s="1056" t="s">
        <v>1232</v>
      </c>
      <c r="G41" s="1075">
        <f>G34</f>
        <v>93</v>
      </c>
      <c r="H41" s="1075">
        <f>H34</f>
        <v>93</v>
      </c>
      <c r="I41" s="1075">
        <f>I34</f>
        <v>93</v>
      </c>
      <c r="J41" s="1075">
        <f>J34</f>
        <v>93</v>
      </c>
      <c r="K41" s="1075">
        <f>K34</f>
        <v>372</v>
      </c>
    </row>
    <row r="42" spans="1:20" s="1037" customFormat="1" ht="25.5">
      <c r="D42" s="1038" t="s">
        <v>1329</v>
      </c>
      <c r="E42" s="1039" t="s">
        <v>1233</v>
      </c>
      <c r="F42" s="1067" t="s">
        <v>1234</v>
      </c>
      <c r="G42" s="1041"/>
      <c r="H42" s="1078">
        <v>39</v>
      </c>
      <c r="I42" s="1041"/>
      <c r="J42" s="1041">
        <v>39</v>
      </c>
      <c r="K42" s="1094">
        <f>SUM(G42:J42)</f>
        <v>78</v>
      </c>
    </row>
    <row r="43" spans="1:20" s="1037" customFormat="1" ht="25.5">
      <c r="D43" s="1038" t="s">
        <v>1328</v>
      </c>
      <c r="E43" s="1039" t="s">
        <v>1235</v>
      </c>
      <c r="F43" s="1067" t="s">
        <v>1236</v>
      </c>
      <c r="G43" s="1041"/>
      <c r="H43" s="1041"/>
      <c r="I43" s="1078">
        <v>770</v>
      </c>
      <c r="J43" s="1041"/>
      <c r="K43" s="1078">
        <f>SUM(I43:J43)</f>
        <v>770</v>
      </c>
    </row>
    <row r="44" spans="1:20">
      <c r="B44" s="1071"/>
      <c r="C44" s="1071"/>
      <c r="D44" s="1072"/>
      <c r="E44" s="1072"/>
      <c r="F44" s="1074" t="s">
        <v>1231</v>
      </c>
      <c r="G44" s="1075">
        <f>SUM(G42:G43)</f>
        <v>0</v>
      </c>
      <c r="H44" s="1075">
        <f>SUM(H42:H43)</f>
        <v>39</v>
      </c>
      <c r="I44" s="1075">
        <f>SUM(I42:I43)</f>
        <v>770</v>
      </c>
      <c r="J44" s="1075">
        <f>SUM(J42:J43)</f>
        <v>39</v>
      </c>
      <c r="K44" s="1075">
        <f>SUM(K42:K43)</f>
        <v>848</v>
      </c>
    </row>
    <row r="45" spans="1:20">
      <c r="B45" s="1024"/>
      <c r="C45" s="1016"/>
      <c r="D45" s="1079"/>
      <c r="E45" s="1079"/>
      <c r="F45" s="1080"/>
      <c r="G45" s="1081"/>
      <c r="H45" s="1081"/>
      <c r="I45" s="1081"/>
      <c r="J45" s="1081"/>
      <c r="K45" s="1081"/>
    </row>
    <row r="46" spans="1:20">
      <c r="B46" s="1024"/>
      <c r="C46" s="1016"/>
      <c r="D46" s="1082" t="s">
        <v>1094</v>
      </c>
      <c r="E46" s="1079"/>
      <c r="F46" s="1080"/>
      <c r="G46" s="1083">
        <f>G18+G40+G44</f>
        <v>8939.92</v>
      </c>
      <c r="H46" s="1083">
        <f>H18+H40+H44</f>
        <v>11795.42</v>
      </c>
      <c r="I46" s="1083">
        <f>I18+I40+I44</f>
        <v>10428.82</v>
      </c>
      <c r="J46" s="1083">
        <f>J18+J40+J44</f>
        <v>9976.92</v>
      </c>
      <c r="K46" s="1083">
        <f>SUM(K44,K40,K18)</f>
        <v>41141.08</v>
      </c>
    </row>
    <row r="47" spans="1:20">
      <c r="B47" s="1024"/>
      <c r="C47" s="1016"/>
      <c r="D47" s="1082" t="s">
        <v>1326</v>
      </c>
      <c r="E47" s="1079"/>
      <c r="F47" s="1080"/>
      <c r="G47" s="1083">
        <f>G41+G19</f>
        <v>1311</v>
      </c>
      <c r="H47" s="1083">
        <f>H41+H19</f>
        <v>5469.13</v>
      </c>
      <c r="I47" s="1083">
        <f>I41+I19</f>
        <v>6831.12</v>
      </c>
      <c r="J47" s="1083">
        <f>J41+J19</f>
        <v>6831.12</v>
      </c>
      <c r="K47" s="1083">
        <f>K41+K19</f>
        <v>20442.37</v>
      </c>
    </row>
    <row r="48" spans="1:20">
      <c r="D48" s="1084"/>
    </row>
    <row r="50" spans="7:7">
      <c r="G50" s="1022" t="s">
        <v>1237</v>
      </c>
    </row>
  </sheetData>
  <phoneticPr fontId="5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H184"/>
  <sheetViews>
    <sheetView showGridLines="0" zoomScaleNormal="100" workbookViewId="0">
      <pane ySplit="4" topLeftCell="A172" activePane="bottomLeft" state="frozen"/>
      <selection pane="bottomLeft" activeCell="M177" sqref="M177"/>
    </sheetView>
  </sheetViews>
  <sheetFormatPr defaultRowHeight="12.75"/>
  <cols>
    <col min="1" max="1" width="19.25" style="857" customWidth="1"/>
    <col min="2" max="2" width="16" style="782" customWidth="1"/>
    <col min="3" max="3" width="10" style="780" bestFit="1" customWidth="1"/>
    <col min="4" max="4" width="12.25" style="780" customWidth="1"/>
    <col min="5" max="5" width="11" style="780" customWidth="1"/>
    <col min="6" max="6" width="10.5" style="780" bestFit="1" customWidth="1"/>
    <col min="7" max="7" width="8.875" style="780" bestFit="1" customWidth="1"/>
    <col min="8" max="8" width="9.125" style="780" bestFit="1" customWidth="1"/>
    <col min="9" max="9" width="9" style="783" customWidth="1"/>
    <col min="10" max="10" width="9.25" style="780" customWidth="1"/>
    <col min="11" max="11" width="8.5" style="780" customWidth="1"/>
    <col min="12" max="12" width="10.625" style="780" customWidth="1"/>
    <col min="13" max="13" width="60.875" style="784" customWidth="1"/>
    <col min="14" max="255" width="9" style="780"/>
    <col min="256" max="256" width="4.75" style="780" customWidth="1"/>
    <col min="257" max="257" width="9" style="780"/>
    <col min="258" max="258" width="19.75" style="780" customWidth="1"/>
    <col min="259" max="259" width="7.625" style="780" customWidth="1"/>
    <col min="260" max="260" width="11.875" style="780" bestFit="1" customWidth="1"/>
    <col min="261" max="261" width="9" style="780"/>
    <col min="262" max="262" width="9.5" style="780" customWidth="1"/>
    <col min="263" max="263" width="7.625" style="780" customWidth="1"/>
    <col min="264" max="264" width="11.75" style="780" customWidth="1"/>
    <col min="265" max="265" width="9" style="780"/>
    <col min="266" max="266" width="11.875" style="780" bestFit="1" customWidth="1"/>
    <col min="267" max="267" width="7.125" style="780" customWidth="1"/>
    <col min="268" max="268" width="13" style="780" bestFit="1" customWidth="1"/>
    <col min="269" max="511" width="9" style="780"/>
    <col min="512" max="512" width="4.75" style="780" customWidth="1"/>
    <col min="513" max="513" width="9" style="780"/>
    <col min="514" max="514" width="19.75" style="780" customWidth="1"/>
    <col min="515" max="515" width="7.625" style="780" customWidth="1"/>
    <col min="516" max="516" width="11.875" style="780" bestFit="1" customWidth="1"/>
    <col min="517" max="517" width="9" style="780"/>
    <col min="518" max="518" width="9.5" style="780" customWidth="1"/>
    <col min="519" max="519" width="7.625" style="780" customWidth="1"/>
    <col min="520" max="520" width="11.75" style="780" customWidth="1"/>
    <col min="521" max="521" width="9" style="780"/>
    <col min="522" max="522" width="11.875" style="780" bestFit="1" customWidth="1"/>
    <col min="523" max="523" width="7.125" style="780" customWidth="1"/>
    <col min="524" max="524" width="13" style="780" bestFit="1" customWidth="1"/>
    <col min="525" max="767" width="9" style="780"/>
    <col min="768" max="768" width="4.75" style="780" customWidth="1"/>
    <col min="769" max="769" width="9" style="780"/>
    <col min="770" max="770" width="19.75" style="780" customWidth="1"/>
    <col min="771" max="771" width="7.625" style="780" customWidth="1"/>
    <col min="772" max="772" width="11.875" style="780" bestFit="1" customWidth="1"/>
    <col min="773" max="773" width="9" style="780"/>
    <col min="774" max="774" width="9.5" style="780" customWidth="1"/>
    <col min="775" max="775" width="7.625" style="780" customWidth="1"/>
    <col min="776" max="776" width="11.75" style="780" customWidth="1"/>
    <col min="777" max="777" width="9" style="780"/>
    <col min="778" max="778" width="11.875" style="780" bestFit="1" customWidth="1"/>
    <col min="779" max="779" width="7.125" style="780" customWidth="1"/>
    <col min="780" max="780" width="13" style="780" bestFit="1" customWidth="1"/>
    <col min="781" max="1023" width="9" style="780"/>
    <col min="1024" max="1024" width="4.75" style="780" customWidth="1"/>
    <col min="1025" max="1025" width="9" style="780"/>
    <col min="1026" max="1026" width="19.75" style="780" customWidth="1"/>
    <col min="1027" max="1027" width="7.625" style="780" customWidth="1"/>
    <col min="1028" max="1028" width="11.875" style="780" bestFit="1" customWidth="1"/>
    <col min="1029" max="1029" width="9" style="780"/>
    <col min="1030" max="1030" width="9.5" style="780" customWidth="1"/>
    <col min="1031" max="1031" width="7.625" style="780" customWidth="1"/>
    <col min="1032" max="1032" width="11.75" style="780" customWidth="1"/>
    <col min="1033" max="1033" width="9" style="780"/>
    <col min="1034" max="1034" width="11.875" style="780" bestFit="1" customWidth="1"/>
    <col min="1035" max="1035" width="7.125" style="780" customWidth="1"/>
    <col min="1036" max="1036" width="13" style="780" bestFit="1" customWidth="1"/>
    <col min="1037" max="1279" width="9" style="780"/>
    <col min="1280" max="1280" width="4.75" style="780" customWidth="1"/>
    <col min="1281" max="1281" width="9" style="780"/>
    <col min="1282" max="1282" width="19.75" style="780" customWidth="1"/>
    <col min="1283" max="1283" width="7.625" style="780" customWidth="1"/>
    <col min="1284" max="1284" width="11.875" style="780" bestFit="1" customWidth="1"/>
    <col min="1285" max="1285" width="9" style="780"/>
    <col min="1286" max="1286" width="9.5" style="780" customWidth="1"/>
    <col min="1287" max="1287" width="7.625" style="780" customWidth="1"/>
    <col min="1288" max="1288" width="11.75" style="780" customWidth="1"/>
    <col min="1289" max="1289" width="9" style="780"/>
    <col min="1290" max="1290" width="11.875" style="780" bestFit="1" customWidth="1"/>
    <col min="1291" max="1291" width="7.125" style="780" customWidth="1"/>
    <col min="1292" max="1292" width="13" style="780" bestFit="1" customWidth="1"/>
    <col min="1293" max="1535" width="9" style="780"/>
    <col min="1536" max="1536" width="4.75" style="780" customWidth="1"/>
    <col min="1537" max="1537" width="9" style="780"/>
    <col min="1538" max="1538" width="19.75" style="780" customWidth="1"/>
    <col min="1539" max="1539" width="7.625" style="780" customWidth="1"/>
    <col min="1540" max="1540" width="11.875" style="780" bestFit="1" customWidth="1"/>
    <col min="1541" max="1541" width="9" style="780"/>
    <col min="1542" max="1542" width="9.5" style="780" customWidth="1"/>
    <col min="1543" max="1543" width="7.625" style="780" customWidth="1"/>
    <col min="1544" max="1544" width="11.75" style="780" customWidth="1"/>
    <col min="1545" max="1545" width="9" style="780"/>
    <col min="1546" max="1546" width="11.875" style="780" bestFit="1" customWidth="1"/>
    <col min="1547" max="1547" width="7.125" style="780" customWidth="1"/>
    <col min="1548" max="1548" width="13" style="780" bestFit="1" customWidth="1"/>
    <col min="1549" max="1791" width="9" style="780"/>
    <col min="1792" max="1792" width="4.75" style="780" customWidth="1"/>
    <col min="1793" max="1793" width="9" style="780"/>
    <col min="1794" max="1794" width="19.75" style="780" customWidth="1"/>
    <col min="1795" max="1795" width="7.625" style="780" customWidth="1"/>
    <col min="1796" max="1796" width="11.875" style="780" bestFit="1" customWidth="1"/>
    <col min="1797" max="1797" width="9" style="780"/>
    <col min="1798" max="1798" width="9.5" style="780" customWidth="1"/>
    <col min="1799" max="1799" width="7.625" style="780" customWidth="1"/>
    <col min="1800" max="1800" width="11.75" style="780" customWidth="1"/>
    <col min="1801" max="1801" width="9" style="780"/>
    <col min="1802" max="1802" width="11.875" style="780" bestFit="1" customWidth="1"/>
    <col min="1803" max="1803" width="7.125" style="780" customWidth="1"/>
    <col min="1804" max="1804" width="13" style="780" bestFit="1" customWidth="1"/>
    <col min="1805" max="2047" width="9" style="780"/>
    <col min="2048" max="2048" width="4.75" style="780" customWidth="1"/>
    <col min="2049" max="2049" width="9" style="780"/>
    <col min="2050" max="2050" width="19.75" style="780" customWidth="1"/>
    <col min="2051" max="2051" width="7.625" style="780" customWidth="1"/>
    <col min="2052" max="2052" width="11.875" style="780" bestFit="1" customWidth="1"/>
    <col min="2053" max="2053" width="9" style="780"/>
    <col min="2054" max="2054" width="9.5" style="780" customWidth="1"/>
    <col min="2055" max="2055" width="7.625" style="780" customWidth="1"/>
    <col min="2056" max="2056" width="11.75" style="780" customWidth="1"/>
    <col min="2057" max="2057" width="9" style="780"/>
    <col min="2058" max="2058" width="11.875" style="780" bestFit="1" customWidth="1"/>
    <col min="2059" max="2059" width="7.125" style="780" customWidth="1"/>
    <col min="2060" max="2060" width="13" style="780" bestFit="1" customWidth="1"/>
    <col min="2061" max="2303" width="9" style="780"/>
    <col min="2304" max="2304" width="4.75" style="780" customWidth="1"/>
    <col min="2305" max="2305" width="9" style="780"/>
    <col min="2306" max="2306" width="19.75" style="780" customWidth="1"/>
    <col min="2307" max="2307" width="7.625" style="780" customWidth="1"/>
    <col min="2308" max="2308" width="11.875" style="780" bestFit="1" customWidth="1"/>
    <col min="2309" max="2309" width="9" style="780"/>
    <col min="2310" max="2310" width="9.5" style="780" customWidth="1"/>
    <col min="2311" max="2311" width="7.625" style="780" customWidth="1"/>
    <col min="2312" max="2312" width="11.75" style="780" customWidth="1"/>
    <col min="2313" max="2313" width="9" style="780"/>
    <col min="2314" max="2314" width="11.875" style="780" bestFit="1" customWidth="1"/>
    <col min="2315" max="2315" width="7.125" style="780" customWidth="1"/>
    <col min="2316" max="2316" width="13" style="780" bestFit="1" customWidth="1"/>
    <col min="2317" max="2559" width="9" style="780"/>
    <col min="2560" max="2560" width="4.75" style="780" customWidth="1"/>
    <col min="2561" max="2561" width="9" style="780"/>
    <col min="2562" max="2562" width="19.75" style="780" customWidth="1"/>
    <col min="2563" max="2563" width="7.625" style="780" customWidth="1"/>
    <col min="2564" max="2564" width="11.875" style="780" bestFit="1" customWidth="1"/>
    <col min="2565" max="2565" width="9" style="780"/>
    <col min="2566" max="2566" width="9.5" style="780" customWidth="1"/>
    <col min="2567" max="2567" width="7.625" style="780" customWidth="1"/>
    <col min="2568" max="2568" width="11.75" style="780" customWidth="1"/>
    <col min="2569" max="2569" width="9" style="780"/>
    <col min="2570" max="2570" width="11.875" style="780" bestFit="1" customWidth="1"/>
    <col min="2571" max="2571" width="7.125" style="780" customWidth="1"/>
    <col min="2572" max="2572" width="13" style="780" bestFit="1" customWidth="1"/>
    <col min="2573" max="2815" width="9" style="780"/>
    <col min="2816" max="2816" width="4.75" style="780" customWidth="1"/>
    <col min="2817" max="2817" width="9" style="780"/>
    <col min="2818" max="2818" width="19.75" style="780" customWidth="1"/>
    <col min="2819" max="2819" width="7.625" style="780" customWidth="1"/>
    <col min="2820" max="2820" width="11.875" style="780" bestFit="1" customWidth="1"/>
    <col min="2821" max="2821" width="9" style="780"/>
    <col min="2822" max="2822" width="9.5" style="780" customWidth="1"/>
    <col min="2823" max="2823" width="7.625" style="780" customWidth="1"/>
    <col min="2824" max="2824" width="11.75" style="780" customWidth="1"/>
    <col min="2825" max="2825" width="9" style="780"/>
    <col min="2826" max="2826" width="11.875" style="780" bestFit="1" customWidth="1"/>
    <col min="2827" max="2827" width="7.125" style="780" customWidth="1"/>
    <col min="2828" max="2828" width="13" style="780" bestFit="1" customWidth="1"/>
    <col min="2829" max="3071" width="9" style="780"/>
    <col min="3072" max="3072" width="4.75" style="780" customWidth="1"/>
    <col min="3073" max="3073" width="9" style="780"/>
    <col min="3074" max="3074" width="19.75" style="780" customWidth="1"/>
    <col min="3075" max="3075" width="7.625" style="780" customWidth="1"/>
    <col min="3076" max="3076" width="11.875" style="780" bestFit="1" customWidth="1"/>
    <col min="3077" max="3077" width="9" style="780"/>
    <col min="3078" max="3078" width="9.5" style="780" customWidth="1"/>
    <col min="3079" max="3079" width="7.625" style="780" customWidth="1"/>
    <col min="3080" max="3080" width="11.75" style="780" customWidth="1"/>
    <col min="3081" max="3081" width="9" style="780"/>
    <col min="3082" max="3082" width="11.875" style="780" bestFit="1" customWidth="1"/>
    <col min="3083" max="3083" width="7.125" style="780" customWidth="1"/>
    <col min="3084" max="3084" width="13" style="780" bestFit="1" customWidth="1"/>
    <col min="3085" max="3327" width="9" style="780"/>
    <col min="3328" max="3328" width="4.75" style="780" customWidth="1"/>
    <col min="3329" max="3329" width="9" style="780"/>
    <col min="3330" max="3330" width="19.75" style="780" customWidth="1"/>
    <col min="3331" max="3331" width="7.625" style="780" customWidth="1"/>
    <col min="3332" max="3332" width="11.875" style="780" bestFit="1" customWidth="1"/>
    <col min="3333" max="3333" width="9" style="780"/>
    <col min="3334" max="3334" width="9.5" style="780" customWidth="1"/>
    <col min="3335" max="3335" width="7.625" style="780" customWidth="1"/>
    <col min="3336" max="3336" width="11.75" style="780" customWidth="1"/>
    <col min="3337" max="3337" width="9" style="780"/>
    <col min="3338" max="3338" width="11.875" style="780" bestFit="1" customWidth="1"/>
    <col min="3339" max="3339" width="7.125" style="780" customWidth="1"/>
    <col min="3340" max="3340" width="13" style="780" bestFit="1" customWidth="1"/>
    <col min="3341" max="3583" width="9" style="780"/>
    <col min="3584" max="3584" width="4.75" style="780" customWidth="1"/>
    <col min="3585" max="3585" width="9" style="780"/>
    <col min="3586" max="3586" width="19.75" style="780" customWidth="1"/>
    <col min="3587" max="3587" width="7.625" style="780" customWidth="1"/>
    <col min="3588" max="3588" width="11.875" style="780" bestFit="1" customWidth="1"/>
    <col min="3589" max="3589" width="9" style="780"/>
    <col min="3590" max="3590" width="9.5" style="780" customWidth="1"/>
    <col min="3591" max="3591" width="7.625" style="780" customWidth="1"/>
    <col min="3592" max="3592" width="11.75" style="780" customWidth="1"/>
    <col min="3593" max="3593" width="9" style="780"/>
    <col min="3594" max="3594" width="11.875" style="780" bestFit="1" customWidth="1"/>
    <col min="3595" max="3595" width="7.125" style="780" customWidth="1"/>
    <col min="3596" max="3596" width="13" style="780" bestFit="1" customWidth="1"/>
    <col min="3597" max="3839" width="9" style="780"/>
    <col min="3840" max="3840" width="4.75" style="780" customWidth="1"/>
    <col min="3841" max="3841" width="9" style="780"/>
    <col min="3842" max="3842" width="19.75" style="780" customWidth="1"/>
    <col min="3843" max="3843" width="7.625" style="780" customWidth="1"/>
    <col min="3844" max="3844" width="11.875" style="780" bestFit="1" customWidth="1"/>
    <col min="3845" max="3845" width="9" style="780"/>
    <col min="3846" max="3846" width="9.5" style="780" customWidth="1"/>
    <col min="3847" max="3847" width="7.625" style="780" customWidth="1"/>
    <col min="3848" max="3848" width="11.75" style="780" customWidth="1"/>
    <col min="3849" max="3849" width="9" style="780"/>
    <col min="3850" max="3850" width="11.875" style="780" bestFit="1" customWidth="1"/>
    <col min="3851" max="3851" width="7.125" style="780" customWidth="1"/>
    <col min="3852" max="3852" width="13" style="780" bestFit="1" customWidth="1"/>
    <col min="3853" max="4095" width="9" style="780"/>
    <col min="4096" max="4096" width="4.75" style="780" customWidth="1"/>
    <col min="4097" max="4097" width="9" style="780"/>
    <col min="4098" max="4098" width="19.75" style="780" customWidth="1"/>
    <col min="4099" max="4099" width="7.625" style="780" customWidth="1"/>
    <col min="4100" max="4100" width="11.875" style="780" bestFit="1" customWidth="1"/>
    <col min="4101" max="4101" width="9" style="780"/>
    <col min="4102" max="4102" width="9.5" style="780" customWidth="1"/>
    <col min="4103" max="4103" width="7.625" style="780" customWidth="1"/>
    <col min="4104" max="4104" width="11.75" style="780" customWidth="1"/>
    <col min="4105" max="4105" width="9" style="780"/>
    <col min="4106" max="4106" width="11.875" style="780" bestFit="1" customWidth="1"/>
    <col min="4107" max="4107" width="7.125" style="780" customWidth="1"/>
    <col min="4108" max="4108" width="13" style="780" bestFit="1" customWidth="1"/>
    <col min="4109" max="4351" width="9" style="780"/>
    <col min="4352" max="4352" width="4.75" style="780" customWidth="1"/>
    <col min="4353" max="4353" width="9" style="780"/>
    <col min="4354" max="4354" width="19.75" style="780" customWidth="1"/>
    <col min="4355" max="4355" width="7.625" style="780" customWidth="1"/>
    <col min="4356" max="4356" width="11.875" style="780" bestFit="1" customWidth="1"/>
    <col min="4357" max="4357" width="9" style="780"/>
    <col min="4358" max="4358" width="9.5" style="780" customWidth="1"/>
    <col min="4359" max="4359" width="7.625" style="780" customWidth="1"/>
    <col min="4360" max="4360" width="11.75" style="780" customWidth="1"/>
    <col min="4361" max="4361" width="9" style="780"/>
    <col min="4362" max="4362" width="11.875" style="780" bestFit="1" customWidth="1"/>
    <col min="4363" max="4363" width="7.125" style="780" customWidth="1"/>
    <col min="4364" max="4364" width="13" style="780" bestFit="1" customWidth="1"/>
    <col min="4365" max="4607" width="9" style="780"/>
    <col min="4608" max="4608" width="4.75" style="780" customWidth="1"/>
    <col min="4609" max="4609" width="9" style="780"/>
    <col min="4610" max="4610" width="19.75" style="780" customWidth="1"/>
    <col min="4611" max="4611" width="7.625" style="780" customWidth="1"/>
    <col min="4612" max="4612" width="11.875" style="780" bestFit="1" customWidth="1"/>
    <col min="4613" max="4613" width="9" style="780"/>
    <col min="4614" max="4614" width="9.5" style="780" customWidth="1"/>
    <col min="4615" max="4615" width="7.625" style="780" customWidth="1"/>
    <col min="4616" max="4616" width="11.75" style="780" customWidth="1"/>
    <col min="4617" max="4617" width="9" style="780"/>
    <col min="4618" max="4618" width="11.875" style="780" bestFit="1" customWidth="1"/>
    <col min="4619" max="4619" width="7.125" style="780" customWidth="1"/>
    <col min="4620" max="4620" width="13" style="780" bestFit="1" customWidth="1"/>
    <col min="4621" max="4863" width="9" style="780"/>
    <col min="4864" max="4864" width="4.75" style="780" customWidth="1"/>
    <col min="4865" max="4865" width="9" style="780"/>
    <col min="4866" max="4866" width="19.75" style="780" customWidth="1"/>
    <col min="4867" max="4867" width="7.625" style="780" customWidth="1"/>
    <col min="4868" max="4868" width="11.875" style="780" bestFit="1" customWidth="1"/>
    <col min="4869" max="4869" width="9" style="780"/>
    <col min="4870" max="4870" width="9.5" style="780" customWidth="1"/>
    <col min="4871" max="4871" width="7.625" style="780" customWidth="1"/>
    <col min="4872" max="4872" width="11.75" style="780" customWidth="1"/>
    <col min="4873" max="4873" width="9" style="780"/>
    <col min="4874" max="4874" width="11.875" style="780" bestFit="1" customWidth="1"/>
    <col min="4875" max="4875" width="7.125" style="780" customWidth="1"/>
    <col min="4876" max="4876" width="13" style="780" bestFit="1" customWidth="1"/>
    <col min="4877" max="5119" width="9" style="780"/>
    <col min="5120" max="5120" width="4.75" style="780" customWidth="1"/>
    <col min="5121" max="5121" width="9" style="780"/>
    <col min="5122" max="5122" width="19.75" style="780" customWidth="1"/>
    <col min="5123" max="5123" width="7.625" style="780" customWidth="1"/>
    <col min="5124" max="5124" width="11.875" style="780" bestFit="1" customWidth="1"/>
    <col min="5125" max="5125" width="9" style="780"/>
    <col min="5126" max="5126" width="9.5" style="780" customWidth="1"/>
    <col min="5127" max="5127" width="7.625" style="780" customWidth="1"/>
    <col min="5128" max="5128" width="11.75" style="780" customWidth="1"/>
    <col min="5129" max="5129" width="9" style="780"/>
    <col min="5130" max="5130" width="11.875" style="780" bestFit="1" customWidth="1"/>
    <col min="5131" max="5131" width="7.125" style="780" customWidth="1"/>
    <col min="5132" max="5132" width="13" style="780" bestFit="1" customWidth="1"/>
    <col min="5133" max="5375" width="9" style="780"/>
    <col min="5376" max="5376" width="4.75" style="780" customWidth="1"/>
    <col min="5377" max="5377" width="9" style="780"/>
    <col min="5378" max="5378" width="19.75" style="780" customWidth="1"/>
    <col min="5379" max="5379" width="7.625" style="780" customWidth="1"/>
    <col min="5380" max="5380" width="11.875" style="780" bestFit="1" customWidth="1"/>
    <col min="5381" max="5381" width="9" style="780"/>
    <col min="5382" max="5382" width="9.5" style="780" customWidth="1"/>
    <col min="5383" max="5383" width="7.625" style="780" customWidth="1"/>
    <col min="5384" max="5384" width="11.75" style="780" customWidth="1"/>
    <col min="5385" max="5385" width="9" style="780"/>
    <col min="5386" max="5386" width="11.875" style="780" bestFit="1" customWidth="1"/>
    <col min="5387" max="5387" width="7.125" style="780" customWidth="1"/>
    <col min="5388" max="5388" width="13" style="780" bestFit="1" customWidth="1"/>
    <col min="5389" max="5631" width="9" style="780"/>
    <col min="5632" max="5632" width="4.75" style="780" customWidth="1"/>
    <col min="5633" max="5633" width="9" style="780"/>
    <col min="5634" max="5634" width="19.75" style="780" customWidth="1"/>
    <col min="5635" max="5635" width="7.625" style="780" customWidth="1"/>
    <col min="5636" max="5636" width="11.875" style="780" bestFit="1" customWidth="1"/>
    <col min="5637" max="5637" width="9" style="780"/>
    <col min="5638" max="5638" width="9.5" style="780" customWidth="1"/>
    <col min="5639" max="5639" width="7.625" style="780" customWidth="1"/>
    <col min="5640" max="5640" width="11.75" style="780" customWidth="1"/>
    <col min="5641" max="5641" width="9" style="780"/>
    <col min="5642" max="5642" width="11.875" style="780" bestFit="1" customWidth="1"/>
    <col min="5643" max="5643" width="7.125" style="780" customWidth="1"/>
    <col min="5644" max="5644" width="13" style="780" bestFit="1" customWidth="1"/>
    <col min="5645" max="5887" width="9" style="780"/>
    <col min="5888" max="5888" width="4.75" style="780" customWidth="1"/>
    <col min="5889" max="5889" width="9" style="780"/>
    <col min="5890" max="5890" width="19.75" style="780" customWidth="1"/>
    <col min="5891" max="5891" width="7.625" style="780" customWidth="1"/>
    <col min="5892" max="5892" width="11.875" style="780" bestFit="1" customWidth="1"/>
    <col min="5893" max="5893" width="9" style="780"/>
    <col min="5894" max="5894" width="9.5" style="780" customWidth="1"/>
    <col min="5895" max="5895" width="7.625" style="780" customWidth="1"/>
    <col min="5896" max="5896" width="11.75" style="780" customWidth="1"/>
    <col min="5897" max="5897" width="9" style="780"/>
    <col min="5898" max="5898" width="11.875" style="780" bestFit="1" customWidth="1"/>
    <col min="5899" max="5899" width="7.125" style="780" customWidth="1"/>
    <col min="5900" max="5900" width="13" style="780" bestFit="1" customWidth="1"/>
    <col min="5901" max="6143" width="9" style="780"/>
    <col min="6144" max="6144" width="4.75" style="780" customWidth="1"/>
    <col min="6145" max="6145" width="9" style="780"/>
    <col min="6146" max="6146" width="19.75" style="780" customWidth="1"/>
    <col min="6147" max="6147" width="7.625" style="780" customWidth="1"/>
    <col min="6148" max="6148" width="11.875" style="780" bestFit="1" customWidth="1"/>
    <col min="6149" max="6149" width="9" style="780"/>
    <col min="6150" max="6150" width="9.5" style="780" customWidth="1"/>
    <col min="6151" max="6151" width="7.625" style="780" customWidth="1"/>
    <col min="6152" max="6152" width="11.75" style="780" customWidth="1"/>
    <col min="6153" max="6153" width="9" style="780"/>
    <col min="6154" max="6154" width="11.875" style="780" bestFit="1" customWidth="1"/>
    <col min="6155" max="6155" width="7.125" style="780" customWidth="1"/>
    <col min="6156" max="6156" width="13" style="780" bestFit="1" customWidth="1"/>
    <col min="6157" max="6399" width="9" style="780"/>
    <col min="6400" max="6400" width="4.75" style="780" customWidth="1"/>
    <col min="6401" max="6401" width="9" style="780"/>
    <col min="6402" max="6402" width="19.75" style="780" customWidth="1"/>
    <col min="6403" max="6403" width="7.625" style="780" customWidth="1"/>
    <col min="6404" max="6404" width="11.875" style="780" bestFit="1" customWidth="1"/>
    <col min="6405" max="6405" width="9" style="780"/>
    <col min="6406" max="6406" width="9.5" style="780" customWidth="1"/>
    <col min="6407" max="6407" width="7.625" style="780" customWidth="1"/>
    <col min="6408" max="6408" width="11.75" style="780" customWidth="1"/>
    <col min="6409" max="6409" width="9" style="780"/>
    <col min="6410" max="6410" width="11.875" style="780" bestFit="1" customWidth="1"/>
    <col min="6411" max="6411" width="7.125" style="780" customWidth="1"/>
    <col min="6412" max="6412" width="13" style="780" bestFit="1" customWidth="1"/>
    <col min="6413" max="6655" width="9" style="780"/>
    <col min="6656" max="6656" width="4.75" style="780" customWidth="1"/>
    <col min="6657" max="6657" width="9" style="780"/>
    <col min="6658" max="6658" width="19.75" style="780" customWidth="1"/>
    <col min="6659" max="6659" width="7.625" style="780" customWidth="1"/>
    <col min="6660" max="6660" width="11.875" style="780" bestFit="1" customWidth="1"/>
    <col min="6661" max="6661" width="9" style="780"/>
    <col min="6662" max="6662" width="9.5" style="780" customWidth="1"/>
    <col min="6663" max="6663" width="7.625" style="780" customWidth="1"/>
    <col min="6664" max="6664" width="11.75" style="780" customWidth="1"/>
    <col min="6665" max="6665" width="9" style="780"/>
    <col min="6666" max="6666" width="11.875" style="780" bestFit="1" customWidth="1"/>
    <col min="6667" max="6667" width="7.125" style="780" customWidth="1"/>
    <col min="6668" max="6668" width="13" style="780" bestFit="1" customWidth="1"/>
    <col min="6669" max="6911" width="9" style="780"/>
    <col min="6912" max="6912" width="4.75" style="780" customWidth="1"/>
    <col min="6913" max="6913" width="9" style="780"/>
    <col min="6914" max="6914" width="19.75" style="780" customWidth="1"/>
    <col min="6915" max="6915" width="7.625" style="780" customWidth="1"/>
    <col min="6916" max="6916" width="11.875" style="780" bestFit="1" customWidth="1"/>
    <col min="6917" max="6917" width="9" style="780"/>
    <col min="6918" max="6918" width="9.5" style="780" customWidth="1"/>
    <col min="6919" max="6919" width="7.625" style="780" customWidth="1"/>
    <col min="6920" max="6920" width="11.75" style="780" customWidth="1"/>
    <col min="6921" max="6921" width="9" style="780"/>
    <col min="6922" max="6922" width="11.875" style="780" bestFit="1" customWidth="1"/>
    <col min="6923" max="6923" width="7.125" style="780" customWidth="1"/>
    <col min="6924" max="6924" width="13" style="780" bestFit="1" customWidth="1"/>
    <col min="6925" max="7167" width="9" style="780"/>
    <col min="7168" max="7168" width="4.75" style="780" customWidth="1"/>
    <col min="7169" max="7169" width="9" style="780"/>
    <col min="7170" max="7170" width="19.75" style="780" customWidth="1"/>
    <col min="7171" max="7171" width="7.625" style="780" customWidth="1"/>
    <col min="7172" max="7172" width="11.875" style="780" bestFit="1" customWidth="1"/>
    <col min="7173" max="7173" width="9" style="780"/>
    <col min="7174" max="7174" width="9.5" style="780" customWidth="1"/>
    <col min="7175" max="7175" width="7.625" style="780" customWidth="1"/>
    <col min="7176" max="7176" width="11.75" style="780" customWidth="1"/>
    <col min="7177" max="7177" width="9" style="780"/>
    <col min="7178" max="7178" width="11.875" style="780" bestFit="1" customWidth="1"/>
    <col min="7179" max="7179" width="7.125" style="780" customWidth="1"/>
    <col min="7180" max="7180" width="13" style="780" bestFit="1" customWidth="1"/>
    <col min="7181" max="7423" width="9" style="780"/>
    <col min="7424" max="7424" width="4.75" style="780" customWidth="1"/>
    <col min="7425" max="7425" width="9" style="780"/>
    <col min="7426" max="7426" width="19.75" style="780" customWidth="1"/>
    <col min="7427" max="7427" width="7.625" style="780" customWidth="1"/>
    <col min="7428" max="7428" width="11.875" style="780" bestFit="1" customWidth="1"/>
    <col min="7429" max="7429" width="9" style="780"/>
    <col min="7430" max="7430" width="9.5" style="780" customWidth="1"/>
    <col min="7431" max="7431" width="7.625" style="780" customWidth="1"/>
    <col min="7432" max="7432" width="11.75" style="780" customWidth="1"/>
    <col min="7433" max="7433" width="9" style="780"/>
    <col min="7434" max="7434" width="11.875" style="780" bestFit="1" customWidth="1"/>
    <col min="7435" max="7435" width="7.125" style="780" customWidth="1"/>
    <col min="7436" max="7436" width="13" style="780" bestFit="1" customWidth="1"/>
    <col min="7437" max="7679" width="9" style="780"/>
    <col min="7680" max="7680" width="4.75" style="780" customWidth="1"/>
    <col min="7681" max="7681" width="9" style="780"/>
    <col min="7682" max="7682" width="19.75" style="780" customWidth="1"/>
    <col min="7683" max="7683" width="7.625" style="780" customWidth="1"/>
    <col min="7684" max="7684" width="11.875" style="780" bestFit="1" customWidth="1"/>
    <col min="7685" max="7685" width="9" style="780"/>
    <col min="7686" max="7686" width="9.5" style="780" customWidth="1"/>
    <col min="7687" max="7687" width="7.625" style="780" customWidth="1"/>
    <col min="7688" max="7688" width="11.75" style="780" customWidth="1"/>
    <col min="7689" max="7689" width="9" style="780"/>
    <col min="7690" max="7690" width="11.875" style="780" bestFit="1" customWidth="1"/>
    <col min="7691" max="7691" width="7.125" style="780" customWidth="1"/>
    <col min="7692" max="7692" width="13" style="780" bestFit="1" customWidth="1"/>
    <col min="7693" max="7935" width="9" style="780"/>
    <col min="7936" max="7936" width="4.75" style="780" customWidth="1"/>
    <col min="7937" max="7937" width="9" style="780"/>
    <col min="7938" max="7938" width="19.75" style="780" customWidth="1"/>
    <col min="7939" max="7939" width="7.625" style="780" customWidth="1"/>
    <col min="7940" max="7940" width="11.875" style="780" bestFit="1" customWidth="1"/>
    <col min="7941" max="7941" width="9" style="780"/>
    <col min="7942" max="7942" width="9.5" style="780" customWidth="1"/>
    <col min="7943" max="7943" width="7.625" style="780" customWidth="1"/>
    <col min="7944" max="7944" width="11.75" style="780" customWidth="1"/>
    <col min="7945" max="7945" width="9" style="780"/>
    <col min="7946" max="7946" width="11.875" style="780" bestFit="1" customWidth="1"/>
    <col min="7947" max="7947" width="7.125" style="780" customWidth="1"/>
    <col min="7948" max="7948" width="13" style="780" bestFit="1" customWidth="1"/>
    <col min="7949" max="8191" width="9" style="780"/>
    <col min="8192" max="8192" width="4.75" style="780" customWidth="1"/>
    <col min="8193" max="8193" width="9" style="780"/>
    <col min="8194" max="8194" width="19.75" style="780" customWidth="1"/>
    <col min="8195" max="8195" width="7.625" style="780" customWidth="1"/>
    <col min="8196" max="8196" width="11.875" style="780" bestFit="1" customWidth="1"/>
    <col min="8197" max="8197" width="9" style="780"/>
    <col min="8198" max="8198" width="9.5" style="780" customWidth="1"/>
    <col min="8199" max="8199" width="7.625" style="780" customWidth="1"/>
    <col min="8200" max="8200" width="11.75" style="780" customWidth="1"/>
    <col min="8201" max="8201" width="9" style="780"/>
    <col min="8202" max="8202" width="11.875" style="780" bestFit="1" customWidth="1"/>
    <col min="8203" max="8203" width="7.125" style="780" customWidth="1"/>
    <col min="8204" max="8204" width="13" style="780" bestFit="1" customWidth="1"/>
    <col min="8205" max="8447" width="9" style="780"/>
    <col min="8448" max="8448" width="4.75" style="780" customWidth="1"/>
    <col min="8449" max="8449" width="9" style="780"/>
    <col min="8450" max="8450" width="19.75" style="780" customWidth="1"/>
    <col min="8451" max="8451" width="7.625" style="780" customWidth="1"/>
    <col min="8452" max="8452" width="11.875" style="780" bestFit="1" customWidth="1"/>
    <col min="8453" max="8453" width="9" style="780"/>
    <col min="8454" max="8454" width="9.5" style="780" customWidth="1"/>
    <col min="8455" max="8455" width="7.625" style="780" customWidth="1"/>
    <col min="8456" max="8456" width="11.75" style="780" customWidth="1"/>
    <col min="8457" max="8457" width="9" style="780"/>
    <col min="8458" max="8458" width="11.875" style="780" bestFit="1" customWidth="1"/>
    <col min="8459" max="8459" width="7.125" style="780" customWidth="1"/>
    <col min="8460" max="8460" width="13" style="780" bestFit="1" customWidth="1"/>
    <col min="8461" max="8703" width="9" style="780"/>
    <col min="8704" max="8704" width="4.75" style="780" customWidth="1"/>
    <col min="8705" max="8705" width="9" style="780"/>
    <col min="8706" max="8706" width="19.75" style="780" customWidth="1"/>
    <col min="8707" max="8707" width="7.625" style="780" customWidth="1"/>
    <col min="8708" max="8708" width="11.875" style="780" bestFit="1" customWidth="1"/>
    <col min="8709" max="8709" width="9" style="780"/>
    <col min="8710" max="8710" width="9.5" style="780" customWidth="1"/>
    <col min="8711" max="8711" width="7.625" style="780" customWidth="1"/>
    <col min="8712" max="8712" width="11.75" style="780" customWidth="1"/>
    <col min="8713" max="8713" width="9" style="780"/>
    <col min="8714" max="8714" width="11.875" style="780" bestFit="1" customWidth="1"/>
    <col min="8715" max="8715" width="7.125" style="780" customWidth="1"/>
    <col min="8716" max="8716" width="13" style="780" bestFit="1" customWidth="1"/>
    <col min="8717" max="8959" width="9" style="780"/>
    <col min="8960" max="8960" width="4.75" style="780" customWidth="1"/>
    <col min="8961" max="8961" width="9" style="780"/>
    <col min="8962" max="8962" width="19.75" style="780" customWidth="1"/>
    <col min="8963" max="8963" width="7.625" style="780" customWidth="1"/>
    <col min="8964" max="8964" width="11.875" style="780" bestFit="1" customWidth="1"/>
    <col min="8965" max="8965" width="9" style="780"/>
    <col min="8966" max="8966" width="9.5" style="780" customWidth="1"/>
    <col min="8967" max="8967" width="7.625" style="780" customWidth="1"/>
    <col min="8968" max="8968" width="11.75" style="780" customWidth="1"/>
    <col min="8969" max="8969" width="9" style="780"/>
    <col min="8970" max="8970" width="11.875" style="780" bestFit="1" customWidth="1"/>
    <col min="8971" max="8971" width="7.125" style="780" customWidth="1"/>
    <col min="8972" max="8972" width="13" style="780" bestFit="1" customWidth="1"/>
    <col min="8973" max="9215" width="9" style="780"/>
    <col min="9216" max="9216" width="4.75" style="780" customWidth="1"/>
    <col min="9217" max="9217" width="9" style="780"/>
    <col min="9218" max="9218" width="19.75" style="780" customWidth="1"/>
    <col min="9219" max="9219" width="7.625" style="780" customWidth="1"/>
    <col min="9220" max="9220" width="11.875" style="780" bestFit="1" customWidth="1"/>
    <col min="9221" max="9221" width="9" style="780"/>
    <col min="9222" max="9222" width="9.5" style="780" customWidth="1"/>
    <col min="9223" max="9223" width="7.625" style="780" customWidth="1"/>
    <col min="9224" max="9224" width="11.75" style="780" customWidth="1"/>
    <col min="9225" max="9225" width="9" style="780"/>
    <col min="9226" max="9226" width="11.875" style="780" bestFit="1" customWidth="1"/>
    <col min="9227" max="9227" width="7.125" style="780" customWidth="1"/>
    <col min="9228" max="9228" width="13" style="780" bestFit="1" customWidth="1"/>
    <col min="9229" max="9471" width="9" style="780"/>
    <col min="9472" max="9472" width="4.75" style="780" customWidth="1"/>
    <col min="9473" max="9473" width="9" style="780"/>
    <col min="9474" max="9474" width="19.75" style="780" customWidth="1"/>
    <col min="9475" max="9475" width="7.625" style="780" customWidth="1"/>
    <col min="9476" max="9476" width="11.875" style="780" bestFit="1" customWidth="1"/>
    <col min="9477" max="9477" width="9" style="780"/>
    <col min="9478" max="9478" width="9.5" style="780" customWidth="1"/>
    <col min="9479" max="9479" width="7.625" style="780" customWidth="1"/>
    <col min="9480" max="9480" width="11.75" style="780" customWidth="1"/>
    <col min="9481" max="9481" width="9" style="780"/>
    <col min="9482" max="9482" width="11.875" style="780" bestFit="1" customWidth="1"/>
    <col min="9483" max="9483" width="7.125" style="780" customWidth="1"/>
    <col min="9484" max="9484" width="13" style="780" bestFit="1" customWidth="1"/>
    <col min="9485" max="9727" width="9" style="780"/>
    <col min="9728" max="9728" width="4.75" style="780" customWidth="1"/>
    <col min="9729" max="9729" width="9" style="780"/>
    <col min="9730" max="9730" width="19.75" style="780" customWidth="1"/>
    <col min="9731" max="9731" width="7.625" style="780" customWidth="1"/>
    <col min="9732" max="9732" width="11.875" style="780" bestFit="1" customWidth="1"/>
    <col min="9733" max="9733" width="9" style="780"/>
    <col min="9734" max="9734" width="9.5" style="780" customWidth="1"/>
    <col min="9735" max="9735" width="7.625" style="780" customWidth="1"/>
    <col min="9736" max="9736" width="11.75" style="780" customWidth="1"/>
    <col min="9737" max="9737" width="9" style="780"/>
    <col min="9738" max="9738" width="11.875" style="780" bestFit="1" customWidth="1"/>
    <col min="9739" max="9739" width="7.125" style="780" customWidth="1"/>
    <col min="9740" max="9740" width="13" style="780" bestFit="1" customWidth="1"/>
    <col min="9741" max="9983" width="9" style="780"/>
    <col min="9984" max="9984" width="4.75" style="780" customWidth="1"/>
    <col min="9985" max="9985" width="9" style="780"/>
    <col min="9986" max="9986" width="19.75" style="780" customWidth="1"/>
    <col min="9987" max="9987" width="7.625" style="780" customWidth="1"/>
    <col min="9988" max="9988" width="11.875" style="780" bestFit="1" customWidth="1"/>
    <col min="9989" max="9989" width="9" style="780"/>
    <col min="9990" max="9990" width="9.5" style="780" customWidth="1"/>
    <col min="9991" max="9991" width="7.625" style="780" customWidth="1"/>
    <col min="9992" max="9992" width="11.75" style="780" customWidth="1"/>
    <col min="9993" max="9993" width="9" style="780"/>
    <col min="9994" max="9994" width="11.875" style="780" bestFit="1" customWidth="1"/>
    <col min="9995" max="9995" width="7.125" style="780" customWidth="1"/>
    <col min="9996" max="9996" width="13" style="780" bestFit="1" customWidth="1"/>
    <col min="9997" max="10239" width="9" style="780"/>
    <col min="10240" max="10240" width="4.75" style="780" customWidth="1"/>
    <col min="10241" max="10241" width="9" style="780"/>
    <col min="10242" max="10242" width="19.75" style="780" customWidth="1"/>
    <col min="10243" max="10243" width="7.625" style="780" customWidth="1"/>
    <col min="10244" max="10244" width="11.875" style="780" bestFit="1" customWidth="1"/>
    <col min="10245" max="10245" width="9" style="780"/>
    <col min="10246" max="10246" width="9.5" style="780" customWidth="1"/>
    <col min="10247" max="10247" width="7.625" style="780" customWidth="1"/>
    <col min="10248" max="10248" width="11.75" style="780" customWidth="1"/>
    <col min="10249" max="10249" width="9" style="780"/>
    <col min="10250" max="10250" width="11.875" style="780" bestFit="1" customWidth="1"/>
    <col min="10251" max="10251" width="7.125" style="780" customWidth="1"/>
    <col min="10252" max="10252" width="13" style="780" bestFit="1" customWidth="1"/>
    <col min="10253" max="10495" width="9" style="780"/>
    <col min="10496" max="10496" width="4.75" style="780" customWidth="1"/>
    <col min="10497" max="10497" width="9" style="780"/>
    <col min="10498" max="10498" width="19.75" style="780" customWidth="1"/>
    <col min="10499" max="10499" width="7.625" style="780" customWidth="1"/>
    <col min="10500" max="10500" width="11.875" style="780" bestFit="1" customWidth="1"/>
    <col min="10501" max="10501" width="9" style="780"/>
    <col min="10502" max="10502" width="9.5" style="780" customWidth="1"/>
    <col min="10503" max="10503" width="7.625" style="780" customWidth="1"/>
    <col min="10504" max="10504" width="11.75" style="780" customWidth="1"/>
    <col min="10505" max="10505" width="9" style="780"/>
    <col min="10506" max="10506" width="11.875" style="780" bestFit="1" customWidth="1"/>
    <col min="10507" max="10507" width="7.125" style="780" customWidth="1"/>
    <col min="10508" max="10508" width="13" style="780" bestFit="1" customWidth="1"/>
    <col min="10509" max="10751" width="9" style="780"/>
    <col min="10752" max="10752" width="4.75" style="780" customWidth="1"/>
    <col min="10753" max="10753" width="9" style="780"/>
    <col min="10754" max="10754" width="19.75" style="780" customWidth="1"/>
    <col min="10755" max="10755" width="7.625" style="780" customWidth="1"/>
    <col min="10756" max="10756" width="11.875" style="780" bestFit="1" customWidth="1"/>
    <col min="10757" max="10757" width="9" style="780"/>
    <col min="10758" max="10758" width="9.5" style="780" customWidth="1"/>
    <col min="10759" max="10759" width="7.625" style="780" customWidth="1"/>
    <col min="10760" max="10760" width="11.75" style="780" customWidth="1"/>
    <col min="10761" max="10761" width="9" style="780"/>
    <col min="10762" max="10762" width="11.875" style="780" bestFit="1" customWidth="1"/>
    <col min="10763" max="10763" width="7.125" style="780" customWidth="1"/>
    <col min="10764" max="10764" width="13" style="780" bestFit="1" customWidth="1"/>
    <col min="10765" max="11007" width="9" style="780"/>
    <col min="11008" max="11008" width="4.75" style="780" customWidth="1"/>
    <col min="11009" max="11009" width="9" style="780"/>
    <col min="11010" max="11010" width="19.75" style="780" customWidth="1"/>
    <col min="11011" max="11011" width="7.625" style="780" customWidth="1"/>
    <col min="11012" max="11012" width="11.875" style="780" bestFit="1" customWidth="1"/>
    <col min="11013" max="11013" width="9" style="780"/>
    <col min="11014" max="11014" width="9.5" style="780" customWidth="1"/>
    <col min="11015" max="11015" width="7.625" style="780" customWidth="1"/>
    <col min="11016" max="11016" width="11.75" style="780" customWidth="1"/>
    <col min="11017" max="11017" width="9" style="780"/>
    <col min="11018" max="11018" width="11.875" style="780" bestFit="1" customWidth="1"/>
    <col min="11019" max="11019" width="7.125" style="780" customWidth="1"/>
    <col min="11020" max="11020" width="13" style="780" bestFit="1" customWidth="1"/>
    <col min="11021" max="11263" width="9" style="780"/>
    <col min="11264" max="11264" width="4.75" style="780" customWidth="1"/>
    <col min="11265" max="11265" width="9" style="780"/>
    <col min="11266" max="11266" width="19.75" style="780" customWidth="1"/>
    <col min="11267" max="11267" width="7.625" style="780" customWidth="1"/>
    <col min="11268" max="11268" width="11.875" style="780" bestFit="1" customWidth="1"/>
    <col min="11269" max="11269" width="9" style="780"/>
    <col min="11270" max="11270" width="9.5" style="780" customWidth="1"/>
    <col min="11271" max="11271" width="7.625" style="780" customWidth="1"/>
    <col min="11272" max="11272" width="11.75" style="780" customWidth="1"/>
    <col min="11273" max="11273" width="9" style="780"/>
    <col min="11274" max="11274" width="11.875" style="780" bestFit="1" customWidth="1"/>
    <col min="11275" max="11275" width="7.125" style="780" customWidth="1"/>
    <col min="11276" max="11276" width="13" style="780" bestFit="1" customWidth="1"/>
    <col min="11277" max="11519" width="9" style="780"/>
    <col min="11520" max="11520" width="4.75" style="780" customWidth="1"/>
    <col min="11521" max="11521" width="9" style="780"/>
    <col min="11522" max="11522" width="19.75" style="780" customWidth="1"/>
    <col min="11523" max="11523" width="7.625" style="780" customWidth="1"/>
    <col min="11524" max="11524" width="11.875" style="780" bestFit="1" customWidth="1"/>
    <col min="11525" max="11525" width="9" style="780"/>
    <col min="11526" max="11526" width="9.5" style="780" customWidth="1"/>
    <col min="11527" max="11527" width="7.625" style="780" customWidth="1"/>
    <col min="11528" max="11528" width="11.75" style="780" customWidth="1"/>
    <col min="11529" max="11529" width="9" style="780"/>
    <col min="11530" max="11530" width="11.875" style="780" bestFit="1" customWidth="1"/>
    <col min="11531" max="11531" width="7.125" style="780" customWidth="1"/>
    <col min="11532" max="11532" width="13" style="780" bestFit="1" customWidth="1"/>
    <col min="11533" max="11775" width="9" style="780"/>
    <col min="11776" max="11776" width="4.75" style="780" customWidth="1"/>
    <col min="11777" max="11777" width="9" style="780"/>
    <col min="11778" max="11778" width="19.75" style="780" customWidth="1"/>
    <col min="11779" max="11779" width="7.625" style="780" customWidth="1"/>
    <col min="11780" max="11780" width="11.875" style="780" bestFit="1" customWidth="1"/>
    <col min="11781" max="11781" width="9" style="780"/>
    <col min="11782" max="11782" width="9.5" style="780" customWidth="1"/>
    <col min="11783" max="11783" width="7.625" style="780" customWidth="1"/>
    <col min="11784" max="11784" width="11.75" style="780" customWidth="1"/>
    <col min="11785" max="11785" width="9" style="780"/>
    <col min="11786" max="11786" width="11.875" style="780" bestFit="1" customWidth="1"/>
    <col min="11787" max="11787" width="7.125" style="780" customWidth="1"/>
    <col min="11788" max="11788" width="13" style="780" bestFit="1" customWidth="1"/>
    <col min="11789" max="12031" width="9" style="780"/>
    <col min="12032" max="12032" width="4.75" style="780" customWidth="1"/>
    <col min="12033" max="12033" width="9" style="780"/>
    <col min="12034" max="12034" width="19.75" style="780" customWidth="1"/>
    <col min="12035" max="12035" width="7.625" style="780" customWidth="1"/>
    <col min="12036" max="12036" width="11.875" style="780" bestFit="1" customWidth="1"/>
    <col min="12037" max="12037" width="9" style="780"/>
    <col min="12038" max="12038" width="9.5" style="780" customWidth="1"/>
    <col min="12039" max="12039" width="7.625" style="780" customWidth="1"/>
    <col min="12040" max="12040" width="11.75" style="780" customWidth="1"/>
    <col min="12041" max="12041" width="9" style="780"/>
    <col min="12042" max="12042" width="11.875" style="780" bestFit="1" customWidth="1"/>
    <col min="12043" max="12043" width="7.125" style="780" customWidth="1"/>
    <col min="12044" max="12044" width="13" style="780" bestFit="1" customWidth="1"/>
    <col min="12045" max="12287" width="9" style="780"/>
    <col min="12288" max="12288" width="4.75" style="780" customWidth="1"/>
    <col min="12289" max="12289" width="9" style="780"/>
    <col min="12290" max="12290" width="19.75" style="780" customWidth="1"/>
    <col min="12291" max="12291" width="7.625" style="780" customWidth="1"/>
    <col min="12292" max="12292" width="11.875" style="780" bestFit="1" customWidth="1"/>
    <col min="12293" max="12293" width="9" style="780"/>
    <col min="12294" max="12294" width="9.5" style="780" customWidth="1"/>
    <col min="12295" max="12295" width="7.625" style="780" customWidth="1"/>
    <col min="12296" max="12296" width="11.75" style="780" customWidth="1"/>
    <col min="12297" max="12297" width="9" style="780"/>
    <col min="12298" max="12298" width="11.875" style="780" bestFit="1" customWidth="1"/>
    <col min="12299" max="12299" width="7.125" style="780" customWidth="1"/>
    <col min="12300" max="12300" width="13" style="780" bestFit="1" customWidth="1"/>
    <col min="12301" max="12543" width="9" style="780"/>
    <col min="12544" max="12544" width="4.75" style="780" customWidth="1"/>
    <col min="12545" max="12545" width="9" style="780"/>
    <col min="12546" max="12546" width="19.75" style="780" customWidth="1"/>
    <col min="12547" max="12547" width="7.625" style="780" customWidth="1"/>
    <col min="12548" max="12548" width="11.875" style="780" bestFit="1" customWidth="1"/>
    <col min="12549" max="12549" width="9" style="780"/>
    <col min="12550" max="12550" width="9.5" style="780" customWidth="1"/>
    <col min="12551" max="12551" width="7.625" style="780" customWidth="1"/>
    <col min="12552" max="12552" width="11.75" style="780" customWidth="1"/>
    <col min="12553" max="12553" width="9" style="780"/>
    <col min="12554" max="12554" width="11.875" style="780" bestFit="1" customWidth="1"/>
    <col min="12555" max="12555" width="7.125" style="780" customWidth="1"/>
    <col min="12556" max="12556" width="13" style="780" bestFit="1" customWidth="1"/>
    <col min="12557" max="12799" width="9" style="780"/>
    <col min="12800" max="12800" width="4.75" style="780" customWidth="1"/>
    <col min="12801" max="12801" width="9" style="780"/>
    <col min="12802" max="12802" width="19.75" style="780" customWidth="1"/>
    <col min="12803" max="12803" width="7.625" style="780" customWidth="1"/>
    <col min="12804" max="12804" width="11.875" style="780" bestFit="1" customWidth="1"/>
    <col min="12805" max="12805" width="9" style="780"/>
    <col min="12806" max="12806" width="9.5" style="780" customWidth="1"/>
    <col min="12807" max="12807" width="7.625" style="780" customWidth="1"/>
    <col min="12808" max="12808" width="11.75" style="780" customWidth="1"/>
    <col min="12809" max="12809" width="9" style="780"/>
    <col min="12810" max="12810" width="11.875" style="780" bestFit="1" customWidth="1"/>
    <col min="12811" max="12811" width="7.125" style="780" customWidth="1"/>
    <col min="12812" max="12812" width="13" style="780" bestFit="1" customWidth="1"/>
    <col min="12813" max="13055" width="9" style="780"/>
    <col min="13056" max="13056" width="4.75" style="780" customWidth="1"/>
    <col min="13057" max="13057" width="9" style="780"/>
    <col min="13058" max="13058" width="19.75" style="780" customWidth="1"/>
    <col min="13059" max="13059" width="7.625" style="780" customWidth="1"/>
    <col min="13060" max="13060" width="11.875" style="780" bestFit="1" customWidth="1"/>
    <col min="13061" max="13061" width="9" style="780"/>
    <col min="13062" max="13062" width="9.5" style="780" customWidth="1"/>
    <col min="13063" max="13063" width="7.625" style="780" customWidth="1"/>
    <col min="13064" max="13064" width="11.75" style="780" customWidth="1"/>
    <col min="13065" max="13065" width="9" style="780"/>
    <col min="13066" max="13066" width="11.875" style="780" bestFit="1" customWidth="1"/>
    <col min="13067" max="13067" width="7.125" style="780" customWidth="1"/>
    <col min="13068" max="13068" width="13" style="780" bestFit="1" customWidth="1"/>
    <col min="13069" max="13311" width="9" style="780"/>
    <col min="13312" max="13312" width="4.75" style="780" customWidth="1"/>
    <col min="13313" max="13313" width="9" style="780"/>
    <col min="13314" max="13314" width="19.75" style="780" customWidth="1"/>
    <col min="13315" max="13315" width="7.625" style="780" customWidth="1"/>
    <col min="13316" max="13316" width="11.875" style="780" bestFit="1" customWidth="1"/>
    <col min="13317" max="13317" width="9" style="780"/>
    <col min="13318" max="13318" width="9.5" style="780" customWidth="1"/>
    <col min="13319" max="13319" width="7.625" style="780" customWidth="1"/>
    <col min="13320" max="13320" width="11.75" style="780" customWidth="1"/>
    <col min="13321" max="13321" width="9" style="780"/>
    <col min="13322" max="13322" width="11.875" style="780" bestFit="1" customWidth="1"/>
    <col min="13323" max="13323" width="7.125" style="780" customWidth="1"/>
    <col min="13324" max="13324" width="13" style="780" bestFit="1" customWidth="1"/>
    <col min="13325" max="13567" width="9" style="780"/>
    <col min="13568" max="13568" width="4.75" style="780" customWidth="1"/>
    <col min="13569" max="13569" width="9" style="780"/>
    <col min="13570" max="13570" width="19.75" style="780" customWidth="1"/>
    <col min="13571" max="13571" width="7.625" style="780" customWidth="1"/>
    <col min="13572" max="13572" width="11.875" style="780" bestFit="1" customWidth="1"/>
    <col min="13573" max="13573" width="9" style="780"/>
    <col min="13574" max="13574" width="9.5" style="780" customWidth="1"/>
    <col min="13575" max="13575" width="7.625" style="780" customWidth="1"/>
    <col min="13576" max="13576" width="11.75" style="780" customWidth="1"/>
    <col min="13577" max="13577" width="9" style="780"/>
    <col min="13578" max="13578" width="11.875" style="780" bestFit="1" customWidth="1"/>
    <col min="13579" max="13579" width="7.125" style="780" customWidth="1"/>
    <col min="13580" max="13580" width="13" style="780" bestFit="1" customWidth="1"/>
    <col min="13581" max="13823" width="9" style="780"/>
    <col min="13824" max="13824" width="4.75" style="780" customWidth="1"/>
    <col min="13825" max="13825" width="9" style="780"/>
    <col min="13826" max="13826" width="19.75" style="780" customWidth="1"/>
    <col min="13827" max="13827" width="7.625" style="780" customWidth="1"/>
    <col min="13828" max="13828" width="11.875" style="780" bestFit="1" customWidth="1"/>
    <col min="13829" max="13829" width="9" style="780"/>
    <col min="13830" max="13830" width="9.5" style="780" customWidth="1"/>
    <col min="13831" max="13831" width="7.625" style="780" customWidth="1"/>
    <col min="13832" max="13832" width="11.75" style="780" customWidth="1"/>
    <col min="13833" max="13833" width="9" style="780"/>
    <col min="13834" max="13834" width="11.875" style="780" bestFit="1" customWidth="1"/>
    <col min="13835" max="13835" width="7.125" style="780" customWidth="1"/>
    <col min="13836" max="13836" width="13" style="780" bestFit="1" customWidth="1"/>
    <col min="13837" max="14079" width="9" style="780"/>
    <col min="14080" max="14080" width="4.75" style="780" customWidth="1"/>
    <col min="14081" max="14081" width="9" style="780"/>
    <col min="14082" max="14082" width="19.75" style="780" customWidth="1"/>
    <col min="14083" max="14083" width="7.625" style="780" customWidth="1"/>
    <col min="14084" max="14084" width="11.875" style="780" bestFit="1" customWidth="1"/>
    <col min="14085" max="14085" width="9" style="780"/>
    <col min="14086" max="14086" width="9.5" style="780" customWidth="1"/>
    <col min="14087" max="14087" width="7.625" style="780" customWidth="1"/>
    <col min="14088" max="14088" width="11.75" style="780" customWidth="1"/>
    <col min="14089" max="14089" width="9" style="780"/>
    <col min="14090" max="14090" width="11.875" style="780" bestFit="1" customWidth="1"/>
    <col min="14091" max="14091" width="7.125" style="780" customWidth="1"/>
    <col min="14092" max="14092" width="13" style="780" bestFit="1" customWidth="1"/>
    <col min="14093" max="14335" width="9" style="780"/>
    <col min="14336" max="14336" width="4.75" style="780" customWidth="1"/>
    <col min="14337" max="14337" width="9" style="780"/>
    <col min="14338" max="14338" width="19.75" style="780" customWidth="1"/>
    <col min="14339" max="14339" width="7.625" style="780" customWidth="1"/>
    <col min="14340" max="14340" width="11.875" style="780" bestFit="1" customWidth="1"/>
    <col min="14341" max="14341" width="9" style="780"/>
    <col min="14342" max="14342" width="9.5" style="780" customWidth="1"/>
    <col min="14343" max="14343" width="7.625" style="780" customWidth="1"/>
    <col min="14344" max="14344" width="11.75" style="780" customWidth="1"/>
    <col min="14345" max="14345" width="9" style="780"/>
    <col min="14346" max="14346" width="11.875" style="780" bestFit="1" customWidth="1"/>
    <col min="14347" max="14347" width="7.125" style="780" customWidth="1"/>
    <col min="14348" max="14348" width="13" style="780" bestFit="1" customWidth="1"/>
    <col min="14349" max="14591" width="9" style="780"/>
    <col min="14592" max="14592" width="4.75" style="780" customWidth="1"/>
    <col min="14593" max="14593" width="9" style="780"/>
    <col min="14594" max="14594" width="19.75" style="780" customWidth="1"/>
    <col min="14595" max="14595" width="7.625" style="780" customWidth="1"/>
    <col min="14596" max="14596" width="11.875" style="780" bestFit="1" customWidth="1"/>
    <col min="14597" max="14597" width="9" style="780"/>
    <col min="14598" max="14598" width="9.5" style="780" customWidth="1"/>
    <col min="14599" max="14599" width="7.625" style="780" customWidth="1"/>
    <col min="14600" max="14600" width="11.75" style="780" customWidth="1"/>
    <col min="14601" max="14601" width="9" style="780"/>
    <col min="14602" max="14602" width="11.875" style="780" bestFit="1" customWidth="1"/>
    <col min="14603" max="14603" width="7.125" style="780" customWidth="1"/>
    <col min="14604" max="14604" width="13" style="780" bestFit="1" customWidth="1"/>
    <col min="14605" max="14847" width="9" style="780"/>
    <col min="14848" max="14848" width="4.75" style="780" customWidth="1"/>
    <col min="14849" max="14849" width="9" style="780"/>
    <col min="14850" max="14850" width="19.75" style="780" customWidth="1"/>
    <col min="14851" max="14851" width="7.625" style="780" customWidth="1"/>
    <col min="14852" max="14852" width="11.875" style="780" bestFit="1" customWidth="1"/>
    <col min="14853" max="14853" width="9" style="780"/>
    <col min="14854" max="14854" width="9.5" style="780" customWidth="1"/>
    <col min="14855" max="14855" width="7.625" style="780" customWidth="1"/>
    <col min="14856" max="14856" width="11.75" style="780" customWidth="1"/>
    <col min="14857" max="14857" width="9" style="780"/>
    <col min="14858" max="14858" width="11.875" style="780" bestFit="1" customWidth="1"/>
    <col min="14859" max="14859" width="7.125" style="780" customWidth="1"/>
    <col min="14860" max="14860" width="13" style="780" bestFit="1" customWidth="1"/>
    <col min="14861" max="15103" width="9" style="780"/>
    <col min="15104" max="15104" width="4.75" style="780" customWidth="1"/>
    <col min="15105" max="15105" width="9" style="780"/>
    <col min="15106" max="15106" width="19.75" style="780" customWidth="1"/>
    <col min="15107" max="15107" width="7.625" style="780" customWidth="1"/>
    <col min="15108" max="15108" width="11.875" style="780" bestFit="1" customWidth="1"/>
    <col min="15109" max="15109" width="9" style="780"/>
    <col min="15110" max="15110" width="9.5" style="780" customWidth="1"/>
    <col min="15111" max="15111" width="7.625" style="780" customWidth="1"/>
    <col min="15112" max="15112" width="11.75" style="780" customWidth="1"/>
    <col min="15113" max="15113" width="9" style="780"/>
    <col min="15114" max="15114" width="11.875" style="780" bestFit="1" customWidth="1"/>
    <col min="15115" max="15115" width="7.125" style="780" customWidth="1"/>
    <col min="15116" max="15116" width="13" style="780" bestFit="1" customWidth="1"/>
    <col min="15117" max="15359" width="9" style="780"/>
    <col min="15360" max="15360" width="4.75" style="780" customWidth="1"/>
    <col min="15361" max="15361" width="9" style="780"/>
    <col min="15362" max="15362" width="19.75" style="780" customWidth="1"/>
    <col min="15363" max="15363" width="7.625" style="780" customWidth="1"/>
    <col min="15364" max="15364" width="11.875" style="780" bestFit="1" customWidth="1"/>
    <col min="15365" max="15365" width="9" style="780"/>
    <col min="15366" max="15366" width="9.5" style="780" customWidth="1"/>
    <col min="15367" max="15367" width="7.625" style="780" customWidth="1"/>
    <col min="15368" max="15368" width="11.75" style="780" customWidth="1"/>
    <col min="15369" max="15369" width="9" style="780"/>
    <col min="15370" max="15370" width="11.875" style="780" bestFit="1" customWidth="1"/>
    <col min="15371" max="15371" width="7.125" style="780" customWidth="1"/>
    <col min="15372" max="15372" width="13" style="780" bestFit="1" customWidth="1"/>
    <col min="15373" max="15615" width="9" style="780"/>
    <col min="15616" max="15616" width="4.75" style="780" customWidth="1"/>
    <col min="15617" max="15617" width="9" style="780"/>
    <col min="15618" max="15618" width="19.75" style="780" customWidth="1"/>
    <col min="15619" max="15619" width="7.625" style="780" customWidth="1"/>
    <col min="15620" max="15620" width="11.875" style="780" bestFit="1" customWidth="1"/>
    <col min="15621" max="15621" width="9" style="780"/>
    <col min="15622" max="15622" width="9.5" style="780" customWidth="1"/>
    <col min="15623" max="15623" width="7.625" style="780" customWidth="1"/>
    <col min="15624" max="15624" width="11.75" style="780" customWidth="1"/>
    <col min="15625" max="15625" width="9" style="780"/>
    <col min="15626" max="15626" width="11.875" style="780" bestFit="1" customWidth="1"/>
    <col min="15627" max="15627" width="7.125" style="780" customWidth="1"/>
    <col min="15628" max="15628" width="13" style="780" bestFit="1" customWidth="1"/>
    <col min="15629" max="15871" width="9" style="780"/>
    <col min="15872" max="15872" width="4.75" style="780" customWidth="1"/>
    <col min="15873" max="15873" width="9" style="780"/>
    <col min="15874" max="15874" width="19.75" style="780" customWidth="1"/>
    <col min="15875" max="15875" width="7.625" style="780" customWidth="1"/>
    <col min="15876" max="15876" width="11.875" style="780" bestFit="1" customWidth="1"/>
    <col min="15877" max="15877" width="9" style="780"/>
    <col min="15878" max="15878" width="9.5" style="780" customWidth="1"/>
    <col min="15879" max="15879" width="7.625" style="780" customWidth="1"/>
    <col min="15880" max="15880" width="11.75" style="780" customWidth="1"/>
    <col min="15881" max="15881" width="9" style="780"/>
    <col min="15882" max="15882" width="11.875" style="780" bestFit="1" customWidth="1"/>
    <col min="15883" max="15883" width="7.125" style="780" customWidth="1"/>
    <col min="15884" max="15884" width="13" style="780" bestFit="1" customWidth="1"/>
    <col min="15885" max="16127" width="9" style="780"/>
    <col min="16128" max="16128" width="4.75" style="780" customWidth="1"/>
    <col min="16129" max="16129" width="9" style="780"/>
    <col min="16130" max="16130" width="19.75" style="780" customWidth="1"/>
    <col min="16131" max="16131" width="7.625" style="780" customWidth="1"/>
    <col min="16132" max="16132" width="11.875" style="780" bestFit="1" customWidth="1"/>
    <col min="16133" max="16133" width="9" style="780"/>
    <col min="16134" max="16134" width="9.5" style="780" customWidth="1"/>
    <col min="16135" max="16135" width="7.625" style="780" customWidth="1"/>
    <col min="16136" max="16136" width="11.75" style="780" customWidth="1"/>
    <col min="16137" max="16137" width="9" style="780"/>
    <col min="16138" max="16138" width="11.875" style="780" bestFit="1" customWidth="1"/>
    <col min="16139" max="16139" width="7.125" style="780" customWidth="1"/>
    <col min="16140" max="16140" width="13" style="780" bestFit="1" customWidth="1"/>
    <col min="16141" max="16384" width="9" style="780"/>
  </cols>
  <sheetData>
    <row r="1" spans="1:14" s="703" customFormat="1">
      <c r="A1" s="700" t="s">
        <v>959</v>
      </c>
      <c r="B1" s="701"/>
      <c r="C1" s="702"/>
      <c r="E1" s="704"/>
      <c r="I1" s="705"/>
      <c r="M1" s="706"/>
    </row>
    <row r="2" spans="1:14" s="703" customFormat="1" ht="13.5" thickBot="1">
      <c r="A2" s="707"/>
      <c r="B2" s="701"/>
      <c r="D2" s="704"/>
      <c r="E2" s="704"/>
      <c r="F2" s="704"/>
      <c r="G2" s="704"/>
      <c r="H2" s="704"/>
      <c r="I2" s="705"/>
      <c r="J2" s="704"/>
      <c r="K2" s="704"/>
      <c r="L2" s="704"/>
      <c r="M2" s="706"/>
    </row>
    <row r="3" spans="1:14" s="703" customFormat="1">
      <c r="A3" s="708"/>
      <c r="B3" s="709" t="s">
        <v>960</v>
      </c>
      <c r="C3" s="1586" t="s">
        <v>961</v>
      </c>
      <c r="D3" s="1586"/>
      <c r="E3" s="1586" t="s">
        <v>962</v>
      </c>
      <c r="F3" s="1586"/>
      <c r="G3" s="1586" t="s">
        <v>963</v>
      </c>
      <c r="H3" s="1586"/>
      <c r="I3" s="1586" t="s">
        <v>964</v>
      </c>
      <c r="J3" s="1586"/>
      <c r="K3" s="1586" t="s">
        <v>145</v>
      </c>
      <c r="L3" s="1586"/>
      <c r="M3" s="710" t="s">
        <v>965</v>
      </c>
    </row>
    <row r="4" spans="1:14" s="703" customFormat="1">
      <c r="A4" s="711"/>
      <c r="B4" s="712"/>
      <c r="C4" s="713" t="s">
        <v>966</v>
      </c>
      <c r="D4" s="714" t="s">
        <v>967</v>
      </c>
      <c r="E4" s="713" t="s">
        <v>966</v>
      </c>
      <c r="F4" s="713" t="s">
        <v>967</v>
      </c>
      <c r="G4" s="713" t="s">
        <v>966</v>
      </c>
      <c r="H4" s="713" t="s">
        <v>967</v>
      </c>
      <c r="I4" s="715" t="s">
        <v>966</v>
      </c>
      <c r="J4" s="713" t="s">
        <v>967</v>
      </c>
      <c r="K4" s="713" t="s">
        <v>966</v>
      </c>
      <c r="L4" s="713" t="s">
        <v>967</v>
      </c>
      <c r="M4" s="716"/>
    </row>
    <row r="5" spans="1:14" s="703" customFormat="1" ht="12.75" customHeight="1">
      <c r="A5" s="717" t="s">
        <v>968</v>
      </c>
      <c r="B5" s="718" t="s">
        <v>969</v>
      </c>
      <c r="C5" s="719">
        <f>C6+C7</f>
        <v>50</v>
      </c>
      <c r="D5" s="719">
        <f t="shared" ref="D5:L5" si="0">D6+D7</f>
        <v>3289</v>
      </c>
      <c r="E5" s="719">
        <f t="shared" si="0"/>
        <v>50</v>
      </c>
      <c r="F5" s="719">
        <f t="shared" si="0"/>
        <v>3289</v>
      </c>
      <c r="G5" s="719">
        <f t="shared" si="0"/>
        <v>50</v>
      </c>
      <c r="H5" s="719">
        <f t="shared" si="0"/>
        <v>3289</v>
      </c>
      <c r="I5" s="719">
        <f t="shared" si="0"/>
        <v>50</v>
      </c>
      <c r="J5" s="719">
        <f t="shared" si="0"/>
        <v>3289</v>
      </c>
      <c r="K5" s="719">
        <f t="shared" si="0"/>
        <v>200</v>
      </c>
      <c r="L5" s="719">
        <f t="shared" si="0"/>
        <v>13156</v>
      </c>
      <c r="M5" s="720"/>
    </row>
    <row r="6" spans="1:14" s="703" customFormat="1" ht="12.75" customHeight="1">
      <c r="A6" s="1587" t="s">
        <v>970</v>
      </c>
      <c r="B6" s="721" t="s">
        <v>971</v>
      </c>
      <c r="C6" s="722">
        <f t="shared" ref="C6:J7" si="1">C8+C10+C12</f>
        <v>13</v>
      </c>
      <c r="D6" s="722">
        <f t="shared" si="1"/>
        <v>1070</v>
      </c>
      <c r="E6" s="722">
        <f t="shared" si="1"/>
        <v>13</v>
      </c>
      <c r="F6" s="722">
        <f t="shared" si="1"/>
        <v>1070</v>
      </c>
      <c r="G6" s="722">
        <f t="shared" si="1"/>
        <v>13</v>
      </c>
      <c r="H6" s="722">
        <f t="shared" si="1"/>
        <v>1070</v>
      </c>
      <c r="I6" s="722">
        <f t="shared" si="1"/>
        <v>13</v>
      </c>
      <c r="J6" s="722">
        <f t="shared" si="1"/>
        <v>1070</v>
      </c>
      <c r="K6" s="722">
        <f t="shared" ref="K6:L37" si="2">I6+G6+E6+C6</f>
        <v>52</v>
      </c>
      <c r="L6" s="722">
        <f t="shared" si="2"/>
        <v>4280</v>
      </c>
      <c r="M6" s="1659"/>
      <c r="N6" s="723"/>
    </row>
    <row r="7" spans="1:14" s="703" customFormat="1">
      <c r="A7" s="1588"/>
      <c r="B7" s="721" t="s">
        <v>972</v>
      </c>
      <c r="C7" s="722">
        <f>C9+C11+C13</f>
        <v>37</v>
      </c>
      <c r="D7" s="722">
        <f t="shared" si="1"/>
        <v>2219</v>
      </c>
      <c r="E7" s="722">
        <f t="shared" si="1"/>
        <v>37</v>
      </c>
      <c r="F7" s="722">
        <f t="shared" si="1"/>
        <v>2219</v>
      </c>
      <c r="G7" s="722">
        <f t="shared" si="1"/>
        <v>37</v>
      </c>
      <c r="H7" s="722">
        <f t="shared" si="1"/>
        <v>2219</v>
      </c>
      <c r="I7" s="722">
        <f t="shared" si="1"/>
        <v>37</v>
      </c>
      <c r="J7" s="722">
        <f t="shared" si="1"/>
        <v>2219</v>
      </c>
      <c r="K7" s="722">
        <f t="shared" si="2"/>
        <v>148</v>
      </c>
      <c r="L7" s="722">
        <f>J7+H7+F7+D7</f>
        <v>8876</v>
      </c>
      <c r="M7" s="1660"/>
    </row>
    <row r="8" spans="1:14" s="703" customFormat="1">
      <c r="A8" s="1595" t="s">
        <v>973</v>
      </c>
      <c r="B8" s="721" t="s">
        <v>971</v>
      </c>
      <c r="C8" s="722">
        <f>E145</f>
        <v>3</v>
      </c>
      <c r="D8" s="722">
        <f>1*$B$130+2*$B$129</f>
        <v>240</v>
      </c>
      <c r="E8" s="722">
        <f>F145</f>
        <v>3</v>
      </c>
      <c r="F8" s="722">
        <f>1*$B$130+2*$B$129</f>
        <v>240</v>
      </c>
      <c r="G8" s="722">
        <f>G145</f>
        <v>3</v>
      </c>
      <c r="H8" s="722">
        <f>1*$B$130+2*$B$129</f>
        <v>240</v>
      </c>
      <c r="I8" s="722">
        <f>H145</f>
        <v>3</v>
      </c>
      <c r="J8" s="722">
        <f>1*$B$130+2*$B$129</f>
        <v>240</v>
      </c>
      <c r="K8" s="722">
        <f t="shared" si="2"/>
        <v>12</v>
      </c>
      <c r="L8" s="722">
        <f t="shared" si="2"/>
        <v>960</v>
      </c>
      <c r="M8" s="1660"/>
    </row>
    <row r="9" spans="1:14" s="703" customFormat="1">
      <c r="A9" s="1596"/>
      <c r="B9" s="721" t="s">
        <v>972</v>
      </c>
      <c r="C9" s="722">
        <f>E151</f>
        <v>7</v>
      </c>
      <c r="D9" s="722">
        <f>3*$B$131+4*$B$132</f>
        <v>409</v>
      </c>
      <c r="E9" s="722">
        <f>F151</f>
        <v>7</v>
      </c>
      <c r="F9" s="722">
        <f>3*$B$131+4*$B$132</f>
        <v>409</v>
      </c>
      <c r="G9" s="722">
        <f>G151</f>
        <v>7</v>
      </c>
      <c r="H9" s="722">
        <f>3*$B$131+4*$B$132</f>
        <v>409</v>
      </c>
      <c r="I9" s="722">
        <f>H151</f>
        <v>7</v>
      </c>
      <c r="J9" s="722">
        <f>3*$B$131+4*$B$132</f>
        <v>409</v>
      </c>
      <c r="K9" s="722">
        <f t="shared" si="2"/>
        <v>28</v>
      </c>
      <c r="L9" s="722">
        <f t="shared" si="2"/>
        <v>1636</v>
      </c>
      <c r="M9" s="1660"/>
    </row>
    <row r="10" spans="1:14" s="703" customFormat="1">
      <c r="A10" s="1589" t="s">
        <v>736</v>
      </c>
      <c r="B10" s="721" t="s">
        <v>971</v>
      </c>
      <c r="C10" s="722">
        <f>E146</f>
        <v>5</v>
      </c>
      <c r="D10" s="722">
        <f>2*$B$130+3*$B$129</f>
        <v>415</v>
      </c>
      <c r="E10" s="722">
        <f>F146</f>
        <v>5</v>
      </c>
      <c r="F10" s="722">
        <f>2*$B$130+3*$B$129</f>
        <v>415</v>
      </c>
      <c r="G10" s="722">
        <f>G146</f>
        <v>5</v>
      </c>
      <c r="H10" s="722">
        <f>2*$B$130+3*$B$129</f>
        <v>415</v>
      </c>
      <c r="I10" s="722">
        <f>H146</f>
        <v>5</v>
      </c>
      <c r="J10" s="722">
        <f>2*$B$130+3*$B$129</f>
        <v>415</v>
      </c>
      <c r="K10" s="722">
        <f t="shared" si="2"/>
        <v>20</v>
      </c>
      <c r="L10" s="722">
        <f t="shared" si="2"/>
        <v>1660</v>
      </c>
      <c r="M10" s="1660"/>
    </row>
    <row r="11" spans="1:14" s="703" customFormat="1">
      <c r="A11" s="1590"/>
      <c r="B11" s="721" t="s">
        <v>972</v>
      </c>
      <c r="C11" s="722">
        <f>E152</f>
        <v>15</v>
      </c>
      <c r="D11" s="722">
        <f>5*$B$131+10*$B$132</f>
        <v>865</v>
      </c>
      <c r="E11" s="722">
        <f>F152</f>
        <v>15</v>
      </c>
      <c r="F11" s="722">
        <f>5*$B$131+10*$B$132</f>
        <v>865</v>
      </c>
      <c r="G11" s="722">
        <f>G152</f>
        <v>15</v>
      </c>
      <c r="H11" s="722">
        <f>5*$B$131+10*$B$132</f>
        <v>865</v>
      </c>
      <c r="I11" s="722">
        <f>H152</f>
        <v>15</v>
      </c>
      <c r="J11" s="722">
        <f>5*$B$131+10*$B$132</f>
        <v>865</v>
      </c>
      <c r="K11" s="722">
        <f t="shared" si="2"/>
        <v>60</v>
      </c>
      <c r="L11" s="722">
        <f t="shared" si="2"/>
        <v>3460</v>
      </c>
      <c r="M11" s="1660"/>
    </row>
    <row r="12" spans="1:14" s="703" customFormat="1">
      <c r="A12" s="1591" t="s">
        <v>974</v>
      </c>
      <c r="B12" s="721" t="s">
        <v>971</v>
      </c>
      <c r="C12" s="722">
        <f>E147</f>
        <v>5</v>
      </c>
      <c r="D12" s="722">
        <f>2*$B$130+3*$B$129</f>
        <v>415</v>
      </c>
      <c r="E12" s="722">
        <f>F147</f>
        <v>5</v>
      </c>
      <c r="F12" s="722">
        <f>2*$B$130+3*$B$129</f>
        <v>415</v>
      </c>
      <c r="G12" s="722">
        <f>G147</f>
        <v>5</v>
      </c>
      <c r="H12" s="722">
        <f>2*$B$130+3*$B$129</f>
        <v>415</v>
      </c>
      <c r="I12" s="722">
        <f>H147</f>
        <v>5</v>
      </c>
      <c r="J12" s="722">
        <f>2*$B$130+3*$B$129</f>
        <v>415</v>
      </c>
      <c r="K12" s="722">
        <f t="shared" si="2"/>
        <v>20</v>
      </c>
      <c r="L12" s="722">
        <f t="shared" si="2"/>
        <v>1660</v>
      </c>
      <c r="M12" s="1660"/>
    </row>
    <row r="13" spans="1:14" s="703" customFormat="1">
      <c r="A13" s="1592"/>
      <c r="B13" s="721" t="s">
        <v>972</v>
      </c>
      <c r="C13" s="722">
        <f>E153</f>
        <v>15</v>
      </c>
      <c r="D13" s="722">
        <f>C13*$B$131</f>
        <v>945</v>
      </c>
      <c r="E13" s="722">
        <f>F153</f>
        <v>15</v>
      </c>
      <c r="F13" s="722">
        <f>E13*$B$131</f>
        <v>945</v>
      </c>
      <c r="G13" s="722">
        <f>G153</f>
        <v>15</v>
      </c>
      <c r="H13" s="722">
        <f>G13*$B$131</f>
        <v>945</v>
      </c>
      <c r="I13" s="722">
        <f>H153</f>
        <v>15</v>
      </c>
      <c r="J13" s="722">
        <f>I13*$B$131</f>
        <v>945</v>
      </c>
      <c r="K13" s="722">
        <f t="shared" si="2"/>
        <v>60</v>
      </c>
      <c r="L13" s="722">
        <f t="shared" si="2"/>
        <v>3780</v>
      </c>
      <c r="M13" s="1661"/>
    </row>
    <row r="14" spans="1:14" s="703" customFormat="1" ht="12.75" customHeight="1">
      <c r="A14" s="717" t="s">
        <v>975</v>
      </c>
      <c r="B14" s="718" t="s">
        <v>969</v>
      </c>
      <c r="C14" s="719">
        <f t="shared" ref="C14:L14" si="3">C15+C16</f>
        <v>218.39999999999998</v>
      </c>
      <c r="D14" s="719">
        <f t="shared" si="3"/>
        <v>16216.3</v>
      </c>
      <c r="E14" s="719">
        <f t="shared" si="3"/>
        <v>268.92</v>
      </c>
      <c r="F14" s="719">
        <f t="shared" si="3"/>
        <v>19461.3</v>
      </c>
      <c r="G14" s="719">
        <f t="shared" si="3"/>
        <v>252.15</v>
      </c>
      <c r="H14" s="719">
        <f t="shared" si="3"/>
        <v>18761.3</v>
      </c>
      <c r="I14" s="724">
        <f t="shared" si="3"/>
        <v>269.13</v>
      </c>
      <c r="J14" s="719">
        <f t="shared" si="3"/>
        <v>20421.3</v>
      </c>
      <c r="K14" s="719">
        <f t="shared" si="3"/>
        <v>1008.5999999999999</v>
      </c>
      <c r="L14" s="719">
        <f t="shared" si="3"/>
        <v>74860.2</v>
      </c>
      <c r="M14" s="725"/>
    </row>
    <row r="15" spans="1:14" s="703" customFormat="1" ht="12.75" customHeight="1">
      <c r="A15" s="1587" t="s">
        <v>970</v>
      </c>
      <c r="B15" s="721" t="s">
        <v>971</v>
      </c>
      <c r="C15" s="722">
        <f>C17+C19+C21</f>
        <v>201.89999999999998</v>
      </c>
      <c r="D15" s="722">
        <f t="shared" ref="D15:J16" si="4">D17+D19+D21</f>
        <v>10265</v>
      </c>
      <c r="E15" s="722">
        <f t="shared" si="4"/>
        <v>248.31</v>
      </c>
      <c r="F15" s="722">
        <f t="shared" si="4"/>
        <v>11695</v>
      </c>
      <c r="G15" s="722">
        <f t="shared" si="4"/>
        <v>232.8</v>
      </c>
      <c r="H15" s="722">
        <f t="shared" si="4"/>
        <v>11435</v>
      </c>
      <c r="I15" s="722">
        <f t="shared" si="4"/>
        <v>248.19</v>
      </c>
      <c r="J15" s="722">
        <f t="shared" si="4"/>
        <v>12215</v>
      </c>
      <c r="K15" s="722">
        <f t="shared" si="2"/>
        <v>931.19999999999993</v>
      </c>
      <c r="L15" s="722">
        <f t="shared" si="2"/>
        <v>45610</v>
      </c>
      <c r="M15" s="716"/>
    </row>
    <row r="16" spans="1:14" s="703" customFormat="1" ht="12.75" customHeight="1">
      <c r="A16" s="1588"/>
      <c r="B16" s="721" t="s">
        <v>972</v>
      </c>
      <c r="C16" s="722">
        <f>C18+C20+C22</f>
        <v>16.5</v>
      </c>
      <c r="D16" s="722">
        <f t="shared" si="4"/>
        <v>5951.3</v>
      </c>
      <c r="E16" s="722">
        <f t="shared" si="4"/>
        <v>20.61</v>
      </c>
      <c r="F16" s="722">
        <f t="shared" si="4"/>
        <v>7766.3</v>
      </c>
      <c r="G16" s="722">
        <f t="shared" si="4"/>
        <v>19.350000000000001</v>
      </c>
      <c r="H16" s="722">
        <f t="shared" si="4"/>
        <v>7326.3</v>
      </c>
      <c r="I16" s="722">
        <f t="shared" si="4"/>
        <v>20.939999999999998</v>
      </c>
      <c r="J16" s="722">
        <f t="shared" si="4"/>
        <v>8206.2999999999993</v>
      </c>
      <c r="K16" s="722">
        <f t="shared" si="2"/>
        <v>77.400000000000006</v>
      </c>
      <c r="L16" s="722">
        <f t="shared" si="2"/>
        <v>29250.199999999997</v>
      </c>
      <c r="M16" s="716"/>
    </row>
    <row r="17" spans="1:13" s="703" customFormat="1" ht="12.75" customHeight="1">
      <c r="A17" s="1595" t="s">
        <v>973</v>
      </c>
      <c r="B17" s="721" t="s">
        <v>971</v>
      </c>
      <c r="C17" s="722">
        <f>F159</f>
        <v>62.04</v>
      </c>
      <c r="D17" s="722">
        <f>6*$B$130+10*$B$129</f>
        <v>1310</v>
      </c>
      <c r="E17" s="722">
        <f>G159</f>
        <v>93.059999999999988</v>
      </c>
      <c r="F17" s="722">
        <f>6*$B$130+19*$B$129</f>
        <v>1895</v>
      </c>
      <c r="G17" s="722">
        <f>H159</f>
        <v>77.55</v>
      </c>
      <c r="H17" s="722">
        <f>6*$B$130+15*$B$129</f>
        <v>1635</v>
      </c>
      <c r="I17" s="722">
        <f>I159</f>
        <v>77.55</v>
      </c>
      <c r="J17" s="722">
        <f>6*$B$130+15*$B$129</f>
        <v>1635</v>
      </c>
      <c r="K17" s="722">
        <f t="shared" si="2"/>
        <v>310.2</v>
      </c>
      <c r="L17" s="722">
        <f t="shared" si="2"/>
        <v>6475</v>
      </c>
      <c r="M17" s="716"/>
    </row>
    <row r="18" spans="1:13" s="703" customFormat="1" ht="12.75" customHeight="1">
      <c r="A18" s="1596"/>
      <c r="B18" s="721" t="s">
        <v>972</v>
      </c>
      <c r="C18" s="722">
        <f>F165</f>
        <v>5.04</v>
      </c>
      <c r="D18" s="722">
        <f>20*$B$131+14*$B$132</f>
        <v>2030</v>
      </c>
      <c r="E18" s="722">
        <f>G165</f>
        <v>7.56</v>
      </c>
      <c r="F18" s="722">
        <f>20*$B$131+31*$B$132</f>
        <v>2965</v>
      </c>
      <c r="G18" s="722">
        <f>H165</f>
        <v>6.3</v>
      </c>
      <c r="H18" s="722">
        <f>20*$B$131+23*$B$132</f>
        <v>2525</v>
      </c>
      <c r="I18" s="722">
        <f>I165</f>
        <v>6.3</v>
      </c>
      <c r="J18" s="722">
        <f>20*$B$131+23*$B$132</f>
        <v>2525</v>
      </c>
      <c r="K18" s="722">
        <f t="shared" si="2"/>
        <v>25.2</v>
      </c>
      <c r="L18" s="722">
        <f t="shared" si="2"/>
        <v>10045</v>
      </c>
      <c r="M18" s="716"/>
    </row>
    <row r="19" spans="1:13" s="703" customFormat="1" ht="12.75" customHeight="1">
      <c r="A19" s="1589" t="s">
        <v>736</v>
      </c>
      <c r="B19" s="721" t="s">
        <v>971</v>
      </c>
      <c r="C19" s="722">
        <f>F160</f>
        <v>61.56</v>
      </c>
      <c r="D19" s="722">
        <f>10*$B$130+38*$B$129</f>
        <v>3570</v>
      </c>
      <c r="E19" s="722">
        <f>G160</f>
        <v>76.95</v>
      </c>
      <c r="F19" s="722">
        <f>10*$B$130+51*$B$129</f>
        <v>4415</v>
      </c>
      <c r="G19" s="722">
        <f>H160</f>
        <v>76.95</v>
      </c>
      <c r="H19" s="722">
        <f>10*$B$130+51*$B$129</f>
        <v>4415</v>
      </c>
      <c r="I19" s="722">
        <f>I160</f>
        <v>92.34</v>
      </c>
      <c r="J19" s="722">
        <f>10*$B$130+63*$B$129</f>
        <v>5195</v>
      </c>
      <c r="K19" s="722">
        <f t="shared" si="2"/>
        <v>307.8</v>
      </c>
      <c r="L19" s="722">
        <f t="shared" si="2"/>
        <v>17595</v>
      </c>
      <c r="M19" s="716"/>
    </row>
    <row r="20" spans="1:13" s="703" customFormat="1" ht="12.75" customHeight="1">
      <c r="A20" s="1590"/>
      <c r="B20" s="721" t="s">
        <v>972</v>
      </c>
      <c r="C20" s="722">
        <f>F166</f>
        <v>6.36</v>
      </c>
      <c r="D20" s="722">
        <f>10*$B$131+54*$B$132</f>
        <v>3600</v>
      </c>
      <c r="E20" s="722">
        <f>G166</f>
        <v>7.9499999999999993</v>
      </c>
      <c r="F20" s="722">
        <f>10*$B$131+70*$B$132</f>
        <v>4480</v>
      </c>
      <c r="G20" s="722">
        <f>H166</f>
        <v>7.9499999999999993</v>
      </c>
      <c r="H20" s="722">
        <f>10*$B$131+70*$B$132</f>
        <v>4480</v>
      </c>
      <c r="I20" s="722">
        <f>I166</f>
        <v>9.5399999999999991</v>
      </c>
      <c r="J20" s="722">
        <f>10*$B$131+86*$B$132</f>
        <v>5360</v>
      </c>
      <c r="K20" s="722">
        <f t="shared" si="2"/>
        <v>31.799999999999997</v>
      </c>
      <c r="L20" s="722">
        <f t="shared" si="2"/>
        <v>17920</v>
      </c>
      <c r="M20" s="716"/>
    </row>
    <row r="21" spans="1:13" s="703" customFormat="1" ht="12.75" customHeight="1">
      <c r="A21" s="1591" t="s">
        <v>974</v>
      </c>
      <c r="B21" s="721" t="s">
        <v>971</v>
      </c>
      <c r="C21" s="722">
        <f>F161</f>
        <v>78.3</v>
      </c>
      <c r="D21" s="722">
        <f>20*$B$130+49*$B$129</f>
        <v>5385</v>
      </c>
      <c r="E21" s="722">
        <f>G161</f>
        <v>78.3</v>
      </c>
      <c r="F21" s="722">
        <f>20*$B$130+49*$B$129</f>
        <v>5385</v>
      </c>
      <c r="G21" s="722">
        <f>H161</f>
        <v>78.3</v>
      </c>
      <c r="H21" s="722">
        <f>20*$B$130+49*$B$129</f>
        <v>5385</v>
      </c>
      <c r="I21" s="722">
        <f>I161</f>
        <v>78.3</v>
      </c>
      <c r="J21" s="722">
        <f>20*$B$130+49*$B$129</f>
        <v>5385</v>
      </c>
      <c r="K21" s="722">
        <f t="shared" si="2"/>
        <v>313.2</v>
      </c>
      <c r="L21" s="722">
        <f t="shared" si="2"/>
        <v>21540</v>
      </c>
      <c r="M21" s="716"/>
    </row>
    <row r="22" spans="1:13" s="703" customFormat="1" ht="12.75" customHeight="1">
      <c r="A22" s="1592"/>
      <c r="B22" s="721" t="s">
        <v>972</v>
      </c>
      <c r="C22" s="722">
        <f>F167</f>
        <v>5.0999999999999996</v>
      </c>
      <c r="D22" s="722">
        <f>C22*$B$131</f>
        <v>321.29999999999995</v>
      </c>
      <c r="E22" s="722">
        <f>G167</f>
        <v>5.0999999999999996</v>
      </c>
      <c r="F22" s="722">
        <f>E22*$B$131</f>
        <v>321.29999999999995</v>
      </c>
      <c r="G22" s="722">
        <f>H167</f>
        <v>5.0999999999999996</v>
      </c>
      <c r="H22" s="722">
        <f>G22*$B$131</f>
        <v>321.29999999999995</v>
      </c>
      <c r="I22" s="722">
        <f>I167</f>
        <v>5.0999999999999996</v>
      </c>
      <c r="J22" s="722">
        <f>I22*$B$131</f>
        <v>321.29999999999995</v>
      </c>
      <c r="K22" s="722">
        <f t="shared" si="2"/>
        <v>20.399999999999999</v>
      </c>
      <c r="L22" s="722">
        <f t="shared" si="2"/>
        <v>1285.1999999999998</v>
      </c>
      <c r="M22" s="716"/>
    </row>
    <row r="23" spans="1:13" s="703" customFormat="1">
      <c r="A23" s="726" t="s">
        <v>976</v>
      </c>
      <c r="B23" s="727" t="s">
        <v>969</v>
      </c>
      <c r="C23" s="728">
        <v>0</v>
      </c>
      <c r="D23" s="728">
        <f>D24+D25+D26</f>
        <v>2656619.7000000002</v>
      </c>
      <c r="E23" s="728">
        <v>0</v>
      </c>
      <c r="F23" s="728">
        <f>F24+F25+F26</f>
        <v>1139064.1500000001</v>
      </c>
      <c r="G23" s="728">
        <v>0</v>
      </c>
      <c r="H23" s="728">
        <f>H24+H25+H26</f>
        <v>1287973.05</v>
      </c>
      <c r="I23" s="728">
        <v>0</v>
      </c>
      <c r="J23" s="728">
        <f>J24+J25+J26</f>
        <v>1909343.1</v>
      </c>
      <c r="K23" s="729">
        <f t="shared" si="2"/>
        <v>0</v>
      </c>
      <c r="L23" s="729">
        <f>J23+H23+F23+D23</f>
        <v>6993000.0000000009</v>
      </c>
      <c r="M23" s="730"/>
    </row>
    <row r="24" spans="1:13" s="703" customFormat="1" ht="12.75" customHeight="1">
      <c r="A24" s="731" t="s">
        <v>973</v>
      </c>
      <c r="B24" s="721" t="s">
        <v>977</v>
      </c>
      <c r="C24" s="732"/>
      <c r="D24" s="732">
        <f>1600000*48.83%*105%</f>
        <v>820343.99999999988</v>
      </c>
      <c r="E24" s="732"/>
      <c r="F24" s="732">
        <f>1600000*21.8%*105%</f>
        <v>366240</v>
      </c>
      <c r="G24" s="732"/>
      <c r="H24" s="732">
        <f>1600000*19.53%*105%</f>
        <v>328104</v>
      </c>
      <c r="I24" s="733"/>
      <c r="J24" s="732">
        <f>1600000*9.84%*105%</f>
        <v>165312</v>
      </c>
      <c r="K24" s="734"/>
      <c r="L24" s="734">
        <f>J24+H24+F24+D24</f>
        <v>1680000</v>
      </c>
      <c r="M24" s="730"/>
    </row>
    <row r="25" spans="1:13" s="703" customFormat="1" ht="12.75" customHeight="1">
      <c r="A25" s="735" t="s">
        <v>736</v>
      </c>
      <c r="B25" s="721" t="s">
        <v>977</v>
      </c>
      <c r="C25" s="732"/>
      <c r="D25" s="732">
        <f>1510000*20.39%*105%</f>
        <v>323283.45</v>
      </c>
      <c r="E25" s="732"/>
      <c r="F25" s="732">
        <f>1510000*22.13%*105%</f>
        <v>350871.15</v>
      </c>
      <c r="G25" s="732"/>
      <c r="H25" s="732">
        <f>1510000*8.56%*105%</f>
        <v>135718.80000000002</v>
      </c>
      <c r="I25" s="733"/>
      <c r="J25" s="732">
        <f>1510000*48.92%*105%</f>
        <v>775626.6</v>
      </c>
      <c r="K25" s="734"/>
      <c r="L25" s="734">
        <f>J25+H25+F25+D25</f>
        <v>1585500</v>
      </c>
      <c r="M25" s="730"/>
    </row>
    <row r="26" spans="1:13" s="703" customFormat="1" ht="12.75" customHeight="1">
      <c r="A26" s="736" t="s">
        <v>974</v>
      </c>
      <c r="B26" s="721" t="s">
        <v>977</v>
      </c>
      <c r="C26" s="732"/>
      <c r="D26" s="732">
        <f>3550000*40.59%*105%</f>
        <v>1512992.2500000002</v>
      </c>
      <c r="E26" s="732"/>
      <c r="F26" s="732">
        <f>3550000*11.32%*105%</f>
        <v>421953.00000000006</v>
      </c>
      <c r="G26" s="732"/>
      <c r="H26" s="732">
        <f>3550000*22.11%*105%</f>
        <v>824150.25</v>
      </c>
      <c r="I26" s="733"/>
      <c r="J26" s="732">
        <f>3550000*25.98%*105%</f>
        <v>968404.50000000012</v>
      </c>
      <c r="K26" s="734"/>
      <c r="L26" s="734">
        <f>J26+H26+F26+D26</f>
        <v>3727500</v>
      </c>
      <c r="M26" s="730"/>
    </row>
    <row r="27" spans="1:13" s="703" customFormat="1" ht="12.75" customHeight="1">
      <c r="A27" s="717" t="s">
        <v>978</v>
      </c>
      <c r="B27" s="718" t="s">
        <v>979</v>
      </c>
      <c r="C27" s="719">
        <v>0</v>
      </c>
      <c r="D27" s="719">
        <f>C$27*1800</f>
        <v>0</v>
      </c>
      <c r="E27" s="719">
        <v>0</v>
      </c>
      <c r="F27" s="719">
        <f>E$27*1800</f>
        <v>0</v>
      </c>
      <c r="G27" s="719">
        <v>0</v>
      </c>
      <c r="H27" s="719">
        <f>G$27*1800</f>
        <v>0</v>
      </c>
      <c r="I27" s="719">
        <v>0</v>
      </c>
      <c r="J27" s="719">
        <f>I$27*1800</f>
        <v>0</v>
      </c>
      <c r="K27" s="737">
        <f>C27+E27+G27+I27</f>
        <v>0</v>
      </c>
      <c r="L27" s="737">
        <f t="shared" si="2"/>
        <v>0</v>
      </c>
      <c r="M27" s="738"/>
    </row>
    <row r="28" spans="1:13" s="703" customFormat="1" ht="12.75" customHeight="1">
      <c r="A28" s="739" t="s">
        <v>122</v>
      </c>
      <c r="B28" s="718" t="s">
        <v>980</v>
      </c>
      <c r="C28" s="719">
        <f t="shared" ref="C28:L28" si="5">C29+C30+C37</f>
        <v>4</v>
      </c>
      <c r="D28" s="719">
        <f t="shared" si="5"/>
        <v>9720</v>
      </c>
      <c r="E28" s="719">
        <f t="shared" si="5"/>
        <v>6</v>
      </c>
      <c r="F28" s="719">
        <f t="shared" si="5"/>
        <v>14580</v>
      </c>
      <c r="G28" s="719">
        <f t="shared" si="5"/>
        <v>7</v>
      </c>
      <c r="H28" s="719">
        <f t="shared" si="5"/>
        <v>14740</v>
      </c>
      <c r="I28" s="719">
        <f t="shared" si="5"/>
        <v>6</v>
      </c>
      <c r="J28" s="719">
        <f t="shared" si="5"/>
        <v>14580</v>
      </c>
      <c r="K28" s="719">
        <f t="shared" si="5"/>
        <v>23</v>
      </c>
      <c r="L28" s="719">
        <f t="shared" si="5"/>
        <v>53620</v>
      </c>
      <c r="M28" s="716"/>
    </row>
    <row r="29" spans="1:13" s="706" customFormat="1" ht="12.75" customHeight="1">
      <c r="A29" s="1593" t="s">
        <v>970</v>
      </c>
      <c r="B29" s="740" t="s">
        <v>981</v>
      </c>
      <c r="C29" s="722">
        <f t="shared" ref="C29:K30" si="6">C31+C33+C35</f>
        <v>2</v>
      </c>
      <c r="D29" s="722">
        <f>D31+D33+D35</f>
        <v>320</v>
      </c>
      <c r="E29" s="722">
        <f t="shared" si="6"/>
        <v>3</v>
      </c>
      <c r="F29" s="722">
        <f t="shared" si="6"/>
        <v>480</v>
      </c>
      <c r="G29" s="722">
        <f t="shared" si="6"/>
        <v>4</v>
      </c>
      <c r="H29" s="722">
        <f t="shared" si="6"/>
        <v>640</v>
      </c>
      <c r="I29" s="722">
        <f t="shared" si="6"/>
        <v>3</v>
      </c>
      <c r="J29" s="722">
        <f t="shared" si="6"/>
        <v>480</v>
      </c>
      <c r="K29" s="722">
        <f t="shared" si="6"/>
        <v>12</v>
      </c>
      <c r="L29" s="722">
        <f t="shared" si="2"/>
        <v>1920</v>
      </c>
      <c r="M29" s="716"/>
    </row>
    <row r="30" spans="1:13" s="706" customFormat="1" ht="12.75" customHeight="1">
      <c r="A30" s="1594"/>
      <c r="B30" s="741" t="s">
        <v>982</v>
      </c>
      <c r="C30" s="722">
        <f t="shared" si="6"/>
        <v>2</v>
      </c>
      <c r="D30" s="722">
        <f t="shared" si="6"/>
        <v>9400</v>
      </c>
      <c r="E30" s="722">
        <f t="shared" si="6"/>
        <v>3</v>
      </c>
      <c r="F30" s="722">
        <f t="shared" si="6"/>
        <v>14100</v>
      </c>
      <c r="G30" s="722">
        <f t="shared" si="6"/>
        <v>3</v>
      </c>
      <c r="H30" s="722">
        <f t="shared" si="6"/>
        <v>14100</v>
      </c>
      <c r="I30" s="722">
        <f t="shared" si="6"/>
        <v>3</v>
      </c>
      <c r="J30" s="722">
        <f t="shared" si="6"/>
        <v>14100</v>
      </c>
      <c r="K30" s="722">
        <f t="shared" si="6"/>
        <v>11</v>
      </c>
      <c r="L30" s="722">
        <f>J30+H30+F30+D30</f>
        <v>51700</v>
      </c>
      <c r="M30" s="716"/>
    </row>
    <row r="31" spans="1:13" s="706" customFormat="1" ht="12.75" customHeight="1">
      <c r="A31" s="1595" t="s">
        <v>983</v>
      </c>
      <c r="B31" s="740" t="s">
        <v>984</v>
      </c>
      <c r="C31" s="722">
        <f>$C173</f>
        <v>1</v>
      </c>
      <c r="D31" s="722">
        <f>C31*$B$137</f>
        <v>160</v>
      </c>
      <c r="E31" s="722">
        <f>$D173</f>
        <v>1</v>
      </c>
      <c r="F31" s="722">
        <f>E31*$B$137</f>
        <v>160</v>
      </c>
      <c r="G31" s="722">
        <f>$E173</f>
        <v>1</v>
      </c>
      <c r="H31" s="722">
        <f>G31*$B$137</f>
        <v>160</v>
      </c>
      <c r="I31" s="722">
        <f>$F173</f>
        <v>1</v>
      </c>
      <c r="J31" s="722">
        <f>I31*$B$137</f>
        <v>160</v>
      </c>
      <c r="K31" s="722">
        <f t="shared" si="2"/>
        <v>4</v>
      </c>
      <c r="L31" s="722">
        <f t="shared" si="2"/>
        <v>640</v>
      </c>
      <c r="M31" s="716"/>
    </row>
    <row r="32" spans="1:13" s="706" customFormat="1" ht="12.75" customHeight="1">
      <c r="A32" s="1596"/>
      <c r="B32" s="741" t="s">
        <v>982</v>
      </c>
      <c r="C32" s="722">
        <f>C179</f>
        <v>1</v>
      </c>
      <c r="D32" s="722">
        <f>(3500+5900)/2*C32</f>
        <v>4700</v>
      </c>
      <c r="E32" s="722">
        <f>D179</f>
        <v>1</v>
      </c>
      <c r="F32" s="722">
        <f>(3500+5900)/2*E32</f>
        <v>4700</v>
      </c>
      <c r="G32" s="722">
        <f>E179</f>
        <v>1</v>
      </c>
      <c r="H32" s="722">
        <f>(3500+5900)/2*G32</f>
        <v>4700</v>
      </c>
      <c r="I32" s="722">
        <f>F179</f>
        <v>1</v>
      </c>
      <c r="J32" s="722">
        <f>(3500+5900)/2*I32</f>
        <v>4700</v>
      </c>
      <c r="K32" s="722">
        <f>I32+G32+E32+C32</f>
        <v>4</v>
      </c>
      <c r="L32" s="722">
        <f>J32+H32+F32+D32</f>
        <v>18800</v>
      </c>
      <c r="M32" s="742"/>
    </row>
    <row r="33" spans="1:19" s="706" customFormat="1" ht="12.75" customHeight="1">
      <c r="A33" s="1589" t="s">
        <v>736</v>
      </c>
      <c r="B33" s="740" t="s">
        <v>984</v>
      </c>
      <c r="C33" s="722">
        <f>$C174</f>
        <v>1</v>
      </c>
      <c r="D33" s="722">
        <f>C33*$B$137</f>
        <v>160</v>
      </c>
      <c r="E33" s="722">
        <f>$D174</f>
        <v>2</v>
      </c>
      <c r="F33" s="722">
        <f>E33*$B$137</f>
        <v>320</v>
      </c>
      <c r="G33" s="722">
        <f>$E174</f>
        <v>2</v>
      </c>
      <c r="H33" s="722">
        <f>G33*$B$137</f>
        <v>320</v>
      </c>
      <c r="I33" s="722">
        <f>$F174</f>
        <v>1</v>
      </c>
      <c r="J33" s="722">
        <f>I33*$B$137</f>
        <v>160</v>
      </c>
      <c r="K33" s="722">
        <f t="shared" si="2"/>
        <v>6</v>
      </c>
      <c r="L33" s="722">
        <f t="shared" si="2"/>
        <v>960</v>
      </c>
      <c r="M33" s="716"/>
    </row>
    <row r="34" spans="1:19" s="706" customFormat="1" ht="12.75" customHeight="1">
      <c r="A34" s="1590"/>
      <c r="B34" s="741" t="s">
        <v>982</v>
      </c>
      <c r="C34" s="722">
        <f>C180</f>
        <v>1</v>
      </c>
      <c r="D34" s="722">
        <f>(3500+5900)/2*C34</f>
        <v>4700</v>
      </c>
      <c r="E34" s="722">
        <f>D180</f>
        <v>2</v>
      </c>
      <c r="F34" s="722">
        <f>(3500+5900)/2*E34</f>
        <v>9400</v>
      </c>
      <c r="G34" s="722">
        <f>E180</f>
        <v>2</v>
      </c>
      <c r="H34" s="722">
        <f>(3500+5900)/2*G34</f>
        <v>9400</v>
      </c>
      <c r="I34" s="722">
        <f>F180</f>
        <v>1</v>
      </c>
      <c r="J34" s="722">
        <f>(3500+5900)/2*I34</f>
        <v>4700</v>
      </c>
      <c r="K34" s="722">
        <f t="shared" si="2"/>
        <v>6</v>
      </c>
      <c r="L34" s="722">
        <f t="shared" si="2"/>
        <v>28200</v>
      </c>
      <c r="M34" s="742"/>
    </row>
    <row r="35" spans="1:19" s="706" customFormat="1" ht="12.75" customHeight="1">
      <c r="A35" s="1591" t="s">
        <v>974</v>
      </c>
      <c r="B35" s="740" t="s">
        <v>984</v>
      </c>
      <c r="C35" s="722">
        <f>$C175</f>
        <v>0</v>
      </c>
      <c r="D35" s="722">
        <f>C35*$B$137</f>
        <v>0</v>
      </c>
      <c r="E35" s="722">
        <f>$D175</f>
        <v>0</v>
      </c>
      <c r="F35" s="722">
        <f>E35*$B$137</f>
        <v>0</v>
      </c>
      <c r="G35" s="722">
        <f>$E175</f>
        <v>1</v>
      </c>
      <c r="H35" s="722">
        <f>G35*$B$137</f>
        <v>160</v>
      </c>
      <c r="I35" s="722">
        <f>$F175</f>
        <v>1</v>
      </c>
      <c r="J35" s="722">
        <f>I35*$B$137</f>
        <v>160</v>
      </c>
      <c r="K35" s="722">
        <f t="shared" si="2"/>
        <v>2</v>
      </c>
      <c r="L35" s="722">
        <f t="shared" si="2"/>
        <v>320</v>
      </c>
      <c r="M35" s="716"/>
    </row>
    <row r="36" spans="1:19" s="706" customFormat="1" ht="12.75" customHeight="1">
      <c r="A36" s="1592"/>
      <c r="B36" s="741" t="s">
        <v>982</v>
      </c>
      <c r="C36" s="722">
        <f>C181</f>
        <v>0</v>
      </c>
      <c r="D36" s="722">
        <f>(3900+5900)/2*C36</f>
        <v>0</v>
      </c>
      <c r="E36" s="722">
        <f>D181</f>
        <v>0</v>
      </c>
      <c r="F36" s="722">
        <f>(3900+5900)/2*E36</f>
        <v>0</v>
      </c>
      <c r="G36" s="722">
        <f>E181</f>
        <v>0</v>
      </c>
      <c r="H36" s="722">
        <f>(3900+5900)/2*G36</f>
        <v>0</v>
      </c>
      <c r="I36" s="722">
        <f>F181</f>
        <v>1</v>
      </c>
      <c r="J36" s="722">
        <f>(3500+5900)/2*I36</f>
        <v>4700</v>
      </c>
      <c r="K36" s="722">
        <f t="shared" si="2"/>
        <v>1</v>
      </c>
      <c r="L36" s="722">
        <f t="shared" si="2"/>
        <v>4700</v>
      </c>
      <c r="M36" s="716"/>
    </row>
    <row r="37" spans="1:19" s="703" customFormat="1" ht="12.75" customHeight="1">
      <c r="A37" s="743"/>
      <c r="B37" s="744" t="s">
        <v>985</v>
      </c>
      <c r="C37" s="745">
        <v>0</v>
      </c>
      <c r="D37" s="745">
        <v>0</v>
      </c>
      <c r="E37" s="745">
        <v>0</v>
      </c>
      <c r="F37" s="745">
        <v>0</v>
      </c>
      <c r="G37" s="745">
        <v>0</v>
      </c>
      <c r="H37" s="745">
        <v>0</v>
      </c>
      <c r="I37" s="745">
        <v>0</v>
      </c>
      <c r="J37" s="745">
        <v>0</v>
      </c>
      <c r="K37" s="745">
        <f t="shared" si="2"/>
        <v>0</v>
      </c>
      <c r="L37" s="745">
        <f t="shared" si="2"/>
        <v>0</v>
      </c>
      <c r="M37" s="716"/>
    </row>
    <row r="38" spans="1:19" s="703" customFormat="1" ht="12.75" customHeight="1">
      <c r="A38" s="711"/>
      <c r="B38" s="746" t="s">
        <v>986</v>
      </c>
      <c r="C38" s="747">
        <v>0</v>
      </c>
      <c r="D38" s="748">
        <f>D5+D14+D23+D27+D28</f>
        <v>2685845</v>
      </c>
      <c r="E38" s="747">
        <v>0</v>
      </c>
      <c r="F38" s="748">
        <f>F5+F14+F23+F27+F28</f>
        <v>1176394.4500000002</v>
      </c>
      <c r="G38" s="747">
        <v>0</v>
      </c>
      <c r="H38" s="748">
        <f>H5+H14+H23+H27+H28</f>
        <v>1324763.3500000001</v>
      </c>
      <c r="I38" s="747">
        <v>0</v>
      </c>
      <c r="J38" s="748">
        <f>J5+J14+J23+J27+J28</f>
        <v>1947633.4000000001</v>
      </c>
      <c r="K38" s="747">
        <v>0</v>
      </c>
      <c r="L38" s="749">
        <f>L5+L14+L23+L27+L28</f>
        <v>7134636.2000000011</v>
      </c>
      <c r="M38" s="716"/>
    </row>
    <row r="39" spans="1:19" s="706" customFormat="1" ht="12.75" customHeight="1">
      <c r="A39" s="750"/>
      <c r="B39" s="751" t="s">
        <v>987</v>
      </c>
      <c r="C39" s="752"/>
      <c r="D39" s="753">
        <f>D40+D41</f>
        <v>16001</v>
      </c>
      <c r="E39" s="752"/>
      <c r="F39" s="753">
        <f>F40+F41</f>
        <v>8001</v>
      </c>
      <c r="G39" s="752"/>
      <c r="H39" s="753">
        <f>H40+H41</f>
        <v>8001</v>
      </c>
      <c r="I39" s="754"/>
      <c r="J39" s="753">
        <f>J40+J41</f>
        <v>8001</v>
      </c>
      <c r="K39" s="752"/>
      <c r="L39" s="755">
        <f>L40+L41</f>
        <v>40004</v>
      </c>
      <c r="M39" s="716"/>
    </row>
    <row r="40" spans="1:19" s="706" customFormat="1" ht="12.75" customHeight="1">
      <c r="A40" s="750"/>
      <c r="B40" s="741" t="s">
        <v>988</v>
      </c>
      <c r="C40" s="722">
        <v>10</v>
      </c>
      <c r="D40" s="722">
        <f>C40*1600</f>
        <v>16000</v>
      </c>
      <c r="E40" s="722">
        <v>5</v>
      </c>
      <c r="F40" s="722">
        <f>E40*1600</f>
        <v>8000</v>
      </c>
      <c r="G40" s="722">
        <v>5</v>
      </c>
      <c r="H40" s="722">
        <f>G40*1600</f>
        <v>8000</v>
      </c>
      <c r="I40" s="756">
        <v>5</v>
      </c>
      <c r="J40" s="722">
        <f>I40*1600</f>
        <v>8000</v>
      </c>
      <c r="K40" s="722">
        <f>C40+E40+G40+I40</f>
        <v>25</v>
      </c>
      <c r="L40" s="753">
        <f>J40+H40+F40+D40</f>
        <v>40000</v>
      </c>
      <c r="M40" s="716"/>
    </row>
    <row r="41" spans="1:19" s="706" customFormat="1" ht="12.75" customHeight="1">
      <c r="A41" s="750"/>
      <c r="B41" s="740" t="s">
        <v>989</v>
      </c>
      <c r="C41" s="757"/>
      <c r="D41" s="757">
        <v>1</v>
      </c>
      <c r="E41" s="757"/>
      <c r="F41" s="757">
        <v>1</v>
      </c>
      <c r="G41" s="757"/>
      <c r="H41" s="757">
        <v>1</v>
      </c>
      <c r="I41" s="756"/>
      <c r="J41" s="757">
        <v>1</v>
      </c>
      <c r="K41" s="757">
        <f>C41+E41+G41+I41</f>
        <v>0</v>
      </c>
      <c r="L41" s="758">
        <f>J41+H41+F41+D41</f>
        <v>4</v>
      </c>
      <c r="M41" s="716"/>
    </row>
    <row r="42" spans="1:19" s="706" customFormat="1" ht="12.75" customHeight="1">
      <c r="A42" s="1359" t="s">
        <v>990</v>
      </c>
      <c r="B42" s="759" t="s">
        <v>991</v>
      </c>
      <c r="C42" s="760">
        <v>0</v>
      </c>
      <c r="D42" s="761"/>
      <c r="E42" s="761">
        <v>0</v>
      </c>
      <c r="F42" s="762"/>
      <c r="G42" s="761">
        <v>0</v>
      </c>
      <c r="H42" s="763"/>
      <c r="I42" s="764">
        <v>0</v>
      </c>
      <c r="J42" s="762">
        <v>0</v>
      </c>
      <c r="K42" s="762">
        <v>0</v>
      </c>
      <c r="L42" s="758">
        <f>D42+F42+H42+J42</f>
        <v>0</v>
      </c>
      <c r="M42" s="716"/>
    </row>
    <row r="43" spans="1:19" s="706" customFormat="1" ht="12.75" customHeight="1">
      <c r="A43" s="750"/>
      <c r="B43" s="765" t="s">
        <v>992</v>
      </c>
      <c r="C43" s="766">
        <v>0</v>
      </c>
      <c r="D43" s="758"/>
      <c r="E43" s="758">
        <v>0</v>
      </c>
      <c r="F43" s="758"/>
      <c r="G43" s="758">
        <v>0</v>
      </c>
      <c r="H43" s="757"/>
      <c r="I43" s="767">
        <v>0</v>
      </c>
      <c r="J43" s="758">
        <v>0</v>
      </c>
      <c r="K43" s="758">
        <v>0</v>
      </c>
      <c r="L43" s="758">
        <f>D43+F43+H43+J43</f>
        <v>0</v>
      </c>
      <c r="M43" s="768"/>
    </row>
    <row r="44" spans="1:19" s="706" customFormat="1" ht="12.75" customHeight="1">
      <c r="A44" s="750"/>
      <c r="B44" s="765" t="s">
        <v>993</v>
      </c>
      <c r="C44" s="766">
        <v>0</v>
      </c>
      <c r="D44" s="758"/>
      <c r="E44" s="758">
        <v>0</v>
      </c>
      <c r="F44" s="758"/>
      <c r="G44" s="758">
        <v>0</v>
      </c>
      <c r="H44" s="757"/>
      <c r="I44" s="767">
        <v>0</v>
      </c>
      <c r="J44" s="758">
        <v>0</v>
      </c>
      <c r="K44" s="758">
        <v>0</v>
      </c>
      <c r="L44" s="769">
        <f>D44+F44+H44+J44</f>
        <v>0</v>
      </c>
      <c r="M44" s="725"/>
    </row>
    <row r="45" spans="1:19" s="706" customFormat="1" ht="13.5" customHeight="1" thickBot="1">
      <c r="A45" s="770"/>
      <c r="B45" s="771" t="s">
        <v>994</v>
      </c>
      <c r="C45" s="772">
        <v>0</v>
      </c>
      <c r="D45" s="773">
        <f>D42+D43</f>
        <v>0</v>
      </c>
      <c r="E45" s="774">
        <f>E38+E42+E43</f>
        <v>0</v>
      </c>
      <c r="F45" s="773">
        <f>F42+F43</f>
        <v>0</v>
      </c>
      <c r="G45" s="774">
        <f>G38+G42+G43</f>
        <v>0</v>
      </c>
      <c r="H45" s="775">
        <f>SUM(H42:H43)</f>
        <v>0</v>
      </c>
      <c r="I45" s="776">
        <f>I38+I42+I43</f>
        <v>0</v>
      </c>
      <c r="J45" s="777">
        <f>J42+J43+J44</f>
        <v>0</v>
      </c>
      <c r="K45" s="774">
        <f>K38+K42+K43</f>
        <v>0</v>
      </c>
      <c r="L45" s="778">
        <f>L42+L43+L44</f>
        <v>0</v>
      </c>
      <c r="M45" s="779"/>
    </row>
    <row r="46" spans="1:19" ht="13.5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ht="13.5" hidden="1" customHeight="1">
      <c r="A47" s="781" t="s">
        <v>995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ht="13.5" hidden="1" customHeight="1" thickBot="1">
      <c r="A48" s="781" t="s">
        <v>996</v>
      </c>
      <c r="M48" s="780"/>
      <c r="N48" s="784"/>
    </row>
    <row r="49" spans="1:19" ht="13.5" hidden="1" customHeight="1">
      <c r="A49" s="1597">
        <v>2016</v>
      </c>
      <c r="B49" s="785" t="s">
        <v>997</v>
      </c>
      <c r="C49" s="1586" t="s">
        <v>998</v>
      </c>
      <c r="D49" s="1586"/>
      <c r="E49" s="1586" t="s">
        <v>999</v>
      </c>
      <c r="F49" s="1586"/>
      <c r="G49" s="1586" t="s">
        <v>1000</v>
      </c>
      <c r="H49" s="1586"/>
      <c r="I49" s="1586" t="s">
        <v>1001</v>
      </c>
      <c r="J49" s="1599"/>
      <c r="M49" s="780"/>
      <c r="N49" s="784"/>
    </row>
    <row r="50" spans="1:19" ht="13.5" hidden="1" customHeight="1" thickBot="1">
      <c r="A50" s="1598"/>
      <c r="B50" s="786">
        <v>0</v>
      </c>
      <c r="C50" s="1600">
        <v>0.2</v>
      </c>
      <c r="D50" s="1600"/>
      <c r="E50" s="1600">
        <v>0.3</v>
      </c>
      <c r="F50" s="1600"/>
      <c r="G50" s="1600">
        <v>0.3</v>
      </c>
      <c r="H50" s="1600"/>
      <c r="I50" s="1600">
        <v>0.2</v>
      </c>
      <c r="J50" s="1601"/>
      <c r="M50" s="780"/>
      <c r="N50" s="784"/>
    </row>
    <row r="51" spans="1:19" s="784" customFormat="1" ht="12.75" hidden="1" customHeight="1">
      <c r="A51" s="787"/>
      <c r="B51" s="788"/>
      <c r="I51" s="789"/>
    </row>
    <row r="52" spans="1:19" ht="13.5" hidden="1" customHeight="1" thickBot="1">
      <c r="A52" s="781" t="s">
        <v>1002</v>
      </c>
      <c r="B52" s="788"/>
      <c r="M52" s="780"/>
      <c r="N52" s="784"/>
    </row>
    <row r="53" spans="1:19" ht="12.75" hidden="1" customHeight="1">
      <c r="A53" s="1621" t="s">
        <v>1003</v>
      </c>
      <c r="B53" s="1623" t="s">
        <v>1004</v>
      </c>
      <c r="C53" s="1624"/>
      <c r="D53" s="1623" t="s">
        <v>1005</v>
      </c>
      <c r="E53" s="1624"/>
      <c r="F53" s="1623" t="s">
        <v>1006</v>
      </c>
      <c r="G53" s="1624"/>
      <c r="H53" s="1623" t="s">
        <v>1007</v>
      </c>
      <c r="I53" s="1624"/>
      <c r="J53" s="1625" t="s">
        <v>122</v>
      </c>
      <c r="K53" s="1602" t="s">
        <v>1008</v>
      </c>
      <c r="L53" s="1604" t="s">
        <v>1009</v>
      </c>
      <c r="M53" s="1657" t="s">
        <v>195</v>
      </c>
      <c r="N53" s="783"/>
      <c r="S53" s="784"/>
    </row>
    <row r="54" spans="1:19" ht="16.5" hidden="1" customHeight="1">
      <c r="A54" s="1622"/>
      <c r="B54" s="1358" t="s">
        <v>1010</v>
      </c>
      <c r="C54" s="1358" t="s">
        <v>1011</v>
      </c>
      <c r="D54" s="1358" t="s">
        <v>1010</v>
      </c>
      <c r="E54" s="1358" t="s">
        <v>1011</v>
      </c>
      <c r="F54" s="1358" t="s">
        <v>1010</v>
      </c>
      <c r="G54" s="1358" t="s">
        <v>1011</v>
      </c>
      <c r="H54" s="1358" t="s">
        <v>1010</v>
      </c>
      <c r="I54" s="1358" t="s">
        <v>1011</v>
      </c>
      <c r="J54" s="1626"/>
      <c r="K54" s="1603"/>
      <c r="L54" s="1605"/>
      <c r="M54" s="1658"/>
      <c r="N54" s="783"/>
      <c r="S54" s="784"/>
    </row>
    <row r="55" spans="1:19" ht="15" hidden="1" customHeight="1">
      <c r="A55" s="790" t="s">
        <v>973</v>
      </c>
      <c r="B55" s="791">
        <v>80</v>
      </c>
      <c r="C55" s="792">
        <f>B55/$J$55</f>
        <v>0.13223140495867769</v>
      </c>
      <c r="D55" s="791">
        <v>176</v>
      </c>
      <c r="E55" s="792">
        <f>D55/$J$55</f>
        <v>0.29090909090909089</v>
      </c>
      <c r="F55" s="791">
        <v>301</v>
      </c>
      <c r="G55" s="792">
        <f>F55/$J$55</f>
        <v>0.49752066115702481</v>
      </c>
      <c r="H55" s="791">
        <v>48</v>
      </c>
      <c r="I55" s="792">
        <f>H55/$J$55</f>
        <v>7.9338842975206617E-2</v>
      </c>
      <c r="J55" s="791">
        <f>B55+D55+F55+H55</f>
        <v>605</v>
      </c>
      <c r="K55" s="793">
        <v>562</v>
      </c>
      <c r="L55" s="794">
        <f>K55*(1+$B$50)</f>
        <v>562</v>
      </c>
      <c r="M55" s="1654" t="s">
        <v>1012</v>
      </c>
      <c r="N55" s="783"/>
      <c r="S55" s="784"/>
    </row>
    <row r="56" spans="1:19" ht="15" hidden="1" customHeight="1">
      <c r="A56" s="795" t="s">
        <v>736</v>
      </c>
      <c r="B56" s="791">
        <v>136</v>
      </c>
      <c r="C56" s="792">
        <f>B56/$J$56</f>
        <v>0.17918313570487485</v>
      </c>
      <c r="D56" s="791">
        <v>301</v>
      </c>
      <c r="E56" s="792">
        <f>D56/$J$56</f>
        <v>0.39657444005270093</v>
      </c>
      <c r="F56" s="791">
        <v>256</v>
      </c>
      <c r="G56" s="792">
        <f>F56/$J$56</f>
        <v>0.33728590250329382</v>
      </c>
      <c r="H56" s="791">
        <v>66</v>
      </c>
      <c r="I56" s="792">
        <f>H56/$J$56</f>
        <v>8.6956521739130432E-2</v>
      </c>
      <c r="J56" s="791">
        <f t="shared" ref="J56:J57" si="7">B56+D56+F56+H56</f>
        <v>759</v>
      </c>
      <c r="K56" s="793">
        <f>186+135</f>
        <v>321</v>
      </c>
      <c r="L56" s="794">
        <f>K56*(1+$B$50)</f>
        <v>321</v>
      </c>
      <c r="M56" s="1655"/>
      <c r="N56" s="783"/>
      <c r="S56" s="784"/>
    </row>
    <row r="57" spans="1:19" ht="15" hidden="1" customHeight="1">
      <c r="A57" s="795" t="s">
        <v>974</v>
      </c>
      <c r="B57" s="791">
        <v>56</v>
      </c>
      <c r="C57" s="792">
        <f>B57/$J$57</f>
        <v>0.17891373801916932</v>
      </c>
      <c r="D57" s="791">
        <v>102</v>
      </c>
      <c r="E57" s="792">
        <f>D57/$J$57</f>
        <v>0.32587859424920129</v>
      </c>
      <c r="F57" s="791">
        <v>125</v>
      </c>
      <c r="G57" s="792">
        <f>F57/$J$57</f>
        <v>0.39936102236421728</v>
      </c>
      <c r="H57" s="791">
        <v>30</v>
      </c>
      <c r="I57" s="792">
        <f>H57/$J$57</f>
        <v>9.5846645367412137E-2</v>
      </c>
      <c r="J57" s="791">
        <f t="shared" si="7"/>
        <v>313</v>
      </c>
      <c r="K57" s="793">
        <v>216</v>
      </c>
      <c r="L57" s="794">
        <f t="shared" ref="L57:L58" si="8">K57*(1+$B$50)</f>
        <v>216</v>
      </c>
      <c r="M57" s="1655"/>
      <c r="N57" s="783"/>
      <c r="S57" s="784"/>
    </row>
    <row r="58" spans="1:19" ht="20.25" hidden="1" customHeight="1" thickBot="1">
      <c r="A58" s="796" t="s">
        <v>122</v>
      </c>
      <c r="B58" s="797">
        <f>SUM(B55:B57)</f>
        <v>272</v>
      </c>
      <c r="C58" s="798">
        <f>B58/$J$58</f>
        <v>0.16219439475253428</v>
      </c>
      <c r="D58" s="797">
        <f>SUM(D55:D57)</f>
        <v>579</v>
      </c>
      <c r="E58" s="798">
        <f>D58/$J$58</f>
        <v>0.34525939177101966</v>
      </c>
      <c r="F58" s="797">
        <f>SUM(F55:F57)</f>
        <v>682</v>
      </c>
      <c r="G58" s="798">
        <f>F58/$J$58</f>
        <v>0.40667859272510437</v>
      </c>
      <c r="H58" s="797">
        <f>SUM(H55:H57)</f>
        <v>144</v>
      </c>
      <c r="I58" s="798">
        <f>H58/$J$58</f>
        <v>8.5867620751341675E-2</v>
      </c>
      <c r="J58" s="797">
        <f>SUM(J55:J57)</f>
        <v>1677</v>
      </c>
      <c r="K58" s="799">
        <f>SUM(K55:K57)</f>
        <v>1099</v>
      </c>
      <c r="L58" s="800">
        <f t="shared" si="8"/>
        <v>1099</v>
      </c>
      <c r="M58" s="1656"/>
      <c r="N58" s="783"/>
      <c r="S58" s="784"/>
    </row>
    <row r="59" spans="1:19" s="784" customFormat="1" ht="12.75" hidden="1" customHeight="1">
      <c r="A59" s="787"/>
      <c r="B59" s="788"/>
      <c r="I59" s="789"/>
      <c r="J59" s="801"/>
    </row>
    <row r="60" spans="1:19" s="784" customFormat="1" ht="13.5" hidden="1" customHeight="1" thickBot="1">
      <c r="A60" s="787" t="s">
        <v>1013</v>
      </c>
      <c r="B60" s="788"/>
      <c r="I60" s="789"/>
    </row>
    <row r="61" spans="1:19" ht="15" hidden="1" customHeight="1">
      <c r="A61" s="1606" t="s">
        <v>1003</v>
      </c>
      <c r="B61" s="1608" t="s">
        <v>1014</v>
      </c>
      <c r="C61" s="1610" t="s">
        <v>1015</v>
      </c>
      <c r="D61" s="1611"/>
      <c r="E61" s="1611"/>
      <c r="F61" s="1612"/>
      <c r="G61" s="1608" t="s">
        <v>1016</v>
      </c>
      <c r="H61" s="1613" t="s">
        <v>1017</v>
      </c>
      <c r="I61" s="1615" t="s">
        <v>195</v>
      </c>
      <c r="J61" s="1616"/>
      <c r="K61" s="1616"/>
      <c r="L61" s="1617"/>
      <c r="M61" s="780"/>
    </row>
    <row r="62" spans="1:19" ht="15" hidden="1" customHeight="1" thickBot="1">
      <c r="A62" s="1607"/>
      <c r="B62" s="1609"/>
      <c r="C62" s="802" t="s">
        <v>1018</v>
      </c>
      <c r="D62" s="802" t="s">
        <v>1019</v>
      </c>
      <c r="E62" s="802" t="s">
        <v>1020</v>
      </c>
      <c r="F62" s="803" t="s">
        <v>1021</v>
      </c>
      <c r="G62" s="1609"/>
      <c r="H62" s="1614"/>
      <c r="I62" s="1618"/>
      <c r="J62" s="1619"/>
      <c r="K62" s="1619"/>
      <c r="L62" s="1620"/>
      <c r="M62" s="780"/>
    </row>
    <row r="63" spans="1:19" ht="15" hidden="1" customHeight="1">
      <c r="A63" s="790" t="s">
        <v>973</v>
      </c>
      <c r="B63" s="804">
        <f>B98</f>
        <v>1974</v>
      </c>
      <c r="C63" s="804">
        <f t="shared" ref="C63:F63" si="9">C98</f>
        <v>76</v>
      </c>
      <c r="D63" s="805">
        <f>D98</f>
        <v>81</v>
      </c>
      <c r="E63" s="804">
        <f t="shared" si="9"/>
        <v>162</v>
      </c>
      <c r="F63" s="804">
        <f t="shared" si="9"/>
        <v>1655</v>
      </c>
      <c r="G63" s="804">
        <f>2087+392</f>
        <v>2479</v>
      </c>
      <c r="H63" s="806">
        <f>(B63-G63)/G63</f>
        <v>-0.20371117386042759</v>
      </c>
      <c r="I63" s="1627" t="s">
        <v>1022</v>
      </c>
      <c r="J63" s="1628"/>
      <c r="K63" s="1628"/>
      <c r="L63" s="1629"/>
      <c r="M63" s="780"/>
    </row>
    <row r="64" spans="1:19" ht="15" hidden="1" customHeight="1">
      <c r="A64" s="795" t="s">
        <v>736</v>
      </c>
      <c r="B64" s="805">
        <f>B107</f>
        <v>1969</v>
      </c>
      <c r="C64" s="805">
        <f t="shared" ref="C64:F64" si="10">C107</f>
        <v>122</v>
      </c>
      <c r="D64" s="805">
        <f t="shared" si="10"/>
        <v>118</v>
      </c>
      <c r="E64" s="805">
        <f t="shared" si="10"/>
        <v>1185</v>
      </c>
      <c r="F64" s="805">
        <f t="shared" si="10"/>
        <v>544</v>
      </c>
      <c r="G64" s="807">
        <v>2284</v>
      </c>
      <c r="H64" s="806">
        <f t="shared" ref="H64:H65" si="11">(B64-G64)/G64</f>
        <v>-0.13791593695271454</v>
      </c>
      <c r="I64" s="1630"/>
      <c r="J64" s="1631"/>
      <c r="K64" s="1631"/>
      <c r="L64" s="1632"/>
      <c r="M64" s="780"/>
    </row>
    <row r="65" spans="1:34" ht="15" hidden="1" customHeight="1">
      <c r="A65" s="795" t="s">
        <v>974</v>
      </c>
      <c r="B65" s="805">
        <f>B122</f>
        <v>1101</v>
      </c>
      <c r="C65" s="805">
        <f t="shared" ref="C65:F65" si="12">C122</f>
        <v>78</v>
      </c>
      <c r="D65" s="805">
        <f t="shared" si="12"/>
        <v>163</v>
      </c>
      <c r="E65" s="805">
        <f t="shared" si="12"/>
        <v>137</v>
      </c>
      <c r="F65" s="805">
        <f t="shared" si="12"/>
        <v>723</v>
      </c>
      <c r="G65" s="807">
        <v>1182</v>
      </c>
      <c r="H65" s="806">
        <f t="shared" si="11"/>
        <v>-6.8527918781725886E-2</v>
      </c>
      <c r="I65" s="1630"/>
      <c r="J65" s="1631"/>
      <c r="K65" s="1631"/>
      <c r="L65" s="1632"/>
      <c r="M65" s="780"/>
    </row>
    <row r="66" spans="1:34" ht="15.75" hidden="1" customHeight="1" thickBot="1">
      <c r="A66" s="808" t="s">
        <v>122</v>
      </c>
      <c r="B66" s="809">
        <f>SUM(B63:B65)</f>
        <v>5044</v>
      </c>
      <c r="C66" s="809">
        <f t="shared" ref="C66:G66" si="13">SUM(C63:C65)</f>
        <v>276</v>
      </c>
      <c r="D66" s="809">
        <f t="shared" si="13"/>
        <v>362</v>
      </c>
      <c r="E66" s="809">
        <f t="shared" si="13"/>
        <v>1484</v>
      </c>
      <c r="F66" s="809">
        <f t="shared" si="13"/>
        <v>2922</v>
      </c>
      <c r="G66" s="809">
        <f t="shared" si="13"/>
        <v>5945</v>
      </c>
      <c r="H66" s="810">
        <f>(B66-G66)/G66</f>
        <v>-0.15155592935239698</v>
      </c>
      <c r="I66" s="1633"/>
      <c r="J66" s="1634"/>
      <c r="K66" s="1634"/>
      <c r="L66" s="1635"/>
      <c r="M66" s="811"/>
      <c r="N66" s="811"/>
      <c r="O66" s="811"/>
      <c r="P66" s="811"/>
      <c r="Q66" s="811"/>
      <c r="R66" s="811"/>
      <c r="S66" s="811"/>
      <c r="T66" s="811"/>
      <c r="U66" s="811"/>
      <c r="V66" s="811"/>
      <c r="W66" s="811"/>
      <c r="X66" s="811"/>
      <c r="Y66" s="811"/>
      <c r="Z66" s="811"/>
      <c r="AA66" s="811"/>
      <c r="AB66" s="811"/>
      <c r="AC66" s="811"/>
      <c r="AD66" s="811"/>
      <c r="AE66" s="811"/>
      <c r="AF66" s="811"/>
      <c r="AG66" s="811"/>
      <c r="AH66" s="811"/>
    </row>
    <row r="67" spans="1:34" s="784" customFormat="1" ht="15" hidden="1" customHeight="1">
      <c r="A67" s="812"/>
      <c r="B67" s="813"/>
      <c r="C67" s="813"/>
      <c r="D67" s="813"/>
      <c r="E67" s="813"/>
      <c r="F67" s="813"/>
      <c r="G67" s="813"/>
      <c r="H67" s="813"/>
      <c r="I67" s="814"/>
      <c r="J67" s="815"/>
      <c r="K67" s="811"/>
      <c r="L67" s="811"/>
      <c r="M67" s="811"/>
      <c r="N67" s="811"/>
      <c r="O67" s="811"/>
      <c r="P67" s="811"/>
      <c r="Q67" s="811"/>
      <c r="R67" s="811"/>
      <c r="S67" s="811"/>
      <c r="T67" s="811"/>
      <c r="U67" s="811"/>
      <c r="V67" s="811"/>
      <c r="W67" s="811"/>
      <c r="X67" s="811"/>
      <c r="Y67" s="811"/>
      <c r="Z67" s="811"/>
      <c r="AA67" s="811"/>
      <c r="AB67" s="811"/>
      <c r="AC67" s="811"/>
      <c r="AD67" s="811"/>
      <c r="AE67" s="811"/>
      <c r="AF67" s="811"/>
      <c r="AG67" s="811"/>
      <c r="AH67" s="811"/>
    </row>
    <row r="68" spans="1:34" s="811" customFormat="1" ht="15" hidden="1" customHeight="1">
      <c r="A68" s="816" t="s">
        <v>1023</v>
      </c>
      <c r="B68" s="817"/>
      <c r="C68" s="817"/>
      <c r="D68" s="817"/>
      <c r="E68" s="817"/>
      <c r="F68" s="817"/>
      <c r="G68" s="818"/>
      <c r="H68" s="817"/>
      <c r="I68" s="819"/>
      <c r="J68" s="818"/>
      <c r="K68" s="817"/>
      <c r="L68" s="817"/>
    </row>
    <row r="69" spans="1:34" s="822" customFormat="1" ht="15" hidden="1" customHeight="1">
      <c r="A69" s="1636" t="s">
        <v>1024</v>
      </c>
      <c r="B69" s="1637" t="s">
        <v>1025</v>
      </c>
      <c r="C69" s="1638" t="s">
        <v>1015</v>
      </c>
      <c r="D69" s="1638"/>
      <c r="E69" s="1638"/>
      <c r="F69" s="1638"/>
      <c r="G69" s="1639"/>
      <c r="H69" s="1640"/>
      <c r="I69" s="1640"/>
      <c r="J69" s="820" t="s">
        <v>1026</v>
      </c>
      <c r="K69" s="821"/>
      <c r="L69" s="821"/>
      <c r="M69" s="821"/>
      <c r="N69" s="821"/>
      <c r="O69" s="821"/>
      <c r="P69" s="821"/>
      <c r="Q69" s="821"/>
      <c r="R69" s="820"/>
      <c r="S69" s="820"/>
      <c r="T69" s="820"/>
      <c r="U69" s="820"/>
      <c r="V69" s="820"/>
      <c r="W69" s="820"/>
      <c r="X69" s="820"/>
      <c r="Y69" s="820"/>
      <c r="Z69" s="820"/>
      <c r="AA69" s="820"/>
      <c r="AB69" s="820"/>
      <c r="AC69" s="820"/>
      <c r="AD69" s="820"/>
      <c r="AE69" s="820"/>
      <c r="AF69" s="820"/>
      <c r="AG69" s="820"/>
      <c r="AH69" s="820"/>
    </row>
    <row r="70" spans="1:34" s="8" customFormat="1" ht="12.75" hidden="1" customHeight="1">
      <c r="A70" s="1636"/>
      <c r="B70" s="1638"/>
      <c r="C70" s="823" t="s">
        <v>1018</v>
      </c>
      <c r="D70" s="823" t="s">
        <v>1019</v>
      </c>
      <c r="E70" s="823" t="s">
        <v>1020</v>
      </c>
      <c r="F70" s="824" t="s">
        <v>1021</v>
      </c>
      <c r="G70" s="1639"/>
      <c r="H70" s="1640"/>
      <c r="I70" s="1640"/>
      <c r="J70" s="825"/>
      <c r="K70" s="826"/>
      <c r="L70" s="826"/>
      <c r="M70" s="826"/>
      <c r="N70" s="826"/>
      <c r="O70" s="826"/>
      <c r="P70" s="826"/>
      <c r="Q70" s="826"/>
      <c r="R70" s="826"/>
      <c r="S70" s="826"/>
      <c r="T70" s="826"/>
      <c r="U70" s="826"/>
      <c r="V70" s="826"/>
      <c r="W70" s="826"/>
      <c r="X70" s="827"/>
      <c r="Y70" s="827"/>
      <c r="Z70" s="827"/>
      <c r="AA70" s="827"/>
      <c r="AB70" s="827"/>
      <c r="AC70" s="827"/>
      <c r="AD70" s="826"/>
      <c r="AE70" s="827"/>
      <c r="AF70" s="827"/>
      <c r="AG70" s="827"/>
      <c r="AH70" s="827"/>
    </row>
    <row r="71" spans="1:34" s="8" customFormat="1" ht="15" hidden="1" customHeight="1">
      <c r="A71" s="828" t="s">
        <v>1027</v>
      </c>
      <c r="B71" s="829">
        <f>SUM(C71:F71)</f>
        <v>131</v>
      </c>
      <c r="C71" s="829">
        <v>4</v>
      </c>
      <c r="D71" s="829">
        <v>6</v>
      </c>
      <c r="E71" s="829">
        <v>30</v>
      </c>
      <c r="F71" s="829">
        <v>91</v>
      </c>
      <c r="G71" s="830"/>
      <c r="H71" s="831"/>
      <c r="I71" s="831"/>
      <c r="J71" s="830"/>
      <c r="K71" s="827"/>
      <c r="L71" s="827"/>
      <c r="M71" s="827"/>
      <c r="N71" s="827"/>
      <c r="O71" s="827"/>
      <c r="P71" s="827"/>
      <c r="Q71" s="827"/>
      <c r="R71" s="827"/>
      <c r="S71" s="827"/>
      <c r="T71" s="827"/>
      <c r="U71" s="827"/>
      <c r="V71" s="827"/>
      <c r="W71" s="826"/>
      <c r="X71" s="827"/>
      <c r="Y71" s="827"/>
      <c r="Z71" s="826"/>
      <c r="AA71" s="826"/>
      <c r="AB71" s="826"/>
      <c r="AC71" s="826"/>
      <c r="AD71" s="826"/>
      <c r="AE71" s="826"/>
      <c r="AF71" s="826"/>
      <c r="AG71" s="826"/>
      <c r="AH71" s="832"/>
    </row>
    <row r="72" spans="1:34" s="8" customFormat="1" ht="15" hidden="1" customHeight="1">
      <c r="A72" s="833" t="s">
        <v>1028</v>
      </c>
      <c r="B72" s="829">
        <f t="shared" ref="B72:B97" si="14">SUM(C72:F72)</f>
        <v>13</v>
      </c>
      <c r="C72" s="829">
        <v>0</v>
      </c>
      <c r="D72" s="829">
        <v>1</v>
      </c>
      <c r="E72" s="829">
        <v>0</v>
      </c>
      <c r="F72" s="829">
        <v>12</v>
      </c>
      <c r="G72" s="834"/>
      <c r="H72" s="831"/>
      <c r="I72" s="831"/>
      <c r="J72" s="834"/>
      <c r="K72" s="827"/>
      <c r="L72" s="827"/>
      <c r="M72" s="827"/>
      <c r="N72" s="827"/>
      <c r="O72" s="827"/>
      <c r="P72" s="827"/>
      <c r="Q72" s="827"/>
      <c r="R72" s="827"/>
      <c r="S72" s="827"/>
      <c r="T72" s="827"/>
      <c r="U72" s="827"/>
      <c r="V72" s="826"/>
      <c r="W72" s="826"/>
      <c r="X72" s="827"/>
      <c r="Y72" s="827"/>
      <c r="Z72" s="826"/>
      <c r="AA72" s="826"/>
      <c r="AB72" s="826"/>
      <c r="AC72" s="826"/>
      <c r="AD72" s="826"/>
      <c r="AE72" s="826"/>
      <c r="AF72" s="826"/>
      <c r="AG72" s="826"/>
      <c r="AH72" s="832"/>
    </row>
    <row r="73" spans="1:34" s="8" customFormat="1" ht="15" hidden="1" customHeight="1">
      <c r="A73" s="833" t="s">
        <v>1029</v>
      </c>
      <c r="B73" s="829">
        <f t="shared" si="14"/>
        <v>8</v>
      </c>
      <c r="C73" s="829">
        <v>0</v>
      </c>
      <c r="D73" s="829">
        <v>0</v>
      </c>
      <c r="E73" s="829">
        <v>0</v>
      </c>
      <c r="F73" s="829">
        <v>8</v>
      </c>
      <c r="G73" s="834"/>
      <c r="H73" s="831"/>
      <c r="I73" s="831"/>
      <c r="J73" s="834"/>
      <c r="K73" s="827"/>
      <c r="L73" s="827"/>
      <c r="M73" s="827"/>
      <c r="N73" s="827"/>
      <c r="O73" s="827"/>
      <c r="P73" s="827"/>
      <c r="Q73" s="827"/>
      <c r="R73" s="827"/>
      <c r="S73" s="827"/>
      <c r="T73" s="827"/>
      <c r="U73" s="827"/>
      <c r="V73" s="826"/>
      <c r="W73" s="826"/>
      <c r="X73" s="827"/>
      <c r="Y73" s="827"/>
      <c r="Z73" s="826"/>
      <c r="AA73" s="826"/>
      <c r="AB73" s="826"/>
      <c r="AC73" s="826"/>
      <c r="AD73" s="826"/>
      <c r="AE73" s="826"/>
      <c r="AF73" s="826"/>
      <c r="AG73" s="826"/>
      <c r="AH73" s="832"/>
    </row>
    <row r="74" spans="1:34" s="8" customFormat="1" ht="15" hidden="1" customHeight="1">
      <c r="A74" s="833" t="s">
        <v>1030</v>
      </c>
      <c r="B74" s="829">
        <f t="shared" si="14"/>
        <v>96</v>
      </c>
      <c r="C74" s="829">
        <v>3</v>
      </c>
      <c r="D74" s="829">
        <v>3</v>
      </c>
      <c r="E74" s="829">
        <v>19</v>
      </c>
      <c r="F74" s="829">
        <v>71</v>
      </c>
      <c r="G74" s="834"/>
      <c r="H74" s="831"/>
      <c r="I74" s="831"/>
      <c r="J74" s="834"/>
      <c r="K74" s="827"/>
      <c r="L74" s="827"/>
      <c r="M74" s="827"/>
      <c r="N74" s="827"/>
      <c r="O74" s="827"/>
      <c r="P74" s="827"/>
      <c r="Q74" s="827"/>
      <c r="R74" s="827"/>
      <c r="S74" s="827"/>
      <c r="T74" s="827"/>
      <c r="U74" s="827"/>
      <c r="V74" s="826"/>
      <c r="W74" s="826"/>
      <c r="X74" s="827"/>
      <c r="Y74" s="827"/>
      <c r="Z74" s="826"/>
      <c r="AA74" s="826"/>
      <c r="AB74" s="826"/>
      <c r="AC74" s="826"/>
      <c r="AD74" s="826"/>
      <c r="AE74" s="826"/>
      <c r="AF74" s="826"/>
      <c r="AG74" s="826"/>
      <c r="AH74" s="832"/>
    </row>
    <row r="75" spans="1:34" s="8" customFormat="1" ht="15" hidden="1" customHeight="1">
      <c r="A75" s="833" t="s">
        <v>1031</v>
      </c>
      <c r="B75" s="829">
        <f t="shared" si="14"/>
        <v>42</v>
      </c>
      <c r="C75" s="829">
        <v>2</v>
      </c>
      <c r="D75" s="829">
        <v>2</v>
      </c>
      <c r="E75" s="829">
        <v>0</v>
      </c>
      <c r="F75" s="829">
        <v>38</v>
      </c>
      <c r="G75" s="834"/>
      <c r="H75" s="831"/>
      <c r="I75" s="831"/>
      <c r="J75" s="834"/>
      <c r="K75" s="827"/>
      <c r="L75" s="827"/>
      <c r="M75" s="827"/>
      <c r="N75" s="827"/>
      <c r="O75" s="827"/>
      <c r="P75" s="827"/>
      <c r="Q75" s="827"/>
      <c r="R75" s="827"/>
      <c r="S75" s="827"/>
      <c r="T75" s="827"/>
      <c r="U75" s="827"/>
      <c r="V75" s="826"/>
      <c r="W75" s="826"/>
      <c r="X75" s="827"/>
      <c r="Y75" s="827"/>
      <c r="Z75" s="826"/>
      <c r="AA75" s="826"/>
      <c r="AB75" s="826"/>
      <c r="AC75" s="826"/>
      <c r="AD75" s="826"/>
      <c r="AE75" s="826"/>
      <c r="AF75" s="826"/>
      <c r="AG75" s="826"/>
      <c r="AH75" s="832"/>
    </row>
    <row r="76" spans="1:34" s="8" customFormat="1" ht="15" hidden="1" customHeight="1">
      <c r="A76" s="833" t="s">
        <v>1032</v>
      </c>
      <c r="B76" s="829">
        <f t="shared" si="14"/>
        <v>5</v>
      </c>
      <c r="C76" s="829">
        <v>0</v>
      </c>
      <c r="D76" s="829">
        <v>0</v>
      </c>
      <c r="E76" s="829">
        <v>0</v>
      </c>
      <c r="F76" s="829">
        <v>5</v>
      </c>
      <c r="G76" s="834"/>
      <c r="H76" s="831"/>
      <c r="I76" s="831"/>
      <c r="J76" s="834"/>
      <c r="K76" s="827"/>
      <c r="L76" s="827"/>
      <c r="M76" s="827"/>
      <c r="N76" s="827"/>
      <c r="O76" s="827"/>
      <c r="P76" s="827"/>
      <c r="Q76" s="827"/>
      <c r="R76" s="827"/>
      <c r="S76" s="827"/>
      <c r="T76" s="827"/>
      <c r="U76" s="827"/>
      <c r="V76" s="826"/>
      <c r="W76" s="826"/>
      <c r="X76" s="827"/>
      <c r="Y76" s="827"/>
      <c r="Z76" s="826"/>
      <c r="AA76" s="826"/>
      <c r="AB76" s="826"/>
      <c r="AC76" s="826"/>
      <c r="AD76" s="826"/>
      <c r="AE76" s="826"/>
      <c r="AF76" s="826"/>
      <c r="AG76" s="826"/>
      <c r="AH76" s="832"/>
    </row>
    <row r="77" spans="1:34" s="8" customFormat="1" ht="15" hidden="1" customHeight="1">
      <c r="A77" s="833" t="s">
        <v>1033</v>
      </c>
      <c r="B77" s="829">
        <f t="shared" si="14"/>
        <v>3</v>
      </c>
      <c r="C77" s="829">
        <v>0</v>
      </c>
      <c r="D77" s="829">
        <v>0</v>
      </c>
      <c r="E77" s="829">
        <v>0</v>
      </c>
      <c r="F77" s="829">
        <v>3</v>
      </c>
      <c r="G77" s="834"/>
      <c r="H77" s="831"/>
      <c r="I77" s="831"/>
      <c r="J77" s="834"/>
      <c r="K77" s="827"/>
      <c r="L77" s="827"/>
      <c r="M77" s="827"/>
      <c r="N77" s="827"/>
      <c r="O77" s="827"/>
      <c r="P77" s="827"/>
      <c r="Q77" s="827"/>
      <c r="R77" s="827"/>
      <c r="S77" s="827"/>
      <c r="T77" s="827"/>
      <c r="U77" s="827"/>
      <c r="V77" s="826"/>
      <c r="W77" s="826"/>
      <c r="X77" s="827"/>
      <c r="Y77" s="827"/>
      <c r="Z77" s="826"/>
      <c r="AA77" s="826"/>
      <c r="AB77" s="826"/>
      <c r="AC77" s="826"/>
      <c r="AD77" s="826"/>
      <c r="AE77" s="826"/>
      <c r="AF77" s="826"/>
      <c r="AG77" s="826"/>
      <c r="AH77" s="832"/>
    </row>
    <row r="78" spans="1:34" s="8" customFormat="1" ht="15" hidden="1" customHeight="1">
      <c r="A78" s="833" t="s">
        <v>1034</v>
      </c>
      <c r="B78" s="829">
        <f t="shared" si="14"/>
        <v>35</v>
      </c>
      <c r="C78" s="829">
        <v>3</v>
      </c>
      <c r="D78" s="829">
        <v>3</v>
      </c>
      <c r="E78" s="829">
        <v>0</v>
      </c>
      <c r="F78" s="829">
        <v>29</v>
      </c>
      <c r="G78" s="834"/>
      <c r="H78" s="831"/>
      <c r="I78" s="831"/>
      <c r="J78" s="834"/>
      <c r="K78" s="835"/>
      <c r="L78" s="835"/>
      <c r="M78" s="835"/>
      <c r="N78" s="827"/>
      <c r="O78" s="827"/>
      <c r="P78" s="827"/>
      <c r="Q78" s="827"/>
      <c r="R78" s="827"/>
      <c r="S78" s="827"/>
      <c r="T78" s="827"/>
      <c r="U78" s="827"/>
      <c r="V78" s="826"/>
      <c r="W78" s="826"/>
      <c r="X78" s="836"/>
      <c r="Y78" s="835"/>
      <c r="Z78" s="826"/>
      <c r="AA78" s="826"/>
      <c r="AB78" s="837"/>
      <c r="AC78" s="826"/>
      <c r="AD78" s="837"/>
      <c r="AE78" s="837"/>
      <c r="AF78" s="837"/>
      <c r="AG78" s="837"/>
      <c r="AH78" s="832"/>
    </row>
    <row r="79" spans="1:34" s="8" customFormat="1" ht="15" hidden="1" customHeight="1">
      <c r="A79" s="838" t="s">
        <v>1035</v>
      </c>
      <c r="B79" s="829">
        <f t="shared" si="14"/>
        <v>9</v>
      </c>
      <c r="C79" s="829">
        <v>0</v>
      </c>
      <c r="D79" s="829">
        <v>0</v>
      </c>
      <c r="E79" s="829">
        <v>0</v>
      </c>
      <c r="F79" s="829">
        <v>9</v>
      </c>
      <c r="G79" s="839"/>
      <c r="H79" s="831"/>
      <c r="I79" s="831"/>
      <c r="J79" s="834"/>
      <c r="K79" s="835"/>
      <c r="L79" s="835"/>
      <c r="M79" s="835"/>
      <c r="N79" s="835"/>
      <c r="O79" s="835"/>
      <c r="P79" s="835"/>
      <c r="Q79" s="835"/>
      <c r="R79" s="835"/>
      <c r="S79" s="835"/>
      <c r="T79" s="835"/>
      <c r="U79" s="835"/>
      <c r="V79" s="826"/>
      <c r="W79" s="826"/>
      <c r="X79" s="835"/>
      <c r="Y79" s="835"/>
      <c r="Z79" s="835"/>
      <c r="AA79" s="835"/>
      <c r="AB79" s="835"/>
      <c r="AC79" s="835"/>
      <c r="AD79" s="835"/>
      <c r="AE79" s="835"/>
      <c r="AF79" s="835"/>
      <c r="AG79" s="835"/>
      <c r="AH79" s="832"/>
    </row>
    <row r="80" spans="1:34" s="8" customFormat="1" ht="15" hidden="1" customHeight="1">
      <c r="A80" s="833" t="s">
        <v>1036</v>
      </c>
      <c r="B80" s="829">
        <f t="shared" si="14"/>
        <v>35</v>
      </c>
      <c r="C80" s="829">
        <v>0</v>
      </c>
      <c r="D80" s="829">
        <v>0</v>
      </c>
      <c r="E80" s="829">
        <v>0</v>
      </c>
      <c r="F80" s="829">
        <v>35</v>
      </c>
      <c r="G80" s="834"/>
      <c r="I80" s="831"/>
      <c r="J80" s="834"/>
      <c r="K80" s="835"/>
      <c r="L80" s="835"/>
      <c r="M80" s="835"/>
      <c r="N80" s="835"/>
      <c r="O80" s="835"/>
      <c r="P80" s="835"/>
      <c r="Q80" s="835"/>
      <c r="R80" s="835"/>
      <c r="S80" s="835"/>
      <c r="T80" s="835"/>
      <c r="U80" s="835"/>
      <c r="V80" s="826"/>
      <c r="W80" s="826"/>
      <c r="X80" s="835"/>
      <c r="Y80" s="835"/>
      <c r="Z80" s="835"/>
      <c r="AA80" s="835"/>
      <c r="AB80" s="835"/>
      <c r="AC80" s="835"/>
      <c r="AD80" s="835"/>
      <c r="AE80" s="835"/>
      <c r="AF80" s="835"/>
      <c r="AG80" s="835"/>
      <c r="AH80" s="832"/>
    </row>
    <row r="81" spans="1:34" s="8" customFormat="1" ht="15" hidden="1" customHeight="1">
      <c r="A81" s="833" t="s">
        <v>1037</v>
      </c>
      <c r="B81" s="829">
        <f t="shared" si="14"/>
        <v>52</v>
      </c>
      <c r="C81" s="829">
        <v>4</v>
      </c>
      <c r="D81" s="829">
        <v>4</v>
      </c>
      <c r="E81" s="829">
        <v>0</v>
      </c>
      <c r="F81" s="829">
        <v>44</v>
      </c>
      <c r="G81" s="834"/>
      <c r="I81" s="831"/>
      <c r="J81" s="834"/>
      <c r="K81" s="835"/>
      <c r="L81" s="835"/>
      <c r="M81" s="835"/>
      <c r="N81" s="835"/>
      <c r="O81" s="835"/>
      <c r="P81" s="835"/>
      <c r="Q81" s="835"/>
      <c r="R81" s="835"/>
      <c r="S81" s="835"/>
      <c r="T81" s="835"/>
      <c r="U81" s="835"/>
      <c r="V81" s="826"/>
      <c r="W81" s="826"/>
      <c r="X81" s="835"/>
      <c r="Y81" s="835"/>
      <c r="Z81" s="835"/>
      <c r="AA81" s="835"/>
      <c r="AB81" s="835"/>
      <c r="AC81" s="835"/>
      <c r="AD81" s="835"/>
      <c r="AE81" s="835"/>
      <c r="AF81" s="835"/>
      <c r="AG81" s="835"/>
      <c r="AH81" s="832"/>
    </row>
    <row r="82" spans="1:34" s="8" customFormat="1" ht="15" hidden="1" customHeight="1">
      <c r="A82" s="833" t="s">
        <v>1038</v>
      </c>
      <c r="B82" s="829">
        <f t="shared" si="14"/>
        <v>75</v>
      </c>
      <c r="C82" s="829">
        <v>0</v>
      </c>
      <c r="D82" s="829">
        <v>0</v>
      </c>
      <c r="E82" s="829">
        <v>0</v>
      </c>
      <c r="F82" s="829">
        <v>75</v>
      </c>
      <c r="G82" s="834"/>
      <c r="I82" s="831"/>
      <c r="J82" s="834"/>
      <c r="K82" s="835"/>
      <c r="L82" s="835"/>
      <c r="M82" s="835"/>
      <c r="N82" s="835"/>
      <c r="O82" s="835"/>
      <c r="P82" s="835"/>
      <c r="Q82" s="835"/>
      <c r="R82" s="835"/>
      <c r="S82" s="835"/>
      <c r="T82" s="835"/>
      <c r="U82" s="835"/>
      <c r="V82" s="826"/>
      <c r="W82" s="826"/>
      <c r="X82" s="835"/>
      <c r="Y82" s="835"/>
      <c r="Z82" s="835"/>
      <c r="AA82" s="835"/>
      <c r="AB82" s="835"/>
      <c r="AC82" s="835"/>
      <c r="AD82" s="835"/>
      <c r="AE82" s="835"/>
      <c r="AF82" s="835"/>
      <c r="AG82" s="835"/>
      <c r="AH82" s="832"/>
    </row>
    <row r="83" spans="1:34" s="8" customFormat="1" ht="15" hidden="1" customHeight="1">
      <c r="A83" s="833" t="s">
        <v>1039</v>
      </c>
      <c r="B83" s="829">
        <f t="shared" si="14"/>
        <v>3</v>
      </c>
      <c r="C83" s="829">
        <v>0</v>
      </c>
      <c r="D83" s="829">
        <v>0</v>
      </c>
      <c r="E83" s="829">
        <v>0</v>
      </c>
      <c r="F83" s="829">
        <v>3</v>
      </c>
      <c r="G83" s="834"/>
      <c r="I83" s="831"/>
      <c r="J83" s="834"/>
      <c r="K83" s="835"/>
      <c r="L83" s="835"/>
      <c r="M83" s="827"/>
      <c r="N83" s="835"/>
      <c r="O83" s="835"/>
      <c r="P83" s="835"/>
      <c r="Q83" s="835"/>
      <c r="R83" s="835"/>
      <c r="S83" s="835"/>
      <c r="T83" s="835"/>
      <c r="U83" s="835"/>
      <c r="V83" s="826"/>
      <c r="W83" s="826"/>
      <c r="X83" s="835"/>
      <c r="Y83" s="835"/>
      <c r="Z83" s="835"/>
      <c r="AA83" s="835"/>
      <c r="AB83" s="835"/>
      <c r="AC83" s="835"/>
      <c r="AD83" s="835"/>
      <c r="AE83" s="835"/>
      <c r="AF83" s="835"/>
      <c r="AG83" s="835"/>
      <c r="AH83" s="832"/>
    </row>
    <row r="84" spans="1:34" s="8" customFormat="1" ht="15" hidden="1" customHeight="1">
      <c r="A84" s="833" t="s">
        <v>1040</v>
      </c>
      <c r="B84" s="829">
        <f t="shared" si="14"/>
        <v>29</v>
      </c>
      <c r="C84" s="829">
        <v>0</v>
      </c>
      <c r="D84" s="829">
        <v>0</v>
      </c>
      <c r="E84" s="829">
        <v>0</v>
      </c>
      <c r="F84" s="829">
        <v>29</v>
      </c>
      <c r="G84" s="834"/>
      <c r="I84" s="831"/>
      <c r="J84" s="834"/>
      <c r="K84" s="835"/>
      <c r="L84" s="835"/>
      <c r="M84" s="835"/>
      <c r="N84" s="835"/>
      <c r="O84" s="835"/>
      <c r="P84" s="835"/>
      <c r="Q84" s="835"/>
      <c r="R84" s="835"/>
      <c r="S84" s="835"/>
      <c r="T84" s="835"/>
      <c r="U84" s="835"/>
      <c r="V84" s="826"/>
      <c r="W84" s="826"/>
      <c r="X84" s="835"/>
      <c r="Y84" s="835"/>
      <c r="Z84" s="835"/>
      <c r="AA84" s="835"/>
      <c r="AB84" s="835"/>
      <c r="AC84" s="835"/>
      <c r="AD84" s="835"/>
      <c r="AE84" s="835"/>
      <c r="AF84" s="835"/>
      <c r="AG84" s="835"/>
      <c r="AH84" s="832"/>
    </row>
    <row r="85" spans="1:34" s="8" customFormat="1" ht="15" hidden="1" customHeight="1">
      <c r="A85" s="833" t="s">
        <v>1041</v>
      </c>
      <c r="B85" s="829">
        <f t="shared" si="14"/>
        <v>13</v>
      </c>
      <c r="C85" s="829">
        <v>0</v>
      </c>
      <c r="D85" s="829">
        <v>0</v>
      </c>
      <c r="E85" s="829">
        <v>0</v>
      </c>
      <c r="F85" s="829">
        <v>13</v>
      </c>
      <c r="G85" s="834"/>
      <c r="I85" s="831"/>
      <c r="J85" s="834"/>
      <c r="K85" s="835"/>
      <c r="L85" s="835"/>
      <c r="M85" s="835"/>
      <c r="N85" s="827"/>
      <c r="O85" s="827"/>
      <c r="P85" s="827"/>
      <c r="Q85" s="827"/>
      <c r="R85" s="827"/>
      <c r="S85" s="827"/>
      <c r="T85" s="827"/>
      <c r="U85" s="827"/>
      <c r="V85" s="826"/>
      <c r="W85" s="826"/>
      <c r="X85" s="836"/>
      <c r="Y85" s="835"/>
      <c r="Z85" s="826"/>
      <c r="AA85" s="826"/>
      <c r="AB85" s="837"/>
      <c r="AC85" s="826"/>
      <c r="AD85" s="837"/>
      <c r="AE85" s="837"/>
      <c r="AF85" s="837"/>
      <c r="AG85" s="837"/>
      <c r="AH85" s="832"/>
    </row>
    <row r="86" spans="1:34" s="8" customFormat="1" ht="15" hidden="1" customHeight="1">
      <c r="A86" s="833" t="s">
        <v>1042</v>
      </c>
      <c r="B86" s="829">
        <f t="shared" si="14"/>
        <v>3</v>
      </c>
      <c r="C86" s="829">
        <v>0</v>
      </c>
      <c r="D86" s="829">
        <v>0</v>
      </c>
      <c r="E86" s="829">
        <v>0</v>
      </c>
      <c r="F86" s="829">
        <v>3</v>
      </c>
      <c r="G86" s="834"/>
      <c r="I86" s="831"/>
      <c r="J86" s="834"/>
      <c r="K86" s="840"/>
      <c r="L86" s="840"/>
      <c r="M86" s="840"/>
      <c r="N86" s="840"/>
      <c r="O86" s="840"/>
      <c r="P86" s="840"/>
      <c r="Q86" s="840"/>
      <c r="R86" s="840"/>
      <c r="S86" s="840"/>
      <c r="T86" s="840"/>
      <c r="U86" s="840"/>
      <c r="V86" s="840"/>
      <c r="W86" s="840"/>
      <c r="X86" s="835"/>
      <c r="Y86" s="835"/>
      <c r="Z86" s="835"/>
      <c r="AA86" s="835"/>
      <c r="AB86" s="835"/>
      <c r="AC86" s="835"/>
      <c r="AD86" s="835"/>
      <c r="AE86" s="835"/>
      <c r="AF86" s="835"/>
      <c r="AG86" s="835"/>
      <c r="AH86" s="835"/>
    </row>
    <row r="87" spans="1:34" s="8" customFormat="1" ht="15" hidden="1" customHeight="1">
      <c r="A87" s="833" t="s">
        <v>1043</v>
      </c>
      <c r="B87" s="829">
        <f t="shared" si="14"/>
        <v>5</v>
      </c>
      <c r="C87" s="829">
        <v>0</v>
      </c>
      <c r="D87" s="829">
        <v>0</v>
      </c>
      <c r="E87" s="829">
        <v>0</v>
      </c>
      <c r="F87" s="829">
        <v>5</v>
      </c>
      <c r="G87" s="834"/>
      <c r="I87" s="831"/>
      <c r="J87" s="834"/>
      <c r="K87" s="835"/>
      <c r="L87" s="835"/>
      <c r="M87" s="827"/>
      <c r="N87" s="835"/>
      <c r="O87" s="835"/>
      <c r="P87" s="835"/>
      <c r="Q87" s="835"/>
      <c r="R87" s="835"/>
      <c r="S87" s="835"/>
      <c r="T87" s="835"/>
      <c r="U87" s="835"/>
      <c r="V87" s="840"/>
      <c r="W87" s="840"/>
      <c r="X87" s="835"/>
      <c r="Y87" s="835"/>
      <c r="Z87" s="835"/>
      <c r="AA87" s="835"/>
      <c r="AB87" s="835"/>
      <c r="AC87" s="835"/>
      <c r="AD87" s="835"/>
      <c r="AE87" s="835"/>
      <c r="AF87" s="835"/>
      <c r="AG87" s="835"/>
      <c r="AH87" s="832"/>
    </row>
    <row r="88" spans="1:34" s="8" customFormat="1" ht="15" hidden="1" customHeight="1">
      <c r="A88" s="838" t="s">
        <v>1044</v>
      </c>
      <c r="B88" s="829">
        <f t="shared" si="14"/>
        <v>272</v>
      </c>
      <c r="C88" s="829">
        <v>1</v>
      </c>
      <c r="D88" s="829">
        <v>0</v>
      </c>
      <c r="E88" s="829">
        <v>0</v>
      </c>
      <c r="F88" s="829">
        <v>271</v>
      </c>
      <c r="G88" s="839"/>
      <c r="I88" s="831"/>
      <c r="J88" s="834"/>
      <c r="K88" s="835"/>
      <c r="L88" s="835"/>
      <c r="M88" s="827"/>
      <c r="N88" s="835"/>
      <c r="O88" s="835"/>
      <c r="P88" s="835"/>
      <c r="Q88" s="835"/>
      <c r="R88" s="835"/>
      <c r="S88" s="835"/>
      <c r="T88" s="835"/>
      <c r="U88" s="835"/>
      <c r="V88" s="840"/>
      <c r="W88" s="840"/>
      <c r="X88" s="841"/>
      <c r="Y88" s="841"/>
      <c r="Z88" s="826"/>
      <c r="AA88" s="826"/>
      <c r="AB88" s="826"/>
      <c r="AC88" s="826"/>
      <c r="AD88" s="837"/>
      <c r="AE88" s="837"/>
      <c r="AF88" s="837"/>
      <c r="AG88" s="842"/>
      <c r="AH88" s="832"/>
    </row>
    <row r="89" spans="1:34" s="8" customFormat="1" ht="15" hidden="1" customHeight="1">
      <c r="A89" s="838" t="s">
        <v>1045</v>
      </c>
      <c r="B89" s="829">
        <f t="shared" si="14"/>
        <v>46</v>
      </c>
      <c r="C89" s="829">
        <v>0</v>
      </c>
      <c r="D89" s="829">
        <v>0</v>
      </c>
      <c r="E89" s="829">
        <v>0</v>
      </c>
      <c r="F89" s="829">
        <v>46</v>
      </c>
      <c r="G89" s="839"/>
      <c r="I89" s="831"/>
      <c r="J89" s="834"/>
      <c r="K89" s="835"/>
      <c r="L89" s="835"/>
      <c r="M89" s="827"/>
      <c r="N89" s="835"/>
      <c r="O89" s="835"/>
      <c r="P89" s="835"/>
      <c r="Q89" s="835"/>
      <c r="R89" s="835"/>
      <c r="S89" s="835"/>
      <c r="T89" s="835"/>
      <c r="U89" s="835"/>
      <c r="V89" s="840"/>
      <c r="W89" s="840"/>
      <c r="X89" s="835"/>
      <c r="Y89" s="835"/>
      <c r="Z89" s="835"/>
      <c r="AA89" s="835"/>
      <c r="AB89" s="835"/>
      <c r="AC89" s="835"/>
      <c r="AD89" s="835"/>
      <c r="AE89" s="835"/>
      <c r="AF89" s="835"/>
      <c r="AG89" s="835"/>
      <c r="AH89" s="832"/>
    </row>
    <row r="90" spans="1:34" s="8" customFormat="1" ht="15" hidden="1" customHeight="1">
      <c r="A90" s="838" t="s">
        <v>1046</v>
      </c>
      <c r="B90" s="829">
        <f t="shared" si="14"/>
        <v>59</v>
      </c>
      <c r="C90" s="829">
        <v>0</v>
      </c>
      <c r="D90" s="829">
        <v>0</v>
      </c>
      <c r="E90" s="829">
        <v>7</v>
      </c>
      <c r="F90" s="829">
        <v>52</v>
      </c>
      <c r="G90" s="839"/>
      <c r="I90" s="831"/>
      <c r="J90" s="830"/>
      <c r="K90" s="835"/>
      <c r="L90" s="835"/>
      <c r="M90" s="827"/>
      <c r="N90" s="835"/>
      <c r="O90" s="835"/>
      <c r="P90" s="835"/>
      <c r="Q90" s="835"/>
      <c r="R90" s="835"/>
      <c r="S90" s="835"/>
      <c r="T90" s="835"/>
      <c r="U90" s="835"/>
      <c r="V90" s="840"/>
      <c r="W90" s="840"/>
      <c r="X90" s="836"/>
      <c r="Y90" s="841"/>
      <c r="Z90" s="826"/>
      <c r="AA90" s="826"/>
      <c r="AB90" s="837"/>
      <c r="AC90" s="826"/>
      <c r="AD90" s="837"/>
      <c r="AE90" s="837"/>
      <c r="AF90" s="837"/>
      <c r="AG90" s="842"/>
      <c r="AH90" s="832"/>
    </row>
    <row r="91" spans="1:34" s="8" customFormat="1" ht="15" hidden="1" customHeight="1">
      <c r="A91" s="828" t="s">
        <v>1047</v>
      </c>
      <c r="B91" s="829">
        <f t="shared" si="14"/>
        <v>76</v>
      </c>
      <c r="C91" s="829">
        <v>0</v>
      </c>
      <c r="D91" s="829">
        <v>0</v>
      </c>
      <c r="E91" s="829">
        <v>0</v>
      </c>
      <c r="F91" s="829">
        <v>76</v>
      </c>
      <c r="G91" s="830"/>
      <c r="I91" s="831"/>
      <c r="J91" s="830"/>
      <c r="K91" s="835"/>
      <c r="L91" s="835"/>
      <c r="M91" s="827"/>
      <c r="N91" s="835"/>
      <c r="O91" s="835"/>
      <c r="P91" s="835"/>
      <c r="Q91" s="835"/>
      <c r="R91" s="835"/>
      <c r="S91" s="835"/>
      <c r="T91" s="835"/>
      <c r="U91" s="835"/>
      <c r="V91" s="840"/>
      <c r="W91" s="840"/>
      <c r="X91" s="836"/>
      <c r="Y91" s="841"/>
      <c r="Z91" s="826"/>
      <c r="AA91" s="826"/>
      <c r="AB91" s="826"/>
      <c r="AC91" s="826"/>
      <c r="AD91" s="837"/>
      <c r="AE91" s="837"/>
      <c r="AF91" s="837"/>
      <c r="AG91" s="842"/>
      <c r="AH91" s="832"/>
    </row>
    <row r="92" spans="1:34" s="8" customFormat="1" ht="15" hidden="1" customHeight="1">
      <c r="A92" s="828" t="s">
        <v>1048</v>
      </c>
      <c r="B92" s="829">
        <f t="shared" si="14"/>
        <v>188</v>
      </c>
      <c r="C92" s="829">
        <v>1</v>
      </c>
      <c r="D92" s="829">
        <v>0</v>
      </c>
      <c r="E92" s="829">
        <v>36</v>
      </c>
      <c r="F92" s="829">
        <v>151</v>
      </c>
      <c r="G92" s="830"/>
      <c r="I92" s="831"/>
      <c r="J92" s="830"/>
      <c r="K92" s="835"/>
      <c r="L92" s="835"/>
      <c r="M92" s="827"/>
      <c r="N92" s="835"/>
      <c r="O92" s="835"/>
      <c r="P92" s="835"/>
      <c r="Q92" s="835"/>
      <c r="R92" s="835"/>
      <c r="S92" s="835"/>
      <c r="T92" s="835"/>
      <c r="U92" s="835"/>
      <c r="V92" s="840"/>
      <c r="W92" s="840"/>
      <c r="X92" s="836"/>
      <c r="Y92" s="841"/>
      <c r="Z92" s="826"/>
      <c r="AA92" s="826"/>
      <c r="AB92" s="826"/>
      <c r="AC92" s="826"/>
      <c r="AD92" s="837"/>
      <c r="AE92" s="837"/>
      <c r="AF92" s="837"/>
      <c r="AG92" s="842"/>
      <c r="AH92" s="832"/>
    </row>
    <row r="93" spans="1:34" s="8" customFormat="1" ht="15" hidden="1" customHeight="1">
      <c r="A93" s="833" t="s">
        <v>1049</v>
      </c>
      <c r="B93" s="829">
        <f t="shared" si="14"/>
        <v>253</v>
      </c>
      <c r="C93" s="829">
        <v>48</v>
      </c>
      <c r="D93" s="829">
        <v>50</v>
      </c>
      <c r="E93" s="829">
        <v>0</v>
      </c>
      <c r="F93" s="829">
        <v>155</v>
      </c>
      <c r="G93" s="834"/>
      <c r="I93" s="831"/>
      <c r="J93" s="830"/>
      <c r="K93" s="835"/>
      <c r="L93" s="835"/>
      <c r="M93" s="827"/>
      <c r="N93" s="835"/>
      <c r="O93" s="835"/>
      <c r="P93" s="835"/>
      <c r="Q93" s="835"/>
      <c r="R93" s="835"/>
      <c r="S93" s="835"/>
      <c r="T93" s="835"/>
      <c r="U93" s="835"/>
      <c r="V93" s="840"/>
      <c r="W93" s="840"/>
      <c r="X93" s="836"/>
      <c r="Y93" s="841"/>
      <c r="Z93" s="826"/>
      <c r="AA93" s="826"/>
      <c r="AB93" s="826"/>
      <c r="AC93" s="826"/>
      <c r="AD93" s="837"/>
      <c r="AE93" s="837"/>
      <c r="AF93" s="837"/>
      <c r="AG93" s="842"/>
      <c r="AH93" s="832"/>
    </row>
    <row r="94" spans="1:34" s="8" customFormat="1" ht="15" hidden="1" customHeight="1">
      <c r="A94" s="828" t="s">
        <v>1050</v>
      </c>
      <c r="B94" s="829">
        <f t="shared" si="14"/>
        <v>68</v>
      </c>
      <c r="C94" s="829">
        <v>0</v>
      </c>
      <c r="D94" s="829">
        <v>0</v>
      </c>
      <c r="E94" s="829">
        <v>0</v>
      </c>
      <c r="F94" s="829">
        <v>68</v>
      </c>
      <c r="G94" s="830"/>
      <c r="I94" s="831"/>
      <c r="J94" s="830"/>
      <c r="K94" s="835"/>
      <c r="L94" s="835"/>
      <c r="M94" s="827"/>
      <c r="N94" s="835"/>
      <c r="O94" s="835"/>
      <c r="P94" s="835"/>
      <c r="Q94" s="835"/>
      <c r="R94" s="835"/>
      <c r="S94" s="835"/>
      <c r="T94" s="835"/>
      <c r="U94" s="835"/>
      <c r="V94" s="840"/>
      <c r="W94" s="840"/>
      <c r="X94" s="836"/>
      <c r="Y94" s="841"/>
      <c r="Z94" s="826"/>
      <c r="AA94" s="826"/>
      <c r="AB94" s="826"/>
      <c r="AC94" s="826"/>
      <c r="AD94" s="837"/>
      <c r="AE94" s="837"/>
      <c r="AF94" s="837"/>
      <c r="AG94" s="842"/>
      <c r="AH94" s="832"/>
    </row>
    <row r="95" spans="1:34" s="8" customFormat="1" ht="15" hidden="1" customHeight="1">
      <c r="A95" s="828" t="s">
        <v>1051</v>
      </c>
      <c r="B95" s="829">
        <f t="shared" si="14"/>
        <v>118</v>
      </c>
      <c r="C95" s="829">
        <v>0</v>
      </c>
      <c r="D95" s="829">
        <v>0</v>
      </c>
      <c r="E95" s="829">
        <v>1</v>
      </c>
      <c r="F95" s="829">
        <v>117</v>
      </c>
      <c r="G95" s="830"/>
      <c r="I95" s="831"/>
      <c r="J95" s="834"/>
      <c r="K95" s="835"/>
      <c r="L95" s="835"/>
      <c r="M95" s="827"/>
      <c r="N95" s="835"/>
      <c r="O95" s="835"/>
      <c r="P95" s="835"/>
      <c r="Q95" s="835"/>
      <c r="R95" s="835"/>
      <c r="S95" s="835"/>
      <c r="T95" s="835"/>
      <c r="U95" s="835"/>
      <c r="V95" s="840"/>
      <c r="W95" s="840"/>
      <c r="X95" s="836"/>
      <c r="Y95" s="841"/>
      <c r="Z95" s="826"/>
      <c r="AA95" s="826"/>
      <c r="AB95" s="826"/>
      <c r="AC95" s="826"/>
      <c r="AD95" s="837"/>
      <c r="AE95" s="837"/>
      <c r="AF95" s="837"/>
      <c r="AG95" s="842"/>
      <c r="AH95" s="832"/>
    </row>
    <row r="96" spans="1:34" s="8" customFormat="1" ht="15" hidden="1" customHeight="1">
      <c r="A96" s="828" t="s">
        <v>1052</v>
      </c>
      <c r="B96" s="829">
        <f t="shared" si="14"/>
        <v>167</v>
      </c>
      <c r="C96" s="829">
        <v>10</v>
      </c>
      <c r="D96" s="829">
        <v>12</v>
      </c>
      <c r="E96" s="829">
        <v>69</v>
      </c>
      <c r="F96" s="829">
        <v>76</v>
      </c>
      <c r="G96" s="830"/>
      <c r="I96" s="831"/>
      <c r="J96" s="830"/>
      <c r="K96" s="835"/>
      <c r="L96" s="835"/>
      <c r="M96" s="827"/>
      <c r="N96" s="835"/>
      <c r="O96" s="835"/>
      <c r="P96" s="835"/>
      <c r="Q96" s="835"/>
      <c r="R96" s="835"/>
      <c r="S96" s="835"/>
      <c r="T96" s="835"/>
      <c r="U96" s="835"/>
      <c r="V96" s="840"/>
      <c r="W96" s="840"/>
      <c r="X96" s="836"/>
      <c r="Y96" s="841"/>
      <c r="Z96" s="826"/>
      <c r="AA96" s="826"/>
      <c r="AB96" s="837"/>
      <c r="AC96" s="826"/>
      <c r="AD96" s="837"/>
      <c r="AE96" s="837"/>
      <c r="AF96" s="837"/>
      <c r="AG96" s="842"/>
      <c r="AH96" s="832"/>
    </row>
    <row r="97" spans="1:34" s="8" customFormat="1" ht="15" hidden="1" customHeight="1">
      <c r="A97" s="843" t="s">
        <v>1053</v>
      </c>
      <c r="B97" s="829">
        <f t="shared" si="14"/>
        <v>170</v>
      </c>
      <c r="C97" s="829">
        <v>0</v>
      </c>
      <c r="D97" s="829">
        <v>0</v>
      </c>
      <c r="E97" s="829">
        <v>0</v>
      </c>
      <c r="F97" s="829">
        <v>170</v>
      </c>
      <c r="G97" s="830"/>
      <c r="I97" s="831"/>
      <c r="J97" s="830"/>
      <c r="K97" s="835"/>
      <c r="L97" s="835"/>
      <c r="M97" s="827"/>
      <c r="N97" s="835"/>
      <c r="O97" s="835"/>
      <c r="P97" s="835"/>
      <c r="Q97" s="835"/>
      <c r="R97" s="835"/>
      <c r="S97" s="835"/>
      <c r="T97" s="835"/>
      <c r="U97" s="835"/>
      <c r="V97" s="840"/>
      <c r="W97" s="840"/>
      <c r="X97" s="836"/>
      <c r="Y97" s="841"/>
      <c r="Z97" s="826"/>
      <c r="AA97" s="826"/>
      <c r="AB97" s="837"/>
      <c r="AC97" s="826"/>
      <c r="AD97" s="837"/>
      <c r="AE97" s="837"/>
      <c r="AF97" s="837"/>
      <c r="AG97" s="842"/>
      <c r="AH97" s="832"/>
    </row>
    <row r="98" spans="1:34" s="8" customFormat="1" ht="15" hidden="1" customHeight="1">
      <c r="A98" s="844" t="s">
        <v>122</v>
      </c>
      <c r="B98" s="844">
        <f>SUM(B71:B97)</f>
        <v>1974</v>
      </c>
      <c r="C98" s="844">
        <f>SUM(C71:C97)</f>
        <v>76</v>
      </c>
      <c r="D98" s="844">
        <f>SUM(D71:D97)</f>
        <v>81</v>
      </c>
      <c r="E98" s="844">
        <f>SUM(E71:E97)</f>
        <v>162</v>
      </c>
      <c r="F98" s="844">
        <f>SUM(F71:F97)</f>
        <v>1655</v>
      </c>
      <c r="I98" s="845"/>
      <c r="J98" s="846"/>
      <c r="K98" s="835"/>
      <c r="L98" s="835"/>
      <c r="M98" s="827"/>
      <c r="N98" s="827"/>
      <c r="O98" s="835"/>
      <c r="P98" s="827"/>
      <c r="Q98" s="835"/>
      <c r="R98" s="827"/>
      <c r="S98" s="835"/>
      <c r="T98" s="827"/>
      <c r="U98" s="835"/>
      <c r="V98" s="840"/>
      <c r="W98" s="840"/>
      <c r="X98" s="841"/>
      <c r="Y98" s="841"/>
      <c r="Z98" s="826"/>
      <c r="AA98" s="826"/>
      <c r="AB98" s="826"/>
      <c r="AC98" s="826"/>
      <c r="AD98" s="837"/>
      <c r="AE98" s="837"/>
      <c r="AF98" s="837"/>
      <c r="AG98" s="842"/>
      <c r="AH98" s="832"/>
    </row>
    <row r="99" spans="1:34" s="8" customFormat="1" ht="12.75" hidden="1" customHeight="1">
      <c r="A99" s="847"/>
      <c r="B99" s="848"/>
      <c r="C99" s="849"/>
      <c r="D99" s="849"/>
      <c r="E99" s="849"/>
      <c r="F99" s="849"/>
      <c r="G99" s="849"/>
      <c r="H99" s="849"/>
      <c r="I99" s="850"/>
      <c r="J99" s="830"/>
      <c r="K99" s="835"/>
      <c r="L99" s="835"/>
      <c r="M99" s="827"/>
      <c r="N99" s="835"/>
      <c r="O99" s="835"/>
      <c r="P99" s="835"/>
      <c r="Q99" s="835"/>
      <c r="R99" s="835"/>
      <c r="S99" s="835"/>
      <c r="T99" s="835"/>
      <c r="U99" s="835"/>
      <c r="V99" s="840"/>
      <c r="W99" s="840"/>
      <c r="X99" s="836"/>
      <c r="Y99" s="841"/>
      <c r="Z99" s="826"/>
      <c r="AA99" s="826"/>
      <c r="AB99" s="826"/>
      <c r="AC99" s="826"/>
      <c r="AD99" s="837"/>
      <c r="AE99" s="837"/>
      <c r="AF99" s="837"/>
      <c r="AG99" s="842"/>
      <c r="AH99" s="832"/>
    </row>
    <row r="100" spans="1:34" s="8" customFormat="1" ht="12.75" hidden="1" customHeight="1">
      <c r="A100" s="1649" t="s">
        <v>736</v>
      </c>
      <c r="B100" s="1651" t="s">
        <v>1025</v>
      </c>
      <c r="C100" s="1653" t="s">
        <v>1015</v>
      </c>
      <c r="D100" s="1653"/>
      <c r="E100" s="1653"/>
      <c r="F100" s="1653"/>
      <c r="G100" s="1647"/>
      <c r="H100" s="1648"/>
      <c r="I100" s="1641"/>
      <c r="K100" s="821"/>
    </row>
    <row r="101" spans="1:34" s="8" customFormat="1" ht="15" hidden="1" customHeight="1">
      <c r="A101" s="1650"/>
      <c r="B101" s="1652"/>
      <c r="C101" s="802" t="s">
        <v>1018</v>
      </c>
      <c r="D101" s="802" t="s">
        <v>1019</v>
      </c>
      <c r="E101" s="802" t="s">
        <v>1020</v>
      </c>
      <c r="F101" s="824" t="s">
        <v>1021</v>
      </c>
      <c r="G101" s="1647"/>
      <c r="H101" s="1648"/>
      <c r="I101" s="1641"/>
      <c r="K101" s="821"/>
    </row>
    <row r="102" spans="1:34" s="8" customFormat="1" ht="15" hidden="1" customHeight="1">
      <c r="A102" s="843" t="s">
        <v>1054</v>
      </c>
      <c r="B102" s="829">
        <f>SUM(C102:F102)</f>
        <v>1</v>
      </c>
      <c r="C102" s="829">
        <v>0</v>
      </c>
      <c r="D102" s="829">
        <v>0</v>
      </c>
      <c r="E102" s="829">
        <v>0</v>
      </c>
      <c r="F102" s="829">
        <v>1</v>
      </c>
      <c r="G102" s="851"/>
      <c r="H102" s="818"/>
      <c r="I102" s="852"/>
      <c r="K102" s="821"/>
    </row>
    <row r="103" spans="1:34" s="8" customFormat="1" ht="15" hidden="1" customHeight="1">
      <c r="A103" s="843" t="s">
        <v>1055</v>
      </c>
      <c r="B103" s="829">
        <f t="shared" ref="B103:B106" si="15">SUM(C103:F103)</f>
        <v>180</v>
      </c>
      <c r="C103" s="829">
        <v>0</v>
      </c>
      <c r="D103" s="829">
        <v>0</v>
      </c>
      <c r="E103" s="829">
        <v>1</v>
      </c>
      <c r="F103" s="829">
        <v>179</v>
      </c>
      <c r="G103" s="851"/>
      <c r="H103" s="818"/>
      <c r="I103" s="852"/>
      <c r="K103" s="821"/>
    </row>
    <row r="104" spans="1:34" s="8" customFormat="1" ht="15" hidden="1" customHeight="1">
      <c r="A104" s="843" t="s">
        <v>1056</v>
      </c>
      <c r="B104" s="829">
        <f t="shared" si="15"/>
        <v>4</v>
      </c>
      <c r="C104" s="829">
        <v>0</v>
      </c>
      <c r="D104" s="829">
        <v>0</v>
      </c>
      <c r="E104" s="829">
        <v>0</v>
      </c>
      <c r="F104" s="829">
        <v>4</v>
      </c>
      <c r="G104" s="851"/>
      <c r="H104" s="818"/>
      <c r="I104" s="852"/>
      <c r="K104" s="821"/>
    </row>
    <row r="105" spans="1:34" s="8" customFormat="1" ht="15" hidden="1" customHeight="1">
      <c r="A105" s="843" t="s">
        <v>1057</v>
      </c>
      <c r="B105" s="829">
        <f t="shared" si="15"/>
        <v>1643</v>
      </c>
      <c r="C105" s="829">
        <v>90</v>
      </c>
      <c r="D105" s="829">
        <v>81</v>
      </c>
      <c r="E105" s="829">
        <v>1174</v>
      </c>
      <c r="F105" s="829">
        <v>298</v>
      </c>
      <c r="G105" s="851"/>
      <c r="H105" s="818"/>
      <c r="I105" s="852"/>
      <c r="K105" s="821"/>
    </row>
    <row r="106" spans="1:34" s="8" customFormat="1" ht="15" hidden="1" customHeight="1">
      <c r="A106" s="843" t="s">
        <v>1058</v>
      </c>
      <c r="B106" s="829">
        <f t="shared" si="15"/>
        <v>141</v>
      </c>
      <c r="C106" s="829">
        <v>32</v>
      </c>
      <c r="D106" s="829">
        <v>37</v>
      </c>
      <c r="E106" s="829">
        <v>10</v>
      </c>
      <c r="F106" s="829">
        <v>62</v>
      </c>
      <c r="G106" s="851"/>
      <c r="H106" s="818"/>
      <c r="I106" s="852"/>
      <c r="K106" s="821"/>
    </row>
    <row r="107" spans="1:34" s="8" customFormat="1" ht="15" hidden="1" customHeight="1">
      <c r="A107" s="853" t="s">
        <v>122</v>
      </c>
      <c r="B107" s="844">
        <f t="shared" ref="B107:F107" si="16">SUM(B102:B106)</f>
        <v>1969</v>
      </c>
      <c r="C107" s="854">
        <f t="shared" si="16"/>
        <v>122</v>
      </c>
      <c r="D107" s="854">
        <f t="shared" si="16"/>
        <v>118</v>
      </c>
      <c r="E107" s="854">
        <f t="shared" si="16"/>
        <v>1185</v>
      </c>
      <c r="F107" s="854">
        <f t="shared" si="16"/>
        <v>544</v>
      </c>
      <c r="G107" s="849"/>
      <c r="H107" s="818"/>
      <c r="I107" s="845"/>
      <c r="K107" s="821"/>
    </row>
    <row r="108" spans="1:34" s="8" customFormat="1" ht="12.75" hidden="1" customHeight="1">
      <c r="A108" s="855"/>
      <c r="B108" s="848"/>
      <c r="C108" s="849"/>
      <c r="D108" s="849"/>
      <c r="E108" s="849"/>
      <c r="F108" s="849"/>
      <c r="G108" s="849"/>
      <c r="H108" s="856"/>
      <c r="I108" s="845"/>
    </row>
    <row r="109" spans="1:34" s="8" customFormat="1" ht="12.75" hidden="1" customHeight="1">
      <c r="A109" s="1642" t="s">
        <v>974</v>
      </c>
      <c r="B109" s="1644" t="s">
        <v>1025</v>
      </c>
      <c r="C109" s="1646" t="s">
        <v>1015</v>
      </c>
      <c r="D109" s="1646"/>
      <c r="E109" s="1646"/>
      <c r="F109" s="1646"/>
      <c r="G109" s="1647"/>
      <c r="H109" s="1648"/>
      <c r="I109" s="1641"/>
    </row>
    <row r="110" spans="1:34" s="8" customFormat="1" ht="15" hidden="1" customHeight="1">
      <c r="A110" s="1643"/>
      <c r="B110" s="1645"/>
      <c r="C110" s="802" t="s">
        <v>1018</v>
      </c>
      <c r="D110" s="802" t="s">
        <v>1019</v>
      </c>
      <c r="E110" s="802" t="s">
        <v>1020</v>
      </c>
      <c r="F110" s="824" t="s">
        <v>1021</v>
      </c>
      <c r="G110" s="1647"/>
      <c r="H110" s="1648"/>
      <c r="I110" s="1641"/>
    </row>
    <row r="111" spans="1:34" s="8" customFormat="1" ht="15" hidden="1" customHeight="1">
      <c r="A111" s="843" t="s">
        <v>1059</v>
      </c>
      <c r="B111" s="829">
        <f>SUM(C111:F111)</f>
        <v>1</v>
      </c>
      <c r="C111" s="829">
        <v>0</v>
      </c>
      <c r="D111" s="829">
        <v>0</v>
      </c>
      <c r="E111" s="829">
        <v>0</v>
      </c>
      <c r="F111" s="829">
        <v>1</v>
      </c>
      <c r="G111" s="851"/>
      <c r="H111" s="818"/>
      <c r="I111" s="852"/>
      <c r="J111" s="851"/>
    </row>
    <row r="112" spans="1:34" s="8" customFormat="1" ht="15" hidden="1" customHeight="1">
      <c r="A112" s="828" t="s">
        <v>1060</v>
      </c>
      <c r="B112" s="829">
        <f t="shared" ref="B112:B121" si="17">SUM(C112:F112)</f>
        <v>231</v>
      </c>
      <c r="C112" s="829">
        <v>0</v>
      </c>
      <c r="D112" s="829">
        <v>0</v>
      </c>
      <c r="E112" s="829">
        <v>61</v>
      </c>
      <c r="F112" s="829">
        <v>170</v>
      </c>
      <c r="G112" s="830"/>
      <c r="H112" s="818"/>
      <c r="I112" s="852"/>
      <c r="J112" s="830"/>
    </row>
    <row r="113" spans="1:17" s="8" customFormat="1" ht="15" hidden="1" customHeight="1">
      <c r="A113" s="843" t="s">
        <v>1061</v>
      </c>
      <c r="B113" s="829">
        <f t="shared" si="17"/>
        <v>69</v>
      </c>
      <c r="C113" s="829">
        <v>0</v>
      </c>
      <c r="D113" s="829">
        <v>0</v>
      </c>
      <c r="E113" s="829">
        <v>0</v>
      </c>
      <c r="F113" s="829">
        <v>69</v>
      </c>
      <c r="G113" s="851"/>
      <c r="H113" s="818"/>
      <c r="I113" s="852"/>
      <c r="J113" s="851"/>
    </row>
    <row r="114" spans="1:17" s="8" customFormat="1" ht="15" hidden="1" customHeight="1">
      <c r="A114" s="828" t="s">
        <v>1062</v>
      </c>
      <c r="B114" s="829">
        <f t="shared" si="17"/>
        <v>12</v>
      </c>
      <c r="C114" s="829">
        <v>2</v>
      </c>
      <c r="D114" s="829">
        <v>2</v>
      </c>
      <c r="E114" s="829">
        <v>2</v>
      </c>
      <c r="F114" s="829">
        <v>6</v>
      </c>
      <c r="G114" s="830"/>
      <c r="H114" s="818"/>
      <c r="I114" s="852"/>
      <c r="J114" s="830"/>
    </row>
    <row r="115" spans="1:17" s="8" customFormat="1" ht="15" hidden="1" customHeight="1">
      <c r="A115" s="828" t="s">
        <v>1063</v>
      </c>
      <c r="B115" s="829">
        <f t="shared" si="17"/>
        <v>261</v>
      </c>
      <c r="C115" s="829">
        <v>69</v>
      </c>
      <c r="D115" s="829">
        <v>49</v>
      </c>
      <c r="E115" s="829">
        <v>1</v>
      </c>
      <c r="F115" s="829">
        <v>142</v>
      </c>
      <c r="G115" s="830"/>
      <c r="H115" s="818"/>
      <c r="I115" s="852"/>
      <c r="J115" s="830"/>
    </row>
    <row r="116" spans="1:17" s="8" customFormat="1" ht="15" hidden="1" customHeight="1">
      <c r="A116" s="828" t="s">
        <v>1064</v>
      </c>
      <c r="B116" s="829">
        <f t="shared" si="17"/>
        <v>136</v>
      </c>
      <c r="C116" s="829">
        <v>1</v>
      </c>
      <c r="D116" s="829">
        <v>0</v>
      </c>
      <c r="E116" s="829">
        <v>42</v>
      </c>
      <c r="F116" s="829">
        <v>93</v>
      </c>
      <c r="G116" s="830"/>
      <c r="H116" s="818"/>
      <c r="I116" s="852"/>
      <c r="J116" s="851"/>
    </row>
    <row r="117" spans="1:17" s="8" customFormat="1" ht="15" hidden="1" customHeight="1">
      <c r="A117" s="843" t="s">
        <v>1065</v>
      </c>
      <c r="B117" s="829">
        <f t="shared" si="17"/>
        <v>42</v>
      </c>
      <c r="C117" s="829">
        <v>2</v>
      </c>
      <c r="D117" s="829">
        <v>2</v>
      </c>
      <c r="E117" s="829">
        <v>0</v>
      </c>
      <c r="F117" s="829">
        <v>38</v>
      </c>
      <c r="G117" s="851"/>
      <c r="H117" s="818"/>
      <c r="I117" s="852"/>
      <c r="J117" s="830"/>
    </row>
    <row r="118" spans="1:17" s="8" customFormat="1" ht="15" hidden="1" customHeight="1">
      <c r="A118" s="843" t="s">
        <v>1066</v>
      </c>
      <c r="B118" s="829">
        <f t="shared" si="17"/>
        <v>15</v>
      </c>
      <c r="C118" s="829">
        <v>0</v>
      </c>
      <c r="D118" s="829">
        <v>0</v>
      </c>
      <c r="E118" s="829">
        <v>0</v>
      </c>
      <c r="F118" s="829">
        <v>15</v>
      </c>
      <c r="G118" s="851"/>
      <c r="H118" s="818"/>
      <c r="I118" s="852"/>
      <c r="J118" s="830"/>
    </row>
    <row r="119" spans="1:17" s="8" customFormat="1" ht="15" hidden="1" customHeight="1">
      <c r="A119" s="843" t="s">
        <v>1067</v>
      </c>
      <c r="B119" s="829">
        <f t="shared" si="17"/>
        <v>12</v>
      </c>
      <c r="C119" s="829">
        <v>0</v>
      </c>
      <c r="D119" s="829">
        <v>2</v>
      </c>
      <c r="E119" s="829">
        <v>0</v>
      </c>
      <c r="F119" s="829">
        <v>10</v>
      </c>
      <c r="G119" s="851"/>
      <c r="H119" s="818"/>
      <c r="I119" s="852"/>
      <c r="J119" s="851"/>
    </row>
    <row r="120" spans="1:17" s="8" customFormat="1" ht="15" hidden="1" customHeight="1">
      <c r="A120" s="843" t="s">
        <v>1068</v>
      </c>
      <c r="B120" s="829">
        <f t="shared" si="17"/>
        <v>125</v>
      </c>
      <c r="C120" s="829">
        <v>0</v>
      </c>
      <c r="D120" s="829">
        <v>108</v>
      </c>
      <c r="E120" s="829">
        <v>6</v>
      </c>
      <c r="F120" s="829">
        <v>11</v>
      </c>
      <c r="G120" s="851"/>
      <c r="H120" s="818"/>
      <c r="I120" s="852"/>
      <c r="J120" s="851"/>
      <c r="K120" s="780"/>
      <c r="L120" s="780"/>
      <c r="M120" s="780"/>
      <c r="N120" s="780"/>
      <c r="O120" s="784"/>
      <c r="P120" s="780"/>
      <c r="Q120" s="780"/>
    </row>
    <row r="121" spans="1:17" s="8" customFormat="1" ht="15" hidden="1" customHeight="1">
      <c r="A121" s="843" t="s">
        <v>1069</v>
      </c>
      <c r="B121" s="829">
        <f t="shared" si="17"/>
        <v>197</v>
      </c>
      <c r="C121" s="829">
        <v>4</v>
      </c>
      <c r="D121" s="829">
        <v>0</v>
      </c>
      <c r="E121" s="829">
        <v>25</v>
      </c>
      <c r="F121" s="829">
        <v>168</v>
      </c>
      <c r="G121" s="851"/>
      <c r="H121" s="818"/>
      <c r="I121" s="852"/>
      <c r="J121" s="851"/>
      <c r="K121" s="780"/>
      <c r="L121" s="780"/>
      <c r="M121" s="780"/>
      <c r="N121" s="780"/>
      <c r="O121" s="784"/>
      <c r="P121" s="780"/>
      <c r="Q121" s="780"/>
    </row>
    <row r="122" spans="1:17" s="8" customFormat="1" ht="15" hidden="1" customHeight="1">
      <c r="A122" s="853" t="s">
        <v>122</v>
      </c>
      <c r="B122" s="844">
        <f>SUM(B111:B121)</f>
        <v>1101</v>
      </c>
      <c r="C122" s="844">
        <f>SUM(C111:C121)</f>
        <v>78</v>
      </c>
      <c r="D122" s="844">
        <f>SUM(D111:D121)</f>
        <v>163</v>
      </c>
      <c r="E122" s="844">
        <f>SUM(E111:E121)</f>
        <v>137</v>
      </c>
      <c r="F122" s="844">
        <f>SUM(F111:F121)</f>
        <v>723</v>
      </c>
      <c r="G122" s="848"/>
      <c r="H122" s="818"/>
      <c r="I122" s="845"/>
      <c r="J122" s="851"/>
      <c r="K122" s="780"/>
      <c r="L122" s="780"/>
      <c r="M122" s="780"/>
      <c r="N122" s="780"/>
      <c r="O122" s="784"/>
      <c r="P122" s="780"/>
      <c r="Q122" s="780"/>
    </row>
    <row r="123" spans="1:17" s="8" customFormat="1" ht="12.75" hidden="1" customHeight="1">
      <c r="A123" s="855"/>
      <c r="B123" s="848"/>
      <c r="C123" s="849"/>
      <c r="D123" s="849"/>
      <c r="E123" s="849"/>
      <c r="F123" s="849"/>
      <c r="G123" s="856"/>
      <c r="H123" s="849"/>
      <c r="I123" s="850"/>
      <c r="J123" s="780"/>
      <c r="K123" s="780"/>
      <c r="L123" s="780"/>
      <c r="M123" s="780"/>
      <c r="N123" s="784"/>
      <c r="O123" s="780"/>
      <c r="P123" s="780"/>
    </row>
    <row r="124" spans="1:17" ht="12.75" customHeight="1">
      <c r="M124" s="780"/>
      <c r="N124" s="784"/>
    </row>
    <row r="125" spans="1:17">
      <c r="M125" s="780"/>
      <c r="N125" s="784"/>
    </row>
    <row r="126" spans="1:17" ht="12.75" customHeight="1">
      <c r="M126" s="780"/>
      <c r="N126" s="784"/>
    </row>
    <row r="127" spans="1:17" ht="13.5" customHeight="1" thickBot="1">
      <c r="A127" s="787" t="s">
        <v>1070</v>
      </c>
      <c r="B127" s="858"/>
      <c r="C127" s="784"/>
      <c r="D127" s="784"/>
      <c r="E127" s="784"/>
      <c r="F127" s="784"/>
      <c r="G127" s="784"/>
      <c r="H127" s="784"/>
      <c r="M127" s="780"/>
      <c r="N127" s="784"/>
    </row>
    <row r="128" spans="1:17" ht="13.9" customHeight="1">
      <c r="A128" s="859" t="s">
        <v>1071</v>
      </c>
      <c r="B128" s="860"/>
      <c r="C128" s="861"/>
      <c r="D128" s="861"/>
      <c r="E128" s="861"/>
      <c r="F128" s="861"/>
      <c r="G128" s="862"/>
      <c r="H128" s="784"/>
      <c r="M128" s="780"/>
      <c r="N128" s="784"/>
    </row>
    <row r="129" spans="1:14" ht="13.15" customHeight="1">
      <c r="A129" s="863" t="s">
        <v>1072</v>
      </c>
      <c r="B129" s="864">
        <v>65</v>
      </c>
      <c r="C129" s="811"/>
      <c r="D129" s="811"/>
      <c r="E129" s="811"/>
      <c r="F129" s="811"/>
      <c r="G129" s="865"/>
      <c r="H129" s="784"/>
      <c r="M129" s="780"/>
      <c r="N129" s="784"/>
    </row>
    <row r="130" spans="1:14" ht="15" customHeight="1">
      <c r="A130" s="866" t="s">
        <v>1073</v>
      </c>
      <c r="B130" s="864">
        <v>110</v>
      </c>
      <c r="C130" s="811"/>
      <c r="D130" s="811"/>
      <c r="E130" s="811"/>
      <c r="F130" s="811"/>
      <c r="G130" s="865"/>
      <c r="H130" s="784"/>
      <c r="M130" s="780"/>
      <c r="N130" s="784"/>
    </row>
    <row r="131" spans="1:14" ht="15" customHeight="1">
      <c r="A131" s="863" t="s">
        <v>1604</v>
      </c>
      <c r="B131" s="864">
        <v>63</v>
      </c>
      <c r="C131" s="811"/>
      <c r="D131" s="811"/>
      <c r="E131" s="811"/>
      <c r="F131" s="811"/>
      <c r="G131" s="865"/>
      <c r="H131" s="784"/>
      <c r="M131" s="780"/>
      <c r="N131" s="784"/>
    </row>
    <row r="132" spans="1:14" ht="15" customHeight="1">
      <c r="A132" s="866" t="s">
        <v>1605</v>
      </c>
      <c r="B132" s="864">
        <v>55</v>
      </c>
      <c r="C132" s="811"/>
      <c r="D132" s="811"/>
      <c r="E132" s="811"/>
      <c r="F132" s="811"/>
      <c r="G132" s="865"/>
      <c r="H132" s="784"/>
      <c r="M132" s="780"/>
      <c r="N132" s="784"/>
    </row>
    <row r="133" spans="1:14" ht="14.45" customHeight="1" thickBot="1">
      <c r="A133" s="867" t="s">
        <v>1074</v>
      </c>
      <c r="B133" s="868">
        <v>18</v>
      </c>
      <c r="C133" s="869"/>
      <c r="D133" s="869"/>
      <c r="E133" s="869"/>
      <c r="F133" s="869"/>
      <c r="G133" s="870"/>
      <c r="H133" s="784"/>
      <c r="M133" s="780"/>
      <c r="N133" s="784"/>
    </row>
    <row r="134" spans="1:14" ht="12" customHeight="1" thickBot="1">
      <c r="A134" s="858"/>
      <c r="B134" s="858"/>
      <c r="C134" s="784"/>
      <c r="D134" s="784"/>
      <c r="E134" s="784"/>
      <c r="F134" s="784"/>
      <c r="G134" s="784"/>
      <c r="H134" s="784"/>
      <c r="M134" s="780"/>
      <c r="N134" s="784"/>
    </row>
    <row r="135" spans="1:14" ht="12" customHeight="1">
      <c r="A135" s="859" t="s">
        <v>1075</v>
      </c>
      <c r="B135" s="860"/>
      <c r="C135" s="861"/>
      <c r="D135" s="861"/>
      <c r="E135" s="861"/>
      <c r="F135" s="861"/>
      <c r="G135" s="862"/>
      <c r="H135" s="784"/>
      <c r="M135" s="780"/>
      <c r="N135" s="784"/>
    </row>
    <row r="136" spans="1:14" ht="12" customHeight="1">
      <c r="A136" s="863" t="s">
        <v>1076</v>
      </c>
      <c r="B136" s="864" t="s">
        <v>1077</v>
      </c>
      <c r="C136" s="811"/>
      <c r="D136" s="811"/>
      <c r="E136" s="811"/>
      <c r="F136" s="811"/>
      <c r="G136" s="865"/>
      <c r="H136" s="784"/>
    </row>
    <row r="137" spans="1:14" ht="12" customHeight="1">
      <c r="A137" s="863" t="s">
        <v>1078</v>
      </c>
      <c r="B137" s="864">
        <v>160</v>
      </c>
      <c r="C137" s="811"/>
      <c r="D137" s="811"/>
      <c r="E137" s="811"/>
      <c r="F137" s="811"/>
      <c r="G137" s="865"/>
      <c r="H137" s="784"/>
    </row>
    <row r="138" spans="1:14" ht="12" customHeight="1">
      <c r="A138" s="863" t="s">
        <v>1079</v>
      </c>
      <c r="B138" s="864">
        <v>350</v>
      </c>
      <c r="C138" s="811"/>
      <c r="D138" s="811"/>
      <c r="E138" s="811"/>
      <c r="F138" s="811"/>
      <c r="G138" s="865"/>
      <c r="H138" s="784"/>
    </row>
    <row r="139" spans="1:14" ht="13.5" customHeight="1" thickBot="1">
      <c r="A139" s="867" t="s">
        <v>1080</v>
      </c>
      <c r="B139" s="868" t="s">
        <v>1081</v>
      </c>
      <c r="C139" s="869"/>
      <c r="D139" s="869"/>
      <c r="E139" s="869"/>
      <c r="F139" s="869"/>
      <c r="G139" s="870"/>
      <c r="H139" s="784"/>
    </row>
    <row r="140" spans="1:14" ht="12.75" customHeight="1">
      <c r="A140" s="871"/>
      <c r="B140" s="871"/>
      <c r="C140" s="872"/>
      <c r="D140" s="872"/>
      <c r="E140" s="872"/>
      <c r="F140" s="872"/>
      <c r="G140" s="872"/>
      <c r="H140" s="872"/>
    </row>
    <row r="141" spans="1:14" ht="12.75" customHeight="1"/>
    <row r="142" spans="1:14" ht="12.75" customHeight="1"/>
    <row r="143" spans="1:14" ht="13.5" thickBot="1">
      <c r="A143" s="781" t="s">
        <v>1082</v>
      </c>
    </row>
    <row r="144" spans="1:14" ht="13.5" customHeight="1">
      <c r="A144" s="873" t="s">
        <v>1083</v>
      </c>
      <c r="B144" s="1357" t="s">
        <v>1084</v>
      </c>
      <c r="C144" s="1357" t="s">
        <v>1085</v>
      </c>
      <c r="D144" s="1357" t="s">
        <v>1086</v>
      </c>
      <c r="E144" s="874" t="s">
        <v>1087</v>
      </c>
      <c r="F144" s="874" t="s">
        <v>1088</v>
      </c>
      <c r="G144" s="874" t="s">
        <v>1089</v>
      </c>
      <c r="H144" s="875" t="s">
        <v>1090</v>
      </c>
      <c r="I144" s="1666" t="s">
        <v>195</v>
      </c>
      <c r="J144" s="1666"/>
      <c r="K144" s="1667"/>
      <c r="L144" s="876"/>
    </row>
    <row r="145" spans="1:12" ht="21" customHeight="1">
      <c r="A145" s="877" t="s">
        <v>1091</v>
      </c>
      <c r="B145" s="878">
        <f>$L$55*40%</f>
        <v>224.8</v>
      </c>
      <c r="C145" s="879">
        <f>17</f>
        <v>17</v>
      </c>
      <c r="D145" s="880">
        <f>IF(B145-C145&lt;0,0,B145-C145)</f>
        <v>207.8</v>
      </c>
      <c r="E145" s="878">
        <v>3</v>
      </c>
      <c r="F145" s="878">
        <v>3</v>
      </c>
      <c r="G145" s="878">
        <v>3</v>
      </c>
      <c r="H145" s="878">
        <v>3</v>
      </c>
      <c r="I145" s="1668"/>
      <c r="J145" s="1669"/>
      <c r="K145" s="1670"/>
    </row>
    <row r="146" spans="1:12" ht="16.5" customHeight="1">
      <c r="A146" s="877" t="s">
        <v>1092</v>
      </c>
      <c r="B146" s="878">
        <f>$L$56*40%</f>
        <v>128.4</v>
      </c>
      <c r="C146" s="879">
        <v>12</v>
      </c>
      <c r="D146" s="878">
        <f t="shared" ref="D146:D147" si="18">IF(B146-C146&lt;0,0,B146-C146)</f>
        <v>116.4</v>
      </c>
      <c r="E146" s="878">
        <v>5</v>
      </c>
      <c r="F146" s="878">
        <v>5</v>
      </c>
      <c r="G146" s="878">
        <v>5</v>
      </c>
      <c r="H146" s="881">
        <v>5</v>
      </c>
      <c r="I146" s="1671"/>
      <c r="J146" s="1672"/>
      <c r="K146" s="1673"/>
    </row>
    <row r="147" spans="1:12" ht="21.75" customHeight="1" thickBot="1">
      <c r="A147" s="882" t="s">
        <v>1093</v>
      </c>
      <c r="B147" s="883">
        <f>$L$57*40%</f>
        <v>86.4</v>
      </c>
      <c r="C147" s="884">
        <v>6</v>
      </c>
      <c r="D147" s="883">
        <f t="shared" si="18"/>
        <v>80.400000000000006</v>
      </c>
      <c r="E147" s="883">
        <v>5</v>
      </c>
      <c r="F147" s="883">
        <v>5</v>
      </c>
      <c r="G147" s="883">
        <v>5</v>
      </c>
      <c r="H147" s="883">
        <v>5</v>
      </c>
      <c r="I147" s="1674"/>
      <c r="J147" s="1675"/>
      <c r="K147" s="1676"/>
    </row>
    <row r="148" spans="1:12">
      <c r="A148" s="885" t="s">
        <v>1094</v>
      </c>
      <c r="B148" s="886">
        <f>SUM(B145:B147)</f>
        <v>439.6</v>
      </c>
      <c r="C148" s="886">
        <f>SUM(C145:C147)</f>
        <v>35</v>
      </c>
      <c r="D148" s="886"/>
      <c r="E148" s="886"/>
      <c r="F148" s="886"/>
      <c r="G148" s="886"/>
      <c r="H148" s="886"/>
      <c r="I148" s="887"/>
      <c r="J148" s="782"/>
      <c r="K148" s="782"/>
    </row>
    <row r="149" spans="1:12" ht="13.5" thickBot="1">
      <c r="A149" s="888"/>
      <c r="B149" s="889"/>
      <c r="C149" s="889"/>
      <c r="D149" s="889"/>
      <c r="F149" s="782"/>
      <c r="G149" s="782"/>
      <c r="H149" s="782"/>
      <c r="I149" s="782"/>
      <c r="J149" s="890"/>
      <c r="K149" s="782"/>
    </row>
    <row r="150" spans="1:12" ht="12.75" customHeight="1">
      <c r="A150" s="873" t="s">
        <v>1095</v>
      </c>
      <c r="B150" s="1357" t="s">
        <v>1084</v>
      </c>
      <c r="C150" s="1357" t="s">
        <v>1085</v>
      </c>
      <c r="D150" s="1357" t="s">
        <v>1086</v>
      </c>
      <c r="E150" s="874" t="s">
        <v>1087</v>
      </c>
      <c r="F150" s="874" t="s">
        <v>1088</v>
      </c>
      <c r="G150" s="874" t="s">
        <v>1089</v>
      </c>
      <c r="H150" s="875" t="s">
        <v>1090</v>
      </c>
      <c r="I150" s="1677" t="s">
        <v>195</v>
      </c>
      <c r="J150" s="1666"/>
      <c r="K150" s="1667"/>
    </row>
    <row r="151" spans="1:12" ht="18" customHeight="1">
      <c r="A151" s="877" t="s">
        <v>1091</v>
      </c>
      <c r="B151" s="878">
        <f>$L$55*60%</f>
        <v>337.2</v>
      </c>
      <c r="C151" s="879">
        <f>14</f>
        <v>14</v>
      </c>
      <c r="D151" s="878">
        <f>IF(B151-C151&lt;0,0,B151-C151)</f>
        <v>323.2</v>
      </c>
      <c r="E151" s="878">
        <v>7</v>
      </c>
      <c r="F151" s="878">
        <v>7</v>
      </c>
      <c r="G151" s="878">
        <v>7</v>
      </c>
      <c r="H151" s="878">
        <v>7</v>
      </c>
      <c r="I151" s="1678"/>
      <c r="J151" s="1669"/>
      <c r="K151" s="1670"/>
    </row>
    <row r="152" spans="1:12" ht="16.5" customHeight="1">
      <c r="A152" s="877" t="s">
        <v>1092</v>
      </c>
      <c r="B152" s="878">
        <f>$L$56*60%</f>
        <v>192.6</v>
      </c>
      <c r="C152" s="879">
        <v>8</v>
      </c>
      <c r="D152" s="878">
        <f t="shared" ref="D152:D153" si="19">IF(B152-C152&lt;0,0,B152-C152)</f>
        <v>184.6</v>
      </c>
      <c r="E152" s="878">
        <v>15</v>
      </c>
      <c r="F152" s="878">
        <v>15</v>
      </c>
      <c r="G152" s="878">
        <v>15</v>
      </c>
      <c r="H152" s="878">
        <v>15</v>
      </c>
      <c r="I152" s="1671"/>
      <c r="J152" s="1672"/>
      <c r="K152" s="1673"/>
    </row>
    <row r="153" spans="1:12" ht="24.75" customHeight="1" thickBot="1">
      <c r="A153" s="882" t="s">
        <v>1093</v>
      </c>
      <c r="B153" s="883">
        <f>$L$57*60%</f>
        <v>129.6</v>
      </c>
      <c r="C153" s="884">
        <v>12</v>
      </c>
      <c r="D153" s="883">
        <f t="shared" si="19"/>
        <v>117.6</v>
      </c>
      <c r="E153" s="883">
        <v>15</v>
      </c>
      <c r="F153" s="883">
        <v>15</v>
      </c>
      <c r="G153" s="883">
        <v>15</v>
      </c>
      <c r="H153" s="883">
        <v>15</v>
      </c>
      <c r="I153" s="1674"/>
      <c r="J153" s="1675"/>
      <c r="K153" s="1676"/>
    </row>
    <row r="154" spans="1:12">
      <c r="A154" s="891" t="s">
        <v>1094</v>
      </c>
      <c r="B154" s="886">
        <f>SUM(B151:B153)</f>
        <v>659.4</v>
      </c>
      <c r="C154" s="886">
        <f>SUM(C151:C153)</f>
        <v>34</v>
      </c>
      <c r="D154" s="886"/>
      <c r="E154" s="892"/>
      <c r="F154" s="892"/>
      <c r="G154" s="892"/>
      <c r="H154" s="892"/>
      <c r="I154" s="893"/>
    </row>
    <row r="157" spans="1:12" ht="13.5" thickBot="1">
      <c r="A157" s="781" t="s">
        <v>1096</v>
      </c>
      <c r="D157" s="783"/>
      <c r="F157" s="894" t="s">
        <v>1097</v>
      </c>
      <c r="G157" s="895">
        <v>0.6</v>
      </c>
      <c r="I157" s="780"/>
      <c r="J157" s="783"/>
    </row>
    <row r="158" spans="1:12" ht="13.5" customHeight="1">
      <c r="A158" s="873" t="s">
        <v>1083</v>
      </c>
      <c r="B158" s="1357" t="s">
        <v>1098</v>
      </c>
      <c r="C158" s="1357" t="s">
        <v>1099</v>
      </c>
      <c r="D158" s="1357" t="s">
        <v>1100</v>
      </c>
      <c r="E158" s="1357" t="s">
        <v>1606</v>
      </c>
      <c r="F158" s="874" t="s">
        <v>363</v>
      </c>
      <c r="G158" s="874" t="s">
        <v>0</v>
      </c>
      <c r="H158" s="874" t="s">
        <v>365</v>
      </c>
      <c r="I158" s="896" t="s">
        <v>366</v>
      </c>
      <c r="J158" s="1679" t="s">
        <v>195</v>
      </c>
      <c r="K158" s="1680"/>
      <c r="L158" s="908"/>
    </row>
    <row r="159" spans="1:12" ht="12.75" customHeight="1">
      <c r="A159" s="877" t="s">
        <v>1091</v>
      </c>
      <c r="B159" s="897">
        <f>SUM(C159:D159)</f>
        <v>1465</v>
      </c>
      <c r="C159" s="897">
        <v>931</v>
      </c>
      <c r="D159" s="878">
        <f>534</f>
        <v>534</v>
      </c>
      <c r="E159" s="879">
        <f>D159-C145</f>
        <v>517</v>
      </c>
      <c r="F159" s="898">
        <f>$E$159*20%*G157</f>
        <v>62.04</v>
      </c>
      <c r="G159" s="898">
        <f>$E$159*30%*G157</f>
        <v>93.059999999999988</v>
      </c>
      <c r="H159" s="898">
        <f>$E$159*25%*G157</f>
        <v>77.55</v>
      </c>
      <c r="I159" s="898">
        <f>$E$159*25%*G157</f>
        <v>77.55</v>
      </c>
      <c r="J159" s="1681"/>
      <c r="K159" s="1682"/>
      <c r="L159" s="911"/>
    </row>
    <row r="160" spans="1:12" ht="13.5" customHeight="1">
      <c r="A160" s="877" t="s">
        <v>1092</v>
      </c>
      <c r="B160" s="897">
        <f>SUM(C160:D160)</f>
        <v>660</v>
      </c>
      <c r="C160" s="897">
        <v>135</v>
      </c>
      <c r="D160" s="878">
        <f>522+3</f>
        <v>525</v>
      </c>
      <c r="E160" s="879">
        <f>D160-C146</f>
        <v>513</v>
      </c>
      <c r="F160" s="898">
        <f>$E$160*20%*G157</f>
        <v>61.56</v>
      </c>
      <c r="G160" s="898">
        <f>$E$160*25%*G157</f>
        <v>76.95</v>
      </c>
      <c r="H160" s="898">
        <f>$E$160*25%*G157</f>
        <v>76.95</v>
      </c>
      <c r="I160" s="898">
        <f>$E$160*30%*G157</f>
        <v>92.34</v>
      </c>
      <c r="J160" s="1683"/>
      <c r="K160" s="1684"/>
      <c r="L160" s="911"/>
    </row>
    <row r="161" spans="1:12" ht="13.5" thickBot="1">
      <c r="A161" s="882" t="s">
        <v>1093</v>
      </c>
      <c r="B161" s="899">
        <f>SUM(C161:D161)</f>
        <v>770</v>
      </c>
      <c r="C161" s="899">
        <v>242</v>
      </c>
      <c r="D161" s="883">
        <f>527+1</f>
        <v>528</v>
      </c>
      <c r="E161" s="884">
        <f>D161-C147</f>
        <v>522</v>
      </c>
      <c r="F161" s="900">
        <f>$E$161/4*G157</f>
        <v>78.3</v>
      </c>
      <c r="G161" s="900">
        <f>$E$161/4*G157</f>
        <v>78.3</v>
      </c>
      <c r="H161" s="900">
        <f>$E$161/4*G157</f>
        <v>78.3</v>
      </c>
      <c r="I161" s="900">
        <f>$E$161/4*G157</f>
        <v>78.3</v>
      </c>
      <c r="J161" s="1685"/>
      <c r="K161" s="1686"/>
      <c r="L161" s="911"/>
    </row>
    <row r="162" spans="1:12">
      <c r="A162" s="891" t="s">
        <v>1094</v>
      </c>
      <c r="B162" s="892">
        <f>SUM(B159:B161)</f>
        <v>2895</v>
      </c>
      <c r="C162" s="892">
        <f>SUM(C159:C161)</f>
        <v>1308</v>
      </c>
      <c r="D162" s="892">
        <f>SUM(D159:D161)</f>
        <v>1587</v>
      </c>
      <c r="E162" s="892">
        <f>SUM(E159:E161)</f>
        <v>1552</v>
      </c>
      <c r="F162" s="901"/>
      <c r="G162" s="901"/>
      <c r="H162" s="901"/>
    </row>
    <row r="163" spans="1:12" ht="13.5" thickBot="1">
      <c r="A163" s="902"/>
      <c r="B163" s="903"/>
      <c r="C163" s="857"/>
      <c r="D163" s="857"/>
      <c r="F163" s="894" t="s">
        <v>1097</v>
      </c>
      <c r="G163" s="895">
        <v>0.6</v>
      </c>
      <c r="H163" s="857"/>
      <c r="I163" s="857"/>
      <c r="J163" s="783"/>
    </row>
    <row r="164" spans="1:12">
      <c r="A164" s="873" t="s">
        <v>1095</v>
      </c>
      <c r="B164" s="1357" t="s">
        <v>1098</v>
      </c>
      <c r="C164" s="1357" t="s">
        <v>1099</v>
      </c>
      <c r="D164" s="1357" t="s">
        <v>1100</v>
      </c>
      <c r="E164" s="1357" t="s">
        <v>1606</v>
      </c>
      <c r="F164" s="874" t="s">
        <v>363</v>
      </c>
      <c r="G164" s="874" t="s">
        <v>0</v>
      </c>
      <c r="H164" s="874" t="s">
        <v>365</v>
      </c>
      <c r="I164" s="896" t="s">
        <v>366</v>
      </c>
      <c r="J164" s="1679" t="s">
        <v>195</v>
      </c>
      <c r="K164" s="1680"/>
      <c r="L164" s="908"/>
    </row>
    <row r="165" spans="1:12" ht="12.75" customHeight="1">
      <c r="A165" s="877" t="s">
        <v>1091</v>
      </c>
      <c r="B165" s="897">
        <f>SUM(C165:D165)</f>
        <v>749</v>
      </c>
      <c r="C165" s="897">
        <v>693</v>
      </c>
      <c r="D165" s="878">
        <f>56</f>
        <v>56</v>
      </c>
      <c r="E165" s="879">
        <f>D165-C151</f>
        <v>42</v>
      </c>
      <c r="F165" s="904">
        <f>$E$165*20%*G157</f>
        <v>5.04</v>
      </c>
      <c r="G165" s="904">
        <f>$E$165*30%*G157</f>
        <v>7.56</v>
      </c>
      <c r="H165" s="904">
        <f>$E$165*25%*G157</f>
        <v>6.3</v>
      </c>
      <c r="I165" s="904">
        <f>$E$165*25%*G157</f>
        <v>6.3</v>
      </c>
      <c r="J165" s="1681"/>
      <c r="K165" s="1682"/>
      <c r="L165" s="911"/>
    </row>
    <row r="166" spans="1:12" ht="13.5" customHeight="1">
      <c r="A166" s="877" t="s">
        <v>1092</v>
      </c>
      <c r="B166" s="897">
        <f>SUM(C166:D166)</f>
        <v>160</v>
      </c>
      <c r="C166" s="897">
        <v>99</v>
      </c>
      <c r="D166" s="878">
        <f>61</f>
        <v>61</v>
      </c>
      <c r="E166" s="879">
        <f>D166-C152</f>
        <v>53</v>
      </c>
      <c r="F166" s="904">
        <f>$E$166*20%*G157</f>
        <v>6.36</v>
      </c>
      <c r="G166" s="904">
        <f>$E$166*25%*G157</f>
        <v>7.9499999999999993</v>
      </c>
      <c r="H166" s="904">
        <f>$E$166*25%*G157</f>
        <v>7.9499999999999993</v>
      </c>
      <c r="I166" s="904">
        <f>$E$166*30%*G157</f>
        <v>9.5399999999999991</v>
      </c>
      <c r="J166" s="1683"/>
      <c r="K166" s="1684"/>
      <c r="L166" s="911"/>
    </row>
    <row r="167" spans="1:12" ht="14.25" customHeight="1" thickBot="1">
      <c r="A167" s="882" t="s">
        <v>1093</v>
      </c>
      <c r="B167" s="899">
        <f>SUM(C167:D167)</f>
        <v>211</v>
      </c>
      <c r="C167" s="899">
        <v>165</v>
      </c>
      <c r="D167" s="883">
        <f>46</f>
        <v>46</v>
      </c>
      <c r="E167" s="884">
        <f>D167-C153</f>
        <v>34</v>
      </c>
      <c r="F167" s="905">
        <f>$E$167/4*G157</f>
        <v>5.0999999999999996</v>
      </c>
      <c r="G167" s="905">
        <f>$E$167/4*G157</f>
        <v>5.0999999999999996</v>
      </c>
      <c r="H167" s="905">
        <f>$E$167/4*G157</f>
        <v>5.0999999999999996</v>
      </c>
      <c r="I167" s="905">
        <f>$E$167/4*G157</f>
        <v>5.0999999999999996</v>
      </c>
      <c r="J167" s="1685"/>
      <c r="K167" s="1686"/>
      <c r="L167" s="911"/>
    </row>
    <row r="168" spans="1:12">
      <c r="A168" s="891" t="s">
        <v>1094</v>
      </c>
      <c r="B168" s="906">
        <f>SUM(B165:B167)</f>
        <v>1120</v>
      </c>
      <c r="C168" s="892">
        <f>SUM(C165:C167)</f>
        <v>957</v>
      </c>
      <c r="D168" s="892">
        <f>SUM(D165:D167)</f>
        <v>163</v>
      </c>
      <c r="E168" s="892">
        <f>SUM(E165:E167)</f>
        <v>129</v>
      </c>
      <c r="F168" s="901"/>
      <c r="G168" s="901"/>
      <c r="H168" s="901"/>
    </row>
    <row r="170" spans="1:12">
      <c r="J170" s="811"/>
      <c r="K170" s="811"/>
      <c r="L170" s="811"/>
    </row>
    <row r="171" spans="1:12" ht="13.5" thickBot="1">
      <c r="A171" s="781" t="s">
        <v>1101</v>
      </c>
      <c r="E171" s="894"/>
      <c r="J171" s="811"/>
      <c r="K171" s="811"/>
      <c r="L171" s="811"/>
    </row>
    <row r="172" spans="1:12" ht="13.5" customHeight="1">
      <c r="A172" s="907" t="s">
        <v>1102</v>
      </c>
      <c r="B172" s="1357" t="s">
        <v>1098</v>
      </c>
      <c r="C172" s="874" t="s">
        <v>363</v>
      </c>
      <c r="D172" s="874" t="s">
        <v>0</v>
      </c>
      <c r="E172" s="874" t="s">
        <v>365</v>
      </c>
      <c r="F172" s="874" t="s">
        <v>366</v>
      </c>
      <c r="G172" s="1666" t="s">
        <v>195</v>
      </c>
      <c r="H172" s="1687"/>
      <c r="I172" s="1687"/>
      <c r="J172" s="1687"/>
      <c r="K172" s="1688"/>
      <c r="L172" s="908"/>
    </row>
    <row r="173" spans="1:12" ht="15.75" customHeight="1">
      <c r="A173" s="909" t="s">
        <v>973</v>
      </c>
      <c r="B173" s="910">
        <f>9+5.4</f>
        <v>14.4</v>
      </c>
      <c r="C173" s="897">
        <v>1</v>
      </c>
      <c r="D173" s="897">
        <v>1</v>
      </c>
      <c r="E173" s="897">
        <v>1</v>
      </c>
      <c r="F173" s="878">
        <v>1</v>
      </c>
      <c r="G173" s="1662" t="s">
        <v>1665</v>
      </c>
      <c r="H173" s="1689"/>
      <c r="I173" s="1689"/>
      <c r="J173" s="1689"/>
      <c r="K173" s="1690"/>
      <c r="L173" s="911"/>
    </row>
    <row r="174" spans="1:12">
      <c r="A174" s="912" t="s">
        <v>736</v>
      </c>
      <c r="B174" s="910">
        <f>14+1</f>
        <v>15</v>
      </c>
      <c r="C174" s="897">
        <v>1</v>
      </c>
      <c r="D174" s="897">
        <v>2</v>
      </c>
      <c r="E174" s="897">
        <v>2</v>
      </c>
      <c r="F174" s="878">
        <v>1</v>
      </c>
      <c r="G174" s="1689"/>
      <c r="H174" s="1689"/>
      <c r="I174" s="1689"/>
      <c r="J174" s="1689"/>
      <c r="K174" s="1690"/>
      <c r="L174" s="911"/>
    </row>
    <row r="175" spans="1:12" ht="17.25" customHeight="1" thickBot="1">
      <c r="A175" s="913" t="s">
        <v>974</v>
      </c>
      <c r="B175" s="914">
        <f>2.5+0.6</f>
        <v>3.1</v>
      </c>
      <c r="C175" s="915">
        <v>0</v>
      </c>
      <c r="D175" s="915">
        <v>0</v>
      </c>
      <c r="E175" s="899">
        <v>1</v>
      </c>
      <c r="F175" s="883">
        <v>1</v>
      </c>
      <c r="G175" s="1691"/>
      <c r="H175" s="1691"/>
      <c r="I175" s="1691"/>
      <c r="J175" s="1691"/>
      <c r="K175" s="1692"/>
      <c r="L175" s="911"/>
    </row>
    <row r="176" spans="1:12">
      <c r="A176" s="885" t="s">
        <v>1094</v>
      </c>
      <c r="B176" s="916">
        <f>SUM(B173:B175)</f>
        <v>32.5</v>
      </c>
      <c r="C176" s="917"/>
      <c r="D176" s="917"/>
      <c r="E176" s="917"/>
      <c r="F176" s="918"/>
      <c r="G176" s="919"/>
      <c r="H176" s="920"/>
      <c r="I176" s="921"/>
      <c r="J176" s="922"/>
      <c r="K176" s="922"/>
      <c r="L176" s="811"/>
    </row>
    <row r="177" spans="1:12" ht="13.5" thickBot="1">
      <c r="A177" s="888"/>
      <c r="B177" s="889"/>
      <c r="C177" s="889"/>
      <c r="D177" s="889"/>
      <c r="E177" s="923"/>
      <c r="F177" s="924"/>
      <c r="G177" s="857"/>
      <c r="H177" s="857"/>
      <c r="I177" s="780"/>
      <c r="J177" s="811"/>
      <c r="K177" s="811"/>
      <c r="L177" s="811"/>
    </row>
    <row r="178" spans="1:12" ht="13.5" customHeight="1">
      <c r="A178" s="907" t="s">
        <v>1103</v>
      </c>
      <c r="B178" s="1357" t="s">
        <v>1098</v>
      </c>
      <c r="C178" s="874" t="s">
        <v>363</v>
      </c>
      <c r="D178" s="874" t="s">
        <v>0</v>
      </c>
      <c r="E178" s="874" t="s">
        <v>365</v>
      </c>
      <c r="F178" s="874" t="s">
        <v>366</v>
      </c>
      <c r="G178" s="1666" t="s">
        <v>195</v>
      </c>
      <c r="H178" s="1687"/>
      <c r="I178" s="1687"/>
      <c r="J178" s="1687"/>
      <c r="K178" s="1688"/>
    </row>
    <row r="179" spans="1:12" ht="15" customHeight="1">
      <c r="A179" s="909" t="s">
        <v>973</v>
      </c>
      <c r="B179" s="910">
        <f>19.5+5.7</f>
        <v>25.2</v>
      </c>
      <c r="C179" s="897">
        <v>1</v>
      </c>
      <c r="D179" s="897">
        <v>1</v>
      </c>
      <c r="E179" s="897">
        <v>1</v>
      </c>
      <c r="F179" s="878">
        <v>1</v>
      </c>
      <c r="G179" s="1662" t="s">
        <v>1666</v>
      </c>
      <c r="H179" s="1662"/>
      <c r="I179" s="1662"/>
      <c r="J179" s="1662"/>
      <c r="K179" s="1663"/>
      <c r="L179" s="925"/>
    </row>
    <row r="180" spans="1:12" ht="16.5" customHeight="1">
      <c r="A180" s="912" t="s">
        <v>1092</v>
      </c>
      <c r="B180" s="910">
        <f>19+1</f>
        <v>20</v>
      </c>
      <c r="C180" s="897">
        <v>1</v>
      </c>
      <c r="D180" s="897">
        <v>2</v>
      </c>
      <c r="E180" s="897">
        <v>2</v>
      </c>
      <c r="F180" s="878">
        <v>1</v>
      </c>
      <c r="G180" s="1662"/>
      <c r="H180" s="1662"/>
      <c r="I180" s="1662"/>
      <c r="J180" s="1662"/>
      <c r="K180" s="1663"/>
      <c r="L180" s="925"/>
    </row>
    <row r="181" spans="1:12" ht="18.75" customHeight="1" thickBot="1">
      <c r="A181" s="913" t="s">
        <v>1093</v>
      </c>
      <c r="B181" s="914">
        <f>0.5+0.7</f>
        <v>1.2</v>
      </c>
      <c r="C181" s="915">
        <v>0</v>
      </c>
      <c r="D181" s="915">
        <v>0</v>
      </c>
      <c r="E181" s="899">
        <v>0</v>
      </c>
      <c r="F181" s="883">
        <v>1</v>
      </c>
      <c r="G181" s="1664"/>
      <c r="H181" s="1664"/>
      <c r="I181" s="1664"/>
      <c r="J181" s="1664"/>
      <c r="K181" s="1665"/>
      <c r="L181" s="925"/>
    </row>
    <row r="182" spans="1:12">
      <c r="A182" s="891" t="s">
        <v>1094</v>
      </c>
      <c r="B182" s="916">
        <f>SUM(B179:B181)</f>
        <v>46.400000000000006</v>
      </c>
      <c r="C182" s="906"/>
      <c r="D182" s="906"/>
      <c r="E182" s="926"/>
      <c r="F182" s="926"/>
      <c r="G182" s="781"/>
      <c r="H182" s="781"/>
    </row>
    <row r="183" spans="1:12">
      <c r="A183" s="891"/>
      <c r="B183" s="927"/>
      <c r="C183" s="928"/>
      <c r="D183" s="928"/>
      <c r="E183" s="781"/>
      <c r="F183" s="781"/>
      <c r="G183" s="781"/>
      <c r="H183" s="781"/>
    </row>
    <row r="184" spans="1:12">
      <c r="G184" s="857"/>
    </row>
  </sheetData>
  <mergeCells count="74">
    <mergeCell ref="M55:M58"/>
    <mergeCell ref="M53:M54"/>
    <mergeCell ref="M6:M13"/>
    <mergeCell ref="G179:K181"/>
    <mergeCell ref="I144:K144"/>
    <mergeCell ref="I145:K147"/>
    <mergeCell ref="I150:K150"/>
    <mergeCell ref="I151:K153"/>
    <mergeCell ref="J158:K158"/>
    <mergeCell ref="J159:K161"/>
    <mergeCell ref="J164:K164"/>
    <mergeCell ref="J165:K167"/>
    <mergeCell ref="G172:K172"/>
    <mergeCell ref="G173:K175"/>
    <mergeCell ref="G178:K178"/>
    <mergeCell ref="I109:I110"/>
    <mergeCell ref="I100:I101"/>
    <mergeCell ref="A109:A110"/>
    <mergeCell ref="B109:B110"/>
    <mergeCell ref="C109:F109"/>
    <mergeCell ref="G109:G110"/>
    <mergeCell ref="H109:H110"/>
    <mergeCell ref="A100:A101"/>
    <mergeCell ref="B100:B101"/>
    <mergeCell ref="C100:F100"/>
    <mergeCell ref="G100:G101"/>
    <mergeCell ref="H100:H101"/>
    <mergeCell ref="I63:L66"/>
    <mergeCell ref="A69:A70"/>
    <mergeCell ref="B69:B70"/>
    <mergeCell ref="C69:F69"/>
    <mergeCell ref="G69:G70"/>
    <mergeCell ref="H69:H70"/>
    <mergeCell ref="I69:I70"/>
    <mergeCell ref="K53:K54"/>
    <mergeCell ref="L53:L54"/>
    <mergeCell ref="A61:A62"/>
    <mergeCell ref="B61:B62"/>
    <mergeCell ref="C61:F61"/>
    <mergeCell ref="G61:G62"/>
    <mergeCell ref="H61:H62"/>
    <mergeCell ref="I61:L62"/>
    <mergeCell ref="A53:A54"/>
    <mergeCell ref="B53:C53"/>
    <mergeCell ref="D53:E53"/>
    <mergeCell ref="F53:G53"/>
    <mergeCell ref="H53:I53"/>
    <mergeCell ref="J53:J54"/>
    <mergeCell ref="A49:A50"/>
    <mergeCell ref="C49:D49"/>
    <mergeCell ref="E49:F49"/>
    <mergeCell ref="G49:H49"/>
    <mergeCell ref="I49:J49"/>
    <mergeCell ref="C50:D50"/>
    <mergeCell ref="E50:F50"/>
    <mergeCell ref="G50:H50"/>
    <mergeCell ref="I50:J50"/>
    <mergeCell ref="A35:A36"/>
    <mergeCell ref="A8:A9"/>
    <mergeCell ref="A10:A11"/>
    <mergeCell ref="A12:A13"/>
    <mergeCell ref="A15:A16"/>
    <mergeCell ref="A17:A18"/>
    <mergeCell ref="A33:A34"/>
    <mergeCell ref="A6:A7"/>
    <mergeCell ref="A19:A20"/>
    <mergeCell ref="A21:A22"/>
    <mergeCell ref="A29:A30"/>
    <mergeCell ref="A31:A32"/>
    <mergeCell ref="C3:D3"/>
    <mergeCell ref="E3:F3"/>
    <mergeCell ref="G3:H3"/>
    <mergeCell ref="I3:J3"/>
    <mergeCell ref="K3:L3"/>
  </mergeCells>
  <phoneticPr fontId="5" type="noConversion"/>
  <conditionalFormatting sqref="AF75:AG76 AF72:AG72">
    <cfRule type="cellIs" dxfId="0" priority="2" stopIfTrue="1" operator="notEqual">
      <formula>0</formula>
    </cfRule>
  </conditionalFormatting>
  <conditionalFormatting sqref="K87:L87 X89:AG89 L89 N89:U89 N86:U87 X86:AG87 L84 N84:U84 X84:AG84 K78:K82 K88:K99 V86:W86 AH86 K74:K75 L79:L82 N79:U82 X79:AG82 K84:K85 K86:M86 F86 F79:F82 C81:D81 F84 C86 C88 F88">
    <cfRule type="cellIs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5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78"/>
  <sheetViews>
    <sheetView showGridLines="0" topLeftCell="A40" zoomScaleNormal="100" workbookViewId="0">
      <selection activeCell="D26" sqref="D26"/>
    </sheetView>
  </sheetViews>
  <sheetFormatPr defaultColWidth="8.125" defaultRowHeight="12.75"/>
  <cols>
    <col min="1" max="1" width="8.125" style="931"/>
    <col min="2" max="2" width="12.625" style="931" customWidth="1"/>
    <col min="3" max="3" width="11.875" style="933" customWidth="1"/>
    <col min="4" max="4" width="13.625" style="117" customWidth="1"/>
    <col min="5" max="5" width="11.5" style="117" customWidth="1"/>
    <col min="6" max="6" width="12.25" style="931" customWidth="1"/>
    <col min="7" max="7" width="17.75" style="931" customWidth="1"/>
    <col min="8" max="8" width="25.375" style="931" bestFit="1" customWidth="1"/>
    <col min="9" max="9" width="15.5" style="931" customWidth="1"/>
    <col min="10" max="10" width="13.75" style="931" customWidth="1"/>
    <col min="11" max="12" width="15.5" style="931" customWidth="1"/>
    <col min="13" max="16384" width="8.125" style="931"/>
  </cols>
  <sheetData>
    <row r="1" spans="1:11" ht="12.75" customHeight="1">
      <c r="A1" s="929" t="s">
        <v>1331</v>
      </c>
      <c r="B1" s="929"/>
      <c r="C1" s="930"/>
      <c r="D1" s="931"/>
    </row>
    <row r="2" spans="1:11" ht="12.75" customHeight="1">
      <c r="A2" s="932" t="s">
        <v>1332</v>
      </c>
      <c r="B2" s="930">
        <v>0.2</v>
      </c>
      <c r="C2" s="821"/>
      <c r="D2" s="931"/>
    </row>
    <row r="3" spans="1:11">
      <c r="J3" s="934"/>
    </row>
    <row r="4" spans="1:11" s="935" customFormat="1" ht="12.75" customHeight="1">
      <c r="A4" s="1693" t="s">
        <v>1333</v>
      </c>
      <c r="B4" s="1695" t="s">
        <v>1334</v>
      </c>
      <c r="C4" s="1696" t="s">
        <v>1335</v>
      </c>
      <c r="D4" s="1696"/>
      <c r="E4" s="1696"/>
      <c r="F4" s="1695" t="s">
        <v>1336</v>
      </c>
      <c r="G4" s="1695" t="s">
        <v>1337</v>
      </c>
      <c r="H4" s="1693" t="s">
        <v>1338</v>
      </c>
      <c r="I4" s="1693"/>
      <c r="J4" s="1695" t="s">
        <v>1339</v>
      </c>
      <c r="K4" s="1693" t="s">
        <v>1340</v>
      </c>
    </row>
    <row r="5" spans="1:11" s="935" customFormat="1" ht="12.75" customHeight="1">
      <c r="A5" s="1694"/>
      <c r="B5" s="1695"/>
      <c r="C5" s="1701" t="s">
        <v>1341</v>
      </c>
      <c r="D5" s="1701" t="s">
        <v>1342</v>
      </c>
      <c r="E5" s="1701" t="s">
        <v>1343</v>
      </c>
      <c r="F5" s="1695"/>
      <c r="G5" s="1695"/>
      <c r="H5" s="1693"/>
      <c r="I5" s="1693"/>
      <c r="J5" s="1695"/>
      <c r="K5" s="1693"/>
    </row>
    <row r="6" spans="1:11" s="935" customFormat="1" ht="12.75" customHeight="1">
      <c r="A6" s="1694"/>
      <c r="B6" s="1695"/>
      <c r="C6" s="1696"/>
      <c r="D6" s="1696"/>
      <c r="E6" s="1696"/>
      <c r="F6" s="1695"/>
      <c r="G6" s="1695"/>
      <c r="H6" s="1009" t="s">
        <v>1344</v>
      </c>
      <c r="I6" s="1009" t="s">
        <v>1345</v>
      </c>
      <c r="J6" s="1695"/>
      <c r="K6" s="1693"/>
    </row>
    <row r="7" spans="1:11" s="935" customFormat="1">
      <c r="A7" s="1694"/>
      <c r="B7" s="936" t="s">
        <v>1346</v>
      </c>
      <c r="C7" s="937" t="s">
        <v>1347</v>
      </c>
      <c r="D7" s="937" t="s">
        <v>1348</v>
      </c>
      <c r="E7" s="938" t="s">
        <v>1349</v>
      </c>
      <c r="F7" s="939" t="s">
        <v>1350</v>
      </c>
      <c r="G7" s="940" t="s">
        <v>1351</v>
      </c>
      <c r="H7" s="941" t="s">
        <v>1352</v>
      </c>
      <c r="I7" s="941" t="s">
        <v>1353</v>
      </c>
      <c r="J7" s="941" t="s">
        <v>1354</v>
      </c>
      <c r="K7" s="942" t="s">
        <v>1355</v>
      </c>
    </row>
    <row r="8" spans="1:11" s="935" customFormat="1">
      <c r="A8" s="1694"/>
      <c r="B8" s="943">
        <f>B14+B20+B26</f>
        <v>15</v>
      </c>
      <c r="C8" s="944">
        <f>C14+C20+C26</f>
        <v>7650</v>
      </c>
      <c r="D8" s="944">
        <f>D14+D20+D26</f>
        <v>10800</v>
      </c>
      <c r="E8" s="944">
        <f>E14+E20+E26</f>
        <v>18450</v>
      </c>
      <c r="F8" s="945">
        <f>C8+(D8/4)*4</f>
        <v>18450</v>
      </c>
      <c r="G8" s="946">
        <f>(F8-B8)/B8</f>
        <v>1229</v>
      </c>
      <c r="H8" s="946">
        <f>C8/F8</f>
        <v>0.41463414634146339</v>
      </c>
      <c r="I8" s="946">
        <f>D8/4*4/F8</f>
        <v>0.58536585365853655</v>
      </c>
      <c r="J8" s="946">
        <f>B2</f>
        <v>0.2</v>
      </c>
      <c r="K8" s="947">
        <f>F8*(1+J8)</f>
        <v>22140</v>
      </c>
    </row>
    <row r="9" spans="1:11" s="935" customFormat="1">
      <c r="A9" s="948"/>
      <c r="B9" s="107"/>
      <c r="C9" s="949"/>
      <c r="D9" s="949"/>
      <c r="E9" s="949"/>
      <c r="F9" s="950"/>
      <c r="G9" s="950"/>
      <c r="H9" s="107"/>
      <c r="I9" s="107"/>
      <c r="J9" s="951"/>
      <c r="K9" s="107"/>
    </row>
    <row r="10" spans="1:11" s="935" customFormat="1" ht="12.75" customHeight="1">
      <c r="A10" s="1697" t="s">
        <v>1356</v>
      </c>
      <c r="B10" s="1698" t="s">
        <v>1334</v>
      </c>
      <c r="C10" s="1699" t="s">
        <v>1335</v>
      </c>
      <c r="D10" s="1699"/>
      <c r="E10" s="1699"/>
      <c r="F10" s="1700" t="s">
        <v>1357</v>
      </c>
      <c r="G10" s="1698" t="s">
        <v>1337</v>
      </c>
      <c r="H10" s="1697" t="s">
        <v>1338</v>
      </c>
      <c r="I10" s="1697"/>
      <c r="J10" s="1698" t="s">
        <v>1339</v>
      </c>
      <c r="K10" s="1702" t="s">
        <v>1340</v>
      </c>
    </row>
    <row r="11" spans="1:11" s="935" customFormat="1" ht="12.75" customHeight="1">
      <c r="A11" s="1697"/>
      <c r="B11" s="1698"/>
      <c r="C11" s="1704" t="s">
        <v>1341</v>
      </c>
      <c r="D11" s="1704" t="s">
        <v>1342</v>
      </c>
      <c r="E11" s="1704" t="s">
        <v>1343</v>
      </c>
      <c r="F11" s="1698"/>
      <c r="G11" s="1698"/>
      <c r="H11" s="1697"/>
      <c r="I11" s="1697"/>
      <c r="J11" s="1698"/>
      <c r="K11" s="1703"/>
    </row>
    <row r="12" spans="1:11" s="935" customFormat="1" ht="12.75" customHeight="1">
      <c r="A12" s="1697"/>
      <c r="B12" s="1698"/>
      <c r="C12" s="1699"/>
      <c r="D12" s="1699"/>
      <c r="E12" s="1699"/>
      <c r="F12" s="1698"/>
      <c r="G12" s="1698"/>
      <c r="H12" s="1010" t="s">
        <v>1344</v>
      </c>
      <c r="I12" s="1010" t="s">
        <v>1345</v>
      </c>
      <c r="J12" s="1698"/>
      <c r="K12" s="1703"/>
    </row>
    <row r="13" spans="1:11" s="935" customFormat="1">
      <c r="A13" s="1697"/>
      <c r="B13" s="1007" t="s">
        <v>1346</v>
      </c>
      <c r="C13" s="952" t="s">
        <v>1347</v>
      </c>
      <c r="D13" s="952" t="s">
        <v>1348</v>
      </c>
      <c r="E13" s="1008" t="s">
        <v>1349</v>
      </c>
      <c r="F13" s="953" t="s">
        <v>1350</v>
      </c>
      <c r="G13" s="1007" t="s">
        <v>1351</v>
      </c>
      <c r="H13" s="1008" t="s">
        <v>1352</v>
      </c>
      <c r="I13" s="1008" t="s">
        <v>1353</v>
      </c>
      <c r="J13" s="1008" t="s">
        <v>1354</v>
      </c>
      <c r="K13" s="954" t="s">
        <v>1355</v>
      </c>
    </row>
    <row r="14" spans="1:11" s="935" customFormat="1">
      <c r="A14" s="1697"/>
      <c r="B14" s="955">
        <v>5</v>
      </c>
      <c r="C14" s="956">
        <f>H37+H38+H40+H42+H43+H46+H63</f>
        <v>3150</v>
      </c>
      <c r="D14" s="956">
        <f>SUM(H34:H46)+SUM(H60:H63)-C14</f>
        <v>4500</v>
      </c>
      <c r="E14" s="956">
        <f>C14+D14</f>
        <v>7650</v>
      </c>
      <c r="F14" s="955">
        <f>C14+(D14/4)*4</f>
        <v>7650</v>
      </c>
      <c r="G14" s="957">
        <f>(F14-B14)/B14</f>
        <v>1529</v>
      </c>
      <c r="H14" s="957">
        <f>C14/F14</f>
        <v>0.41176470588235292</v>
      </c>
      <c r="I14" s="957">
        <f>D14/4*4/F14</f>
        <v>0.58823529411764708</v>
      </c>
      <c r="J14" s="957">
        <f>$J$8</f>
        <v>0.2</v>
      </c>
      <c r="K14" s="958">
        <f>F14*(1+J14)</f>
        <v>9180</v>
      </c>
    </row>
    <row r="15" spans="1:11" s="935" customFormat="1">
      <c r="B15" s="950"/>
      <c r="C15" s="959"/>
      <c r="D15" s="959"/>
      <c r="E15" s="959"/>
      <c r="F15" s="950"/>
      <c r="G15" s="960"/>
      <c r="H15" s="960"/>
      <c r="I15" s="960"/>
      <c r="J15" s="960"/>
      <c r="K15" s="1011"/>
    </row>
    <row r="16" spans="1:11" s="935" customFormat="1" ht="12.75" customHeight="1">
      <c r="A16" s="1705" t="s">
        <v>1358</v>
      </c>
      <c r="B16" s="1698" t="s">
        <v>1334</v>
      </c>
      <c r="C16" s="1699" t="s">
        <v>1335</v>
      </c>
      <c r="D16" s="1699"/>
      <c r="E16" s="1699"/>
      <c r="F16" s="1700" t="s">
        <v>1357</v>
      </c>
      <c r="G16" s="1698" t="s">
        <v>1337</v>
      </c>
      <c r="H16" s="1697" t="s">
        <v>1338</v>
      </c>
      <c r="I16" s="1697"/>
      <c r="J16" s="1698" t="s">
        <v>1339</v>
      </c>
      <c r="K16" s="1697" t="s">
        <v>1340</v>
      </c>
    </row>
    <row r="17" spans="1:11" s="935" customFormat="1" ht="12.75" customHeight="1">
      <c r="A17" s="1705"/>
      <c r="B17" s="1698"/>
      <c r="C17" s="1704" t="s">
        <v>1341</v>
      </c>
      <c r="D17" s="1704" t="s">
        <v>1342</v>
      </c>
      <c r="E17" s="1704" t="s">
        <v>1343</v>
      </c>
      <c r="F17" s="1698"/>
      <c r="G17" s="1698"/>
      <c r="H17" s="1697"/>
      <c r="I17" s="1697"/>
      <c r="J17" s="1698"/>
      <c r="K17" s="1697"/>
    </row>
    <row r="18" spans="1:11" s="935" customFormat="1" ht="12.75" customHeight="1">
      <c r="A18" s="1705"/>
      <c r="B18" s="1698"/>
      <c r="C18" s="1699"/>
      <c r="D18" s="1699"/>
      <c r="E18" s="1699"/>
      <c r="F18" s="1698"/>
      <c r="G18" s="1698"/>
      <c r="H18" s="1010" t="s">
        <v>1344</v>
      </c>
      <c r="I18" s="1010" t="s">
        <v>1345</v>
      </c>
      <c r="J18" s="1698"/>
      <c r="K18" s="1697"/>
    </row>
    <row r="19" spans="1:11" s="935" customFormat="1">
      <c r="A19" s="1705"/>
      <c r="B19" s="961" t="s">
        <v>1346</v>
      </c>
      <c r="C19" s="962" t="s">
        <v>1347</v>
      </c>
      <c r="D19" s="962" t="s">
        <v>1348</v>
      </c>
      <c r="E19" s="963" t="s">
        <v>1349</v>
      </c>
      <c r="F19" s="964" t="s">
        <v>1350</v>
      </c>
      <c r="G19" s="965" t="s">
        <v>1351</v>
      </c>
      <c r="H19" s="966" t="s">
        <v>1352</v>
      </c>
      <c r="I19" s="966" t="s">
        <v>1353</v>
      </c>
      <c r="J19" s="966" t="s">
        <v>1354</v>
      </c>
      <c r="K19" s="954" t="s">
        <v>1355</v>
      </c>
    </row>
    <row r="20" spans="1:11" s="935" customFormat="1">
      <c r="A20" s="1705"/>
      <c r="B20" s="955">
        <v>5</v>
      </c>
      <c r="C20" s="956">
        <f>H64+H66+H71+H72+H74</f>
        <v>2250</v>
      </c>
      <c r="D20" s="956">
        <f>SUM(H64:H74)-C20</f>
        <v>2700</v>
      </c>
      <c r="E20" s="956">
        <f>C20+D20</f>
        <v>4950</v>
      </c>
      <c r="F20" s="967">
        <f>C20+(D20/4)*4</f>
        <v>4950</v>
      </c>
      <c r="G20" s="968">
        <f>(F20-B20)/B20</f>
        <v>989</v>
      </c>
      <c r="H20" s="968">
        <f>C20/F20</f>
        <v>0.45454545454545453</v>
      </c>
      <c r="I20" s="968">
        <f>D20/4*4/F20</f>
        <v>0.54545454545454541</v>
      </c>
      <c r="J20" s="957">
        <f>$J$8</f>
        <v>0.2</v>
      </c>
      <c r="K20" s="958">
        <f>F20*(1+J20)</f>
        <v>5940</v>
      </c>
    </row>
    <row r="21" spans="1:11" s="935" customFormat="1">
      <c r="B21" s="950"/>
      <c r="C21" s="959"/>
      <c r="D21" s="959"/>
      <c r="E21" s="959"/>
      <c r="F21" s="950"/>
      <c r="G21" s="960"/>
      <c r="H21" s="960"/>
      <c r="I21" s="960"/>
      <c r="J21" s="960"/>
      <c r="K21" s="960"/>
    </row>
    <row r="22" spans="1:11" s="935" customFormat="1" ht="12.75" customHeight="1">
      <c r="A22" s="1705" t="s">
        <v>1359</v>
      </c>
      <c r="B22" s="1698" t="s">
        <v>1334</v>
      </c>
      <c r="C22" s="1699" t="s">
        <v>1335</v>
      </c>
      <c r="D22" s="1699"/>
      <c r="E22" s="1699"/>
      <c r="F22" s="1700" t="s">
        <v>1357</v>
      </c>
      <c r="G22" s="1698" t="s">
        <v>1337</v>
      </c>
      <c r="H22" s="1697" t="s">
        <v>1338</v>
      </c>
      <c r="I22" s="1697"/>
      <c r="J22" s="1698" t="s">
        <v>1339</v>
      </c>
      <c r="K22" s="1697" t="s">
        <v>1340</v>
      </c>
    </row>
    <row r="23" spans="1:11" s="935" customFormat="1" ht="12.75" customHeight="1">
      <c r="A23" s="1705"/>
      <c r="B23" s="1698"/>
      <c r="C23" s="1704" t="s">
        <v>1341</v>
      </c>
      <c r="D23" s="1704" t="s">
        <v>1342</v>
      </c>
      <c r="E23" s="1704" t="s">
        <v>1343</v>
      </c>
      <c r="F23" s="1698"/>
      <c r="G23" s="1698"/>
      <c r="H23" s="1697"/>
      <c r="I23" s="1697"/>
      <c r="J23" s="1698"/>
      <c r="K23" s="1697"/>
    </row>
    <row r="24" spans="1:11" s="935" customFormat="1" ht="12.75" customHeight="1">
      <c r="A24" s="1705"/>
      <c r="B24" s="1698"/>
      <c r="C24" s="1699"/>
      <c r="D24" s="1699"/>
      <c r="E24" s="1699"/>
      <c r="F24" s="1698"/>
      <c r="G24" s="1698"/>
      <c r="H24" s="1010" t="s">
        <v>1344</v>
      </c>
      <c r="I24" s="1010" t="s">
        <v>1345</v>
      </c>
      <c r="J24" s="1698"/>
      <c r="K24" s="1697"/>
    </row>
    <row r="25" spans="1:11" s="935" customFormat="1">
      <c r="A25" s="1705"/>
      <c r="B25" s="961" t="s">
        <v>1346</v>
      </c>
      <c r="C25" s="962" t="s">
        <v>1347</v>
      </c>
      <c r="D25" s="962" t="s">
        <v>1348</v>
      </c>
      <c r="E25" s="963" t="s">
        <v>1349</v>
      </c>
      <c r="F25" s="964" t="s">
        <v>1350</v>
      </c>
      <c r="G25" s="965" t="s">
        <v>1351</v>
      </c>
      <c r="H25" s="966" t="s">
        <v>1352</v>
      </c>
      <c r="I25" s="966" t="s">
        <v>1353</v>
      </c>
      <c r="J25" s="966" t="s">
        <v>1354</v>
      </c>
      <c r="K25" s="954" t="s">
        <v>1355</v>
      </c>
    </row>
    <row r="26" spans="1:11" s="935" customFormat="1">
      <c r="A26" s="1705"/>
      <c r="B26" s="955">
        <v>5</v>
      </c>
      <c r="C26" s="956">
        <f>H47+H51+H55+H57+H59</f>
        <v>2250</v>
      </c>
      <c r="D26" s="956">
        <f>SUM(H47:H59)-C26</f>
        <v>3600</v>
      </c>
      <c r="E26" s="956">
        <f>C26+D26</f>
        <v>5850</v>
      </c>
      <c r="F26" s="967">
        <f>C26+(D26/4)*4</f>
        <v>5850</v>
      </c>
      <c r="G26" s="968">
        <f>(F26-B26)/B26</f>
        <v>1169</v>
      </c>
      <c r="H26" s="968">
        <f>C26/F26</f>
        <v>0.38461538461538464</v>
      </c>
      <c r="I26" s="968">
        <f>D26/4*4/F26</f>
        <v>0.61538461538461542</v>
      </c>
      <c r="J26" s="957">
        <f>$J$8</f>
        <v>0.2</v>
      </c>
      <c r="K26" s="958">
        <f>F26*(1+J26)</f>
        <v>7020</v>
      </c>
    </row>
    <row r="27" spans="1:11" s="948" customFormat="1">
      <c r="C27" s="949"/>
      <c r="D27" s="949"/>
      <c r="E27" s="949"/>
      <c r="F27" s="107"/>
      <c r="G27" s="107"/>
      <c r="H27" s="107"/>
      <c r="I27" s="107"/>
      <c r="J27" s="951"/>
      <c r="K27" s="107"/>
    </row>
    <row r="28" spans="1:11" s="948" customFormat="1">
      <c r="B28" s="784"/>
      <c r="C28" s="949"/>
      <c r="D28" s="949"/>
      <c r="E28" s="949"/>
      <c r="F28" s="107"/>
      <c r="G28" s="107"/>
      <c r="H28" s="107"/>
      <c r="I28" s="107"/>
      <c r="J28" s="951"/>
      <c r="K28" s="107"/>
    </row>
    <row r="29" spans="1:11" s="948" customFormat="1">
      <c r="A29" s="784" t="s">
        <v>1360</v>
      </c>
      <c r="B29" s="784" t="s">
        <v>1361</v>
      </c>
      <c r="C29" s="949"/>
      <c r="D29" s="949"/>
      <c r="E29" s="949"/>
      <c r="F29" s="107"/>
      <c r="G29" s="107"/>
      <c r="H29" s="107"/>
      <c r="I29" s="107"/>
      <c r="J29" s="951"/>
      <c r="K29" s="107"/>
    </row>
    <row r="30" spans="1:11" s="948" customFormat="1">
      <c r="B30" s="969"/>
      <c r="C30" s="949"/>
      <c r="D30" s="949"/>
      <c r="E30" s="949"/>
      <c r="F30" s="107"/>
      <c r="G30" s="107"/>
      <c r="H30" s="107"/>
      <c r="I30" s="107"/>
      <c r="J30" s="951"/>
      <c r="K30" s="107"/>
    </row>
    <row r="31" spans="1:11" s="948" customFormat="1">
      <c r="B31" s="970" t="s">
        <v>1362</v>
      </c>
      <c r="C31" s="949"/>
      <c r="D31" s="949"/>
      <c r="E31" s="949"/>
      <c r="F31" s="107"/>
      <c r="G31" s="107"/>
      <c r="H31" s="107"/>
      <c r="I31" s="951"/>
      <c r="J31" s="107"/>
    </row>
    <row r="32" spans="1:11">
      <c r="B32" s="4"/>
    </row>
    <row r="33" spans="1:13">
      <c r="B33" s="1005" t="s">
        <v>1104</v>
      </c>
      <c r="C33" s="1706" t="s">
        <v>1105</v>
      </c>
      <c r="D33" s="1707"/>
      <c r="E33" s="1707"/>
      <c r="F33" s="1707"/>
      <c r="G33" s="1708"/>
      <c r="H33" s="1005" t="s">
        <v>1363</v>
      </c>
      <c r="I33" s="1006"/>
      <c r="J33" s="1006"/>
      <c r="K33" s="1006"/>
    </row>
    <row r="34" spans="1:13">
      <c r="A34" s="1115"/>
      <c r="B34" s="971" t="s">
        <v>1106</v>
      </c>
      <c r="C34" s="972" t="s">
        <v>1364</v>
      </c>
      <c r="D34" s="973"/>
      <c r="E34" s="973"/>
      <c r="F34" s="973"/>
      <c r="G34" s="974"/>
      <c r="H34" s="955">
        <v>450</v>
      </c>
      <c r="I34" s="975"/>
      <c r="J34" s="975"/>
      <c r="K34" s="975"/>
      <c r="M34" s="976"/>
    </row>
    <row r="35" spans="1:13">
      <c r="A35" s="1115"/>
      <c r="B35" s="971" t="s">
        <v>1106</v>
      </c>
      <c r="C35" s="972" t="s">
        <v>1365</v>
      </c>
      <c r="D35" s="973"/>
      <c r="E35" s="973"/>
      <c r="F35" s="973"/>
      <c r="G35" s="974"/>
      <c r="H35" s="955">
        <v>450</v>
      </c>
      <c r="I35" s="975"/>
      <c r="J35" s="975"/>
      <c r="K35" s="975"/>
      <c r="M35" s="976"/>
    </row>
    <row r="36" spans="1:13">
      <c r="A36" s="1115"/>
      <c r="B36" s="971" t="s">
        <v>1106</v>
      </c>
      <c r="C36" s="972" t="s">
        <v>1366</v>
      </c>
      <c r="D36" s="973"/>
      <c r="E36" s="973"/>
      <c r="F36" s="973"/>
      <c r="G36" s="974"/>
      <c r="H36" s="955">
        <v>450</v>
      </c>
      <c r="I36" s="975"/>
      <c r="J36" s="975"/>
      <c r="K36" s="975"/>
      <c r="M36" s="976"/>
    </row>
    <row r="37" spans="1:13">
      <c r="A37" s="1115"/>
      <c r="B37" s="977" t="s">
        <v>1367</v>
      </c>
      <c r="C37" s="978" t="s">
        <v>1368</v>
      </c>
      <c r="D37" s="979"/>
      <c r="E37" s="979"/>
      <c r="F37" s="979"/>
      <c r="G37" s="980"/>
      <c r="H37" s="955">
        <v>450</v>
      </c>
      <c r="I37" s="975"/>
      <c r="J37" s="975"/>
      <c r="K37" s="975"/>
      <c r="M37" s="976"/>
    </row>
    <row r="38" spans="1:13">
      <c r="A38" s="1115"/>
      <c r="B38" s="977" t="s">
        <v>1367</v>
      </c>
      <c r="C38" s="978" t="s">
        <v>1369</v>
      </c>
      <c r="D38" s="979"/>
      <c r="E38" s="979"/>
      <c r="F38" s="979"/>
      <c r="G38" s="980"/>
      <c r="H38" s="955">
        <v>450</v>
      </c>
      <c r="I38" s="975"/>
      <c r="J38" s="975"/>
      <c r="K38" s="975"/>
      <c r="M38" s="976"/>
    </row>
    <row r="39" spans="1:13">
      <c r="A39" s="1115"/>
      <c r="B39" s="134" t="s">
        <v>1367</v>
      </c>
      <c r="C39" s="981" t="s">
        <v>1370</v>
      </c>
      <c r="D39" s="973"/>
      <c r="E39" s="973"/>
      <c r="F39" s="973"/>
      <c r="G39" s="974"/>
      <c r="H39" s="955">
        <v>450</v>
      </c>
      <c r="I39" s="975"/>
      <c r="J39" s="975"/>
      <c r="K39" s="975"/>
      <c r="M39" s="976"/>
    </row>
    <row r="40" spans="1:13">
      <c r="A40" s="1115"/>
      <c r="B40" s="977" t="s">
        <v>1371</v>
      </c>
      <c r="C40" s="978" t="s">
        <v>1372</v>
      </c>
      <c r="D40" s="979"/>
      <c r="E40" s="979"/>
      <c r="F40" s="979"/>
      <c r="G40" s="980"/>
      <c r="H40" s="955">
        <v>450</v>
      </c>
      <c r="I40" s="975"/>
      <c r="J40" s="975"/>
      <c r="K40" s="975"/>
      <c r="M40" s="976"/>
    </row>
    <row r="41" spans="1:13">
      <c r="A41" s="1115"/>
      <c r="B41" s="134" t="s">
        <v>1373</v>
      </c>
      <c r="C41" s="981" t="s">
        <v>1374</v>
      </c>
      <c r="D41" s="973"/>
      <c r="E41" s="973"/>
      <c r="F41" s="973"/>
      <c r="G41" s="974"/>
      <c r="H41" s="955">
        <v>450</v>
      </c>
      <c r="I41" s="975"/>
      <c r="J41" s="975"/>
      <c r="K41" s="975"/>
      <c r="M41" s="976"/>
    </row>
    <row r="42" spans="1:13">
      <c r="A42" s="1115"/>
      <c r="B42" s="977" t="s">
        <v>1375</v>
      </c>
      <c r="C42" s="978" t="s">
        <v>1376</v>
      </c>
      <c r="D42" s="979"/>
      <c r="E42" s="979"/>
      <c r="F42" s="979"/>
      <c r="G42" s="980"/>
      <c r="H42" s="955">
        <v>450</v>
      </c>
      <c r="I42" s="975"/>
      <c r="J42" s="975"/>
      <c r="K42" s="975"/>
      <c r="M42" s="976"/>
    </row>
    <row r="43" spans="1:13">
      <c r="A43" s="1115"/>
      <c r="B43" s="977" t="s">
        <v>1377</v>
      </c>
      <c r="C43" s="978" t="s">
        <v>1378</v>
      </c>
      <c r="D43" s="979"/>
      <c r="E43" s="977"/>
      <c r="F43" s="978"/>
      <c r="G43" s="979"/>
      <c r="H43" s="955">
        <v>450</v>
      </c>
      <c r="I43" s="950"/>
      <c r="J43" s="950"/>
      <c r="K43" s="950"/>
      <c r="M43" s="976"/>
    </row>
    <row r="44" spans="1:13">
      <c r="A44" s="1115"/>
      <c r="B44" s="134" t="s">
        <v>1379</v>
      </c>
      <c r="C44" s="981" t="s">
        <v>1380</v>
      </c>
      <c r="D44" s="973"/>
      <c r="E44" s="973"/>
      <c r="F44" s="134"/>
      <c r="G44" s="981"/>
      <c r="H44" s="955">
        <v>450</v>
      </c>
      <c r="I44" s="950"/>
      <c r="J44" s="950"/>
      <c r="K44" s="950"/>
      <c r="M44" s="976"/>
    </row>
    <row r="45" spans="1:13">
      <c r="A45" s="1115"/>
      <c r="B45" s="134" t="s">
        <v>1379</v>
      </c>
      <c r="C45" s="981" t="s">
        <v>1381</v>
      </c>
      <c r="D45" s="973"/>
      <c r="E45" s="973"/>
      <c r="F45" s="134"/>
      <c r="G45" s="981"/>
      <c r="H45" s="955">
        <v>450</v>
      </c>
      <c r="I45" s="950"/>
      <c r="J45" s="950"/>
      <c r="K45" s="950"/>
      <c r="M45" s="976"/>
    </row>
    <row r="46" spans="1:13">
      <c r="A46" s="1115"/>
      <c r="B46" s="977" t="s">
        <v>1379</v>
      </c>
      <c r="C46" s="978" t="s">
        <v>1382</v>
      </c>
      <c r="D46" s="979"/>
      <c r="E46" s="977"/>
      <c r="F46" s="979"/>
      <c r="G46" s="980"/>
      <c r="H46" s="955">
        <v>450</v>
      </c>
      <c r="I46" s="950"/>
      <c r="J46" s="950"/>
      <c r="K46" s="950"/>
      <c r="M46" s="976"/>
    </row>
    <row r="47" spans="1:13">
      <c r="A47" s="1116"/>
      <c r="B47" s="977" t="s">
        <v>1383</v>
      </c>
      <c r="C47" s="982" t="s">
        <v>1369</v>
      </c>
      <c r="D47" s="979"/>
      <c r="E47" s="979"/>
      <c r="F47" s="979"/>
      <c r="G47" s="980"/>
      <c r="H47" s="955">
        <v>450</v>
      </c>
      <c r="I47" s="975"/>
      <c r="J47" s="975"/>
      <c r="K47" s="975"/>
    </row>
    <row r="48" spans="1:13">
      <c r="A48" s="1116"/>
      <c r="B48" s="134" t="s">
        <v>1384</v>
      </c>
      <c r="C48" s="981" t="s">
        <v>1385</v>
      </c>
      <c r="D48" s="973"/>
      <c r="E48" s="134"/>
      <c r="F48" s="981"/>
      <c r="G48" s="973"/>
      <c r="H48" s="955">
        <v>450</v>
      </c>
      <c r="I48" s="975"/>
      <c r="J48" s="975"/>
      <c r="K48" s="975"/>
    </row>
    <row r="49" spans="1:13">
      <c r="A49" s="1116"/>
      <c r="B49" s="134" t="s">
        <v>1384</v>
      </c>
      <c r="C49" s="981" t="s">
        <v>1386</v>
      </c>
      <c r="D49" s="973"/>
      <c r="E49" s="134"/>
      <c r="F49" s="981"/>
      <c r="G49" s="973"/>
      <c r="H49" s="955">
        <v>450</v>
      </c>
      <c r="I49" s="975"/>
      <c r="J49" s="975"/>
      <c r="K49" s="975"/>
    </row>
    <row r="50" spans="1:13">
      <c r="A50" s="1116"/>
      <c r="B50" s="134" t="s">
        <v>1384</v>
      </c>
      <c r="C50" s="981" t="s">
        <v>1387</v>
      </c>
      <c r="D50" s="973"/>
      <c r="E50" s="134"/>
      <c r="F50" s="981"/>
      <c r="G50" s="973"/>
      <c r="H50" s="955">
        <v>450</v>
      </c>
      <c r="I50" s="975"/>
      <c r="J50" s="975"/>
      <c r="K50" s="975"/>
    </row>
    <row r="51" spans="1:13">
      <c r="A51" s="1116"/>
      <c r="B51" s="977" t="s">
        <v>1384</v>
      </c>
      <c r="C51" s="978" t="s">
        <v>1376</v>
      </c>
      <c r="D51" s="979"/>
      <c r="E51" s="979"/>
      <c r="F51" s="979"/>
      <c r="G51" s="980"/>
      <c r="H51" s="955">
        <v>450</v>
      </c>
      <c r="I51" s="975"/>
      <c r="J51" s="975"/>
      <c r="K51" s="975"/>
    </row>
    <row r="52" spans="1:13">
      <c r="A52" s="1116"/>
      <c r="B52" s="134" t="s">
        <v>1388</v>
      </c>
      <c r="C52" s="981" t="s">
        <v>1389</v>
      </c>
      <c r="D52" s="973"/>
      <c r="E52" s="134"/>
      <c r="F52" s="981"/>
      <c r="G52" s="973"/>
      <c r="H52" s="955">
        <v>450</v>
      </c>
      <c r="I52" s="975"/>
      <c r="J52" s="975"/>
      <c r="K52" s="975"/>
    </row>
    <row r="53" spans="1:13">
      <c r="A53" s="1116"/>
      <c r="B53" s="134" t="s">
        <v>1388</v>
      </c>
      <c r="C53" s="981" t="s">
        <v>1390</v>
      </c>
      <c r="D53" s="973"/>
      <c r="E53" s="134"/>
      <c r="F53" s="981"/>
      <c r="G53" s="973"/>
      <c r="H53" s="955">
        <v>450</v>
      </c>
      <c r="I53" s="975"/>
      <c r="J53" s="975"/>
      <c r="K53" s="975"/>
    </row>
    <row r="54" spans="1:13">
      <c r="A54" s="1116"/>
      <c r="B54" s="134" t="s">
        <v>1388</v>
      </c>
      <c r="C54" s="981" t="s">
        <v>1391</v>
      </c>
      <c r="D54" s="973"/>
      <c r="E54" s="134"/>
      <c r="F54" s="981"/>
      <c r="G54" s="973"/>
      <c r="H54" s="955">
        <v>450</v>
      </c>
      <c r="I54" s="975"/>
      <c r="J54" s="975"/>
      <c r="K54" s="975"/>
    </row>
    <row r="55" spans="1:13">
      <c r="A55" s="1116"/>
      <c r="B55" s="983" t="s">
        <v>1388</v>
      </c>
      <c r="C55" s="978" t="s">
        <v>1392</v>
      </c>
      <c r="D55" s="979"/>
      <c r="E55" s="983"/>
      <c r="F55" s="978"/>
      <c r="G55" s="979"/>
      <c r="H55" s="955">
        <v>450</v>
      </c>
      <c r="I55" s="975"/>
      <c r="J55" s="975"/>
      <c r="K55" s="975"/>
    </row>
    <row r="56" spans="1:13">
      <c r="A56" s="1116"/>
      <c r="B56" s="134" t="s">
        <v>1388</v>
      </c>
      <c r="C56" s="981" t="s">
        <v>1393</v>
      </c>
      <c r="D56" s="973"/>
      <c r="E56" s="134"/>
      <c r="F56" s="981"/>
      <c r="G56" s="973"/>
      <c r="H56" s="955">
        <v>450</v>
      </c>
      <c r="I56" s="975"/>
      <c r="J56" s="975"/>
      <c r="K56" s="975"/>
    </row>
    <row r="57" spans="1:13">
      <c r="A57" s="1116"/>
      <c r="B57" s="983" t="s">
        <v>1394</v>
      </c>
      <c r="C57" s="978" t="s">
        <v>1395</v>
      </c>
      <c r="D57" s="979"/>
      <c r="E57" s="983"/>
      <c r="F57" s="978"/>
      <c r="G57" s="979"/>
      <c r="H57" s="955">
        <v>450</v>
      </c>
      <c r="I57" s="975"/>
      <c r="J57" s="975"/>
      <c r="K57" s="975"/>
    </row>
    <row r="58" spans="1:13">
      <c r="A58" s="1116"/>
      <c r="B58" s="134" t="s">
        <v>1394</v>
      </c>
      <c r="C58" s="981" t="s">
        <v>1396</v>
      </c>
      <c r="D58" s="973"/>
      <c r="E58" s="134"/>
      <c r="F58" s="981"/>
      <c r="G58" s="973"/>
      <c r="H58" s="955">
        <v>450</v>
      </c>
      <c r="I58" s="975"/>
      <c r="J58" s="975"/>
      <c r="K58" s="975"/>
    </row>
    <row r="59" spans="1:13">
      <c r="A59" s="1116"/>
      <c r="B59" s="983" t="s">
        <v>1397</v>
      </c>
      <c r="C59" s="978" t="s">
        <v>1398</v>
      </c>
      <c r="D59" s="979"/>
      <c r="E59" s="983"/>
      <c r="F59" s="978"/>
      <c r="G59" s="979"/>
      <c r="H59" s="955">
        <v>450</v>
      </c>
      <c r="I59" s="975"/>
      <c r="J59" s="975"/>
      <c r="K59" s="975"/>
    </row>
    <row r="60" spans="1:13">
      <c r="A60" s="1117"/>
      <c r="B60" s="134" t="s">
        <v>1399</v>
      </c>
      <c r="C60" s="972" t="s">
        <v>1400</v>
      </c>
      <c r="D60" s="973"/>
      <c r="E60" s="973"/>
      <c r="F60" s="973"/>
      <c r="G60" s="974"/>
      <c r="H60" s="955">
        <v>450</v>
      </c>
      <c r="I60" s="950"/>
      <c r="J60" s="950"/>
      <c r="K60" s="950"/>
      <c r="M60" s="976"/>
    </row>
    <row r="61" spans="1:13">
      <c r="A61" s="1117"/>
      <c r="B61" s="134" t="s">
        <v>1399</v>
      </c>
      <c r="C61" s="972" t="s">
        <v>1401</v>
      </c>
      <c r="D61" s="973"/>
      <c r="E61" s="973"/>
      <c r="F61" s="973"/>
      <c r="G61" s="974"/>
      <c r="H61" s="955">
        <v>450</v>
      </c>
      <c r="I61" s="950"/>
      <c r="J61" s="950"/>
      <c r="K61" s="950"/>
    </row>
    <row r="62" spans="1:13">
      <c r="A62" s="1117"/>
      <c r="B62" s="134" t="s">
        <v>1399</v>
      </c>
      <c r="C62" s="972" t="s">
        <v>1402</v>
      </c>
      <c r="D62" s="973"/>
      <c r="E62" s="973"/>
      <c r="F62" s="973"/>
      <c r="G62" s="974"/>
      <c r="H62" s="955">
        <v>450</v>
      </c>
      <c r="I62" s="950"/>
      <c r="J62" s="950"/>
      <c r="K62" s="950"/>
    </row>
    <row r="63" spans="1:13">
      <c r="A63" s="1117"/>
      <c r="B63" s="977" t="s">
        <v>1399</v>
      </c>
      <c r="C63" s="984" t="s">
        <v>1403</v>
      </c>
      <c r="D63" s="979"/>
      <c r="E63" s="979"/>
      <c r="F63" s="979"/>
      <c r="G63" s="980"/>
      <c r="H63" s="955">
        <v>450</v>
      </c>
      <c r="I63" s="950"/>
      <c r="J63" s="950"/>
      <c r="K63" s="950"/>
    </row>
    <row r="64" spans="1:13">
      <c r="A64" s="1118"/>
      <c r="B64" s="977" t="s">
        <v>1404</v>
      </c>
      <c r="C64" s="978" t="s">
        <v>1405</v>
      </c>
      <c r="D64" s="979"/>
      <c r="E64" s="979"/>
      <c r="F64" s="979"/>
      <c r="G64" s="980"/>
      <c r="H64" s="955">
        <v>450</v>
      </c>
      <c r="I64" s="950"/>
      <c r="J64" s="950"/>
      <c r="K64" s="950"/>
    </row>
    <row r="65" spans="1:13">
      <c r="A65" s="1118"/>
      <c r="B65" s="134" t="s">
        <v>1404</v>
      </c>
      <c r="C65" s="972" t="s">
        <v>1406</v>
      </c>
      <c r="D65" s="973"/>
      <c r="E65" s="973"/>
      <c r="F65" s="973"/>
      <c r="G65" s="974"/>
      <c r="H65" s="955">
        <v>450</v>
      </c>
      <c r="I65" s="950"/>
      <c r="J65" s="950"/>
      <c r="K65" s="950"/>
    </row>
    <row r="66" spans="1:13">
      <c r="A66" s="1118"/>
      <c r="B66" s="977" t="s">
        <v>1407</v>
      </c>
      <c r="C66" s="983" t="s">
        <v>1408</v>
      </c>
      <c r="D66" s="977"/>
      <c r="E66" s="979"/>
      <c r="F66" s="979"/>
      <c r="G66" s="980"/>
      <c r="H66" s="955">
        <v>450</v>
      </c>
      <c r="I66" s="950"/>
      <c r="J66" s="950"/>
      <c r="K66" s="950"/>
    </row>
    <row r="67" spans="1:13">
      <c r="A67" s="1118"/>
      <c r="B67" s="134" t="s">
        <v>1407</v>
      </c>
      <c r="C67" s="134" t="s">
        <v>1409</v>
      </c>
      <c r="D67" s="134"/>
      <c r="E67" s="973"/>
      <c r="F67" s="973"/>
      <c r="G67" s="974"/>
      <c r="H67" s="955">
        <v>450</v>
      </c>
      <c r="I67" s="950"/>
      <c r="J67" s="950"/>
      <c r="K67" s="950"/>
    </row>
    <row r="68" spans="1:13">
      <c r="A68" s="1118"/>
      <c r="B68" s="134" t="s">
        <v>1410</v>
      </c>
      <c r="C68" s="134" t="s">
        <v>1411</v>
      </c>
      <c r="D68" s="973"/>
      <c r="E68" s="973"/>
      <c r="F68" s="973"/>
      <c r="G68" s="974"/>
      <c r="H68" s="955">
        <v>450</v>
      </c>
      <c r="I68" s="950"/>
      <c r="J68" s="950"/>
      <c r="K68" s="950"/>
    </row>
    <row r="69" spans="1:13">
      <c r="A69" s="1118"/>
      <c r="B69" s="134" t="s">
        <v>1410</v>
      </c>
      <c r="C69" s="134" t="s">
        <v>1412</v>
      </c>
      <c r="D69" s="973"/>
      <c r="E69" s="973"/>
      <c r="F69" s="973"/>
      <c r="G69" s="974"/>
      <c r="H69" s="955">
        <v>450</v>
      </c>
      <c r="I69" s="950"/>
      <c r="J69" s="950"/>
      <c r="K69" s="950"/>
    </row>
    <row r="70" spans="1:13">
      <c r="A70" s="1118"/>
      <c r="B70" s="134" t="s">
        <v>1410</v>
      </c>
      <c r="C70" s="134" t="s">
        <v>1413</v>
      </c>
      <c r="D70" s="973"/>
      <c r="E70" s="973"/>
      <c r="F70" s="973"/>
      <c r="G70" s="974"/>
      <c r="H70" s="955">
        <v>450</v>
      </c>
      <c r="I70" s="950"/>
      <c r="J70" s="950"/>
      <c r="K70" s="950"/>
    </row>
    <row r="71" spans="1:13">
      <c r="A71" s="1118"/>
      <c r="B71" s="977" t="s">
        <v>1410</v>
      </c>
      <c r="C71" s="978" t="s">
        <v>1414</v>
      </c>
      <c r="D71" s="979"/>
      <c r="E71" s="979"/>
      <c r="F71" s="979"/>
      <c r="G71" s="980"/>
      <c r="H71" s="955">
        <v>450</v>
      </c>
      <c r="I71" s="950"/>
      <c r="J71" s="950"/>
      <c r="K71" s="950"/>
    </row>
    <row r="72" spans="1:13">
      <c r="A72" s="1118"/>
      <c r="B72" s="977" t="s">
        <v>1415</v>
      </c>
      <c r="C72" s="978" t="s">
        <v>1416</v>
      </c>
      <c r="D72" s="979"/>
      <c r="E72" s="979"/>
      <c r="F72" s="979"/>
      <c r="G72" s="980"/>
      <c r="H72" s="955">
        <v>450</v>
      </c>
      <c r="I72" s="950"/>
      <c r="J72" s="950"/>
      <c r="K72" s="950"/>
      <c r="M72" s="976"/>
    </row>
    <row r="73" spans="1:13">
      <c r="A73" s="1118"/>
      <c r="B73" s="134" t="s">
        <v>1417</v>
      </c>
      <c r="C73" s="134" t="s">
        <v>1418</v>
      </c>
      <c r="D73" s="973"/>
      <c r="E73" s="973"/>
      <c r="F73" s="973"/>
      <c r="G73" s="974"/>
      <c r="H73" s="955">
        <v>450</v>
      </c>
      <c r="I73" s="950"/>
      <c r="J73" s="950"/>
      <c r="K73" s="950"/>
      <c r="M73" s="976"/>
    </row>
    <row r="74" spans="1:13">
      <c r="A74" s="1118"/>
      <c r="B74" s="977" t="s">
        <v>1417</v>
      </c>
      <c r="C74" s="978" t="s">
        <v>1419</v>
      </c>
      <c r="D74" s="979"/>
      <c r="E74" s="979"/>
      <c r="F74" s="979"/>
      <c r="G74" s="980"/>
      <c r="H74" s="955">
        <v>450</v>
      </c>
      <c r="I74" s="950"/>
      <c r="J74" s="950"/>
      <c r="K74" s="950"/>
      <c r="M74" s="976"/>
    </row>
    <row r="75" spans="1:13">
      <c r="B75" s="379"/>
      <c r="C75" s="1706" t="s">
        <v>1107</v>
      </c>
      <c r="D75" s="1707"/>
      <c r="E75" s="1707"/>
      <c r="F75" s="1707"/>
      <c r="G75" s="1708"/>
      <c r="H75" s="985">
        <f>SUM(H34:H74)</f>
        <v>18450</v>
      </c>
      <c r="I75" s="986"/>
      <c r="J75" s="986"/>
      <c r="K75" s="986"/>
    </row>
    <row r="76" spans="1:13">
      <c r="B76" s="1006"/>
      <c r="C76" s="949"/>
      <c r="D76" s="987"/>
    </row>
    <row r="77" spans="1:13">
      <c r="C77" s="784"/>
      <c r="D77" s="784"/>
      <c r="E77" s="784"/>
    </row>
    <row r="78" spans="1:13" s="988" customFormat="1"/>
  </sheetData>
  <mergeCells count="46">
    <mergeCell ref="C33:G33"/>
    <mergeCell ref="C75:G75"/>
    <mergeCell ref="H22:I23"/>
    <mergeCell ref="J22:J24"/>
    <mergeCell ref="K22:K24"/>
    <mergeCell ref="C23:C24"/>
    <mergeCell ref="D23:D24"/>
    <mergeCell ref="E23:E24"/>
    <mergeCell ref="J16:J18"/>
    <mergeCell ref="K16:K18"/>
    <mergeCell ref="C17:C18"/>
    <mergeCell ref="D17:D18"/>
    <mergeCell ref="E17:E18"/>
    <mergeCell ref="H16:I17"/>
    <mergeCell ref="A22:A26"/>
    <mergeCell ref="B22:B24"/>
    <mergeCell ref="C22:E22"/>
    <mergeCell ref="F22:F24"/>
    <mergeCell ref="G22:G24"/>
    <mergeCell ref="A16:A20"/>
    <mergeCell ref="B16:B18"/>
    <mergeCell ref="C16:E16"/>
    <mergeCell ref="F16:F18"/>
    <mergeCell ref="G16:G18"/>
    <mergeCell ref="H10:I11"/>
    <mergeCell ref="J10:J12"/>
    <mergeCell ref="K10:K12"/>
    <mergeCell ref="C11:C12"/>
    <mergeCell ref="D11:D12"/>
    <mergeCell ref="E11:E12"/>
    <mergeCell ref="J4:J6"/>
    <mergeCell ref="K4:K6"/>
    <mergeCell ref="C5:C6"/>
    <mergeCell ref="D5:D6"/>
    <mergeCell ref="E5:E6"/>
    <mergeCell ref="H4:I5"/>
    <mergeCell ref="A10:A14"/>
    <mergeCell ref="B10:B12"/>
    <mergeCell ref="C10:E10"/>
    <mergeCell ref="F10:F12"/>
    <mergeCell ref="G10:G12"/>
    <mergeCell ref="A4:A8"/>
    <mergeCell ref="B4:B6"/>
    <mergeCell ref="C4:E4"/>
    <mergeCell ref="F4:F6"/>
    <mergeCell ref="G4:G6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97"/>
  <sheetViews>
    <sheetView showGridLines="0" topLeftCell="A184" workbookViewId="0">
      <selection activeCell="B93" sqref="B93"/>
    </sheetView>
  </sheetViews>
  <sheetFormatPr defaultRowHeight="13.5"/>
  <cols>
    <col min="1" max="1" width="17.5" bestFit="1" customWidth="1"/>
    <col min="2" max="2" width="14.375" customWidth="1"/>
    <col min="3" max="3" width="22" customWidth="1"/>
  </cols>
  <sheetData>
    <row r="1" spans="1:4" ht="18" customHeight="1">
      <c r="A1" s="1709" t="s">
        <v>680</v>
      </c>
      <c r="B1" s="1709"/>
      <c r="C1" s="1709"/>
      <c r="D1" s="680"/>
    </row>
    <row r="2" spans="1:4" ht="16.5">
      <c r="A2" s="681" t="s">
        <v>638</v>
      </c>
      <c r="B2" s="681" t="s">
        <v>639</v>
      </c>
      <c r="C2" s="681" t="s">
        <v>640</v>
      </c>
    </row>
    <row r="3" spans="1:4" ht="16.5">
      <c r="A3" s="681" t="s">
        <v>641</v>
      </c>
      <c r="B3" s="682">
        <f>3*23</f>
        <v>69</v>
      </c>
      <c r="C3" s="1710" t="s">
        <v>681</v>
      </c>
    </row>
    <row r="4" spans="1:4" ht="16.5">
      <c r="A4" s="683" t="s">
        <v>642</v>
      </c>
      <c r="B4" s="684">
        <f>B3</f>
        <v>69</v>
      </c>
      <c r="C4" s="1711"/>
    </row>
    <row r="5" spans="1:4" ht="16.5">
      <c r="A5" s="685" t="s">
        <v>644</v>
      </c>
      <c r="B5" s="686">
        <f>B4/6</f>
        <v>11.5</v>
      </c>
      <c r="C5" s="1712"/>
    </row>
    <row r="6" spans="1:4" ht="16.5">
      <c r="A6" s="687"/>
      <c r="B6" s="688"/>
      <c r="C6" s="687"/>
      <c r="D6" s="689"/>
    </row>
    <row r="7" spans="1:4" ht="16.5">
      <c r="A7" s="690" t="s">
        <v>688</v>
      </c>
      <c r="B7" s="691" t="s">
        <v>639</v>
      </c>
      <c r="C7" s="690" t="s">
        <v>640</v>
      </c>
    </row>
    <row r="8" spans="1:4" ht="16.5" customHeight="1">
      <c r="A8" s="681" t="s">
        <v>641</v>
      </c>
      <c r="B8" s="682">
        <f>B5*6*110%</f>
        <v>75.900000000000006</v>
      </c>
      <c r="C8" s="1710" t="s">
        <v>684</v>
      </c>
    </row>
    <row r="9" spans="1:4" ht="16.5">
      <c r="A9" s="681" t="s">
        <v>643</v>
      </c>
      <c r="B9" s="682">
        <f>B5*6*110%</f>
        <v>75.900000000000006</v>
      </c>
      <c r="C9" s="1711"/>
    </row>
    <row r="10" spans="1:4" ht="16.5">
      <c r="A10" s="683" t="s">
        <v>682</v>
      </c>
      <c r="B10" s="684">
        <f>B8+B9</f>
        <v>151.80000000000001</v>
      </c>
      <c r="C10" s="1711"/>
    </row>
    <row r="11" spans="1:4" ht="16.5">
      <c r="A11" s="683" t="s">
        <v>683</v>
      </c>
      <c r="B11" s="684">
        <f>B10/12</f>
        <v>12.65</v>
      </c>
      <c r="C11" s="1712"/>
    </row>
    <row r="13" spans="1:4" ht="18" customHeight="1">
      <c r="A13" s="1709" t="s">
        <v>685</v>
      </c>
      <c r="B13" s="1709"/>
      <c r="C13" s="1709"/>
      <c r="D13" s="680"/>
    </row>
    <row r="14" spans="1:4" ht="16.5">
      <c r="A14" s="681" t="s">
        <v>645</v>
      </c>
      <c r="B14" s="681" t="s">
        <v>639</v>
      </c>
      <c r="C14" s="681" t="s">
        <v>640</v>
      </c>
    </row>
    <row r="15" spans="1:4" ht="16.5">
      <c r="A15" s="681" t="s">
        <v>646</v>
      </c>
      <c r="B15" s="692">
        <v>101</v>
      </c>
      <c r="C15" s="1716" t="s">
        <v>647</v>
      </c>
    </row>
    <row r="16" spans="1:4" ht="16.5">
      <c r="A16" s="681" t="s">
        <v>648</v>
      </c>
      <c r="B16" s="692">
        <v>101</v>
      </c>
      <c r="C16" s="1717"/>
    </row>
    <row r="17" spans="1:4" ht="16.5">
      <c r="A17" s="681" t="s">
        <v>649</v>
      </c>
      <c r="B17" s="692">
        <v>101</v>
      </c>
      <c r="C17" s="1717"/>
    </row>
    <row r="18" spans="1:4" ht="16.5">
      <c r="A18" s="681" t="s">
        <v>650</v>
      </c>
      <c r="B18" s="692">
        <v>101</v>
      </c>
      <c r="C18" s="1717"/>
    </row>
    <row r="19" spans="1:4" ht="16.5">
      <c r="A19" s="681" t="s">
        <v>651</v>
      </c>
      <c r="B19" s="692">
        <v>101</v>
      </c>
      <c r="C19" s="1717"/>
    </row>
    <row r="20" spans="1:4" ht="16.5">
      <c r="A20" s="681" t="s">
        <v>652</v>
      </c>
      <c r="B20" s="692">
        <v>101</v>
      </c>
      <c r="C20" s="1717"/>
    </row>
    <row r="21" spans="1:4" ht="16.5">
      <c r="A21" s="681" t="s">
        <v>653</v>
      </c>
      <c r="B21" s="692">
        <v>101</v>
      </c>
      <c r="C21" s="1717"/>
    </row>
    <row r="22" spans="1:4" ht="16.5">
      <c r="A22" s="681" t="s">
        <v>654</v>
      </c>
      <c r="B22" s="692">
        <v>101</v>
      </c>
      <c r="C22" s="1717"/>
    </row>
    <row r="23" spans="1:4" ht="16.5">
      <c r="A23" s="683" t="s">
        <v>642</v>
      </c>
      <c r="B23" s="693">
        <f>SUM(B15:B22)</f>
        <v>808</v>
      </c>
      <c r="C23" s="1717"/>
    </row>
    <row r="24" spans="1:4" ht="16.5">
      <c r="A24" s="685" t="s">
        <v>644</v>
      </c>
      <c r="B24" s="693">
        <f>B23/8</f>
        <v>101</v>
      </c>
      <c r="C24" s="1718"/>
    </row>
    <row r="25" spans="1:4" ht="16.5">
      <c r="A25" s="687"/>
      <c r="B25" s="694"/>
      <c r="C25" s="687"/>
    </row>
    <row r="26" spans="1:4" ht="16.5">
      <c r="A26" s="690" t="s">
        <v>688</v>
      </c>
      <c r="B26" s="695" t="s">
        <v>639</v>
      </c>
      <c r="C26" s="690" t="s">
        <v>640</v>
      </c>
    </row>
    <row r="27" spans="1:4" ht="16.5">
      <c r="A27" s="683" t="s">
        <v>682</v>
      </c>
      <c r="B27" s="693">
        <f>B24*12</f>
        <v>1212</v>
      </c>
      <c r="C27" s="1710"/>
    </row>
    <row r="28" spans="1:4" ht="16.5">
      <c r="A28" s="683" t="s">
        <v>683</v>
      </c>
      <c r="B28" s="693">
        <f>B27/12</f>
        <v>101</v>
      </c>
      <c r="C28" s="1712"/>
    </row>
    <row r="30" spans="1:4" ht="16.5">
      <c r="A30" s="1709" t="s">
        <v>686</v>
      </c>
      <c r="B30" s="1709"/>
      <c r="C30" s="1709"/>
      <c r="D30" s="680"/>
    </row>
    <row r="31" spans="1:4" ht="16.5">
      <c r="A31" s="681" t="s">
        <v>638</v>
      </c>
      <c r="B31" s="681" t="s">
        <v>639</v>
      </c>
      <c r="C31" s="681" t="s">
        <v>640</v>
      </c>
    </row>
    <row r="32" spans="1:4" ht="16.5">
      <c r="A32" s="681" t="s">
        <v>656</v>
      </c>
      <c r="B32" s="692">
        <v>101</v>
      </c>
      <c r="C32" s="1710"/>
    </row>
    <row r="33" spans="1:4" ht="16.5">
      <c r="A33" s="681" t="s">
        <v>657</v>
      </c>
      <c r="B33" s="692">
        <v>101</v>
      </c>
      <c r="C33" s="1711"/>
    </row>
    <row r="34" spans="1:4" ht="16.5">
      <c r="A34" s="683" t="s">
        <v>642</v>
      </c>
      <c r="B34" s="684">
        <f>B32+B33</f>
        <v>202</v>
      </c>
      <c r="C34" s="1711"/>
    </row>
    <row r="35" spans="1:4" ht="16.5" customHeight="1">
      <c r="A35" s="685" t="s">
        <v>644</v>
      </c>
      <c r="B35" s="686">
        <f>B34/12</f>
        <v>16.833333333333332</v>
      </c>
      <c r="C35" s="1712"/>
    </row>
    <row r="36" spans="1:4" ht="16.5">
      <c r="A36" s="687"/>
      <c r="B36" s="688"/>
      <c r="C36" s="687"/>
    </row>
    <row r="37" spans="1:4" ht="16.5">
      <c r="A37" s="690" t="s">
        <v>688</v>
      </c>
      <c r="B37" s="691" t="s">
        <v>639</v>
      </c>
      <c r="C37" s="690" t="s">
        <v>640</v>
      </c>
    </row>
    <row r="38" spans="1:4" ht="16.5">
      <c r="A38" s="681" t="s">
        <v>656</v>
      </c>
      <c r="B38" s="692">
        <v>101</v>
      </c>
      <c r="C38" s="1710" t="s">
        <v>690</v>
      </c>
    </row>
    <row r="39" spans="1:4" ht="16.5">
      <c r="A39" s="681" t="s">
        <v>657</v>
      </c>
      <c r="B39" s="692">
        <v>101</v>
      </c>
      <c r="C39" s="1711"/>
    </row>
    <row r="40" spans="1:4" ht="16.5">
      <c r="A40" s="683" t="s">
        <v>682</v>
      </c>
      <c r="B40" s="684">
        <f>(B38+B39)*110%</f>
        <v>222.20000000000002</v>
      </c>
      <c r="C40" s="1711"/>
    </row>
    <row r="41" spans="1:4" ht="16.5" customHeight="1">
      <c r="A41" s="683" t="s">
        <v>683</v>
      </c>
      <c r="B41" s="684">
        <f>B40/12</f>
        <v>18.516666666666669</v>
      </c>
      <c r="C41" s="1712"/>
    </row>
    <row r="43" spans="1:4" ht="16.5">
      <c r="A43" s="1709" t="s">
        <v>687</v>
      </c>
      <c r="B43" s="1709"/>
      <c r="C43" s="1709"/>
      <c r="D43" s="680"/>
    </row>
    <row r="44" spans="1:4" ht="16.5">
      <c r="A44" s="681" t="s">
        <v>645</v>
      </c>
      <c r="B44" s="681" t="s">
        <v>639</v>
      </c>
      <c r="C44" s="681" t="s">
        <v>640</v>
      </c>
    </row>
    <row r="45" spans="1:4" ht="16.5">
      <c r="A45" s="681" t="s">
        <v>646</v>
      </c>
      <c r="B45" s="692">
        <v>101</v>
      </c>
      <c r="C45" s="1710" t="s">
        <v>658</v>
      </c>
    </row>
    <row r="46" spans="1:4" ht="16.5">
      <c r="A46" s="681" t="s">
        <v>648</v>
      </c>
      <c r="B46" s="692">
        <v>101</v>
      </c>
      <c r="C46" s="1711"/>
    </row>
    <row r="47" spans="1:4" ht="16.5">
      <c r="A47" s="681" t="s">
        <v>649</v>
      </c>
      <c r="B47" s="692">
        <v>101</v>
      </c>
      <c r="C47" s="1711"/>
    </row>
    <row r="48" spans="1:4" ht="16.5" customHeight="1">
      <c r="A48" s="681" t="s">
        <v>650</v>
      </c>
      <c r="B48" s="692">
        <v>101</v>
      </c>
      <c r="C48" s="1711"/>
    </row>
    <row r="49" spans="1:4" ht="16.5">
      <c r="A49" s="681" t="s">
        <v>651</v>
      </c>
      <c r="B49" s="692">
        <v>101</v>
      </c>
      <c r="C49" s="1711"/>
    </row>
    <row r="50" spans="1:4" ht="16.5">
      <c r="A50" s="681" t="s">
        <v>652</v>
      </c>
      <c r="B50" s="692">
        <v>101</v>
      </c>
      <c r="C50" s="1711"/>
    </row>
    <row r="51" spans="1:4" ht="16.5">
      <c r="A51" s="681" t="s">
        <v>653</v>
      </c>
      <c r="B51" s="692">
        <v>101</v>
      </c>
      <c r="C51" s="1711"/>
    </row>
    <row r="52" spans="1:4" ht="16.5">
      <c r="A52" s="681" t="s">
        <v>654</v>
      </c>
      <c r="B52" s="692">
        <v>101</v>
      </c>
      <c r="C52" s="1711"/>
    </row>
    <row r="53" spans="1:4" ht="16.5">
      <c r="A53" s="681" t="s">
        <v>655</v>
      </c>
      <c r="B53" s="692">
        <v>101</v>
      </c>
      <c r="C53" s="1711"/>
    </row>
    <row r="54" spans="1:4" ht="16.5">
      <c r="A54" s="683" t="s">
        <v>642</v>
      </c>
      <c r="B54" s="696">
        <f>SUM(B45:B53)</f>
        <v>909</v>
      </c>
      <c r="C54" s="1711"/>
    </row>
    <row r="55" spans="1:4" ht="16.5">
      <c r="A55" s="685" t="s">
        <v>644</v>
      </c>
      <c r="B55" s="696">
        <f>B54/9</f>
        <v>101</v>
      </c>
      <c r="C55" s="1712"/>
    </row>
    <row r="56" spans="1:4" ht="16.5">
      <c r="A56" s="687"/>
      <c r="B56" s="694"/>
      <c r="C56" s="687"/>
    </row>
    <row r="57" spans="1:4" ht="16.5">
      <c r="A57" s="690" t="s">
        <v>688</v>
      </c>
      <c r="B57" s="695" t="s">
        <v>639</v>
      </c>
      <c r="C57" s="690" t="s">
        <v>640</v>
      </c>
    </row>
    <row r="58" spans="1:4" ht="16.5">
      <c r="A58" s="683" t="s">
        <v>682</v>
      </c>
      <c r="B58" s="693">
        <f>B55*12*110%</f>
        <v>1333.2</v>
      </c>
      <c r="C58" s="1710" t="s">
        <v>690</v>
      </c>
    </row>
    <row r="59" spans="1:4" ht="16.5">
      <c r="A59" s="683" t="s">
        <v>683</v>
      </c>
      <c r="B59" s="693">
        <f>B55*110%</f>
        <v>111.10000000000001</v>
      </c>
      <c r="C59" s="1712"/>
    </row>
    <row r="62" spans="1:4" ht="16.5">
      <c r="A62" s="1709" t="s">
        <v>689</v>
      </c>
      <c r="B62" s="1709"/>
      <c r="C62" s="1709"/>
      <c r="D62" s="680"/>
    </row>
    <row r="63" spans="1:4" ht="16.5" customHeight="1">
      <c r="A63" s="681" t="s">
        <v>662</v>
      </c>
      <c r="B63" s="681" t="s">
        <v>659</v>
      </c>
      <c r="C63" s="681" t="s">
        <v>660</v>
      </c>
    </row>
    <row r="64" spans="1:4" ht="16.5">
      <c r="A64" s="681" t="s">
        <v>630</v>
      </c>
      <c r="B64" s="692">
        <v>0</v>
      </c>
      <c r="C64" s="1710" t="s">
        <v>1424</v>
      </c>
    </row>
    <row r="65" spans="1:4" ht="16.5">
      <c r="A65" s="681" t="s">
        <v>663</v>
      </c>
      <c r="B65" s="692">
        <v>0</v>
      </c>
      <c r="C65" s="1711"/>
    </row>
    <row r="66" spans="1:4" ht="16.5">
      <c r="A66" s="681" t="s">
        <v>664</v>
      </c>
      <c r="B66" s="692">
        <v>0</v>
      </c>
      <c r="C66" s="1711"/>
    </row>
    <row r="67" spans="1:4" ht="16.5">
      <c r="A67" s="681" t="s">
        <v>665</v>
      </c>
      <c r="B67" s="692">
        <v>100</v>
      </c>
      <c r="C67" s="1711"/>
    </row>
    <row r="68" spans="1:4" ht="16.5">
      <c r="A68" s="683" t="s">
        <v>661</v>
      </c>
      <c r="B68" s="693">
        <f>SUM(B64:B67)</f>
        <v>100</v>
      </c>
      <c r="C68" s="1711"/>
    </row>
    <row r="69" spans="1:4" ht="16.5">
      <c r="A69" s="685" t="s">
        <v>644</v>
      </c>
      <c r="B69" s="696">
        <f>B68/12</f>
        <v>8.3333333333333339</v>
      </c>
      <c r="C69" s="1712"/>
    </row>
    <row r="70" spans="1:4" ht="16.5">
      <c r="A70" s="687"/>
      <c r="B70" s="694"/>
    </row>
    <row r="71" spans="1:4" ht="16.5">
      <c r="A71" s="690" t="s">
        <v>688</v>
      </c>
      <c r="B71" s="695" t="s">
        <v>659</v>
      </c>
      <c r="C71" s="681" t="s">
        <v>660</v>
      </c>
    </row>
    <row r="72" spans="1:4" ht="16.5">
      <c r="A72" s="681" t="s">
        <v>630</v>
      </c>
      <c r="B72" s="692">
        <f>B64*115%</f>
        <v>0</v>
      </c>
      <c r="C72" s="1710" t="s">
        <v>1667</v>
      </c>
    </row>
    <row r="73" spans="1:4" ht="16.5">
      <c r="A73" s="681" t="s">
        <v>663</v>
      </c>
      <c r="B73" s="692">
        <f>B67*110%</f>
        <v>110.00000000000001</v>
      </c>
      <c r="C73" s="1711"/>
    </row>
    <row r="74" spans="1:4" ht="16.5">
      <c r="A74" s="681" t="s">
        <v>664</v>
      </c>
      <c r="B74" s="692">
        <f>B66*115%</f>
        <v>0</v>
      </c>
      <c r="C74" s="1711"/>
    </row>
    <row r="75" spans="1:4" ht="16.5" customHeight="1">
      <c r="A75" s="681" t="s">
        <v>665</v>
      </c>
      <c r="B75" s="692">
        <f>B67*110%</f>
        <v>110.00000000000001</v>
      </c>
      <c r="C75" s="1711"/>
    </row>
    <row r="76" spans="1:4" ht="16.5">
      <c r="A76" s="683" t="s">
        <v>682</v>
      </c>
      <c r="B76" s="693">
        <f>SUM(B72:B75)</f>
        <v>220.00000000000003</v>
      </c>
      <c r="C76" s="1711"/>
    </row>
    <row r="77" spans="1:4" ht="16.5">
      <c r="A77" s="683" t="s">
        <v>683</v>
      </c>
      <c r="B77" s="693">
        <f>B76/12</f>
        <v>18.333333333333336</v>
      </c>
      <c r="C77" s="1712"/>
    </row>
    <row r="79" spans="1:4" ht="16.5">
      <c r="A79" s="1709" t="s">
        <v>691</v>
      </c>
      <c r="B79" s="1709"/>
      <c r="C79" s="1709"/>
      <c r="D79" s="680"/>
    </row>
    <row r="80" spans="1:4" ht="16.5">
      <c r="A80" s="681" t="s">
        <v>662</v>
      </c>
      <c r="B80" s="681" t="s">
        <v>659</v>
      </c>
      <c r="C80" s="681" t="s">
        <v>660</v>
      </c>
    </row>
    <row r="81" spans="1:4" ht="16.5">
      <c r="A81" s="681" t="s">
        <v>630</v>
      </c>
      <c r="B81" s="692">
        <f>360*3</f>
        <v>1080</v>
      </c>
      <c r="C81" s="1710" t="s">
        <v>1668</v>
      </c>
    </row>
    <row r="82" spans="1:4" ht="16.5">
      <c r="A82" s="681" t="s">
        <v>663</v>
      </c>
      <c r="B82" s="692">
        <f>360*3</f>
        <v>1080</v>
      </c>
      <c r="C82" s="1711"/>
    </row>
    <row r="83" spans="1:4" ht="16.5">
      <c r="A83" s="681" t="s">
        <v>664</v>
      </c>
      <c r="B83" s="692">
        <f>360*3</f>
        <v>1080</v>
      </c>
      <c r="C83" s="1711"/>
    </row>
    <row r="84" spans="1:4" ht="16.5">
      <c r="A84" s="681" t="s">
        <v>665</v>
      </c>
      <c r="B84" s="692">
        <f>360+30*2</f>
        <v>420</v>
      </c>
      <c r="C84" s="1711"/>
    </row>
    <row r="85" spans="1:4" ht="16.5">
      <c r="A85" s="683" t="s">
        <v>661</v>
      </c>
      <c r="B85" s="693">
        <f>SUM(B81:B84)</f>
        <v>3660</v>
      </c>
      <c r="C85" s="1711"/>
    </row>
    <row r="86" spans="1:4" ht="16.5">
      <c r="A86" s="685" t="s">
        <v>644</v>
      </c>
      <c r="B86" s="696">
        <f>B85/12</f>
        <v>305</v>
      </c>
      <c r="C86" s="1712"/>
    </row>
    <row r="87" spans="1:4" ht="16.5">
      <c r="A87" s="687"/>
      <c r="B87" s="694"/>
    </row>
    <row r="88" spans="1:4" ht="16.5">
      <c r="A88" s="690" t="s">
        <v>688</v>
      </c>
      <c r="B88" s="695" t="s">
        <v>659</v>
      </c>
      <c r="C88" s="681" t="s">
        <v>660</v>
      </c>
    </row>
    <row r="89" spans="1:4" ht="16.5">
      <c r="A89" s="681" t="s">
        <v>630</v>
      </c>
      <c r="B89" s="692">
        <f>36*3</f>
        <v>108</v>
      </c>
      <c r="C89" s="1710" t="s">
        <v>1669</v>
      </c>
    </row>
    <row r="90" spans="1:4" ht="16.5">
      <c r="A90" s="681" t="s">
        <v>663</v>
      </c>
      <c r="B90" s="692">
        <f>36*3</f>
        <v>108</v>
      </c>
      <c r="C90" s="1711"/>
    </row>
    <row r="91" spans="1:4" ht="16.5">
      <c r="A91" s="681" t="s">
        <v>664</v>
      </c>
      <c r="B91" s="692">
        <f>36*3</f>
        <v>108</v>
      </c>
      <c r="C91" s="1711"/>
    </row>
    <row r="92" spans="1:4" ht="16.5">
      <c r="A92" s="681" t="s">
        <v>665</v>
      </c>
      <c r="B92" s="692">
        <f>30*3</f>
        <v>90</v>
      </c>
      <c r="C92" s="1711"/>
    </row>
    <row r="93" spans="1:4" ht="16.5">
      <c r="A93" s="683" t="s">
        <v>682</v>
      </c>
      <c r="B93" s="693">
        <f>SUM(B89:B92)</f>
        <v>414</v>
      </c>
      <c r="C93" s="1711"/>
    </row>
    <row r="94" spans="1:4" ht="16.5">
      <c r="A94" s="683" t="s">
        <v>683</v>
      </c>
      <c r="B94" s="693">
        <f>B93/12</f>
        <v>34.5</v>
      </c>
      <c r="C94" s="1712"/>
    </row>
    <row r="96" spans="1:4" ht="16.5">
      <c r="A96" s="1709" t="s">
        <v>692</v>
      </c>
      <c r="B96" s="1709"/>
      <c r="C96" s="1709"/>
      <c r="D96" s="680"/>
    </row>
    <row r="97" spans="1:3" ht="16.5">
      <c r="A97" s="681" t="s">
        <v>662</v>
      </c>
      <c r="B97" s="681" t="s">
        <v>659</v>
      </c>
      <c r="C97" s="681" t="s">
        <v>660</v>
      </c>
    </row>
    <row r="98" spans="1:3" ht="16.5">
      <c r="A98" s="681" t="s">
        <v>630</v>
      </c>
      <c r="B98" s="692">
        <f>36*3*15.7%</f>
        <v>16.956</v>
      </c>
      <c r="C98" s="1710" t="s">
        <v>693</v>
      </c>
    </row>
    <row r="99" spans="1:3" ht="16.5">
      <c r="A99" s="681" t="s">
        <v>663</v>
      </c>
      <c r="B99" s="692">
        <f>36*3*15.7%</f>
        <v>16.956</v>
      </c>
      <c r="C99" s="1711"/>
    </row>
    <row r="100" spans="1:3" ht="16.5">
      <c r="A100" s="681" t="s">
        <v>664</v>
      </c>
      <c r="B100" s="692">
        <f>36*3*15.7%</f>
        <v>16.956</v>
      </c>
      <c r="C100" s="1711"/>
    </row>
    <row r="101" spans="1:3" ht="16.5">
      <c r="A101" s="681" t="s">
        <v>665</v>
      </c>
      <c r="B101" s="692">
        <f>(36+36800*2)*15.7%</f>
        <v>11560.852000000001</v>
      </c>
      <c r="C101" s="1711"/>
    </row>
    <row r="102" spans="1:3" ht="16.5">
      <c r="A102" s="683" t="s">
        <v>661</v>
      </c>
      <c r="B102" s="693">
        <f>SUM(B98:B101)</f>
        <v>11611.720000000001</v>
      </c>
      <c r="C102" s="1711"/>
    </row>
    <row r="103" spans="1:3" ht="16.5">
      <c r="A103" s="685" t="s">
        <v>644</v>
      </c>
      <c r="B103" s="696">
        <f>B102/12</f>
        <v>967.64333333333343</v>
      </c>
      <c r="C103" s="1712"/>
    </row>
    <row r="104" spans="1:3" ht="16.5">
      <c r="A104" s="687"/>
      <c r="B104" s="694"/>
    </row>
    <row r="105" spans="1:3" ht="16.5">
      <c r="A105" s="690" t="s">
        <v>688</v>
      </c>
      <c r="B105" s="695" t="s">
        <v>659</v>
      </c>
      <c r="C105" s="681" t="s">
        <v>660</v>
      </c>
    </row>
    <row r="106" spans="1:3" ht="16.5">
      <c r="A106" s="681" t="s">
        <v>630</v>
      </c>
      <c r="B106" s="692">
        <f>11*15.7%</f>
        <v>1.7270000000000001</v>
      </c>
      <c r="C106" s="1710"/>
    </row>
    <row r="107" spans="1:3" ht="16.5">
      <c r="A107" s="681" t="s">
        <v>663</v>
      </c>
      <c r="B107" s="692">
        <f>110*15.7%</f>
        <v>17.27</v>
      </c>
      <c r="C107" s="1711"/>
    </row>
    <row r="108" spans="1:3" ht="16.5">
      <c r="A108" s="681" t="s">
        <v>664</v>
      </c>
      <c r="B108" s="692">
        <f>11*15.7%</f>
        <v>1.7270000000000001</v>
      </c>
      <c r="C108" s="1711"/>
    </row>
    <row r="109" spans="1:3" ht="16.5">
      <c r="A109" s="681" t="s">
        <v>665</v>
      </c>
      <c r="B109" s="692">
        <f>110*15.7%</f>
        <v>17.27</v>
      </c>
      <c r="C109" s="1711"/>
    </row>
    <row r="110" spans="1:3" ht="16.5">
      <c r="A110" s="683" t="s">
        <v>682</v>
      </c>
      <c r="B110" s="693">
        <f>SUM(B106:B109)</f>
        <v>37.994</v>
      </c>
      <c r="C110" s="1711"/>
    </row>
    <row r="111" spans="1:3" ht="16.5">
      <c r="A111" s="683" t="s">
        <v>683</v>
      </c>
      <c r="B111" s="693">
        <f>B110/12</f>
        <v>3.1661666666666668</v>
      </c>
      <c r="C111" s="1712"/>
    </row>
    <row r="113" spans="1:4" ht="16.5">
      <c r="A113" s="1709" t="s">
        <v>694</v>
      </c>
      <c r="B113" s="1709"/>
      <c r="C113" s="1709"/>
      <c r="D113" s="680"/>
    </row>
    <row r="114" spans="1:4" ht="16.5">
      <c r="A114" s="681" t="s">
        <v>662</v>
      </c>
      <c r="B114" s="681" t="s">
        <v>659</v>
      </c>
      <c r="C114" s="681" t="s">
        <v>660</v>
      </c>
    </row>
    <row r="115" spans="1:4" ht="16.5">
      <c r="A115" s="681" t="s">
        <v>667</v>
      </c>
      <c r="B115" s="692">
        <v>1470</v>
      </c>
      <c r="C115" s="1710" t="s">
        <v>668</v>
      </c>
    </row>
    <row r="116" spans="1:4" ht="16.5">
      <c r="A116" s="681" t="s">
        <v>669</v>
      </c>
      <c r="B116" s="692">
        <f>98+4902</f>
        <v>5000</v>
      </c>
      <c r="C116" s="1711"/>
    </row>
    <row r="117" spans="1:4" ht="16.5">
      <c r="A117" s="683" t="s">
        <v>629</v>
      </c>
      <c r="B117" s="693">
        <f>SUM(B115:B116)</f>
        <v>6470</v>
      </c>
      <c r="C117" s="1711"/>
    </row>
    <row r="118" spans="1:4" ht="16.5">
      <c r="A118" s="685" t="s">
        <v>644</v>
      </c>
      <c r="B118" s="696">
        <f>B117/12</f>
        <v>539.16666666666663</v>
      </c>
      <c r="C118" s="1712"/>
    </row>
    <row r="119" spans="1:4" ht="16.5">
      <c r="A119" s="687"/>
      <c r="B119" s="694"/>
    </row>
    <row r="120" spans="1:4" ht="16.5">
      <c r="A120" s="690" t="s">
        <v>688</v>
      </c>
      <c r="B120" s="695" t="s">
        <v>671</v>
      </c>
      <c r="C120" s="681" t="s">
        <v>672</v>
      </c>
    </row>
    <row r="121" spans="1:4" ht="16.5">
      <c r="A121" s="681" t="s">
        <v>673</v>
      </c>
      <c r="B121" s="692">
        <v>147</v>
      </c>
      <c r="C121" s="1710"/>
    </row>
    <row r="122" spans="1:4" ht="16.5">
      <c r="A122" s="681" t="s">
        <v>669</v>
      </c>
      <c r="B122" s="692">
        <v>147</v>
      </c>
      <c r="C122" s="1711"/>
    </row>
    <row r="123" spans="1:4" ht="16.5">
      <c r="A123" s="683" t="s">
        <v>682</v>
      </c>
      <c r="B123" s="693">
        <f>SUM(B121:B122)</f>
        <v>294</v>
      </c>
      <c r="C123" s="1711"/>
    </row>
    <row r="124" spans="1:4" ht="16.5">
      <c r="A124" s="683" t="s">
        <v>683</v>
      </c>
      <c r="B124" s="693">
        <f>B123/12</f>
        <v>24.5</v>
      </c>
      <c r="C124" s="1712"/>
    </row>
    <row r="126" spans="1:4" ht="16.5">
      <c r="A126" s="1709" t="s">
        <v>695</v>
      </c>
      <c r="B126" s="1709"/>
      <c r="C126" s="1709"/>
      <c r="D126" s="680"/>
    </row>
    <row r="127" spans="1:4" ht="16.5">
      <c r="A127" s="681" t="s">
        <v>674</v>
      </c>
      <c r="B127" s="681" t="s">
        <v>671</v>
      </c>
      <c r="C127" s="681" t="s">
        <v>672</v>
      </c>
    </row>
    <row r="128" spans="1:4" ht="16.5">
      <c r="A128" s="681" t="s">
        <v>673</v>
      </c>
      <c r="B128" s="692">
        <v>980</v>
      </c>
      <c r="C128" s="1710" t="s">
        <v>668</v>
      </c>
    </row>
    <row r="129" spans="1:4" ht="16.5">
      <c r="A129" s="681" t="s">
        <v>669</v>
      </c>
      <c r="B129" s="692">
        <f>6537.3+32</f>
        <v>6569.3</v>
      </c>
      <c r="C129" s="1711"/>
    </row>
    <row r="130" spans="1:4" ht="16.5">
      <c r="A130" s="683" t="s">
        <v>629</v>
      </c>
      <c r="B130" s="693">
        <f>SUM(B128:B129)</f>
        <v>7549.3</v>
      </c>
      <c r="C130" s="1711"/>
    </row>
    <row r="131" spans="1:4" ht="16.5">
      <c r="A131" s="685" t="s">
        <v>644</v>
      </c>
      <c r="B131" s="696">
        <f>B130/12</f>
        <v>629.10833333333335</v>
      </c>
      <c r="C131" s="1712"/>
    </row>
    <row r="132" spans="1:4" ht="16.5">
      <c r="A132" s="687"/>
      <c r="B132" s="694"/>
    </row>
    <row r="133" spans="1:4" ht="16.5">
      <c r="A133" s="690" t="s">
        <v>688</v>
      </c>
      <c r="B133" s="695" t="s">
        <v>671</v>
      </c>
      <c r="C133" s="681" t="s">
        <v>672</v>
      </c>
    </row>
    <row r="134" spans="1:4" ht="16.5">
      <c r="A134" s="681" t="s">
        <v>673</v>
      </c>
      <c r="B134" s="692">
        <v>98</v>
      </c>
      <c r="C134" s="1710"/>
    </row>
    <row r="135" spans="1:4" ht="16.5">
      <c r="A135" s="681" t="s">
        <v>669</v>
      </c>
      <c r="B135" s="692">
        <f>6537.3+32</f>
        <v>6569.3</v>
      </c>
      <c r="C135" s="1711"/>
    </row>
    <row r="136" spans="1:4" ht="16.5">
      <c r="A136" s="683" t="s">
        <v>682</v>
      </c>
      <c r="B136" s="693">
        <f>SUM(B134:B135)</f>
        <v>6667.3</v>
      </c>
      <c r="C136" s="1711"/>
    </row>
    <row r="137" spans="1:4" ht="16.5">
      <c r="A137" s="683" t="s">
        <v>683</v>
      </c>
      <c r="B137" s="693">
        <f>B136/12</f>
        <v>555.60833333333335</v>
      </c>
      <c r="C137" s="1712"/>
    </row>
    <row r="139" spans="1:4" ht="16.5">
      <c r="A139" s="1709" t="s">
        <v>696</v>
      </c>
      <c r="B139" s="1709"/>
      <c r="C139" s="1709"/>
      <c r="D139" s="680"/>
    </row>
    <row r="140" spans="1:4" ht="16.5">
      <c r="A140" s="681" t="s">
        <v>674</v>
      </c>
      <c r="B140" s="681" t="s">
        <v>671</v>
      </c>
      <c r="C140" s="681" t="s">
        <v>672</v>
      </c>
    </row>
    <row r="141" spans="1:4" ht="16.5">
      <c r="A141" s="681" t="s">
        <v>675</v>
      </c>
      <c r="B141" s="692">
        <f>230*3</f>
        <v>690</v>
      </c>
      <c r="C141" s="1710" t="s">
        <v>676</v>
      </c>
    </row>
    <row r="142" spans="1:4" ht="16.5">
      <c r="A142" s="681" t="s">
        <v>677</v>
      </c>
      <c r="B142" s="692">
        <f>230*3</f>
        <v>690</v>
      </c>
      <c r="C142" s="1711"/>
    </row>
    <row r="143" spans="1:4" ht="16.5">
      <c r="A143" s="681" t="s">
        <v>631</v>
      </c>
      <c r="B143" s="692">
        <f>230*3</f>
        <v>690</v>
      </c>
      <c r="C143" s="1711"/>
    </row>
    <row r="144" spans="1:4" ht="16.5">
      <c r="A144" s="681" t="s">
        <v>678</v>
      </c>
      <c r="B144" s="692">
        <f>230*3</f>
        <v>690</v>
      </c>
      <c r="C144" s="1711"/>
    </row>
    <row r="145" spans="1:4" ht="16.5">
      <c r="A145" s="683" t="s">
        <v>629</v>
      </c>
      <c r="B145" s="693">
        <f>SUM(B141:B144)</f>
        <v>2760</v>
      </c>
      <c r="C145" s="1711"/>
    </row>
    <row r="146" spans="1:4" ht="16.5">
      <c r="A146" s="685" t="s">
        <v>644</v>
      </c>
      <c r="B146" s="696">
        <f>B145/12</f>
        <v>230</v>
      </c>
      <c r="C146" s="1712"/>
    </row>
    <row r="147" spans="1:4" ht="16.5">
      <c r="A147" s="687"/>
      <c r="B147" s="694"/>
    </row>
    <row r="148" spans="1:4" ht="16.5">
      <c r="A148" s="690" t="s">
        <v>688</v>
      </c>
      <c r="B148" s="695" t="s">
        <v>671</v>
      </c>
      <c r="C148" s="681" t="s">
        <v>672</v>
      </c>
    </row>
    <row r="149" spans="1:4" ht="16.5">
      <c r="A149" s="681" t="s">
        <v>675</v>
      </c>
      <c r="B149" s="692">
        <f>B141</f>
        <v>690</v>
      </c>
      <c r="C149" s="1713"/>
    </row>
    <row r="150" spans="1:4" ht="16.5">
      <c r="A150" s="681" t="s">
        <v>677</v>
      </c>
      <c r="B150" s="692">
        <f>B142</f>
        <v>690</v>
      </c>
      <c r="C150" s="1714"/>
    </row>
    <row r="151" spans="1:4" ht="16.5">
      <c r="A151" s="681" t="s">
        <v>631</v>
      </c>
      <c r="B151" s="692">
        <f>B143</f>
        <v>690</v>
      </c>
      <c r="C151" s="1714"/>
    </row>
    <row r="152" spans="1:4" ht="16.5">
      <c r="A152" s="681" t="s">
        <v>678</v>
      </c>
      <c r="B152" s="692">
        <f>B144</f>
        <v>690</v>
      </c>
      <c r="C152" s="1714"/>
    </row>
    <row r="153" spans="1:4" ht="16.5">
      <c r="A153" s="683" t="s">
        <v>682</v>
      </c>
      <c r="B153" s="693">
        <f>SUM(B149:B152)</f>
        <v>2760</v>
      </c>
      <c r="C153" s="1714"/>
    </row>
    <row r="154" spans="1:4" ht="16.5">
      <c r="A154" s="683" t="s">
        <v>683</v>
      </c>
      <c r="B154" s="693">
        <f>B153/12</f>
        <v>230</v>
      </c>
      <c r="C154" s="1715"/>
    </row>
    <row r="156" spans="1:4" ht="16.5">
      <c r="A156" s="1709" t="s">
        <v>697</v>
      </c>
      <c r="B156" s="1709"/>
      <c r="C156" s="1709"/>
      <c r="D156" s="680"/>
    </row>
    <row r="157" spans="1:4" ht="16.5">
      <c r="A157" s="681" t="s">
        <v>674</v>
      </c>
      <c r="B157" s="681" t="s">
        <v>671</v>
      </c>
      <c r="C157" s="681" t="s">
        <v>672</v>
      </c>
    </row>
    <row r="158" spans="1:4" ht="16.5">
      <c r="A158" s="681" t="s">
        <v>675</v>
      </c>
      <c r="B158" s="692">
        <f>39+410*2</f>
        <v>859</v>
      </c>
      <c r="C158" s="1710" t="s">
        <v>698</v>
      </c>
    </row>
    <row r="159" spans="1:4" ht="16.5">
      <c r="A159" s="681" t="s">
        <v>677</v>
      </c>
      <c r="B159" s="692">
        <f>410*3</f>
        <v>1230</v>
      </c>
      <c r="C159" s="1711"/>
    </row>
    <row r="160" spans="1:4" ht="16.5">
      <c r="A160" s="681" t="s">
        <v>631</v>
      </c>
      <c r="B160" s="692">
        <f>410*3</f>
        <v>1230</v>
      </c>
      <c r="C160" s="1711"/>
    </row>
    <row r="161" spans="1:4" ht="16.5">
      <c r="A161" s="681" t="s">
        <v>678</v>
      </c>
      <c r="B161" s="692">
        <f>410*3</f>
        <v>1230</v>
      </c>
      <c r="C161" s="1711"/>
    </row>
    <row r="162" spans="1:4" ht="16.5">
      <c r="A162" s="683" t="s">
        <v>629</v>
      </c>
      <c r="B162" s="693">
        <f>SUM(B158:B161)</f>
        <v>4549</v>
      </c>
      <c r="C162" s="1711"/>
    </row>
    <row r="163" spans="1:4" ht="16.5">
      <c r="A163" s="685" t="s">
        <v>670</v>
      </c>
      <c r="B163" s="696">
        <f>B162/12</f>
        <v>379.08333333333331</v>
      </c>
      <c r="C163" s="1712"/>
    </row>
    <row r="164" spans="1:4" ht="16.5">
      <c r="A164" s="687"/>
      <c r="B164" s="694"/>
    </row>
    <row r="165" spans="1:4" ht="16.5">
      <c r="A165" s="690" t="s">
        <v>688</v>
      </c>
      <c r="B165" s="695" t="s">
        <v>671</v>
      </c>
      <c r="C165" s="681" t="s">
        <v>672</v>
      </c>
    </row>
    <row r="166" spans="1:4" ht="16.5">
      <c r="A166" s="681" t="s">
        <v>675</v>
      </c>
      <c r="B166" s="692">
        <f>41*3*105%</f>
        <v>129.15</v>
      </c>
      <c r="C166" s="1713" t="s">
        <v>699</v>
      </c>
    </row>
    <row r="167" spans="1:4" ht="16.5">
      <c r="A167" s="681" t="s">
        <v>677</v>
      </c>
      <c r="B167" s="692">
        <f>40*3*105%</f>
        <v>126</v>
      </c>
      <c r="C167" s="1714"/>
    </row>
    <row r="168" spans="1:4" ht="16.5">
      <c r="A168" s="681" t="s">
        <v>631</v>
      </c>
      <c r="B168" s="692">
        <f>40*3*105%</f>
        <v>126</v>
      </c>
      <c r="C168" s="1714"/>
    </row>
    <row r="169" spans="1:4" ht="16.5">
      <c r="A169" s="681" t="s">
        <v>678</v>
      </c>
      <c r="B169" s="692">
        <f>400*3*105%</f>
        <v>1260</v>
      </c>
      <c r="C169" s="1714"/>
    </row>
    <row r="170" spans="1:4" ht="16.5">
      <c r="A170" s="683" t="s">
        <v>682</v>
      </c>
      <c r="B170" s="693">
        <f>SUM(B166:B169)</f>
        <v>1641.15</v>
      </c>
      <c r="C170" s="1714"/>
    </row>
    <row r="171" spans="1:4" ht="16.5">
      <c r="A171" s="683" t="s">
        <v>683</v>
      </c>
      <c r="B171" s="693">
        <f>B170/12</f>
        <v>136.76250000000002</v>
      </c>
      <c r="C171" s="1715"/>
    </row>
    <row r="173" spans="1:4" ht="16.5">
      <c r="A173" s="1709" t="s">
        <v>700</v>
      </c>
      <c r="B173" s="1709"/>
      <c r="C173" s="1709"/>
      <c r="D173" s="680"/>
    </row>
    <row r="174" spans="1:4" ht="16.5">
      <c r="A174" s="681" t="s">
        <v>674</v>
      </c>
      <c r="B174" s="681" t="s">
        <v>671</v>
      </c>
      <c r="C174" s="681" t="s">
        <v>672</v>
      </c>
    </row>
    <row r="175" spans="1:4" ht="16.5">
      <c r="A175" s="681" t="s">
        <v>673</v>
      </c>
      <c r="B175" s="692">
        <v>100</v>
      </c>
      <c r="C175" s="1710" t="s">
        <v>679</v>
      </c>
    </row>
    <row r="176" spans="1:4" ht="16.5">
      <c r="A176" s="681" t="s">
        <v>669</v>
      </c>
      <c r="B176" s="692">
        <v>100</v>
      </c>
      <c r="C176" s="1711"/>
    </row>
    <row r="177" spans="1:4" ht="16.5">
      <c r="A177" s="683" t="s">
        <v>629</v>
      </c>
      <c r="B177" s="693">
        <f>SUM(B175:B176)</f>
        <v>200</v>
      </c>
      <c r="C177" s="1711"/>
    </row>
    <row r="178" spans="1:4" ht="16.5">
      <c r="A178" s="685" t="s">
        <v>670</v>
      </c>
      <c r="B178" s="696">
        <f>B177/12</f>
        <v>16.666666666666668</v>
      </c>
      <c r="C178" s="1712"/>
    </row>
    <row r="179" spans="1:4" ht="16.5">
      <c r="A179" s="687"/>
      <c r="B179" s="694"/>
    </row>
    <row r="180" spans="1:4" ht="16.5">
      <c r="A180" s="690" t="s">
        <v>688</v>
      </c>
      <c r="B180" s="695" t="s">
        <v>671</v>
      </c>
      <c r="C180" s="681" t="s">
        <v>672</v>
      </c>
    </row>
    <row r="181" spans="1:4" ht="16.5">
      <c r="A181" s="681" t="s">
        <v>673</v>
      </c>
      <c r="B181" s="692">
        <f>B175</f>
        <v>100</v>
      </c>
      <c r="C181" s="1710"/>
    </row>
    <row r="182" spans="1:4" ht="16.5">
      <c r="A182" s="681" t="s">
        <v>669</v>
      </c>
      <c r="B182" s="692">
        <f>B176</f>
        <v>100</v>
      </c>
      <c r="C182" s="1711"/>
    </row>
    <row r="183" spans="1:4" ht="16.5">
      <c r="A183" s="683" t="s">
        <v>682</v>
      </c>
      <c r="B183" s="693">
        <f>SUM(B181:B182)</f>
        <v>200</v>
      </c>
      <c r="C183" s="1711"/>
    </row>
    <row r="184" spans="1:4" ht="16.5">
      <c r="A184" s="683" t="s">
        <v>683</v>
      </c>
      <c r="B184" s="693">
        <f>B183/12</f>
        <v>16.666666666666668</v>
      </c>
      <c r="C184" s="1712"/>
    </row>
    <row r="186" spans="1:4" ht="16.5">
      <c r="A186" s="1709" t="s">
        <v>701</v>
      </c>
      <c r="B186" s="1709"/>
      <c r="C186" s="1709"/>
      <c r="D186" s="680"/>
    </row>
    <row r="187" spans="1:4" ht="16.5">
      <c r="A187" s="681" t="s">
        <v>674</v>
      </c>
      <c r="B187" s="681" t="s">
        <v>671</v>
      </c>
      <c r="C187" s="681" t="s">
        <v>672</v>
      </c>
    </row>
    <row r="188" spans="1:4" ht="16.5">
      <c r="A188" s="681" t="s">
        <v>673</v>
      </c>
      <c r="B188" s="692">
        <f>390*6</f>
        <v>2340</v>
      </c>
      <c r="C188" s="1710" t="s">
        <v>1425</v>
      </c>
    </row>
    <row r="189" spans="1:4" ht="16.5">
      <c r="A189" s="681" t="s">
        <v>669</v>
      </c>
      <c r="B189" s="692">
        <f>390*6</f>
        <v>2340</v>
      </c>
      <c r="C189" s="1711"/>
    </row>
    <row r="190" spans="1:4" ht="16.5">
      <c r="A190" s="683" t="s">
        <v>629</v>
      </c>
      <c r="B190" s="693">
        <f>SUM(B188:B189)</f>
        <v>4680</v>
      </c>
      <c r="C190" s="1711"/>
    </row>
    <row r="191" spans="1:4" ht="16.5">
      <c r="A191" s="685" t="s">
        <v>644</v>
      </c>
      <c r="B191" s="696">
        <f>B190/12</f>
        <v>390</v>
      </c>
      <c r="C191" s="1712"/>
    </row>
    <row r="192" spans="1:4" ht="16.5">
      <c r="A192" s="687"/>
      <c r="B192" s="694"/>
    </row>
    <row r="193" spans="1:3" ht="16.5">
      <c r="A193" s="690" t="s">
        <v>688</v>
      </c>
      <c r="B193" s="695" t="s">
        <v>671</v>
      </c>
      <c r="C193" s="681" t="s">
        <v>672</v>
      </c>
    </row>
    <row r="194" spans="1:3" ht="16.5">
      <c r="A194" s="681" t="s">
        <v>673</v>
      </c>
      <c r="B194" s="692">
        <f>B191*6</f>
        <v>2340</v>
      </c>
      <c r="C194" s="1710"/>
    </row>
    <row r="195" spans="1:3" ht="16.5">
      <c r="A195" s="681" t="s">
        <v>669</v>
      </c>
      <c r="B195" s="692">
        <f>B191*6</f>
        <v>2340</v>
      </c>
      <c r="C195" s="1711"/>
    </row>
    <row r="196" spans="1:3" ht="16.5">
      <c r="A196" s="683" t="s">
        <v>682</v>
      </c>
      <c r="B196" s="693">
        <f>SUM(B194:B195)</f>
        <v>4680</v>
      </c>
      <c r="C196" s="1711"/>
    </row>
    <row r="197" spans="1:3" ht="16.5">
      <c r="A197" s="683" t="s">
        <v>683</v>
      </c>
      <c r="B197" s="693">
        <f>B196/12</f>
        <v>390</v>
      </c>
      <c r="C197" s="1712"/>
    </row>
  </sheetData>
  <mergeCells count="39">
    <mergeCell ref="C58:C59"/>
    <mergeCell ref="A1:C1"/>
    <mergeCell ref="C3:C5"/>
    <mergeCell ref="C8:C11"/>
    <mergeCell ref="A13:C13"/>
    <mergeCell ref="C15:C24"/>
    <mergeCell ref="C27:C28"/>
    <mergeCell ref="A30:C30"/>
    <mergeCell ref="C32:C35"/>
    <mergeCell ref="C38:C41"/>
    <mergeCell ref="A43:C43"/>
    <mergeCell ref="C45:C55"/>
    <mergeCell ref="C89:C94"/>
    <mergeCell ref="A62:C62"/>
    <mergeCell ref="C64:C69"/>
    <mergeCell ref="C72:C77"/>
    <mergeCell ref="A79:C79"/>
    <mergeCell ref="C81:C86"/>
    <mergeCell ref="C149:C154"/>
    <mergeCell ref="A96:C96"/>
    <mergeCell ref="C98:C103"/>
    <mergeCell ref="C106:C111"/>
    <mergeCell ref="A113:C113"/>
    <mergeCell ref="C115:C118"/>
    <mergeCell ref="C121:C124"/>
    <mergeCell ref="A126:C126"/>
    <mergeCell ref="C128:C131"/>
    <mergeCell ref="C134:C137"/>
    <mergeCell ref="A139:C139"/>
    <mergeCell ref="C141:C146"/>
    <mergeCell ref="A186:C186"/>
    <mergeCell ref="C188:C191"/>
    <mergeCell ref="C194:C197"/>
    <mergeCell ref="A156:C156"/>
    <mergeCell ref="C158:C163"/>
    <mergeCell ref="C166:C171"/>
    <mergeCell ref="A173:C173"/>
    <mergeCell ref="C175:C178"/>
    <mergeCell ref="C181:C184"/>
  </mergeCells>
  <phoneticPr fontId="5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61"/>
  <sheetViews>
    <sheetView showGridLines="0" zoomScaleNormal="100" workbookViewId="0">
      <pane xSplit="4" ySplit="3" topLeftCell="E22" activePane="bottomRight" state="frozen"/>
      <selection pane="topRight" activeCell="E1" sqref="E1"/>
      <selection pane="bottomLeft" activeCell="A4" sqref="A4"/>
      <selection pane="bottomRight" activeCell="F56" sqref="F56"/>
    </sheetView>
  </sheetViews>
  <sheetFormatPr defaultRowHeight="14.25"/>
  <cols>
    <col min="1" max="1" width="9" style="633"/>
    <col min="2" max="2" width="13.125" style="633" bestFit="1" customWidth="1"/>
    <col min="3" max="3" width="10.25" style="633" bestFit="1" customWidth="1"/>
    <col min="4" max="4" width="13.5" style="633" customWidth="1"/>
    <col min="5" max="5" width="14" style="633" bestFit="1" customWidth="1"/>
    <col min="6" max="6" width="10.25" style="633" bestFit="1" customWidth="1"/>
    <col min="7" max="7" width="8.875" style="633" customWidth="1"/>
    <col min="8" max="8" width="8.5" style="633" bestFit="1" customWidth="1"/>
    <col min="9" max="9" width="11.625" style="661" bestFit="1" customWidth="1"/>
    <col min="10" max="10" width="10.625" style="661" customWidth="1"/>
    <col min="11" max="11" width="11.625" style="661" bestFit="1" customWidth="1"/>
    <col min="12" max="12" width="33.375" style="633" customWidth="1"/>
    <col min="13" max="13" width="11.625" style="661" bestFit="1" customWidth="1"/>
    <col min="14" max="14" width="12.875" style="661" customWidth="1"/>
    <col min="15" max="15" width="10.5" style="661" bestFit="1" customWidth="1"/>
    <col min="16" max="16" width="12.125" style="661" bestFit="1" customWidth="1"/>
    <col min="17" max="16384" width="9" style="633"/>
  </cols>
  <sheetData>
    <row r="1" spans="1:17" s="634" customFormat="1" ht="30" customHeight="1">
      <c r="A1" s="1720" t="s">
        <v>610</v>
      </c>
      <c r="B1" s="1720"/>
      <c r="C1" s="1720"/>
      <c r="D1" s="1720"/>
      <c r="E1" s="1720"/>
      <c r="F1" s="1720"/>
      <c r="G1" s="1720"/>
      <c r="H1" s="1720"/>
      <c r="I1" s="1720"/>
      <c r="J1" s="1720"/>
      <c r="K1" s="1720"/>
      <c r="L1" s="1720"/>
      <c r="M1" s="1720"/>
      <c r="N1" s="1720"/>
      <c r="O1" s="1720"/>
      <c r="P1" s="1720"/>
      <c r="Q1" s="633"/>
    </row>
    <row r="2" spans="1:17" s="634" customFormat="1">
      <c r="A2" s="1721" t="s">
        <v>611</v>
      </c>
      <c r="B2" s="1721"/>
      <c r="C2" s="1721"/>
      <c r="D2" s="1721"/>
      <c r="E2" s="1721"/>
      <c r="F2" s="1721"/>
      <c r="G2" s="1721"/>
      <c r="H2" s="1721"/>
      <c r="I2" s="1721"/>
      <c r="J2" s="1721"/>
      <c r="K2" s="1721"/>
      <c r="L2" s="1721"/>
      <c r="M2" s="1722" t="s">
        <v>612</v>
      </c>
      <c r="N2" s="1722"/>
      <c r="O2" s="1723" t="s">
        <v>613</v>
      </c>
      <c r="P2" s="1723"/>
      <c r="Q2" s="633"/>
    </row>
    <row r="3" spans="1:17" s="634" customFormat="1" ht="24">
      <c r="A3" s="635" t="s">
        <v>175</v>
      </c>
      <c r="B3" s="635" t="s">
        <v>614</v>
      </c>
      <c r="C3" s="635" t="s">
        <v>615</v>
      </c>
      <c r="D3" s="636" t="s">
        <v>616</v>
      </c>
      <c r="E3" s="636" t="s">
        <v>617</v>
      </c>
      <c r="F3" s="637" t="s">
        <v>618</v>
      </c>
      <c r="G3" s="636" t="s">
        <v>619</v>
      </c>
      <c r="H3" s="636" t="s">
        <v>620</v>
      </c>
      <c r="I3" s="638" t="s">
        <v>621</v>
      </c>
      <c r="J3" s="638" t="s">
        <v>622</v>
      </c>
      <c r="K3" s="638" t="s">
        <v>623</v>
      </c>
      <c r="L3" s="639" t="s">
        <v>624</v>
      </c>
      <c r="M3" s="638" t="s">
        <v>625</v>
      </c>
      <c r="N3" s="638" t="s">
        <v>626</v>
      </c>
      <c r="O3" s="638" t="s">
        <v>627</v>
      </c>
      <c r="P3" s="638" t="s">
        <v>628</v>
      </c>
      <c r="Q3" s="633"/>
    </row>
    <row r="4" spans="1:17" ht="14.25" customHeight="1">
      <c r="A4" s="640">
        <v>1</v>
      </c>
      <c r="B4" s="641" t="s">
        <v>1640</v>
      </c>
      <c r="C4" s="641" t="s">
        <v>1635</v>
      </c>
      <c r="D4" s="642" t="s">
        <v>1636</v>
      </c>
      <c r="E4" s="642" t="s">
        <v>1637</v>
      </c>
      <c r="F4" s="642">
        <v>2003.3</v>
      </c>
      <c r="G4" s="642">
        <v>12</v>
      </c>
      <c r="H4" s="642">
        <v>2</v>
      </c>
      <c r="I4" s="643">
        <v>10</v>
      </c>
      <c r="J4" s="643">
        <v>0</v>
      </c>
      <c r="K4" s="643">
        <f>103*30%+I4</f>
        <v>40.9</v>
      </c>
      <c r="L4" s="644" t="s">
        <v>1109</v>
      </c>
      <c r="M4" s="645"/>
      <c r="N4" s="645"/>
      <c r="O4" s="645"/>
      <c r="P4" s="645"/>
    </row>
    <row r="5" spans="1:17" ht="14.25" customHeight="1">
      <c r="A5" s="640">
        <v>2</v>
      </c>
      <c r="B5" s="641" t="s">
        <v>1640</v>
      </c>
      <c r="C5" s="641" t="s">
        <v>1635</v>
      </c>
      <c r="D5" s="642" t="s">
        <v>1636</v>
      </c>
      <c r="E5" s="642" t="s">
        <v>1638</v>
      </c>
      <c r="F5" s="646">
        <v>2004.3</v>
      </c>
      <c r="G5" s="642">
        <v>11</v>
      </c>
      <c r="H5" s="642">
        <v>2</v>
      </c>
      <c r="I5" s="643">
        <v>10</v>
      </c>
      <c r="J5" s="643">
        <v>0</v>
      </c>
      <c r="K5" s="643">
        <v>1492</v>
      </c>
      <c r="L5" s="644" t="s">
        <v>1110</v>
      </c>
      <c r="M5" s="645"/>
      <c r="N5" s="645"/>
      <c r="O5" s="645"/>
      <c r="P5" s="645"/>
    </row>
    <row r="6" spans="1:17" ht="14.25" customHeight="1">
      <c r="A6" s="640">
        <v>3</v>
      </c>
      <c r="B6" s="641" t="s">
        <v>1640</v>
      </c>
      <c r="C6" s="641" t="s">
        <v>1635</v>
      </c>
      <c r="D6" s="642" t="s">
        <v>1636</v>
      </c>
      <c r="E6" s="642" t="s">
        <v>1637</v>
      </c>
      <c r="F6" s="646">
        <v>2010.5</v>
      </c>
      <c r="G6" s="642">
        <v>5</v>
      </c>
      <c r="H6" s="642">
        <v>5</v>
      </c>
      <c r="I6" s="643">
        <v>10</v>
      </c>
      <c r="J6" s="643">
        <v>0</v>
      </c>
      <c r="K6" s="643">
        <v>212</v>
      </c>
      <c r="L6" s="644" t="s">
        <v>1110</v>
      </c>
      <c r="M6" s="645"/>
      <c r="N6" s="645"/>
      <c r="O6" s="645"/>
      <c r="P6" s="645"/>
    </row>
    <row r="7" spans="1:17" ht="14.25" customHeight="1">
      <c r="A7" s="640">
        <v>4</v>
      </c>
      <c r="B7" s="641" t="s">
        <v>1640</v>
      </c>
      <c r="C7" s="641" t="s">
        <v>1635</v>
      </c>
      <c r="D7" s="642" t="s">
        <v>1636</v>
      </c>
      <c r="E7" s="642" t="s">
        <v>1637</v>
      </c>
      <c r="F7" s="646">
        <v>2012.6</v>
      </c>
      <c r="G7" s="642">
        <v>3</v>
      </c>
      <c r="H7" s="642">
        <v>7</v>
      </c>
      <c r="I7" s="643">
        <v>10</v>
      </c>
      <c r="J7" s="647">
        <v>0</v>
      </c>
      <c r="K7" s="643">
        <f>I7*0.85</f>
        <v>8.5</v>
      </c>
      <c r="L7" s="644" t="s">
        <v>1639</v>
      </c>
      <c r="M7" s="645"/>
      <c r="N7" s="645"/>
      <c r="O7" s="645"/>
      <c r="P7" s="645"/>
    </row>
    <row r="8" spans="1:17" ht="14.25" customHeight="1">
      <c r="A8" s="640">
        <v>5</v>
      </c>
      <c r="B8" s="641" t="s">
        <v>1640</v>
      </c>
      <c r="C8" s="641" t="s">
        <v>1635</v>
      </c>
      <c r="D8" s="642" t="s">
        <v>1636</v>
      </c>
      <c r="E8" s="642" t="s">
        <v>1637</v>
      </c>
      <c r="F8" s="646">
        <v>2006.3</v>
      </c>
      <c r="G8" s="642">
        <v>9</v>
      </c>
      <c r="H8" s="642">
        <v>3</v>
      </c>
      <c r="I8" s="643">
        <v>10</v>
      </c>
      <c r="J8" s="643">
        <v>0</v>
      </c>
      <c r="K8" s="643">
        <v>66</v>
      </c>
      <c r="L8" s="644" t="s">
        <v>1110</v>
      </c>
      <c r="M8" s="645"/>
      <c r="N8" s="645"/>
      <c r="O8" s="645"/>
      <c r="P8" s="645"/>
    </row>
    <row r="9" spans="1:17" ht="14.25" customHeight="1">
      <c r="A9" s="640">
        <v>6</v>
      </c>
      <c r="B9" s="641" t="s">
        <v>1640</v>
      </c>
      <c r="C9" s="641" t="s">
        <v>1635</v>
      </c>
      <c r="D9" s="642" t="s">
        <v>1636</v>
      </c>
      <c r="E9" s="642" t="s">
        <v>1637</v>
      </c>
      <c r="F9" s="646">
        <v>2013.12</v>
      </c>
      <c r="G9" s="642">
        <v>2</v>
      </c>
      <c r="H9" s="642">
        <v>12</v>
      </c>
      <c r="I9" s="643">
        <v>10</v>
      </c>
      <c r="J9" s="643">
        <v>0</v>
      </c>
      <c r="K9" s="643">
        <v>199</v>
      </c>
      <c r="L9" s="644" t="s">
        <v>1110</v>
      </c>
      <c r="M9" s="645"/>
      <c r="N9" s="645"/>
      <c r="O9" s="645"/>
      <c r="P9" s="645"/>
    </row>
    <row r="10" spans="1:17" ht="14.25" customHeight="1">
      <c r="A10" s="640">
        <v>7</v>
      </c>
      <c r="B10" s="641" t="s">
        <v>1640</v>
      </c>
      <c r="C10" s="641" t="s">
        <v>1635</v>
      </c>
      <c r="D10" s="642" t="s">
        <v>1636</v>
      </c>
      <c r="E10" s="642" t="s">
        <v>1637</v>
      </c>
      <c r="F10" s="646">
        <v>2014.11</v>
      </c>
      <c r="G10" s="642">
        <v>1</v>
      </c>
      <c r="H10" s="642">
        <v>11</v>
      </c>
      <c r="I10" s="643">
        <v>10</v>
      </c>
      <c r="J10" s="643">
        <v>0</v>
      </c>
      <c r="K10" s="643">
        <v>202</v>
      </c>
      <c r="L10" s="644" t="s">
        <v>1110</v>
      </c>
      <c r="M10" s="645"/>
      <c r="N10" s="645"/>
      <c r="O10" s="645"/>
      <c r="P10" s="645"/>
    </row>
    <row r="11" spans="1:17" ht="14.25" customHeight="1">
      <c r="A11" s="640">
        <v>8</v>
      </c>
      <c r="B11" s="641" t="s">
        <v>1640</v>
      </c>
      <c r="C11" s="641" t="s">
        <v>1635</v>
      </c>
      <c r="D11" s="642" t="s">
        <v>1636</v>
      </c>
      <c r="E11" s="642" t="s">
        <v>1637</v>
      </c>
      <c r="F11" s="646">
        <v>2006.1</v>
      </c>
      <c r="G11" s="642">
        <v>9</v>
      </c>
      <c r="H11" s="642">
        <v>10</v>
      </c>
      <c r="I11" s="643">
        <v>10</v>
      </c>
      <c r="J11" s="643">
        <v>0</v>
      </c>
      <c r="K11" s="643">
        <v>64</v>
      </c>
      <c r="L11" s="644" t="s">
        <v>1110</v>
      </c>
      <c r="M11" s="645"/>
      <c r="N11" s="645"/>
      <c r="O11" s="645"/>
      <c r="P11" s="645"/>
    </row>
    <row r="12" spans="1:17" s="648" customFormat="1" ht="14.25" customHeight="1">
      <c r="A12" s="640">
        <v>9</v>
      </c>
      <c r="B12" s="641" t="s">
        <v>1640</v>
      </c>
      <c r="C12" s="641" t="s">
        <v>1635</v>
      </c>
      <c r="D12" s="642" t="s">
        <v>1636</v>
      </c>
      <c r="E12" s="642" t="s">
        <v>1637</v>
      </c>
      <c r="F12" s="646">
        <v>2010.5</v>
      </c>
      <c r="G12" s="642">
        <v>5</v>
      </c>
      <c r="H12" s="642">
        <v>5</v>
      </c>
      <c r="I12" s="643">
        <v>10</v>
      </c>
      <c r="J12" s="643">
        <v>0</v>
      </c>
      <c r="K12" s="643">
        <v>784</v>
      </c>
      <c r="L12" s="644" t="s">
        <v>1110</v>
      </c>
      <c r="M12" s="645"/>
      <c r="N12" s="645"/>
      <c r="O12" s="645"/>
      <c r="P12" s="645"/>
      <c r="Q12" s="633"/>
    </row>
    <row r="13" spans="1:17" ht="14.25" customHeight="1">
      <c r="A13" s="640">
        <v>10</v>
      </c>
      <c r="B13" s="641" t="s">
        <v>1640</v>
      </c>
      <c r="C13" s="641" t="s">
        <v>1635</v>
      </c>
      <c r="D13" s="642" t="s">
        <v>1636</v>
      </c>
      <c r="E13" s="642" t="s">
        <v>1637</v>
      </c>
      <c r="F13" s="646">
        <v>2010.5</v>
      </c>
      <c r="G13" s="642">
        <v>5</v>
      </c>
      <c r="H13" s="642">
        <v>5</v>
      </c>
      <c r="I13" s="643">
        <v>10</v>
      </c>
      <c r="J13" s="643">
        <v>0</v>
      </c>
      <c r="K13" s="643">
        <v>115</v>
      </c>
      <c r="L13" s="644" t="s">
        <v>1110</v>
      </c>
      <c r="M13" s="645"/>
      <c r="N13" s="645"/>
      <c r="O13" s="645"/>
      <c r="P13" s="645"/>
    </row>
    <row r="14" spans="1:17" ht="14.25" customHeight="1">
      <c r="A14" s="640">
        <v>11</v>
      </c>
      <c r="B14" s="641" t="s">
        <v>1640</v>
      </c>
      <c r="C14" s="641" t="s">
        <v>1635</v>
      </c>
      <c r="D14" s="642" t="s">
        <v>1636</v>
      </c>
      <c r="E14" s="642" t="s">
        <v>1637</v>
      </c>
      <c r="F14" s="646">
        <v>2011.8</v>
      </c>
      <c r="G14" s="642">
        <v>4</v>
      </c>
      <c r="H14" s="642">
        <v>8</v>
      </c>
      <c r="I14" s="643">
        <v>10</v>
      </c>
      <c r="J14" s="643">
        <v>0</v>
      </c>
      <c r="K14" s="643">
        <v>1372</v>
      </c>
      <c r="L14" s="644" t="s">
        <v>1110</v>
      </c>
      <c r="M14" s="645"/>
      <c r="N14" s="645"/>
      <c r="O14" s="645"/>
      <c r="P14" s="645"/>
    </row>
    <row r="15" spans="1:17" ht="14.25" customHeight="1">
      <c r="A15" s="640">
        <v>12</v>
      </c>
      <c r="B15" s="641" t="s">
        <v>1640</v>
      </c>
      <c r="C15" s="641" t="s">
        <v>1635</v>
      </c>
      <c r="D15" s="642" t="s">
        <v>1636</v>
      </c>
      <c r="E15" s="642" t="s">
        <v>1637</v>
      </c>
      <c r="F15" s="646">
        <v>2011.4</v>
      </c>
      <c r="G15" s="646">
        <v>4</v>
      </c>
      <c r="H15" s="646">
        <v>4</v>
      </c>
      <c r="I15" s="643">
        <v>10</v>
      </c>
      <c r="J15" s="643">
        <v>0</v>
      </c>
      <c r="K15" s="643">
        <v>696</v>
      </c>
      <c r="L15" s="644" t="s">
        <v>1110</v>
      </c>
      <c r="M15" s="645"/>
      <c r="N15" s="645"/>
      <c r="O15" s="645"/>
      <c r="P15" s="645"/>
    </row>
    <row r="16" spans="1:17" ht="14.25" customHeight="1">
      <c r="A16" s="640">
        <v>13</v>
      </c>
      <c r="B16" s="641" t="s">
        <v>1640</v>
      </c>
      <c r="C16" s="641" t="s">
        <v>1635</v>
      </c>
      <c r="D16" s="642" t="s">
        <v>1636</v>
      </c>
      <c r="E16" s="642" t="s">
        <v>1637</v>
      </c>
      <c r="F16" s="646">
        <v>2014.2</v>
      </c>
      <c r="G16" s="646">
        <v>1</v>
      </c>
      <c r="H16" s="646">
        <v>2</v>
      </c>
      <c r="I16" s="643">
        <v>10</v>
      </c>
      <c r="J16" s="643">
        <v>0</v>
      </c>
      <c r="K16" s="643">
        <v>1193</v>
      </c>
      <c r="L16" s="644" t="s">
        <v>1110</v>
      </c>
      <c r="M16" s="645"/>
      <c r="N16" s="645"/>
      <c r="O16" s="645"/>
      <c r="P16" s="645"/>
    </row>
    <row r="17" spans="1:17" ht="14.25" customHeight="1">
      <c r="A17" s="640">
        <v>14</v>
      </c>
      <c r="B17" s="641" t="s">
        <v>1640</v>
      </c>
      <c r="C17" s="641" t="s">
        <v>1635</v>
      </c>
      <c r="D17" s="642" t="s">
        <v>1636</v>
      </c>
      <c r="E17" s="642" t="s">
        <v>1637</v>
      </c>
      <c r="F17" s="646">
        <v>2006.1</v>
      </c>
      <c r="G17" s="642">
        <v>9</v>
      </c>
      <c r="H17" s="642">
        <v>10</v>
      </c>
      <c r="I17" s="643">
        <v>10</v>
      </c>
      <c r="J17" s="643">
        <v>0</v>
      </c>
      <c r="K17" s="643">
        <v>998</v>
      </c>
      <c r="L17" s="644" t="s">
        <v>1110</v>
      </c>
      <c r="M17" s="645"/>
      <c r="N17" s="645"/>
      <c r="O17" s="645"/>
      <c r="P17" s="647"/>
    </row>
    <row r="18" spans="1:17" ht="14.25" customHeight="1">
      <c r="A18" s="640">
        <v>15</v>
      </c>
      <c r="B18" s="641" t="s">
        <v>1640</v>
      </c>
      <c r="C18" s="641" t="s">
        <v>1635</v>
      </c>
      <c r="D18" s="642" t="s">
        <v>1636</v>
      </c>
      <c r="E18" s="642" t="s">
        <v>1637</v>
      </c>
      <c r="F18" s="646">
        <v>2010.5</v>
      </c>
      <c r="G18" s="642">
        <v>5</v>
      </c>
      <c r="H18" s="642">
        <v>5</v>
      </c>
      <c r="I18" s="643">
        <v>10</v>
      </c>
      <c r="J18" s="643">
        <v>0</v>
      </c>
      <c r="K18" s="643">
        <v>1066</v>
      </c>
      <c r="L18" s="644" t="s">
        <v>1110</v>
      </c>
      <c r="M18" s="645"/>
      <c r="N18" s="645"/>
      <c r="O18" s="645"/>
      <c r="P18" s="645"/>
    </row>
    <row r="19" spans="1:17" ht="14.25" customHeight="1">
      <c r="A19" s="640">
        <v>16</v>
      </c>
      <c r="B19" s="641" t="s">
        <v>1640</v>
      </c>
      <c r="C19" s="641" t="s">
        <v>1635</v>
      </c>
      <c r="D19" s="642" t="s">
        <v>1636</v>
      </c>
      <c r="E19" s="642" t="s">
        <v>1637</v>
      </c>
      <c r="F19" s="646">
        <v>2012.3</v>
      </c>
      <c r="G19" s="646">
        <v>3</v>
      </c>
      <c r="H19" s="646">
        <v>3</v>
      </c>
      <c r="I19" s="643">
        <v>10</v>
      </c>
      <c r="J19" s="643">
        <v>90</v>
      </c>
      <c r="K19" s="643">
        <f>I19*10%+I19</f>
        <v>11</v>
      </c>
      <c r="L19" s="644" t="s">
        <v>1111</v>
      </c>
      <c r="M19" s="645"/>
      <c r="N19" s="645"/>
      <c r="O19" s="645"/>
      <c r="P19" s="645"/>
    </row>
    <row r="20" spans="1:17" ht="14.25" customHeight="1">
      <c r="A20" s="640">
        <v>17</v>
      </c>
      <c r="B20" s="641" t="s">
        <v>1640</v>
      </c>
      <c r="C20" s="641" t="s">
        <v>1635</v>
      </c>
      <c r="D20" s="642" t="s">
        <v>1641</v>
      </c>
      <c r="E20" s="642" t="s">
        <v>1637</v>
      </c>
      <c r="F20" s="646">
        <v>2009.11</v>
      </c>
      <c r="G20" s="642">
        <v>6</v>
      </c>
      <c r="H20" s="642">
        <v>10</v>
      </c>
      <c r="I20" s="643">
        <v>10</v>
      </c>
      <c r="J20" s="643">
        <v>0</v>
      </c>
      <c r="K20" s="643">
        <v>873</v>
      </c>
      <c r="L20" s="644" t="s">
        <v>1112</v>
      </c>
      <c r="M20" s="645"/>
      <c r="N20" s="645"/>
      <c r="O20" s="645"/>
      <c r="P20" s="645"/>
    </row>
    <row r="21" spans="1:17" ht="14.25" customHeight="1">
      <c r="A21" s="640">
        <v>18</v>
      </c>
      <c r="B21" s="641" t="s">
        <v>1640</v>
      </c>
      <c r="C21" s="641" t="s">
        <v>1635</v>
      </c>
      <c r="D21" s="642" t="s">
        <v>1636</v>
      </c>
      <c r="E21" s="642" t="s">
        <v>1637</v>
      </c>
      <c r="F21" s="646">
        <v>2012.8</v>
      </c>
      <c r="G21" s="642">
        <v>3</v>
      </c>
      <c r="H21" s="642">
        <v>8</v>
      </c>
      <c r="I21" s="643">
        <v>10</v>
      </c>
      <c r="J21" s="643">
        <v>0</v>
      </c>
      <c r="K21" s="643">
        <v>1340</v>
      </c>
      <c r="L21" s="644" t="s">
        <v>1110</v>
      </c>
      <c r="M21" s="645">
        <v>48</v>
      </c>
      <c r="N21" s="645">
        <v>1000</v>
      </c>
      <c r="O21" s="645">
        <v>881</v>
      </c>
      <c r="P21" s="649">
        <v>16</v>
      </c>
    </row>
    <row r="22" spans="1:17" ht="14.25" customHeight="1">
      <c r="A22" s="640">
        <v>19</v>
      </c>
      <c r="B22" s="641" t="s">
        <v>1640</v>
      </c>
      <c r="C22" s="641" t="s">
        <v>1635</v>
      </c>
      <c r="D22" s="642" t="s">
        <v>1636</v>
      </c>
      <c r="E22" s="642" t="s">
        <v>1637</v>
      </c>
      <c r="F22" s="646">
        <v>2012.7</v>
      </c>
      <c r="G22" s="642">
        <v>3</v>
      </c>
      <c r="H22" s="642">
        <v>7</v>
      </c>
      <c r="I22" s="643">
        <v>10</v>
      </c>
      <c r="J22" s="643">
        <v>0</v>
      </c>
      <c r="K22" s="643">
        <v>159</v>
      </c>
      <c r="L22" s="644" t="s">
        <v>1110</v>
      </c>
      <c r="M22" s="645">
        <v>9119</v>
      </c>
      <c r="N22" s="645">
        <v>10000</v>
      </c>
      <c r="O22" s="645">
        <v>555</v>
      </c>
      <c r="P22" s="645">
        <v>110</v>
      </c>
    </row>
    <row r="23" spans="1:17" s="648" customFormat="1" ht="14.25" customHeight="1">
      <c r="A23" s="640">
        <v>20</v>
      </c>
      <c r="B23" s="641" t="s">
        <v>1640</v>
      </c>
      <c r="C23" s="641" t="s">
        <v>1635</v>
      </c>
      <c r="D23" s="642" t="s">
        <v>1636</v>
      </c>
      <c r="E23" s="642" t="s">
        <v>1637</v>
      </c>
      <c r="F23" s="646">
        <v>2010.5</v>
      </c>
      <c r="G23" s="642">
        <v>5</v>
      </c>
      <c r="H23" s="642">
        <v>5</v>
      </c>
      <c r="I23" s="643">
        <v>10</v>
      </c>
      <c r="J23" s="643">
        <v>0</v>
      </c>
      <c r="K23" s="643">
        <v>6882</v>
      </c>
      <c r="L23" s="644" t="s">
        <v>1110</v>
      </c>
      <c r="M23" s="645">
        <v>218</v>
      </c>
      <c r="N23" s="645">
        <v>500</v>
      </c>
      <c r="O23" s="645">
        <v>650.46</v>
      </c>
      <c r="P23" s="649">
        <v>240</v>
      </c>
      <c r="Q23" s="633"/>
    </row>
    <row r="24" spans="1:17" ht="14.25" customHeight="1">
      <c r="A24" s="640">
        <v>21</v>
      </c>
      <c r="B24" s="641" t="s">
        <v>1113</v>
      </c>
      <c r="C24" s="641" t="s">
        <v>1635</v>
      </c>
      <c r="D24" s="642" t="s">
        <v>1636</v>
      </c>
      <c r="E24" s="642" t="s">
        <v>1637</v>
      </c>
      <c r="F24" s="646">
        <v>2009.9</v>
      </c>
      <c r="G24" s="642">
        <v>6</v>
      </c>
      <c r="H24" s="642">
        <v>9</v>
      </c>
      <c r="I24" s="643">
        <v>10</v>
      </c>
      <c r="J24" s="643">
        <v>0</v>
      </c>
      <c r="K24" s="643">
        <v>8506</v>
      </c>
      <c r="L24" s="644" t="s">
        <v>1110</v>
      </c>
      <c r="M24" s="645">
        <v>3775</v>
      </c>
      <c r="N24" s="645">
        <v>500</v>
      </c>
      <c r="O24" s="645">
        <v>480</v>
      </c>
      <c r="P24" s="645">
        <v>100</v>
      </c>
    </row>
    <row r="25" spans="1:17" ht="14.25" customHeight="1">
      <c r="A25" s="640">
        <v>22</v>
      </c>
      <c r="B25" s="641" t="s">
        <v>1113</v>
      </c>
      <c r="C25" s="641" t="s">
        <v>1635</v>
      </c>
      <c r="D25" s="642" t="s">
        <v>1636</v>
      </c>
      <c r="E25" s="642" t="s">
        <v>1637</v>
      </c>
      <c r="F25" s="646">
        <v>2009.9</v>
      </c>
      <c r="G25" s="642">
        <v>6</v>
      </c>
      <c r="H25" s="642">
        <v>7</v>
      </c>
      <c r="I25" s="643">
        <v>10</v>
      </c>
      <c r="J25" s="643">
        <v>0</v>
      </c>
      <c r="K25" s="643">
        <v>58</v>
      </c>
      <c r="L25" s="644" t="s">
        <v>1110</v>
      </c>
      <c r="M25" s="645">
        <v>380</v>
      </c>
      <c r="N25" s="645">
        <v>500</v>
      </c>
      <c r="O25" s="645">
        <v>7428</v>
      </c>
      <c r="P25" s="645">
        <v>100</v>
      </c>
    </row>
    <row r="26" spans="1:17" ht="14.25" customHeight="1">
      <c r="A26" s="640">
        <v>23</v>
      </c>
      <c r="B26" s="641" t="s">
        <v>1114</v>
      </c>
      <c r="C26" s="641" t="s">
        <v>1635</v>
      </c>
      <c r="D26" s="642" t="s">
        <v>1636</v>
      </c>
      <c r="E26" s="642" t="s">
        <v>1637</v>
      </c>
      <c r="F26" s="646">
        <v>2008</v>
      </c>
      <c r="G26" s="642">
        <v>7</v>
      </c>
      <c r="H26" s="642">
        <v>9</v>
      </c>
      <c r="I26" s="643">
        <v>10</v>
      </c>
      <c r="J26" s="643">
        <v>0</v>
      </c>
      <c r="K26" s="643">
        <v>59</v>
      </c>
      <c r="L26" s="644" t="s">
        <v>1110</v>
      </c>
      <c r="M26" s="645">
        <v>49</v>
      </c>
      <c r="N26" s="645">
        <v>500</v>
      </c>
      <c r="O26" s="645"/>
      <c r="P26" s="645">
        <v>300</v>
      </c>
    </row>
    <row r="27" spans="1:17" ht="14.25" customHeight="1">
      <c r="A27" s="640">
        <v>24</v>
      </c>
      <c r="B27" s="641" t="s">
        <v>1114</v>
      </c>
      <c r="C27" s="641" t="s">
        <v>1635</v>
      </c>
      <c r="D27" s="642" t="s">
        <v>1636</v>
      </c>
      <c r="E27" s="642" t="s">
        <v>1637</v>
      </c>
      <c r="F27" s="646">
        <v>2008</v>
      </c>
      <c r="G27" s="642">
        <v>7</v>
      </c>
      <c r="H27" s="642">
        <v>9</v>
      </c>
      <c r="I27" s="643">
        <v>10</v>
      </c>
      <c r="J27" s="643">
        <v>0</v>
      </c>
      <c r="K27" s="643">
        <v>75</v>
      </c>
      <c r="L27" s="644" t="s">
        <v>1110</v>
      </c>
      <c r="M27" s="645">
        <v>53</v>
      </c>
      <c r="N27" s="645">
        <v>5000</v>
      </c>
      <c r="O27" s="645"/>
      <c r="P27" s="645">
        <v>300</v>
      </c>
    </row>
    <row r="28" spans="1:17" ht="14.25" customHeight="1">
      <c r="A28" s="650" t="s">
        <v>1115</v>
      </c>
      <c r="B28" s="650"/>
      <c r="C28" s="650"/>
      <c r="D28" s="651"/>
      <c r="E28" s="651"/>
      <c r="F28" s="651"/>
      <c r="G28" s="651"/>
      <c r="H28" s="651"/>
      <c r="I28" s="643">
        <f>SUM(I4:I27)</f>
        <v>240</v>
      </c>
      <c r="J28" s="652">
        <f>SUM(J4:J27)</f>
        <v>90</v>
      </c>
      <c r="K28" s="652">
        <f>SUM(K4:K27)</f>
        <v>26471.4</v>
      </c>
      <c r="L28" s="653"/>
      <c r="M28" s="652">
        <f>SUM(M4:M27)</f>
        <v>13642</v>
      </c>
      <c r="N28" s="652">
        <f>SUM(N4:N27)</f>
        <v>18000</v>
      </c>
      <c r="O28" s="652">
        <f>SUM(O4:O27)</f>
        <v>9994.4599999999991</v>
      </c>
      <c r="P28" s="652">
        <f>SUM(P4:P27)</f>
        <v>1166</v>
      </c>
    </row>
    <row r="29" spans="1:17" ht="21" customHeight="1">
      <c r="A29" s="654"/>
      <c r="B29" s="655"/>
      <c r="C29" s="655"/>
      <c r="D29" s="656"/>
      <c r="E29" s="656"/>
      <c r="F29" s="656"/>
      <c r="G29" s="656"/>
      <c r="H29" s="656"/>
      <c r="I29" s="657"/>
      <c r="J29" s="658"/>
      <c r="K29" s="658"/>
      <c r="L29" s="659" t="s">
        <v>1116</v>
      </c>
      <c r="M29" s="660">
        <f>K28+P28+N28</f>
        <v>45637.4</v>
      </c>
      <c r="P29" s="662"/>
    </row>
    <row r="30" spans="1:17" ht="21" customHeight="1">
      <c r="B30" s="654" t="s">
        <v>1117</v>
      </c>
      <c r="C30" s="654" t="s">
        <v>1118</v>
      </c>
      <c r="D30" s="654" t="s">
        <v>1119</v>
      </c>
      <c r="E30" s="654" t="s">
        <v>1120</v>
      </c>
      <c r="F30" s="654" t="s">
        <v>1121</v>
      </c>
      <c r="G30" s="663" t="s">
        <v>1122</v>
      </c>
      <c r="H30" s="656"/>
      <c r="I30" s="657"/>
      <c r="J30" s="658"/>
      <c r="K30" s="658"/>
      <c r="L30" s="664"/>
      <c r="M30" s="665"/>
      <c r="N30" s="666"/>
      <c r="O30" s="667"/>
      <c r="P30" s="662"/>
    </row>
    <row r="31" spans="1:17" ht="21" customHeight="1">
      <c r="A31" s="654" t="s">
        <v>1123</v>
      </c>
      <c r="B31" s="668">
        <f>K4+K5+K8+K19+K16</f>
        <v>2802.9</v>
      </c>
      <c r="C31" s="668">
        <f>K6+K23+K12+K13+K18+K15</f>
        <v>9755</v>
      </c>
      <c r="D31" s="669">
        <f>K14+K24+K25+K22+K21+K7+K26+K27</f>
        <v>11577.5</v>
      </c>
      <c r="E31" s="669">
        <f>K9+K11+K17+K20+K10</f>
        <v>2336</v>
      </c>
      <c r="F31" s="669">
        <f>SUM(B31:E31)</f>
        <v>26471.4</v>
      </c>
      <c r="G31" s="656"/>
      <c r="H31" s="656"/>
      <c r="I31" s="657"/>
      <c r="J31" s="658"/>
      <c r="K31" s="658"/>
      <c r="N31" s="666"/>
      <c r="O31" s="667"/>
      <c r="P31" s="662"/>
    </row>
    <row r="32" spans="1:17" ht="23.25" customHeight="1">
      <c r="A32" s="654" t="s">
        <v>1124</v>
      </c>
      <c r="B32" s="670">
        <f>(N28+P28)/12*3</f>
        <v>4791.5</v>
      </c>
      <c r="C32" s="670">
        <f>B32</f>
        <v>4791.5</v>
      </c>
      <c r="D32" s="670">
        <f>B32</f>
        <v>4791.5</v>
      </c>
      <c r="E32" s="670">
        <f>B32</f>
        <v>4791.5</v>
      </c>
      <c r="F32" s="671">
        <f>SUM(B32:E32)</f>
        <v>19166</v>
      </c>
      <c r="G32" s="671">
        <f>F32/12</f>
        <v>1597.1666666666667</v>
      </c>
      <c r="H32" s="672"/>
      <c r="I32" s="670"/>
      <c r="J32" s="673"/>
      <c r="K32" s="673"/>
      <c r="L32" s="674"/>
      <c r="M32" s="675"/>
      <c r="N32" s="675"/>
      <c r="O32" s="675"/>
      <c r="P32" s="675"/>
    </row>
    <row r="33" spans="1:17" ht="23.25" customHeight="1">
      <c r="A33" s="676"/>
      <c r="B33" s="676"/>
      <c r="C33" s="676"/>
      <c r="D33" s="672"/>
      <c r="E33" s="672"/>
      <c r="F33" s="672"/>
      <c r="G33" s="672"/>
      <c r="H33" s="672"/>
      <c r="I33" s="670"/>
      <c r="J33" s="673"/>
      <c r="K33" s="673"/>
      <c r="L33" s="674"/>
      <c r="M33" s="675"/>
      <c r="N33" s="675"/>
      <c r="O33" s="675"/>
      <c r="P33" s="675"/>
    </row>
    <row r="34" spans="1:17" s="661" customFormat="1">
      <c r="A34" s="677"/>
      <c r="B34" s="678" t="s">
        <v>1125</v>
      </c>
      <c r="C34" s="633"/>
      <c r="D34" s="633"/>
      <c r="E34" s="633"/>
      <c r="F34" s="633"/>
      <c r="G34" s="633"/>
      <c r="H34" s="633"/>
      <c r="L34" s="633"/>
      <c r="Q34" s="633"/>
    </row>
    <row r="36" spans="1:17" s="661" customFormat="1">
      <c r="A36" s="678" t="s">
        <v>1126</v>
      </c>
      <c r="B36" s="678"/>
      <c r="C36" s="678"/>
      <c r="D36" s="648"/>
      <c r="E36" s="648"/>
      <c r="F36" s="648"/>
      <c r="G36" s="648"/>
      <c r="H36" s="648"/>
      <c r="I36" s="679"/>
      <c r="J36" s="679"/>
      <c r="K36" s="679"/>
      <c r="L36" s="648"/>
      <c r="Q36" s="633"/>
    </row>
    <row r="37" spans="1:17" s="661" customFormat="1">
      <c r="A37" s="648" t="s">
        <v>632</v>
      </c>
      <c r="B37" s="648"/>
      <c r="C37" s="648"/>
      <c r="D37" s="648"/>
      <c r="E37" s="648"/>
      <c r="F37" s="648"/>
      <c r="G37" s="648"/>
      <c r="H37" s="648"/>
      <c r="I37" s="679"/>
      <c r="J37" s="679"/>
      <c r="K37" s="679"/>
      <c r="L37" s="648"/>
      <c r="Q37" s="633"/>
    </row>
    <row r="38" spans="1:17" s="661" customFormat="1">
      <c r="A38" s="648" t="s">
        <v>633</v>
      </c>
      <c r="B38" s="648"/>
      <c r="C38" s="648"/>
      <c r="D38" s="648"/>
      <c r="E38" s="648"/>
      <c r="F38" s="648"/>
      <c r="G38" s="648"/>
      <c r="H38" s="648"/>
      <c r="I38" s="679"/>
      <c r="J38" s="679"/>
      <c r="K38" s="679"/>
      <c r="L38" s="648"/>
      <c r="Q38" s="633"/>
    </row>
    <row r="39" spans="1:17" s="661" customFormat="1">
      <c r="A39" s="648" t="s">
        <v>634</v>
      </c>
      <c r="B39" s="648"/>
      <c r="C39" s="648"/>
      <c r="D39" s="648"/>
      <c r="E39" s="648"/>
      <c r="F39" s="648"/>
      <c r="G39" s="648"/>
      <c r="H39" s="648"/>
      <c r="I39" s="679"/>
      <c r="J39" s="679"/>
      <c r="K39" s="679"/>
      <c r="L39" s="648"/>
      <c r="Q39" s="633"/>
    </row>
    <row r="40" spans="1:17" s="661" customFormat="1">
      <c r="A40" s="648" t="s">
        <v>635</v>
      </c>
      <c r="B40" s="648"/>
      <c r="C40" s="648"/>
      <c r="D40" s="648"/>
      <c r="E40" s="648"/>
      <c r="F40" s="648"/>
      <c r="G40" s="648"/>
      <c r="H40" s="648"/>
      <c r="I40" s="679"/>
      <c r="J40" s="679"/>
      <c r="K40" s="679"/>
      <c r="L40" s="648"/>
      <c r="Q40" s="633"/>
    </row>
    <row r="41" spans="1:17" s="661" customFormat="1">
      <c r="A41" s="648" t="s">
        <v>636</v>
      </c>
      <c r="B41" s="648"/>
      <c r="C41" s="648"/>
      <c r="D41" s="648"/>
      <c r="E41" s="648"/>
      <c r="F41" s="648"/>
      <c r="G41" s="648"/>
      <c r="H41" s="648"/>
      <c r="I41" s="679"/>
      <c r="J41" s="679"/>
      <c r="K41" s="679"/>
      <c r="L41" s="648"/>
      <c r="Q41" s="633"/>
    </row>
    <row r="42" spans="1:17" s="661" customFormat="1">
      <c r="A42" s="648" t="s">
        <v>637</v>
      </c>
      <c r="B42" s="648"/>
      <c r="C42" s="648"/>
      <c r="D42" s="648"/>
      <c r="E42" s="648"/>
      <c r="F42" s="648"/>
      <c r="G42" s="648"/>
      <c r="H42" s="648"/>
      <c r="I42" s="679"/>
      <c r="J42" s="679"/>
      <c r="K42" s="679"/>
      <c r="L42" s="648"/>
      <c r="Q42" s="633"/>
    </row>
    <row r="43" spans="1:17" s="661" customFormat="1">
      <c r="A43" s="648"/>
      <c r="B43" s="648"/>
      <c r="C43" s="648"/>
      <c r="D43" s="648"/>
      <c r="E43" s="648"/>
      <c r="F43" s="648"/>
      <c r="G43" s="648"/>
      <c r="H43" s="648"/>
      <c r="I43" s="679"/>
      <c r="J43" s="679"/>
      <c r="K43" s="679"/>
      <c r="L43" s="648"/>
      <c r="Q43" s="633"/>
    </row>
    <row r="44" spans="1:17" s="661" customFormat="1">
      <c r="A44" s="678" t="s">
        <v>1127</v>
      </c>
      <c r="B44" s="648"/>
      <c r="C44" s="648"/>
      <c r="D44" s="648"/>
      <c r="E44" s="648"/>
      <c r="F44" s="648"/>
      <c r="G44" s="648"/>
      <c r="H44" s="648"/>
      <c r="I44" s="679"/>
      <c r="J44" s="679"/>
      <c r="K44" s="679"/>
      <c r="L44" s="648"/>
      <c r="Q44" s="633"/>
    </row>
    <row r="45" spans="1:17" s="661" customFormat="1">
      <c r="A45" s="648" t="s">
        <v>1128</v>
      </c>
      <c r="B45" s="648"/>
      <c r="C45" s="648"/>
      <c r="D45" s="648"/>
      <c r="E45" s="648"/>
      <c r="F45" s="648"/>
      <c r="G45" s="648"/>
      <c r="H45" s="648"/>
      <c r="I45" s="679"/>
      <c r="J45" s="679"/>
      <c r="K45" s="679"/>
      <c r="L45" s="648"/>
      <c r="Q45" s="633"/>
    </row>
    <row r="46" spans="1:17" s="661" customFormat="1">
      <c r="A46" s="648" t="s">
        <v>1129</v>
      </c>
      <c r="B46" s="648"/>
      <c r="C46" s="648"/>
      <c r="D46" s="648"/>
      <c r="E46" s="648"/>
      <c r="F46" s="648"/>
      <c r="G46" s="648"/>
      <c r="H46" s="648"/>
      <c r="I46" s="679"/>
      <c r="J46" s="679"/>
      <c r="K46" s="679"/>
      <c r="L46" s="648"/>
      <c r="Q46" s="633"/>
    </row>
    <row r="47" spans="1:17" s="661" customFormat="1">
      <c r="A47" s="648" t="s">
        <v>1130</v>
      </c>
      <c r="B47" s="648"/>
      <c r="C47" s="648"/>
      <c r="D47" s="648"/>
      <c r="E47" s="648"/>
      <c r="F47" s="648"/>
      <c r="G47" s="648"/>
      <c r="H47" s="648"/>
      <c r="I47" s="679"/>
      <c r="J47" s="679"/>
      <c r="K47" s="679"/>
      <c r="L47" s="648"/>
      <c r="Q47" s="633"/>
    </row>
    <row r="48" spans="1:17" s="661" customFormat="1">
      <c r="A48" s="648" t="s">
        <v>1131</v>
      </c>
      <c r="B48" s="648"/>
      <c r="C48" s="648"/>
      <c r="D48" s="648"/>
      <c r="E48" s="648"/>
      <c r="F48" s="648"/>
      <c r="G48" s="648"/>
      <c r="H48" s="648"/>
      <c r="I48" s="679"/>
      <c r="J48" s="679"/>
      <c r="K48" s="679"/>
      <c r="L48" s="648"/>
      <c r="Q48" s="633"/>
    </row>
    <row r="49" spans="1:17" s="661" customFormat="1">
      <c r="A49" s="648" t="s">
        <v>1132</v>
      </c>
      <c r="B49" s="648"/>
      <c r="C49" s="648"/>
      <c r="D49" s="648"/>
      <c r="E49" s="648"/>
      <c r="F49" s="648"/>
      <c r="G49" s="648"/>
      <c r="H49" s="648"/>
      <c r="I49" s="679"/>
      <c r="J49" s="679"/>
      <c r="K49" s="679"/>
      <c r="L49" s="648"/>
      <c r="Q49" s="633"/>
    </row>
    <row r="50" spans="1:17" s="661" customFormat="1">
      <c r="A50" s="648" t="s">
        <v>1133</v>
      </c>
      <c r="B50" s="648"/>
      <c r="C50" s="648"/>
      <c r="D50" s="648"/>
      <c r="E50" s="648"/>
      <c r="F50" s="648"/>
      <c r="G50" s="648"/>
      <c r="H50" s="648"/>
      <c r="I50" s="679"/>
      <c r="J50" s="679"/>
      <c r="K50" s="679"/>
      <c r="L50" s="648"/>
      <c r="Q50" s="633"/>
    </row>
    <row r="51" spans="1:17" s="661" customFormat="1">
      <c r="A51" s="648" t="s">
        <v>1134</v>
      </c>
      <c r="B51" s="648"/>
      <c r="C51" s="648"/>
      <c r="D51" s="648"/>
      <c r="E51" s="648"/>
      <c r="F51" s="648"/>
      <c r="G51" s="648"/>
      <c r="H51" s="648"/>
      <c r="I51" s="679"/>
      <c r="J51" s="679"/>
      <c r="K51" s="679"/>
      <c r="L51" s="648"/>
      <c r="Q51" s="633"/>
    </row>
    <row r="52" spans="1:17" s="661" customFormat="1">
      <c r="A52" s="648" t="s">
        <v>1135</v>
      </c>
      <c r="B52" s="648"/>
      <c r="C52" s="648"/>
      <c r="D52" s="648"/>
      <c r="E52" s="648"/>
      <c r="F52" s="648"/>
      <c r="G52" s="648"/>
      <c r="H52" s="648"/>
      <c r="I52" s="679"/>
      <c r="J52" s="679"/>
      <c r="K52" s="679"/>
      <c r="L52" s="648"/>
      <c r="Q52" s="633"/>
    </row>
    <row r="53" spans="1:17" s="661" customFormat="1">
      <c r="A53" s="648"/>
      <c r="B53" s="648"/>
      <c r="C53" s="648"/>
      <c r="D53" s="648"/>
      <c r="E53" s="648"/>
      <c r="F53" s="648"/>
      <c r="G53" s="648"/>
      <c r="H53" s="648"/>
      <c r="I53" s="679"/>
      <c r="J53" s="679"/>
      <c r="K53" s="679"/>
      <c r="L53" s="648"/>
      <c r="Q53" s="633"/>
    </row>
    <row r="54" spans="1:17" s="661" customFormat="1">
      <c r="A54" s="678"/>
      <c r="B54" s="678"/>
      <c r="C54" s="678"/>
      <c r="D54" s="648"/>
      <c r="E54" s="648"/>
      <c r="F54" s="648"/>
      <c r="G54" s="648"/>
      <c r="H54" s="648"/>
      <c r="I54" s="679"/>
      <c r="J54" s="679"/>
      <c r="K54" s="679"/>
      <c r="L54" s="648"/>
      <c r="Q54" s="633"/>
    </row>
    <row r="55" spans="1:17" s="661" customFormat="1">
      <c r="A55" s="648"/>
      <c r="B55" s="648"/>
      <c r="C55" s="648"/>
      <c r="D55" s="648"/>
      <c r="E55" s="648"/>
      <c r="F55" s="648"/>
      <c r="G55" s="648"/>
      <c r="H55" s="648"/>
      <c r="I55" s="679"/>
      <c r="J55" s="679"/>
      <c r="K55" s="679"/>
      <c r="L55" s="648"/>
      <c r="Q55" s="633"/>
    </row>
    <row r="56" spans="1:17" s="661" customFormat="1">
      <c r="A56" s="648"/>
      <c r="B56" s="648"/>
      <c r="C56" s="648"/>
      <c r="D56" s="648"/>
      <c r="E56" s="648"/>
      <c r="F56" s="648"/>
      <c r="G56" s="648"/>
      <c r="H56" s="648"/>
      <c r="I56" s="679"/>
      <c r="J56" s="679"/>
      <c r="K56" s="679"/>
      <c r="L56" s="648"/>
      <c r="Q56" s="633"/>
    </row>
    <row r="57" spans="1:17" s="661" customFormat="1">
      <c r="A57" s="678"/>
      <c r="B57" s="678"/>
      <c r="C57" s="678"/>
      <c r="D57" s="648"/>
      <c r="E57" s="648"/>
      <c r="F57" s="648"/>
      <c r="G57" s="648"/>
      <c r="H57" s="648"/>
      <c r="I57" s="679"/>
      <c r="J57" s="679"/>
      <c r="K57" s="679"/>
      <c r="L57" s="648"/>
      <c r="Q57" s="633"/>
    </row>
    <row r="58" spans="1:17" s="661" customFormat="1">
      <c r="A58" s="648"/>
      <c r="B58" s="648"/>
      <c r="C58" s="648"/>
      <c r="D58" s="648"/>
      <c r="E58" s="648"/>
      <c r="F58" s="648"/>
      <c r="G58" s="648"/>
      <c r="H58" s="648"/>
      <c r="I58" s="679"/>
      <c r="J58" s="679"/>
      <c r="K58" s="679"/>
      <c r="L58" s="648"/>
      <c r="Q58" s="633"/>
    </row>
    <row r="59" spans="1:17" s="661" customFormat="1">
      <c r="A59" s="648"/>
      <c r="B59" s="648"/>
      <c r="C59" s="648"/>
      <c r="D59" s="648"/>
      <c r="E59" s="648"/>
      <c r="F59" s="648"/>
      <c r="G59" s="648"/>
      <c r="H59" s="648"/>
      <c r="I59" s="679"/>
      <c r="J59" s="679"/>
      <c r="K59" s="679"/>
      <c r="L59" s="648"/>
      <c r="Q59" s="633"/>
    </row>
    <row r="60" spans="1:17" s="661" customFormat="1">
      <c r="A60" s="1719"/>
      <c r="B60" s="1719"/>
      <c r="C60" s="1719"/>
      <c r="D60" s="1719"/>
      <c r="E60" s="1719"/>
      <c r="F60" s="1719"/>
      <c r="G60" s="1719"/>
      <c r="H60" s="1719"/>
      <c r="I60" s="1719"/>
      <c r="J60" s="1719"/>
      <c r="K60" s="1719"/>
      <c r="L60" s="1719"/>
      <c r="Q60" s="633"/>
    </row>
    <row r="61" spans="1:17" s="661" customFormat="1">
      <c r="A61" s="1719"/>
      <c r="B61" s="1719"/>
      <c r="C61" s="1719"/>
      <c r="D61" s="1719"/>
      <c r="E61" s="1719"/>
      <c r="F61" s="1719"/>
      <c r="G61" s="1719"/>
      <c r="H61" s="1719"/>
      <c r="I61" s="1719"/>
      <c r="J61" s="1719"/>
      <c r="K61" s="1719"/>
      <c r="L61" s="1719"/>
      <c r="Q61" s="633"/>
    </row>
  </sheetData>
  <mergeCells count="6">
    <mergeCell ref="A61:L61"/>
    <mergeCell ref="A1:P1"/>
    <mergeCell ref="A2:L2"/>
    <mergeCell ref="M2:N2"/>
    <mergeCell ref="O2:P2"/>
    <mergeCell ref="A60:L60"/>
  </mergeCells>
  <phoneticPr fontId="5" type="noConversion"/>
  <printOptions horizontalCentered="1"/>
  <pageMargins left="0.19685039370078741" right="0.19685039370078741" top="0.59055118110236227" bottom="0.59055118110236227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S172"/>
  <sheetViews>
    <sheetView showGridLines="0" zoomScale="90" zoomScaleNormal="90" workbookViewId="0">
      <pane xSplit="4" ySplit="5" topLeftCell="E108" activePane="bottomRight" state="frozen"/>
      <selection pane="topRight" activeCell="E1" sqref="E1"/>
      <selection pane="bottomLeft" activeCell="A6" sqref="A6"/>
      <selection pane="bottomRight" activeCell="C90" sqref="C90"/>
    </sheetView>
  </sheetViews>
  <sheetFormatPr defaultRowHeight="12.75" outlineLevelRow="2"/>
  <cols>
    <col min="1" max="1" width="2.625" style="4" customWidth="1"/>
    <col min="2" max="2" width="10.125" style="4" bestFit="1" customWidth="1"/>
    <col min="3" max="3" width="15.125" style="2" customWidth="1"/>
    <col min="4" max="4" width="30.5" style="3" customWidth="1"/>
    <col min="5" max="5" width="10.75" style="4" customWidth="1"/>
    <col min="6" max="7" width="11.375" style="5" customWidth="1"/>
    <col min="8" max="9" width="10" style="5" customWidth="1"/>
    <col min="10" max="10" width="13.375" style="6" bestFit="1" customWidth="1"/>
    <col min="11" max="11" width="13.375" style="6" customWidth="1"/>
    <col min="12" max="12" width="19" style="6" customWidth="1"/>
    <col min="13" max="13" width="9.875" style="6" bestFit="1" customWidth="1"/>
    <col min="14" max="14" width="12" style="1256" customWidth="1"/>
    <col min="15" max="15" width="12" style="6" hidden="1" customWidth="1"/>
    <col min="16" max="16" width="14.625" style="6" bestFit="1" customWidth="1"/>
    <col min="17" max="17" width="8.375" style="6" bestFit="1" customWidth="1"/>
    <col min="18" max="18" width="86.875" style="8" customWidth="1"/>
    <col min="19" max="19" width="3.375" style="4" customWidth="1"/>
    <col min="20" max="16384" width="9" style="4"/>
  </cols>
  <sheetData>
    <row r="1" spans="1:18">
      <c r="A1" s="1" t="s">
        <v>947</v>
      </c>
      <c r="B1" s="1"/>
      <c r="Q1" s="7"/>
    </row>
    <row r="3" spans="1:18" ht="15" customHeight="1" thickBot="1">
      <c r="C3" s="9" t="s">
        <v>969</v>
      </c>
      <c r="D3" s="10" t="s">
        <v>1607</v>
      </c>
      <c r="E3" s="1373" t="s">
        <v>1632</v>
      </c>
      <c r="F3" s="989" t="s">
        <v>1612</v>
      </c>
      <c r="G3" s="989" t="s">
        <v>1613</v>
      </c>
      <c r="H3" s="989" t="s">
        <v>1614</v>
      </c>
      <c r="I3" s="989" t="s">
        <v>1615</v>
      </c>
      <c r="J3" s="1366" t="s">
        <v>1611</v>
      </c>
      <c r="K3" s="1270"/>
      <c r="L3" s="1270"/>
      <c r="M3" s="1270"/>
      <c r="N3" s="1415"/>
      <c r="O3" s="1416"/>
      <c r="P3" s="1416"/>
      <c r="Q3" s="1416"/>
      <c r="R3" s="13"/>
    </row>
    <row r="4" spans="1:18" ht="13.5" customHeight="1">
      <c r="E4" s="1391"/>
      <c r="F4" s="1393"/>
      <c r="G4" s="1393"/>
      <c r="H4" s="1393"/>
      <c r="I4" s="1393"/>
      <c r="J4" s="1389" t="s">
        <v>1608</v>
      </c>
      <c r="K4" s="1405" t="s">
        <v>1609</v>
      </c>
      <c r="L4" s="1407" t="s">
        <v>1610</v>
      </c>
      <c r="M4" s="1408" t="s">
        <v>1427</v>
      </c>
      <c r="N4" s="1417" t="s">
        <v>702</v>
      </c>
      <c r="O4" s="1408" t="s">
        <v>1560</v>
      </c>
      <c r="P4" s="1405" t="s">
        <v>1559</v>
      </c>
      <c r="Q4" s="1405" t="s">
        <v>1</v>
      </c>
      <c r="R4" s="1413" t="s">
        <v>1248</v>
      </c>
    </row>
    <row r="5" spans="1:18">
      <c r="A5" s="17"/>
      <c r="B5" s="17"/>
      <c r="C5" s="18"/>
      <c r="D5" s="19"/>
      <c r="E5" s="1392"/>
      <c r="F5" s="1394"/>
      <c r="G5" s="1394"/>
      <c r="H5" s="1394"/>
      <c r="I5" s="1394"/>
      <c r="J5" s="1390"/>
      <c r="K5" s="1406"/>
      <c r="L5" s="1406"/>
      <c r="M5" s="1406"/>
      <c r="N5" s="1418"/>
      <c r="O5" s="1419"/>
      <c r="P5" s="1419"/>
      <c r="Q5" s="1406"/>
      <c r="R5" s="1414"/>
    </row>
    <row r="6" spans="1:18" outlineLevel="1">
      <c r="A6" s="17" t="s">
        <v>3</v>
      </c>
      <c r="B6" s="17"/>
      <c r="C6" s="90" t="s">
        <v>4</v>
      </c>
      <c r="D6" s="22" t="s">
        <v>5</v>
      </c>
      <c r="E6" s="4">
        <v>0</v>
      </c>
      <c r="F6" s="24">
        <v>0</v>
      </c>
      <c r="G6" s="14">
        <v>0</v>
      </c>
      <c r="H6" s="14">
        <v>0</v>
      </c>
      <c r="I6" s="14">
        <v>0</v>
      </c>
      <c r="J6" s="24"/>
      <c r="K6" s="24">
        <f>'2015年ES实际花费数据'!V6</f>
        <v>4</v>
      </c>
      <c r="L6" s="24">
        <f>J6-K6</f>
        <v>-4</v>
      </c>
      <c r="M6" s="1001">
        <f>(J6-K6)/K6</f>
        <v>-1</v>
      </c>
      <c r="N6" s="1257">
        <f>'2015预算稿 '!J6</f>
        <v>548776.995</v>
      </c>
      <c r="O6" s="1001">
        <f t="shared" ref="O6:O14" si="0">K6/N6</f>
        <v>7.2889352805323042E-6</v>
      </c>
      <c r="P6" s="24">
        <f>J6-N6</f>
        <v>-548776.995</v>
      </c>
      <c r="Q6" s="25">
        <f>(J6-N6)/N6</f>
        <v>-1</v>
      </c>
      <c r="R6" s="26" t="s">
        <v>948</v>
      </c>
    </row>
    <row r="7" spans="1:18" outlineLevel="1">
      <c r="A7" s="17"/>
      <c r="B7" s="17"/>
      <c r="C7" s="1383" t="s">
        <v>1672</v>
      </c>
      <c r="D7" s="22" t="s">
        <v>6</v>
      </c>
      <c r="E7" s="24">
        <f>物业房租车位费!G25/12</f>
        <v>807.5625</v>
      </c>
      <c r="F7" s="24">
        <f>$E7*3</f>
        <v>2422.6875</v>
      </c>
      <c r="G7" s="24">
        <f t="shared" ref="F7:I12" si="1">$E7*3</f>
        <v>2422.6875</v>
      </c>
      <c r="H7" s="24">
        <f t="shared" si="1"/>
        <v>2422.6875</v>
      </c>
      <c r="I7" s="24">
        <f t="shared" si="1"/>
        <v>2422.6875</v>
      </c>
      <c r="J7" s="24">
        <f t="shared" ref="J7:J18" si="2">F7+G7+H7+I7</f>
        <v>9690.75</v>
      </c>
      <c r="K7" s="24">
        <f>'2015年ES实际花费数据'!V7</f>
        <v>1736</v>
      </c>
      <c r="L7" s="24">
        <f t="shared" ref="L7:L13" si="3">J7-K7</f>
        <v>7954.75</v>
      </c>
      <c r="M7" s="1001">
        <f t="shared" ref="M7:M14" si="4">(J7-K7)/K7</f>
        <v>4.5822292626728114</v>
      </c>
      <c r="N7" s="1257">
        <f>'2015预算稿 '!J7</f>
        <v>26</v>
      </c>
      <c r="O7" s="1001">
        <f t="shared" si="0"/>
        <v>66.769230769230774</v>
      </c>
      <c r="P7" s="24">
        <f t="shared" ref="P7:P18" si="5">J7-N7</f>
        <v>9664.75</v>
      </c>
      <c r="Q7" s="25">
        <f t="shared" ref="Q7:Q26" si="6">(J7-N7)/N7</f>
        <v>371.72115384615387</v>
      </c>
      <c r="R7" s="27"/>
    </row>
    <row r="8" spans="1:18" outlineLevel="1">
      <c r="A8" s="28"/>
      <c r="B8" s="17"/>
      <c r="C8" s="1382"/>
      <c r="D8" s="29" t="s">
        <v>7</v>
      </c>
      <c r="E8" s="24">
        <f>'媒体大厦物业费 能源费'!B19</f>
        <v>79.449152542372886</v>
      </c>
      <c r="F8" s="24">
        <f>$E8*3</f>
        <v>238.34745762711867</v>
      </c>
      <c r="G8" s="24">
        <f t="shared" si="1"/>
        <v>238.34745762711867</v>
      </c>
      <c r="H8" s="24">
        <f t="shared" si="1"/>
        <v>238.34745762711867</v>
      </c>
      <c r="I8" s="24">
        <f t="shared" si="1"/>
        <v>238.34745762711867</v>
      </c>
      <c r="J8" s="24">
        <f t="shared" si="2"/>
        <v>953.38983050847469</v>
      </c>
      <c r="K8" s="24">
        <f>'2015年ES实际花费数据'!V8</f>
        <v>3846</v>
      </c>
      <c r="L8" s="24">
        <f>J8-K8</f>
        <v>-2892.6101694915251</v>
      </c>
      <c r="M8" s="1001">
        <f t="shared" si="4"/>
        <v>-0.75210872841693321</v>
      </c>
      <c r="N8" s="1257">
        <f>'2015预算稿 '!J8</f>
        <v>12</v>
      </c>
      <c r="O8" s="1001">
        <f t="shared" si="0"/>
        <v>320.5</v>
      </c>
      <c r="P8" s="24">
        <f t="shared" si="5"/>
        <v>941.38983050847469</v>
      </c>
      <c r="Q8" s="25">
        <f>(J8-N8)/N8</f>
        <v>78.449152542372886</v>
      </c>
      <c r="R8" s="30" t="s">
        <v>949</v>
      </c>
    </row>
    <row r="9" spans="1:18" outlineLevel="1">
      <c r="A9" s="28"/>
      <c r="B9" s="17"/>
      <c r="C9" s="1382"/>
      <c r="D9" s="22" t="s">
        <v>8</v>
      </c>
      <c r="E9" s="24">
        <f>物业房租车位费!L27/12</f>
        <v>1750</v>
      </c>
      <c r="F9" s="24">
        <f>$E9*3</f>
        <v>5250</v>
      </c>
      <c r="G9" s="24">
        <f t="shared" si="1"/>
        <v>5250</v>
      </c>
      <c r="H9" s="24">
        <f t="shared" si="1"/>
        <v>5250</v>
      </c>
      <c r="I9" s="24">
        <f>$E9*3</f>
        <v>5250</v>
      </c>
      <c r="J9" s="24">
        <f t="shared" si="2"/>
        <v>21000</v>
      </c>
      <c r="K9" s="24">
        <f>'2015年ES实际花费数据'!V10</f>
        <v>236</v>
      </c>
      <c r="L9" s="24">
        <f t="shared" si="3"/>
        <v>20764</v>
      </c>
      <c r="M9" s="1001">
        <f t="shared" si="4"/>
        <v>87.983050847457633</v>
      </c>
      <c r="N9" s="1257">
        <f>'2015预算稿 '!J10</f>
        <v>128</v>
      </c>
      <c r="O9" s="1001">
        <f t="shared" si="0"/>
        <v>1.84375</v>
      </c>
      <c r="P9" s="24">
        <f>J9-N9</f>
        <v>20872</v>
      </c>
      <c r="Q9" s="25">
        <f t="shared" si="6"/>
        <v>163.0625</v>
      </c>
      <c r="R9" s="1273"/>
    </row>
    <row r="10" spans="1:18" outlineLevel="1">
      <c r="A10" s="28"/>
      <c r="B10" s="17"/>
      <c r="C10" s="1382"/>
      <c r="D10" s="22" t="s">
        <v>10</v>
      </c>
      <c r="E10" s="24">
        <f>物业房租车位费!H27/12</f>
        <v>1000</v>
      </c>
      <c r="F10" s="24">
        <f t="shared" si="1"/>
        <v>3000</v>
      </c>
      <c r="G10" s="24">
        <f t="shared" si="1"/>
        <v>3000</v>
      </c>
      <c r="H10" s="24">
        <f t="shared" si="1"/>
        <v>3000</v>
      </c>
      <c r="I10" s="24">
        <f t="shared" si="1"/>
        <v>3000</v>
      </c>
      <c r="J10" s="24">
        <f t="shared" si="2"/>
        <v>12000</v>
      </c>
      <c r="K10" s="24">
        <f>'2015年ES实际花费数据'!V11</f>
        <v>7561</v>
      </c>
      <c r="L10" s="24">
        <f t="shared" si="3"/>
        <v>4439</v>
      </c>
      <c r="M10" s="1001">
        <f t="shared" si="4"/>
        <v>0.5870916545430499</v>
      </c>
      <c r="N10" s="1257">
        <f>'2015预算稿 '!J11</f>
        <v>28</v>
      </c>
      <c r="O10" s="1001">
        <f t="shared" si="0"/>
        <v>270.03571428571428</v>
      </c>
      <c r="P10" s="24">
        <f t="shared" si="5"/>
        <v>11972</v>
      </c>
      <c r="Q10" s="25">
        <f t="shared" si="6"/>
        <v>427.57142857142856</v>
      </c>
      <c r="R10" s="1269"/>
    </row>
    <row r="11" spans="1:18" ht="15" customHeight="1" outlineLevel="1">
      <c r="A11" s="28"/>
      <c r="B11" s="17"/>
      <c r="C11" s="1382"/>
      <c r="D11" s="22" t="s">
        <v>608</v>
      </c>
      <c r="E11" s="24">
        <f>物业房租车位费!L28/12</f>
        <v>1850</v>
      </c>
      <c r="F11" s="24">
        <f>$E11*3</f>
        <v>5550</v>
      </c>
      <c r="G11" s="24">
        <f>$E11*3</f>
        <v>5550</v>
      </c>
      <c r="H11" s="24">
        <f>$E11*3</f>
        <v>5550</v>
      </c>
      <c r="I11" s="24">
        <f>$E11*3</f>
        <v>5550</v>
      </c>
      <c r="J11" s="24">
        <f t="shared" si="2"/>
        <v>22200</v>
      </c>
      <c r="K11" s="24">
        <f>'[20]2015预算稿 '!$G$12+'[20]2015预算稿 '!$J$12+'[20]2015预算稿 '!$M$12+'[20]2015预算稿 '!$P$12</f>
        <v>2425850</v>
      </c>
      <c r="L11" s="24">
        <f t="shared" si="3"/>
        <v>-2403650</v>
      </c>
      <c r="M11" s="1001">
        <f t="shared" si="4"/>
        <v>-0.99084856854298498</v>
      </c>
      <c r="N11" s="1258">
        <f>'2015预算稿 '!J12</f>
        <v>29</v>
      </c>
      <c r="O11" s="1001">
        <f t="shared" si="0"/>
        <v>83650</v>
      </c>
      <c r="P11" s="24">
        <f t="shared" si="5"/>
        <v>22171</v>
      </c>
      <c r="Q11" s="25">
        <f>(J11-N11)/N11</f>
        <v>764.51724137931035</v>
      </c>
      <c r="R11" s="1411" t="s">
        <v>1664</v>
      </c>
    </row>
    <row r="12" spans="1:18" outlineLevel="1">
      <c r="A12" s="28"/>
      <c r="B12" s="17"/>
      <c r="C12" s="1382"/>
      <c r="D12" s="22" t="s">
        <v>609</v>
      </c>
      <c r="E12" s="24">
        <f>物业房租车位费!H28/12</f>
        <v>1000</v>
      </c>
      <c r="F12" s="24">
        <f t="shared" si="1"/>
        <v>3000</v>
      </c>
      <c r="G12" s="24">
        <f>$E12*3</f>
        <v>3000</v>
      </c>
      <c r="H12" s="24">
        <f t="shared" si="1"/>
        <v>3000</v>
      </c>
      <c r="I12" s="24">
        <f t="shared" si="1"/>
        <v>3000</v>
      </c>
      <c r="J12" s="24">
        <f t="shared" si="2"/>
        <v>12000</v>
      </c>
      <c r="K12" s="24">
        <f>'[20]2015预算稿 '!$G$13+'[20]2015预算稿 '!$J$13+'[20]2015预算稿 '!$M$13+'[20]2015预算稿 '!$P$13</f>
        <v>204299.13</v>
      </c>
      <c r="L12" s="24">
        <f t="shared" si="3"/>
        <v>-192299.13</v>
      </c>
      <c r="M12" s="1001">
        <f t="shared" si="4"/>
        <v>-0.94126259862193251</v>
      </c>
      <c r="N12" s="1258">
        <f>'2015预算稿 '!J13</f>
        <v>29</v>
      </c>
      <c r="O12" s="1001">
        <f t="shared" si="0"/>
        <v>7044.797586206897</v>
      </c>
      <c r="P12" s="24">
        <f t="shared" si="5"/>
        <v>11971</v>
      </c>
      <c r="Q12" s="25">
        <f t="shared" si="6"/>
        <v>412.79310344827587</v>
      </c>
      <c r="R12" s="1411"/>
    </row>
    <row r="13" spans="1:18" ht="18" customHeight="1" outlineLevel="1">
      <c r="A13" s="28"/>
      <c r="B13" s="28"/>
      <c r="C13" s="1382"/>
      <c r="D13" s="22" t="s">
        <v>12</v>
      </c>
      <c r="E13" s="24">
        <v>0</v>
      </c>
      <c r="F13" s="14">
        <f>E13*3</f>
        <v>0</v>
      </c>
      <c r="G13" s="14">
        <f t="shared" ref="G13:I13" si="7">F13*3</f>
        <v>0</v>
      </c>
      <c r="H13" s="14">
        <f t="shared" si="7"/>
        <v>0</v>
      </c>
      <c r="I13" s="14">
        <f t="shared" si="7"/>
        <v>0</v>
      </c>
      <c r="J13" s="24">
        <f t="shared" si="2"/>
        <v>0</v>
      </c>
      <c r="K13" s="24">
        <f>'[21]2015年ES数据'!$V$18</f>
        <v>5360364.24</v>
      </c>
      <c r="L13" s="24">
        <f t="shared" si="3"/>
        <v>-5360364.24</v>
      </c>
      <c r="M13" s="1001">
        <f t="shared" si="4"/>
        <v>-1</v>
      </c>
      <c r="N13" s="1257">
        <f>'2015预算稿 '!J16</f>
        <v>35.428571428571431</v>
      </c>
      <c r="O13" s="1001">
        <f t="shared" si="0"/>
        <v>151300.60354838709</v>
      </c>
      <c r="P13" s="24">
        <f>J13-N13</f>
        <v>-35.428571428571431</v>
      </c>
      <c r="Q13" s="25">
        <f t="shared" si="6"/>
        <v>-1</v>
      </c>
      <c r="R13" s="1409" t="s">
        <v>950</v>
      </c>
    </row>
    <row r="14" spans="1:18" ht="18.75" customHeight="1" outlineLevel="1">
      <c r="A14" s="28"/>
      <c r="B14" s="28"/>
      <c r="C14" s="1382"/>
      <c r="D14" s="22" t="s">
        <v>13</v>
      </c>
      <c r="E14" s="24">
        <v>0</v>
      </c>
      <c r="F14" s="14">
        <f>E14*3</f>
        <v>0</v>
      </c>
      <c r="G14" s="14">
        <f t="shared" ref="G14:I14" si="8">F14*3</f>
        <v>0</v>
      </c>
      <c r="H14" s="14">
        <f t="shared" si="8"/>
        <v>0</v>
      </c>
      <c r="I14" s="14">
        <f t="shared" si="8"/>
        <v>0</v>
      </c>
      <c r="J14" s="24">
        <f t="shared" si="2"/>
        <v>0</v>
      </c>
      <c r="K14" s="24">
        <f>'[21]2015年ES数据'!$V$19</f>
        <v>283467.52000000002</v>
      </c>
      <c r="L14" s="24">
        <f>J14-K14</f>
        <v>-283467.52000000002</v>
      </c>
      <c r="M14" s="1001">
        <f t="shared" si="4"/>
        <v>-1</v>
      </c>
      <c r="N14" s="1257">
        <f>'2015预算稿 '!J17</f>
        <v>31</v>
      </c>
      <c r="O14" s="1001">
        <f t="shared" si="0"/>
        <v>9144.1135483870967</v>
      </c>
      <c r="P14" s="24">
        <f>J14-N14</f>
        <v>-31</v>
      </c>
      <c r="Q14" s="25">
        <f t="shared" si="6"/>
        <v>-1</v>
      </c>
      <c r="R14" s="1409"/>
    </row>
    <row r="15" spans="1:18" hidden="1" outlineLevel="2">
      <c r="A15" s="28"/>
      <c r="B15" s="35" t="s">
        <v>14</v>
      </c>
      <c r="C15" s="90"/>
      <c r="D15" s="1095" t="s">
        <v>15</v>
      </c>
      <c r="E15" s="1103">
        <f>(物业房租车位费!L48+物业房租车位费!L49)/12</f>
        <v>500</v>
      </c>
      <c r="F15" s="1103">
        <f t="shared" ref="F15:I18" si="9">$E15*3</f>
        <v>1500</v>
      </c>
      <c r="G15" s="1103">
        <f t="shared" si="9"/>
        <v>1500</v>
      </c>
      <c r="H15" s="1103">
        <f t="shared" si="9"/>
        <v>1500</v>
      </c>
      <c r="I15" s="1103">
        <f t="shared" si="9"/>
        <v>1500</v>
      </c>
      <c r="J15" s="1093">
        <f t="shared" si="2"/>
        <v>6000</v>
      </c>
      <c r="K15" s="1093"/>
      <c r="L15" s="1093"/>
      <c r="M15" s="1093"/>
      <c r="N15" s="1259">
        <f>'2015预算稿 '!J18</f>
        <v>56</v>
      </c>
      <c r="O15" s="1093"/>
      <c r="P15" s="1093">
        <f t="shared" si="5"/>
        <v>5944</v>
      </c>
      <c r="Q15" s="1288">
        <f t="shared" si="6"/>
        <v>106.14285714285714</v>
      </c>
      <c r="R15" s="1412"/>
    </row>
    <row r="16" spans="1:18" hidden="1" outlineLevel="2">
      <c r="A16" s="28"/>
      <c r="B16" s="35" t="s">
        <v>14</v>
      </c>
      <c r="C16" s="90"/>
      <c r="D16" s="1095" t="s">
        <v>16</v>
      </c>
      <c r="E16" s="1103">
        <f>(物业房租车位费!H48+物业房租车位费!H49)/12</f>
        <v>3500</v>
      </c>
      <c r="F16" s="1103">
        <f t="shared" si="9"/>
        <v>10500</v>
      </c>
      <c r="G16" s="1103">
        <f t="shared" si="9"/>
        <v>10500</v>
      </c>
      <c r="H16" s="1103">
        <f t="shared" si="9"/>
        <v>10500</v>
      </c>
      <c r="I16" s="1103">
        <f t="shared" si="9"/>
        <v>10500</v>
      </c>
      <c r="J16" s="1093">
        <f t="shared" si="2"/>
        <v>42000</v>
      </c>
      <c r="K16" s="1093"/>
      <c r="L16" s="1093"/>
      <c r="M16" s="1093"/>
      <c r="N16" s="1259">
        <f>'2015预算稿 '!J19</f>
        <v>56</v>
      </c>
      <c r="O16" s="1093"/>
      <c r="P16" s="1093">
        <f t="shared" si="5"/>
        <v>41944</v>
      </c>
      <c r="Q16" s="1288">
        <f t="shared" si="6"/>
        <v>749</v>
      </c>
      <c r="R16" s="1412"/>
    </row>
    <row r="17" spans="1:18" hidden="1" outlineLevel="2">
      <c r="A17" s="28"/>
      <c r="B17" s="35" t="s">
        <v>14</v>
      </c>
      <c r="C17" s="90"/>
      <c r="D17" s="1095" t="s">
        <v>599</v>
      </c>
      <c r="E17" s="1093">
        <f>物业房租车位费!L50/12</f>
        <v>250</v>
      </c>
      <c r="F17" s="1093">
        <f t="shared" si="9"/>
        <v>750</v>
      </c>
      <c r="G17" s="1093">
        <f t="shared" si="9"/>
        <v>750</v>
      </c>
      <c r="H17" s="1093">
        <f t="shared" si="9"/>
        <v>750</v>
      </c>
      <c r="I17" s="1093">
        <f t="shared" si="9"/>
        <v>750</v>
      </c>
      <c r="J17" s="1093">
        <f t="shared" si="2"/>
        <v>3000</v>
      </c>
      <c r="K17" s="1093"/>
      <c r="L17" s="1093"/>
      <c r="M17" s="1254"/>
      <c r="N17" s="1260">
        <f>'2015预算稿 '!J20</f>
        <v>57</v>
      </c>
      <c r="O17" s="1093"/>
      <c r="P17" s="1093">
        <f t="shared" si="5"/>
        <v>2943</v>
      </c>
      <c r="Q17" s="1288">
        <f t="shared" si="6"/>
        <v>51.631578947368418</v>
      </c>
      <c r="R17" s="1411" t="s">
        <v>1143</v>
      </c>
    </row>
    <row r="18" spans="1:18" hidden="1" outlineLevel="2">
      <c r="A18" s="28"/>
      <c r="B18" s="35" t="s">
        <v>14</v>
      </c>
      <c r="C18" s="90"/>
      <c r="D18" s="1095" t="s">
        <v>600</v>
      </c>
      <c r="E18" s="1093">
        <f>物业房租车位费!H50/12</f>
        <v>1000</v>
      </c>
      <c r="F18" s="1093">
        <f t="shared" si="9"/>
        <v>3000</v>
      </c>
      <c r="G18" s="1093">
        <f t="shared" si="9"/>
        <v>3000</v>
      </c>
      <c r="H18" s="1093">
        <f t="shared" si="9"/>
        <v>3000</v>
      </c>
      <c r="I18" s="1093">
        <f t="shared" si="9"/>
        <v>3000</v>
      </c>
      <c r="J18" s="1093">
        <f t="shared" si="2"/>
        <v>12000</v>
      </c>
      <c r="K18" s="1093"/>
      <c r="L18" s="1093"/>
      <c r="M18" s="1093"/>
      <c r="N18" s="1260">
        <f>'2015预算稿 '!J21</f>
        <v>57</v>
      </c>
      <c r="O18" s="1093"/>
      <c r="P18" s="1093">
        <f t="shared" si="5"/>
        <v>11943</v>
      </c>
      <c r="Q18" s="1288">
        <f t="shared" si="6"/>
        <v>209.52631578947367</v>
      </c>
      <c r="R18" s="1411"/>
    </row>
    <row r="19" spans="1:18" hidden="1" outlineLevel="2">
      <c r="A19" s="28"/>
      <c r="B19" s="28"/>
      <c r="C19" s="90"/>
      <c r="D19" s="1285" t="s">
        <v>1565</v>
      </c>
      <c r="E19" s="1093"/>
      <c r="F19" s="1286">
        <f>SUM(F15:F18)</f>
        <v>15750</v>
      </c>
      <c r="G19" s="1286">
        <f>SUM(G15:G18)</f>
        <v>15750</v>
      </c>
      <c r="H19" s="1286">
        <f>SUM(H15:H18)</f>
        <v>15750</v>
      </c>
      <c r="I19" s="1286">
        <f>SUM(I15:I18)</f>
        <v>15750</v>
      </c>
      <c r="J19" s="1286">
        <f>SUM(J15:J18)</f>
        <v>63000</v>
      </c>
      <c r="K19" s="1306"/>
      <c r="L19" s="1306"/>
      <c r="M19" s="1307"/>
      <c r="N19" s="1292">
        <f>SUM(N15:N18)</f>
        <v>226</v>
      </c>
      <c r="O19" s="1286"/>
      <c r="P19" s="1286">
        <f>J19-N19</f>
        <v>62774</v>
      </c>
      <c r="Q19" s="1290">
        <f>P19/N19</f>
        <v>277.76106194690266</v>
      </c>
      <c r="R19" s="1273"/>
    </row>
    <row r="20" spans="1:18" outlineLevel="1" collapsed="1">
      <c r="A20" s="28"/>
      <c r="B20" s="28"/>
      <c r="C20" s="90"/>
      <c r="D20" s="1105" t="s">
        <v>1631</v>
      </c>
      <c r="E20" s="997"/>
      <c r="F20" s="1106">
        <f>SUM(F6:F14)</f>
        <v>19461.034957627118</v>
      </c>
      <c r="G20" s="1106">
        <f>SUM(G6:G14)</f>
        <v>19461.034957627118</v>
      </c>
      <c r="H20" s="1106">
        <f t="shared" ref="H20:J20" si="10">SUM(H6:H14)</f>
        <v>19461.034957627118</v>
      </c>
      <c r="I20" s="1106">
        <f t="shared" si="10"/>
        <v>19461.034957627118</v>
      </c>
      <c r="J20" s="1283">
        <f t="shared" si="10"/>
        <v>77844.139830508473</v>
      </c>
      <c r="K20" s="1283">
        <f>SUM(K6:K14)</f>
        <v>8287363.8900000006</v>
      </c>
      <c r="L20" s="1283">
        <f>J20-K20</f>
        <v>-8209519.7501694923</v>
      </c>
      <c r="M20" s="1295">
        <f>L20/K20</f>
        <v>-0.99060688768301353</v>
      </c>
      <c r="N20" s="1308">
        <f>SUM(N6:N14)</f>
        <v>549095.42357142852</v>
      </c>
      <c r="O20" s="1295">
        <f>K20/N20</f>
        <v>15.092757167956886</v>
      </c>
      <c r="P20" s="1283">
        <f>J20-N20</f>
        <v>-471251.28374092001</v>
      </c>
      <c r="Q20" s="1284">
        <f>P20/N20</f>
        <v>-0.85823203674837722</v>
      </c>
      <c r="R20" s="1273"/>
    </row>
    <row r="21" spans="1:18">
      <c r="A21" s="28"/>
      <c r="B21" s="28"/>
      <c r="C21" s="90"/>
      <c r="D21" s="1105" t="s">
        <v>1630</v>
      </c>
      <c r="E21" s="997"/>
      <c r="F21" s="1106">
        <f>SUM(F6:F18)</f>
        <v>35211.034957627118</v>
      </c>
      <c r="G21" s="1106">
        <f>SUM(G6:G18)</f>
        <v>35211.034957627118</v>
      </c>
      <c r="H21" s="1106">
        <f>SUM(H6:H18)</f>
        <v>35211.034957627118</v>
      </c>
      <c r="I21" s="1106">
        <f>SUM(I6:I18)</f>
        <v>35211.034957627118</v>
      </c>
      <c r="J21" s="1106">
        <f>SUM(J6:J18)</f>
        <v>140844.13983050847</v>
      </c>
      <c r="K21" s="1281"/>
      <c r="L21" s="1281"/>
      <c r="M21" s="1281"/>
      <c r="N21" s="1297">
        <f>SUM(N6:N18)</f>
        <v>549321.42357142852</v>
      </c>
      <c r="O21" s="1106"/>
      <c r="P21" s="1106">
        <f>J21-N21</f>
        <v>-408477.28374092001</v>
      </c>
      <c r="Q21" s="1107">
        <f>P21/N21</f>
        <v>-0.74360340997661001</v>
      </c>
      <c r="R21" s="1273"/>
    </row>
    <row r="22" spans="1:18" outlineLevel="1">
      <c r="A22" s="17" t="s">
        <v>3</v>
      </c>
      <c r="B22" s="17"/>
      <c r="C22" s="90" t="s">
        <v>17</v>
      </c>
      <c r="D22" s="22" t="s">
        <v>1325</v>
      </c>
      <c r="E22" s="5">
        <f>物业房租车位费!H31/12</f>
        <v>10</v>
      </c>
      <c r="F22" s="24">
        <f t="shared" ref="F22:I29" si="11">$E22*3</f>
        <v>30</v>
      </c>
      <c r="G22" s="24">
        <f t="shared" ref="G22:I23" si="12">$E22*3</f>
        <v>30</v>
      </c>
      <c r="H22" s="24">
        <f t="shared" si="12"/>
        <v>30</v>
      </c>
      <c r="I22" s="24">
        <f t="shared" si="12"/>
        <v>30</v>
      </c>
      <c r="J22" s="24">
        <f t="shared" ref="J22:J29" si="13">F22+G22+H22+I22</f>
        <v>120</v>
      </c>
      <c r="K22" s="24">
        <f>'2015年ES实际花费数据'!V21</f>
        <v>11529</v>
      </c>
      <c r="L22" s="24">
        <f>J22-K22</f>
        <v>-11409</v>
      </c>
      <c r="M22" s="1001">
        <f>(J22-K22)/K22</f>
        <v>-0.98959146500130102</v>
      </c>
      <c r="N22" s="1257">
        <f>'2015预算稿 '!J23</f>
        <v>34</v>
      </c>
      <c r="O22" s="1001">
        <f>K22/N22</f>
        <v>339.08823529411762</v>
      </c>
      <c r="P22" s="24">
        <f t="shared" ref="P22:P76" si="14">J22-N22</f>
        <v>86</v>
      </c>
      <c r="Q22" s="25">
        <f t="shared" si="6"/>
        <v>2.5294117647058822</v>
      </c>
      <c r="R22" s="1273" t="s">
        <v>1642</v>
      </c>
    </row>
    <row r="23" spans="1:18" outlineLevel="1">
      <c r="A23" s="17"/>
      <c r="B23" s="17"/>
      <c r="C23" s="1383" t="s">
        <v>1671</v>
      </c>
      <c r="D23" s="22" t="s">
        <v>18</v>
      </c>
      <c r="E23" s="5">
        <f>(物业房租车位费!L34+物业房租车位费!H34)/12</f>
        <v>42</v>
      </c>
      <c r="F23" s="24">
        <f t="shared" si="11"/>
        <v>126</v>
      </c>
      <c r="G23" s="24">
        <f>$E23*3</f>
        <v>126</v>
      </c>
      <c r="H23" s="24">
        <f t="shared" si="12"/>
        <v>126</v>
      </c>
      <c r="I23" s="24">
        <f t="shared" si="12"/>
        <v>126</v>
      </c>
      <c r="J23" s="1253">
        <f t="shared" si="13"/>
        <v>504</v>
      </c>
      <c r="K23" s="1410">
        <f>'2015年ES实际花费数据'!V23</f>
        <v>1287</v>
      </c>
      <c r="L23" s="1410">
        <f>(J23+J24)-K23</f>
        <v>-615</v>
      </c>
      <c r="M23" s="1397">
        <f>(J23+J24-K23)/K23</f>
        <v>-0.47785547785547783</v>
      </c>
      <c r="N23" s="1253">
        <f>'2015预算稿 '!J25</f>
        <v>71400</v>
      </c>
      <c r="O23" s="1400">
        <f>K23/(N23+N24)</f>
        <v>1.8015369756015621E-2</v>
      </c>
      <c r="P23" s="24">
        <f t="shared" si="14"/>
        <v>-70896</v>
      </c>
      <c r="Q23" s="25">
        <f t="shared" si="6"/>
        <v>-0.99294117647058822</v>
      </c>
      <c r="R23" s="1273" t="s">
        <v>951</v>
      </c>
    </row>
    <row r="24" spans="1:18" outlineLevel="1">
      <c r="A24" s="17"/>
      <c r="B24" s="17"/>
      <c r="C24" s="1382"/>
      <c r="D24" s="29" t="s">
        <v>952</v>
      </c>
      <c r="E24" s="5">
        <f>物业房租车位费!L36/12</f>
        <v>14</v>
      </c>
      <c r="F24" s="24">
        <f>$E24*3</f>
        <v>42</v>
      </c>
      <c r="G24" s="24">
        <f>$E24*3</f>
        <v>42</v>
      </c>
      <c r="H24" s="24">
        <f>$E24*3</f>
        <v>42</v>
      </c>
      <c r="I24" s="24">
        <f>$E24*3</f>
        <v>42</v>
      </c>
      <c r="J24" s="1253">
        <f t="shared" si="13"/>
        <v>168</v>
      </c>
      <c r="K24" s="1410"/>
      <c r="L24" s="1410"/>
      <c r="M24" s="1397"/>
      <c r="N24" s="1253">
        <f>'2015预算稿 '!J27</f>
        <v>39</v>
      </c>
      <c r="O24" s="1400"/>
      <c r="P24" s="24">
        <f>J24-N24</f>
        <v>129</v>
      </c>
      <c r="Q24" s="25">
        <f>(J24-N24)/N24</f>
        <v>3.3076923076923075</v>
      </c>
      <c r="R24" s="1277" t="s">
        <v>1643</v>
      </c>
    </row>
    <row r="25" spans="1:18" outlineLevel="1">
      <c r="A25" s="17"/>
      <c r="B25" s="17"/>
      <c r="C25" s="1382"/>
      <c r="D25" s="22" t="s">
        <v>19</v>
      </c>
      <c r="E25" s="5">
        <f>(物业房租车位费!H35+物业房租车位费!L35)/12</f>
        <v>44</v>
      </c>
      <c r="F25" s="24">
        <f t="shared" si="11"/>
        <v>132</v>
      </c>
      <c r="G25" s="24">
        <f>$E25*3</f>
        <v>132</v>
      </c>
      <c r="H25" s="24">
        <f>$E25*3</f>
        <v>132</v>
      </c>
      <c r="I25" s="24">
        <f>$E25*3</f>
        <v>132</v>
      </c>
      <c r="J25" s="24">
        <f t="shared" si="13"/>
        <v>528</v>
      </c>
      <c r="K25" s="24">
        <f>'2015年ES实际花费数据'!V25</f>
        <v>14382</v>
      </c>
      <c r="L25" s="24">
        <f>J25-K25</f>
        <v>-13854</v>
      </c>
      <c r="M25" s="1001">
        <f>(J25-K25)/K25</f>
        <v>-0.96328744263662913</v>
      </c>
      <c r="N25" s="1257">
        <f>'2015预算稿 '!J26</f>
        <v>38</v>
      </c>
      <c r="O25" s="1001">
        <f>K25/N25</f>
        <v>378.4736842105263</v>
      </c>
      <c r="P25" s="24">
        <f t="shared" si="14"/>
        <v>490</v>
      </c>
      <c r="Q25" s="25">
        <f t="shared" si="6"/>
        <v>12.894736842105264</v>
      </c>
      <c r="R25" s="1279" t="s">
        <v>1644</v>
      </c>
    </row>
    <row r="26" spans="1:18" outlineLevel="1">
      <c r="A26" s="17"/>
      <c r="B26" s="17"/>
      <c r="C26" s="1382"/>
      <c r="D26" s="22" t="s">
        <v>20</v>
      </c>
      <c r="E26" s="5">
        <v>0</v>
      </c>
      <c r="F26" s="24">
        <f t="shared" si="11"/>
        <v>0</v>
      </c>
      <c r="G26" s="24">
        <f t="shared" si="11"/>
        <v>0</v>
      </c>
      <c r="H26" s="24">
        <f t="shared" si="11"/>
        <v>0</v>
      </c>
      <c r="I26" s="24">
        <f t="shared" si="11"/>
        <v>0</v>
      </c>
      <c r="J26" s="24">
        <f t="shared" si="13"/>
        <v>0</v>
      </c>
      <c r="K26" s="24">
        <f>'2015年ES实际花费数据'!V28</f>
        <v>1551</v>
      </c>
      <c r="L26" s="24">
        <f>J26-K26</f>
        <v>-1551</v>
      </c>
      <c r="M26" s="1001">
        <f>(J26-K26)/K26</f>
        <v>-1</v>
      </c>
      <c r="N26" s="1257">
        <f>'2015预算稿 '!J29</f>
        <v>43</v>
      </c>
      <c r="O26" s="1001">
        <f>K26/N26</f>
        <v>36.069767441860463</v>
      </c>
      <c r="P26" s="24">
        <f t="shared" si="14"/>
        <v>-43</v>
      </c>
      <c r="Q26" s="25">
        <f t="shared" si="6"/>
        <v>-1</v>
      </c>
      <c r="R26" s="27" t="s">
        <v>953</v>
      </c>
    </row>
    <row r="27" spans="1:18" hidden="1" outlineLevel="2">
      <c r="A27" s="17"/>
      <c r="B27" s="35" t="s">
        <v>14</v>
      </c>
      <c r="C27" s="90"/>
      <c r="D27" s="1095" t="s">
        <v>21</v>
      </c>
      <c r="E27" s="1096">
        <f>(物业房租车位费!H53+物业房租车位费!L53)/12</f>
        <v>702</v>
      </c>
      <c r="F27" s="1093">
        <f t="shared" si="11"/>
        <v>2106</v>
      </c>
      <c r="G27" s="1093">
        <f t="shared" si="11"/>
        <v>2106</v>
      </c>
      <c r="H27" s="1093">
        <f t="shared" si="11"/>
        <v>2106</v>
      </c>
      <c r="I27" s="1093">
        <f t="shared" si="11"/>
        <v>2106</v>
      </c>
      <c r="J27" s="1093">
        <f t="shared" si="13"/>
        <v>8424</v>
      </c>
      <c r="K27" s="1093"/>
      <c r="L27" s="1093"/>
      <c r="M27" s="1093"/>
      <c r="N27" s="1261">
        <f>'2015预算稿 '!J30</f>
        <v>60</v>
      </c>
      <c r="O27" s="1093"/>
      <c r="P27" s="1093">
        <f t="shared" ref="P27:P33" si="15">J27-N27</f>
        <v>8364</v>
      </c>
      <c r="Q27" s="1289">
        <f t="shared" ref="Q27:Q34" si="16">(J27-N27)/N27</f>
        <v>139.4</v>
      </c>
      <c r="R27" s="1273" t="s">
        <v>951</v>
      </c>
    </row>
    <row r="28" spans="1:18" hidden="1" outlineLevel="2">
      <c r="A28" s="17"/>
      <c r="B28" s="35" t="s">
        <v>14</v>
      </c>
      <c r="C28" s="90"/>
      <c r="D28" s="1095" t="s">
        <v>22</v>
      </c>
      <c r="E28" s="1096">
        <f>(物业房租车位费!H54+物业房租车位费!L54)/12</f>
        <v>702</v>
      </c>
      <c r="F28" s="1093">
        <f t="shared" si="11"/>
        <v>2106</v>
      </c>
      <c r="G28" s="1093">
        <f t="shared" si="11"/>
        <v>2106</v>
      </c>
      <c r="H28" s="1093">
        <f t="shared" si="11"/>
        <v>2106</v>
      </c>
      <c r="I28" s="1093">
        <f t="shared" si="11"/>
        <v>2106</v>
      </c>
      <c r="J28" s="1093">
        <f t="shared" si="13"/>
        <v>8424</v>
      </c>
      <c r="K28" s="1093"/>
      <c r="L28" s="1093"/>
      <c r="M28" s="1093"/>
      <c r="N28" s="1261">
        <f>'2015预算稿 '!J31</f>
        <v>60</v>
      </c>
      <c r="O28" s="1093"/>
      <c r="P28" s="1093">
        <f t="shared" si="15"/>
        <v>8364</v>
      </c>
      <c r="Q28" s="1289">
        <f t="shared" si="16"/>
        <v>139.4</v>
      </c>
      <c r="R28" s="1268" t="s">
        <v>1142</v>
      </c>
    </row>
    <row r="29" spans="1:18" hidden="1" outlineLevel="2">
      <c r="A29" s="17"/>
      <c r="B29" s="35" t="s">
        <v>14</v>
      </c>
      <c r="C29" s="90"/>
      <c r="D29" s="1102" t="s">
        <v>1561</v>
      </c>
      <c r="E29" s="1096">
        <f>物业房租车位费!L55/12</f>
        <v>800</v>
      </c>
      <c r="F29" s="1093">
        <f t="shared" si="11"/>
        <v>2400</v>
      </c>
      <c r="G29" s="1093">
        <f t="shared" si="11"/>
        <v>2400</v>
      </c>
      <c r="H29" s="1093">
        <f t="shared" si="11"/>
        <v>2400</v>
      </c>
      <c r="I29" s="1093">
        <f t="shared" si="11"/>
        <v>2400</v>
      </c>
      <c r="J29" s="1093">
        <f t="shared" si="13"/>
        <v>9600</v>
      </c>
      <c r="K29" s="1093"/>
      <c r="L29" s="1093"/>
      <c r="M29" s="1093"/>
      <c r="N29" s="1261">
        <f>'2015预算稿 '!J32</f>
        <v>62</v>
      </c>
      <c r="O29" s="1093"/>
      <c r="P29" s="1093">
        <f t="shared" si="15"/>
        <v>9538</v>
      </c>
      <c r="Q29" s="1289">
        <f t="shared" si="16"/>
        <v>153.83870967741936</v>
      </c>
      <c r="R29" s="44" t="s">
        <v>1562</v>
      </c>
    </row>
    <row r="30" spans="1:18" hidden="1" outlineLevel="2">
      <c r="A30" s="17"/>
      <c r="B30" s="35"/>
      <c r="C30" s="90"/>
      <c r="D30" s="1285" t="s">
        <v>1566</v>
      </c>
      <c r="E30" s="1096"/>
      <c r="F30" s="1286">
        <f>SUM(F27:F29)</f>
        <v>6612</v>
      </c>
      <c r="G30" s="1286">
        <f t="shared" ref="G30:I30" si="17">SUM(G27:G29)</f>
        <v>6612</v>
      </c>
      <c r="H30" s="1286">
        <f t="shared" si="17"/>
        <v>6612</v>
      </c>
      <c r="I30" s="1286">
        <f t="shared" si="17"/>
        <v>6612</v>
      </c>
      <c r="J30" s="1286">
        <f>SUM(J27:J29)</f>
        <v>26448</v>
      </c>
      <c r="K30" s="1286"/>
      <c r="L30" s="1342"/>
      <c r="M30" s="1343"/>
      <c r="N30" s="1286">
        <f>SUM(N27:N29)</f>
        <v>182</v>
      </c>
      <c r="O30" s="1093"/>
      <c r="P30" s="1286">
        <f t="shared" si="15"/>
        <v>26266</v>
      </c>
      <c r="Q30" s="1303">
        <f>P30/N30</f>
        <v>144.31868131868131</v>
      </c>
      <c r="R30" s="44"/>
    </row>
    <row r="31" spans="1:18" outlineLevel="1" collapsed="1">
      <c r="A31" s="17"/>
      <c r="B31" s="35"/>
      <c r="C31" s="90"/>
      <c r="D31" s="1105" t="s">
        <v>1567</v>
      </c>
      <c r="E31" s="699"/>
      <c r="F31" s="1106">
        <f>SUM(F22:F26)</f>
        <v>330</v>
      </c>
      <c r="G31" s="1106">
        <f t="shared" ref="G31:I31" si="18">SUM(G22:G26)</f>
        <v>330</v>
      </c>
      <c r="H31" s="1106">
        <f t="shared" si="18"/>
        <v>330</v>
      </c>
      <c r="I31" s="1106">
        <f t="shared" si="18"/>
        <v>330</v>
      </c>
      <c r="J31" s="1283">
        <f>SUM(J22:J26)</f>
        <v>1320</v>
      </c>
      <c r="K31" s="1283">
        <f>SUM(K22:K29)</f>
        <v>28749</v>
      </c>
      <c r="L31" s="1318">
        <f>J31-K31</f>
        <v>-27429</v>
      </c>
      <c r="M31" s="1344">
        <f>L31/K31</f>
        <v>-0.95408535949076489</v>
      </c>
      <c r="N31" s="1283">
        <f>SUM(N22:N26)</f>
        <v>71554</v>
      </c>
      <c r="O31" s="1295">
        <f>K31/N31</f>
        <v>0.40178047348855411</v>
      </c>
      <c r="P31" s="1283">
        <f t="shared" si="15"/>
        <v>-70234</v>
      </c>
      <c r="Q31" s="1295">
        <f>P31/N31</f>
        <v>-0.9815523939961428</v>
      </c>
      <c r="R31" s="44"/>
    </row>
    <row r="32" spans="1:18">
      <c r="A32" s="17"/>
      <c r="B32" s="17"/>
      <c r="C32" s="90"/>
      <c r="D32" s="1105" t="s">
        <v>1629</v>
      </c>
      <c r="E32" s="699"/>
      <c r="F32" s="1106">
        <f t="shared" ref="F32:I32" si="19">SUM(F22:F29)</f>
        <v>6942</v>
      </c>
      <c r="G32" s="1106">
        <f t="shared" si="19"/>
        <v>6942</v>
      </c>
      <c r="H32" s="1106">
        <f t="shared" si="19"/>
        <v>6942</v>
      </c>
      <c r="I32" s="1106">
        <f t="shared" si="19"/>
        <v>6942</v>
      </c>
      <c r="J32" s="1106">
        <f>SUM(J22:J29)</f>
        <v>27768</v>
      </c>
      <c r="K32" s="1281"/>
      <c r="L32" s="1281"/>
      <c r="M32" s="1281"/>
      <c r="N32" s="1297">
        <f>SUM(N22:N29)</f>
        <v>71736</v>
      </c>
      <c r="O32" s="1106"/>
      <c r="P32" s="1106">
        <f t="shared" si="15"/>
        <v>-43968</v>
      </c>
      <c r="Q32" s="1107">
        <f>(J32-N32)/N32</f>
        <v>-0.6129140180662429</v>
      </c>
      <c r="R32" s="1269"/>
    </row>
    <row r="33" spans="1:18" outlineLevel="1">
      <c r="A33" s="17" t="s">
        <v>3</v>
      </c>
      <c r="B33" s="17"/>
      <c r="C33" s="90" t="s">
        <v>23</v>
      </c>
      <c r="D33" s="22" t="s">
        <v>24</v>
      </c>
      <c r="E33" s="5">
        <f>'部分费用明细（水电植物耗材茶歇）'!E18</f>
        <v>850</v>
      </c>
      <c r="F33" s="24">
        <f>$E33*3</f>
        <v>2550</v>
      </c>
      <c r="G33" s="24">
        <f t="shared" ref="G33:I40" si="20">$E33*3</f>
        <v>2550</v>
      </c>
      <c r="H33" s="24">
        <f t="shared" si="20"/>
        <v>2550</v>
      </c>
      <c r="I33" s="24">
        <f t="shared" si="20"/>
        <v>2550</v>
      </c>
      <c r="J33" s="24">
        <f t="shared" ref="J33:J41" si="21">F33+G33+H33+I33</f>
        <v>10200</v>
      </c>
      <c r="K33" s="24">
        <f>'2015年ES实际花费数据'!V30</f>
        <v>62333</v>
      </c>
      <c r="L33" s="24">
        <f>J33-K33</f>
        <v>-52133</v>
      </c>
      <c r="M33" s="1001">
        <f>(J33-K33)/K33</f>
        <v>-0.83636276129818876</v>
      </c>
      <c r="N33" s="1257">
        <f>'2015预算稿 '!J34</f>
        <v>456912</v>
      </c>
      <c r="O33" s="1001">
        <f>K33/N33</f>
        <v>0.13642233077704241</v>
      </c>
      <c r="P33" s="24">
        <f t="shared" si="15"/>
        <v>-446712</v>
      </c>
      <c r="Q33" s="25">
        <f>(J33-N33)/N33</f>
        <v>-0.97767622649437969</v>
      </c>
      <c r="R33" s="1273" t="s">
        <v>1659</v>
      </c>
    </row>
    <row r="34" spans="1:18" ht="13.5" customHeight="1" outlineLevel="1">
      <c r="A34" s="28"/>
      <c r="B34" s="28"/>
      <c r="C34" s="1385" t="s">
        <v>1682</v>
      </c>
      <c r="D34" s="22" t="s">
        <v>25</v>
      </c>
      <c r="E34" s="5">
        <f>'媒体大厦物业费 能源费'!D54</f>
        <v>12</v>
      </c>
      <c r="F34" s="24">
        <f>$E34*3</f>
        <v>36</v>
      </c>
      <c r="G34" s="24">
        <f t="shared" si="20"/>
        <v>36</v>
      </c>
      <c r="H34" s="24">
        <f t="shared" si="20"/>
        <v>36</v>
      </c>
      <c r="I34" s="24">
        <f t="shared" si="20"/>
        <v>36</v>
      </c>
      <c r="J34" s="24">
        <f t="shared" si="21"/>
        <v>144</v>
      </c>
      <c r="K34" s="1396">
        <f>'2015年ES实际花费数据'!V31</f>
        <v>4806</v>
      </c>
      <c r="L34" s="1396">
        <f>(J34+J35)-K34</f>
        <v>-4086</v>
      </c>
      <c r="M34" s="1397">
        <f>(J34+J35-K34)/K34</f>
        <v>-0.85018726591760296</v>
      </c>
      <c r="N34" s="1253">
        <f>'2015预算稿 '!J35</f>
        <v>6440232</v>
      </c>
      <c r="O34" s="1400">
        <f>K34/(N34+N35)</f>
        <v>7.1481988502198007E-4</v>
      </c>
      <c r="P34" s="24">
        <f t="shared" ref="P34:P39" si="22">J34-N34</f>
        <v>-6440088</v>
      </c>
      <c r="Q34" s="25">
        <f t="shared" si="16"/>
        <v>-0.9999776405570483</v>
      </c>
      <c r="R34" s="1395" t="s">
        <v>1597</v>
      </c>
    </row>
    <row r="35" spans="1:18" outlineLevel="1">
      <c r="A35" s="28"/>
      <c r="B35" s="28"/>
      <c r="C35" s="1385"/>
      <c r="D35" s="22" t="s">
        <v>26</v>
      </c>
      <c r="E35" s="5">
        <f>'媒体大厦物业费 能源费'!D37</f>
        <v>48</v>
      </c>
      <c r="F35" s="24">
        <f>$E35*3</f>
        <v>144</v>
      </c>
      <c r="G35" s="24">
        <f t="shared" si="20"/>
        <v>144</v>
      </c>
      <c r="H35" s="24">
        <f t="shared" si="20"/>
        <v>144</v>
      </c>
      <c r="I35" s="24">
        <f t="shared" si="20"/>
        <v>144</v>
      </c>
      <c r="J35" s="24">
        <f t="shared" si="21"/>
        <v>576</v>
      </c>
      <c r="K35" s="1396"/>
      <c r="L35" s="1396"/>
      <c r="M35" s="1397"/>
      <c r="N35" s="1335">
        <f>'2015预算稿 '!J36</f>
        <v>283140</v>
      </c>
      <c r="O35" s="1400"/>
      <c r="P35" s="24">
        <f>J35-N35</f>
        <v>-282564</v>
      </c>
      <c r="Q35" s="25">
        <f t="shared" ref="Q35:Q51" si="23">(J35-N35)/N35</f>
        <v>-0.9979656706929434</v>
      </c>
      <c r="R35" s="1395"/>
    </row>
    <row r="36" spans="1:18" outlineLevel="1">
      <c r="A36" s="28"/>
      <c r="B36" s="28"/>
      <c r="C36" s="1385"/>
      <c r="D36" s="22" t="s">
        <v>27</v>
      </c>
      <c r="E36" s="5">
        <f>'媒体大厦物业费 能源费'!I62</f>
        <v>73200</v>
      </c>
      <c r="F36" s="24">
        <v>0</v>
      </c>
      <c r="G36" s="24">
        <v>0</v>
      </c>
      <c r="H36" s="24">
        <f>E36</f>
        <v>73200</v>
      </c>
      <c r="I36" s="24">
        <v>0</v>
      </c>
      <c r="J36" s="24">
        <f t="shared" si="21"/>
        <v>73200</v>
      </c>
      <c r="K36" s="24">
        <f>'媒体大厦物业费 能源费'!I60</f>
        <v>73200</v>
      </c>
      <c r="L36" s="24">
        <f>J36-K36</f>
        <v>0</v>
      </c>
      <c r="M36" s="1001">
        <f>(J36-K36)/K36</f>
        <v>0</v>
      </c>
      <c r="N36" s="1258">
        <f>'2015预算稿 '!J37</f>
        <v>1353230.2673999998</v>
      </c>
      <c r="O36" s="1001">
        <f>K36/N36</f>
        <v>5.4092789500371774E-2</v>
      </c>
      <c r="P36" s="24">
        <f t="shared" si="22"/>
        <v>-1280030.2673999998</v>
      </c>
      <c r="Q36" s="25">
        <f t="shared" si="23"/>
        <v>-0.94590721049962823</v>
      </c>
      <c r="R36" s="1273"/>
    </row>
    <row r="37" spans="1:18" outlineLevel="1">
      <c r="A37" s="28"/>
      <c r="B37" s="28"/>
      <c r="C37" s="1385"/>
      <c r="D37" s="22" t="s">
        <v>28</v>
      </c>
      <c r="E37" s="5">
        <f>'媒体大厦物业费 能源费'!E72</f>
        <v>4219.7866666666669</v>
      </c>
      <c r="F37" s="24">
        <v>0</v>
      </c>
      <c r="G37" s="24">
        <v>0</v>
      </c>
      <c r="H37" s="24">
        <f>E37</f>
        <v>4219.7866666666669</v>
      </c>
      <c r="I37" s="24">
        <v>0</v>
      </c>
      <c r="J37" s="24">
        <f t="shared" si="21"/>
        <v>4219.7866666666669</v>
      </c>
      <c r="K37" s="24" t="s">
        <v>1563</v>
      </c>
      <c r="L37" s="24"/>
      <c r="M37" s="1001"/>
      <c r="N37" s="1258">
        <f>'2015预算稿 '!J38</f>
        <v>76718.36569282136</v>
      </c>
      <c r="O37" s="1001"/>
      <c r="P37" s="24">
        <f t="shared" si="22"/>
        <v>-72498.579026154694</v>
      </c>
      <c r="Q37" s="25">
        <f>(J37-N37)/N37</f>
        <v>-0.94499639521046885</v>
      </c>
      <c r="R37" s="1273"/>
    </row>
    <row r="38" spans="1:18" outlineLevel="1">
      <c r="A38" s="17"/>
      <c r="B38" s="17"/>
      <c r="C38" s="1385"/>
      <c r="D38" s="22" t="s">
        <v>29</v>
      </c>
      <c r="E38" s="5">
        <f>'部分费用明细（水电植物耗材茶歇）'!H18</f>
        <v>-1072</v>
      </c>
      <c r="F38" s="24">
        <f>$E38*3</f>
        <v>-3216</v>
      </c>
      <c r="G38" s="24">
        <f t="shared" si="20"/>
        <v>-3216</v>
      </c>
      <c r="H38" s="24">
        <f t="shared" si="20"/>
        <v>-3216</v>
      </c>
      <c r="I38" s="24">
        <f t="shared" si="20"/>
        <v>-3216</v>
      </c>
      <c r="J38" s="24">
        <f t="shared" si="21"/>
        <v>-12864</v>
      </c>
      <c r="K38" s="1253">
        <f>'[22]2015预算稿 '!$G$39+'[22]2015预算稿 '!$J$39+'[22]2015预算稿 '!$M$39+'[22]2015预算稿 '!$M$39</f>
        <v>202206.06</v>
      </c>
      <c r="L38" s="1253">
        <f>J38-K38</f>
        <v>-215070.06</v>
      </c>
      <c r="M38" s="1267">
        <f>L38/K38</f>
        <v>-1.0636182713811841</v>
      </c>
      <c r="N38" s="1253">
        <f>'2015预算稿 '!J39</f>
        <v>228144</v>
      </c>
      <c r="O38" s="1266">
        <f>K38/(N38+N39)</f>
        <v>0.75962850996458486</v>
      </c>
      <c r="P38" s="24">
        <f t="shared" si="22"/>
        <v>-241008</v>
      </c>
      <c r="Q38" s="25">
        <f t="shared" si="23"/>
        <v>-1.0563854407742479</v>
      </c>
      <c r="R38" s="1273"/>
    </row>
    <row r="39" spans="1:18" outlineLevel="1">
      <c r="A39" s="17"/>
      <c r="B39" s="17"/>
      <c r="C39" s="1385"/>
      <c r="D39" s="22" t="s">
        <v>592</v>
      </c>
      <c r="E39" s="5">
        <f>'部分费用明细（水电植物耗材茶歇）'!K18</f>
        <v>-3073</v>
      </c>
      <c r="F39" s="24">
        <f>$E39*3</f>
        <v>-9219</v>
      </c>
      <c r="G39" s="24">
        <f t="shared" si="20"/>
        <v>-9219</v>
      </c>
      <c r="H39" s="24">
        <f t="shared" si="20"/>
        <v>-9219</v>
      </c>
      <c r="I39" s="24">
        <f t="shared" si="20"/>
        <v>-9219</v>
      </c>
      <c r="J39" s="24">
        <f t="shared" si="21"/>
        <v>-36876</v>
      </c>
      <c r="K39" s="1253">
        <f>'[22]2015预算稿 '!$G$40+'[22]2015预算稿 '!$J$40+'[22]2015预算稿 '!$M$40+'[22]2015预算稿 '!$M$40</f>
        <v>61072.102560000014</v>
      </c>
      <c r="L39" s="1253">
        <f>J39-K39</f>
        <v>-97948.102560000014</v>
      </c>
      <c r="M39" s="1267">
        <f>L39/K39</f>
        <v>-1.6038108801604027</v>
      </c>
      <c r="N39" s="1253">
        <f>'2015预算稿 '!J40</f>
        <v>38046.720000000001</v>
      </c>
      <c r="O39" s="1266">
        <f>K39/N39</f>
        <v>1.6051870584376264</v>
      </c>
      <c r="P39" s="24">
        <f t="shared" si="22"/>
        <v>-74922.720000000001</v>
      </c>
      <c r="Q39" s="25">
        <f t="shared" si="23"/>
        <v>-1.9692294105773112</v>
      </c>
      <c r="R39" s="1273" t="s">
        <v>1645</v>
      </c>
    </row>
    <row r="40" spans="1:18" outlineLevel="1">
      <c r="A40" s="17"/>
      <c r="B40" s="17"/>
      <c r="C40" s="90"/>
      <c r="D40" s="22" t="s">
        <v>30</v>
      </c>
      <c r="E40" s="5">
        <v>0</v>
      </c>
      <c r="F40" s="24">
        <f>$E40*3</f>
        <v>0</v>
      </c>
      <c r="G40" s="24">
        <f t="shared" si="20"/>
        <v>0</v>
      </c>
      <c r="H40" s="24">
        <f t="shared" si="20"/>
        <v>0</v>
      </c>
      <c r="I40" s="24">
        <f t="shared" si="20"/>
        <v>0</v>
      </c>
      <c r="J40" s="24">
        <f t="shared" si="21"/>
        <v>0</v>
      </c>
      <c r="K40" s="24">
        <f>'2015年ES实际花费数据'!V38</f>
        <v>66691.100000000006</v>
      </c>
      <c r="L40" s="24">
        <f>J40-K40</f>
        <v>-66691.100000000006</v>
      </c>
      <c r="M40" s="1001">
        <f>(J40-K40)/K40</f>
        <v>-1</v>
      </c>
      <c r="N40" s="1257">
        <f>'2015预算稿 '!J42</f>
        <v>88536</v>
      </c>
      <c r="O40" s="1001">
        <f>K40/N40</f>
        <v>0.75326533839342191</v>
      </c>
      <c r="P40" s="24">
        <f>J40-N40</f>
        <v>-88536</v>
      </c>
      <c r="Q40" s="25">
        <f t="shared" si="23"/>
        <v>-1</v>
      </c>
      <c r="R40" s="1273" t="s">
        <v>957</v>
      </c>
    </row>
    <row r="41" spans="1:18" hidden="1" outlineLevel="2">
      <c r="A41" s="17"/>
      <c r="B41" s="35" t="s">
        <v>14</v>
      </c>
      <c r="C41" s="90"/>
      <c r="D41" s="1095" t="s">
        <v>601</v>
      </c>
      <c r="E41" s="1096">
        <f>'部分费用明细（水电植物耗材茶歇）'!N18+'部分费用明细（水电植物耗材茶歇）'!Q18</f>
        <v>3342</v>
      </c>
      <c r="F41" s="1093">
        <f>$E41*3</f>
        <v>10026</v>
      </c>
      <c r="G41" s="1093">
        <f>$E41*3</f>
        <v>10026</v>
      </c>
      <c r="H41" s="1093">
        <f>$E41*3</f>
        <v>10026</v>
      </c>
      <c r="I41" s="1093">
        <f>$E41*3</f>
        <v>10026</v>
      </c>
      <c r="J41" s="1093">
        <f t="shared" si="21"/>
        <v>40104</v>
      </c>
      <c r="K41" s="1093"/>
      <c r="L41" s="1093"/>
      <c r="M41" s="1093"/>
      <c r="N41" s="1261">
        <f>'2015预算稿 '!J43</f>
        <v>473117.28</v>
      </c>
      <c r="O41" s="1254"/>
      <c r="P41" s="1093">
        <f>J41-N41</f>
        <v>-433013.28</v>
      </c>
      <c r="Q41" s="1288">
        <f t="shared" si="23"/>
        <v>-0.91523454818644545</v>
      </c>
      <c r="R41" s="1273" t="s">
        <v>954</v>
      </c>
    </row>
    <row r="42" spans="1:18" hidden="1" outlineLevel="2">
      <c r="A42" s="17"/>
      <c r="B42" s="35"/>
      <c r="C42" s="90"/>
      <c r="D42" s="1285" t="s">
        <v>1568</v>
      </c>
      <c r="E42" s="1096"/>
      <c r="F42" s="1286">
        <f>SUM(F41)</f>
        <v>10026</v>
      </c>
      <c r="G42" s="1286">
        <f t="shared" ref="G42:I42" si="24">SUM(G41)</f>
        <v>10026</v>
      </c>
      <c r="H42" s="1286">
        <f t="shared" si="24"/>
        <v>10026</v>
      </c>
      <c r="I42" s="1286">
        <f t="shared" si="24"/>
        <v>10026</v>
      </c>
      <c r="J42" s="1286">
        <f>SUM(J41)</f>
        <v>40104</v>
      </c>
      <c r="K42" s="1093"/>
      <c r="L42" s="1093"/>
      <c r="M42" s="1093"/>
      <c r="N42" s="1292">
        <f>SUM(N41)</f>
        <v>473117.28</v>
      </c>
      <c r="O42" s="1254"/>
      <c r="P42" s="1286">
        <f>J42-N42</f>
        <v>-433013.28</v>
      </c>
      <c r="Q42" s="1290">
        <f>P42/N42</f>
        <v>-0.91523454818644545</v>
      </c>
      <c r="R42" s="1273"/>
    </row>
    <row r="43" spans="1:18" outlineLevel="1" collapsed="1">
      <c r="A43" s="17"/>
      <c r="B43" s="35"/>
      <c r="C43" s="90"/>
      <c r="D43" s="1105" t="s">
        <v>1569</v>
      </c>
      <c r="E43" s="699"/>
      <c r="F43" s="1106">
        <f>SUM(F33:F40)</f>
        <v>-9705</v>
      </c>
      <c r="G43" s="1106">
        <f t="shared" ref="G43:I43" si="25">SUM(G33:G40)</f>
        <v>-9705</v>
      </c>
      <c r="H43" s="1106">
        <f t="shared" si="25"/>
        <v>67714.786666666667</v>
      </c>
      <c r="I43" s="1106">
        <f t="shared" si="25"/>
        <v>-9705</v>
      </c>
      <c r="J43" s="1283">
        <f>SUM(J33:J40)</f>
        <v>38599.786666666667</v>
      </c>
      <c r="K43" s="1283">
        <f>SUM(K33:K41)</f>
        <v>470308.26256000006</v>
      </c>
      <c r="L43" s="1283">
        <f>J43-K43</f>
        <v>-431708.47589333338</v>
      </c>
      <c r="M43" s="1295">
        <f>L43/K43</f>
        <v>-0.91792662443020068</v>
      </c>
      <c r="N43" s="1294">
        <f>SUM(N33:N40)</f>
        <v>8964959.3530928232</v>
      </c>
      <c r="O43" s="1295">
        <f>K43/N43</f>
        <v>5.2460724475872647E-2</v>
      </c>
      <c r="P43" s="1283">
        <f>J43-N43</f>
        <v>-8926359.5664261561</v>
      </c>
      <c r="Q43" s="1295">
        <f>P43/N43</f>
        <v>-0.99569437125742788</v>
      </c>
      <c r="R43" s="1273"/>
    </row>
    <row r="44" spans="1:18">
      <c r="A44" s="28"/>
      <c r="B44" s="28"/>
      <c r="C44" s="90"/>
      <c r="D44" s="1105" t="s">
        <v>1628</v>
      </c>
      <c r="E44" s="699"/>
      <c r="F44" s="1106">
        <f t="shared" ref="F44:J44" si="26">SUM(F33:F41)</f>
        <v>321</v>
      </c>
      <c r="G44" s="1106">
        <f t="shared" si="26"/>
        <v>321</v>
      </c>
      <c r="H44" s="1106">
        <f t="shared" si="26"/>
        <v>77740.786666666667</v>
      </c>
      <c r="I44" s="1106">
        <f t="shared" si="26"/>
        <v>321</v>
      </c>
      <c r="J44" s="1106">
        <f t="shared" si="26"/>
        <v>78703.786666666667</v>
      </c>
      <c r="K44" s="1281"/>
      <c r="L44" s="1281"/>
      <c r="M44" s="1281"/>
      <c r="N44" s="1297">
        <f>SUM(N33:N41)</f>
        <v>9438076.6330928225</v>
      </c>
      <c r="O44" s="1250"/>
      <c r="P44" s="1106">
        <f>J44-N44</f>
        <v>-9359372.8464261554</v>
      </c>
      <c r="Q44" s="1107">
        <f>(J44-N44)/N44</f>
        <v>-0.99166103542847839</v>
      </c>
      <c r="R44" s="1269"/>
    </row>
    <row r="45" spans="1:18" outlineLevel="1">
      <c r="A45" s="17" t="s">
        <v>3</v>
      </c>
      <c r="B45" s="17"/>
      <c r="C45" s="90" t="s">
        <v>31</v>
      </c>
      <c r="D45" s="45" t="s">
        <v>32</v>
      </c>
      <c r="E45" s="5">
        <f>'部分费用明细（水电植物耗材茶歇）'!E40</f>
        <v>85</v>
      </c>
      <c r="F45" s="24">
        <f t="shared" ref="F45:I58" si="27">$E45*3</f>
        <v>255</v>
      </c>
      <c r="G45" s="24">
        <f t="shared" si="27"/>
        <v>255</v>
      </c>
      <c r="H45" s="24">
        <f t="shared" si="27"/>
        <v>255</v>
      </c>
      <c r="I45" s="24">
        <f t="shared" si="27"/>
        <v>255</v>
      </c>
      <c r="J45" s="24">
        <f t="shared" ref="J45:J51" si="28">F45+G45+H45+I45</f>
        <v>1020</v>
      </c>
      <c r="K45" s="1398">
        <f>'部分费用明细（水电植物耗材茶歇）'!E37*12+'部分费用明细（水电植物耗材茶歇）'!G37*12+'部分费用明细（水电植物耗材茶歇）'!M37*12+'部分费用明细（水电植物耗材茶歇）'!O37*12</f>
        <v>63994.16</v>
      </c>
      <c r="L45" s="1396">
        <f>J45+J46+J48+J49-K45+J47+J50</f>
        <v>-77194.16</v>
      </c>
      <c r="M45" s="1397">
        <f>L45/K45</f>
        <v>-1.2062688220300102</v>
      </c>
      <c r="N45" s="1253">
        <f>'2015预算稿 '!J45</f>
        <v>47796</v>
      </c>
      <c r="O45" s="1401">
        <f>K45/(N45+N46+N47+N48+N49+N50)</f>
        <v>0.11407957405645087</v>
      </c>
      <c r="P45" s="24">
        <f t="shared" si="14"/>
        <v>-46776</v>
      </c>
      <c r="Q45" s="25">
        <f t="shared" si="23"/>
        <v>-0.97865930203364293</v>
      </c>
      <c r="R45" s="1273"/>
    </row>
    <row r="46" spans="1:18" outlineLevel="1">
      <c r="A46" s="17"/>
      <c r="B46" s="17"/>
      <c r="C46" s="1386" t="s">
        <v>1680</v>
      </c>
      <c r="D46" s="45" t="s">
        <v>33</v>
      </c>
      <c r="E46" s="5">
        <f>'部分费用明细（水电植物耗材茶歇）'!I40+'部分费用明细（水电植物耗材茶歇）'!K40</f>
        <v>4790</v>
      </c>
      <c r="F46" s="24">
        <f>$E46*3</f>
        <v>14370</v>
      </c>
      <c r="G46" s="24">
        <f t="shared" si="27"/>
        <v>14370</v>
      </c>
      <c r="H46" s="24">
        <f t="shared" si="27"/>
        <v>14370</v>
      </c>
      <c r="I46" s="24">
        <f t="shared" si="27"/>
        <v>14370</v>
      </c>
      <c r="J46" s="24">
        <f t="shared" si="28"/>
        <v>57480</v>
      </c>
      <c r="K46" s="1399"/>
      <c r="L46" s="1396"/>
      <c r="M46" s="1397"/>
      <c r="N46" s="1253">
        <f>'2015预算稿 '!J46</f>
        <v>435546</v>
      </c>
      <c r="O46" s="1401"/>
      <c r="P46" s="24">
        <f t="shared" si="14"/>
        <v>-378066</v>
      </c>
      <c r="Q46" s="25">
        <f t="shared" si="23"/>
        <v>-0.86802771693460623</v>
      </c>
      <c r="R46" s="1273"/>
    </row>
    <row r="47" spans="1:18" outlineLevel="1">
      <c r="A47" s="17"/>
      <c r="B47" s="17"/>
      <c r="C47" s="1386"/>
      <c r="D47" s="46" t="s">
        <v>34</v>
      </c>
      <c r="E47" s="5"/>
      <c r="F47" s="24">
        <f t="shared" si="27"/>
        <v>0</v>
      </c>
      <c r="G47" s="24">
        <f t="shared" si="27"/>
        <v>0</v>
      </c>
      <c r="H47" s="24">
        <f t="shared" si="27"/>
        <v>0</v>
      </c>
      <c r="I47" s="24">
        <f t="shared" si="27"/>
        <v>0</v>
      </c>
      <c r="J47" s="24">
        <f t="shared" si="28"/>
        <v>0</v>
      </c>
      <c r="K47" s="1399"/>
      <c r="L47" s="1396"/>
      <c r="M47" s="1397"/>
      <c r="N47" s="1253">
        <f>'2015预算稿 '!J47</f>
        <v>324</v>
      </c>
      <c r="O47" s="1401"/>
      <c r="P47" s="24">
        <f t="shared" si="14"/>
        <v>-324</v>
      </c>
      <c r="Q47" s="25">
        <f t="shared" si="23"/>
        <v>-1</v>
      </c>
      <c r="R47" s="1272" t="s">
        <v>35</v>
      </c>
    </row>
    <row r="48" spans="1:18" outlineLevel="1">
      <c r="A48" s="17"/>
      <c r="C48" s="1386"/>
      <c r="D48" s="22" t="s">
        <v>36</v>
      </c>
      <c r="E48" s="5">
        <f>'部分费用明细（水电植物耗材茶歇）'!G40</f>
        <v>-1765</v>
      </c>
      <c r="F48" s="24">
        <f t="shared" si="27"/>
        <v>-5295</v>
      </c>
      <c r="G48" s="24">
        <f t="shared" si="27"/>
        <v>-5295</v>
      </c>
      <c r="H48" s="24">
        <f t="shared" si="27"/>
        <v>-5295</v>
      </c>
      <c r="I48" s="24">
        <f>$E48*3</f>
        <v>-5295</v>
      </c>
      <c r="J48" s="24">
        <f t="shared" si="28"/>
        <v>-21180</v>
      </c>
      <c r="K48" s="1399"/>
      <c r="L48" s="1396"/>
      <c r="M48" s="1397"/>
      <c r="N48" s="1253">
        <f>'2015预算稿 '!J48</f>
        <v>45036</v>
      </c>
      <c r="O48" s="1401"/>
      <c r="P48" s="24">
        <f t="shared" si="14"/>
        <v>-66216</v>
      </c>
      <c r="Q48" s="25">
        <f t="shared" si="23"/>
        <v>-1.4702904343192114</v>
      </c>
      <c r="R48" s="1273"/>
    </row>
    <row r="49" spans="1:18" outlineLevel="1">
      <c r="A49" s="17"/>
      <c r="B49" s="17"/>
      <c r="C49" s="1386"/>
      <c r="D49" s="22" t="s">
        <v>593</v>
      </c>
      <c r="E49" s="5">
        <f>'部分费用明细（水电植物耗材茶歇）'!O40</f>
        <v>-4210</v>
      </c>
      <c r="F49" s="24">
        <f t="shared" si="27"/>
        <v>-12630</v>
      </c>
      <c r="G49" s="24">
        <f t="shared" si="27"/>
        <v>-12630</v>
      </c>
      <c r="H49" s="24">
        <f t="shared" si="27"/>
        <v>-12630</v>
      </c>
      <c r="I49" s="24">
        <f t="shared" si="27"/>
        <v>-12630</v>
      </c>
      <c r="J49" s="24">
        <f t="shared" si="28"/>
        <v>-50520</v>
      </c>
      <c r="K49" s="1399"/>
      <c r="L49" s="1396"/>
      <c r="M49" s="1397"/>
      <c r="N49" s="1253">
        <f>'2015预算稿 '!J49</f>
        <v>12870.72</v>
      </c>
      <c r="O49" s="1401"/>
      <c r="P49" s="24">
        <f t="shared" si="14"/>
        <v>-63390.720000000001</v>
      </c>
      <c r="Q49" s="25">
        <f t="shared" si="23"/>
        <v>-4.9251883344521525</v>
      </c>
      <c r="R49" s="1280" t="s">
        <v>1646</v>
      </c>
    </row>
    <row r="50" spans="1:18" outlineLevel="1">
      <c r="A50" s="17"/>
      <c r="B50" s="17"/>
      <c r="C50" s="1386"/>
      <c r="D50" s="22" t="s">
        <v>37</v>
      </c>
      <c r="E50" s="5">
        <v>0</v>
      </c>
      <c r="F50" s="24">
        <f t="shared" si="27"/>
        <v>0</v>
      </c>
      <c r="G50" s="24">
        <f t="shared" si="27"/>
        <v>0</v>
      </c>
      <c r="H50" s="24">
        <f t="shared" si="27"/>
        <v>0</v>
      </c>
      <c r="I50" s="24">
        <f t="shared" si="27"/>
        <v>0</v>
      </c>
      <c r="J50" s="24">
        <f t="shared" si="28"/>
        <v>0</v>
      </c>
      <c r="K50" s="1399"/>
      <c r="L50" s="1396"/>
      <c r="M50" s="1397"/>
      <c r="N50" s="1345">
        <f>'2015预算稿 '!J51</f>
        <v>19388</v>
      </c>
      <c r="O50" s="1401"/>
      <c r="P50" s="24">
        <f t="shared" si="14"/>
        <v>-19388</v>
      </c>
      <c r="Q50" s="25">
        <f t="shared" si="23"/>
        <v>-1</v>
      </c>
      <c r="R50" s="1273" t="s">
        <v>956</v>
      </c>
    </row>
    <row r="51" spans="1:18" hidden="1" outlineLevel="2">
      <c r="A51" s="17"/>
      <c r="B51" s="35" t="s">
        <v>14</v>
      </c>
      <c r="C51" s="90"/>
      <c r="D51" s="1095" t="s">
        <v>602</v>
      </c>
      <c r="E51" s="1096">
        <f>'部分费用明细（水电植物耗材茶歇）'!Q40+'部分费用明细（水电植物耗材茶歇）'!S40</f>
        <v>2834.6</v>
      </c>
      <c r="F51" s="1093">
        <f>$E51*3</f>
        <v>8503.7999999999993</v>
      </c>
      <c r="G51" s="1093">
        <f>$E51*3</f>
        <v>8503.7999999999993</v>
      </c>
      <c r="H51" s="1093">
        <f>$E51*3</f>
        <v>8503.7999999999993</v>
      </c>
      <c r="I51" s="1093">
        <f>$E51*3</f>
        <v>8503.7999999999993</v>
      </c>
      <c r="J51" s="1093">
        <f t="shared" si="28"/>
        <v>34015.199999999997</v>
      </c>
      <c r="K51" s="1093"/>
      <c r="L51" s="1093"/>
      <c r="M51" s="1093"/>
      <c r="N51" s="1261">
        <f>'2015预算稿 '!J52</f>
        <v>133748.64000000001</v>
      </c>
      <c r="O51" s="1254"/>
      <c r="P51" s="1093">
        <f t="shared" si="14"/>
        <v>-99733.440000000017</v>
      </c>
      <c r="Q51" s="1288">
        <f t="shared" si="23"/>
        <v>-0.74567816166205503</v>
      </c>
      <c r="R51" s="1273" t="s">
        <v>955</v>
      </c>
    </row>
    <row r="52" spans="1:18" hidden="1" outlineLevel="2">
      <c r="A52" s="17"/>
      <c r="B52" s="35"/>
      <c r="C52" s="90"/>
      <c r="D52" s="1285" t="s">
        <v>1570</v>
      </c>
      <c r="E52" s="1096"/>
      <c r="F52" s="1286">
        <f>SUM(F51)</f>
        <v>8503.7999999999993</v>
      </c>
      <c r="G52" s="1286">
        <f t="shared" ref="G52:I52" si="29">SUM(G51)</f>
        <v>8503.7999999999993</v>
      </c>
      <c r="H52" s="1286">
        <f t="shared" si="29"/>
        <v>8503.7999999999993</v>
      </c>
      <c r="I52" s="1286">
        <f t="shared" si="29"/>
        <v>8503.7999999999993</v>
      </c>
      <c r="J52" s="1286">
        <f>SUM(J51)</f>
        <v>34015.199999999997</v>
      </c>
      <c r="K52" s="1093"/>
      <c r="L52" s="1093"/>
      <c r="M52" s="1093"/>
      <c r="N52" s="1292">
        <f>SUM(N51)</f>
        <v>133748.64000000001</v>
      </c>
      <c r="O52" s="1254"/>
      <c r="P52" s="1286">
        <f>J52-N52</f>
        <v>-99733.440000000017</v>
      </c>
      <c r="Q52" s="1290">
        <f>P52/N52</f>
        <v>-0.74567816166205503</v>
      </c>
      <c r="R52" s="1273"/>
    </row>
    <row r="53" spans="1:18" outlineLevel="1" collapsed="1">
      <c r="A53" s="17"/>
      <c r="B53" s="35"/>
      <c r="C53" s="90"/>
      <c r="D53" s="1105" t="s">
        <v>1571</v>
      </c>
      <c r="E53" s="699"/>
      <c r="F53" s="1106">
        <f>SUM(F45:F50)</f>
        <v>-3300</v>
      </c>
      <c r="G53" s="1106">
        <f t="shared" ref="G53:I53" si="30">SUM(G45:G50)</f>
        <v>-3300</v>
      </c>
      <c r="H53" s="1106">
        <f t="shared" si="30"/>
        <v>-3300</v>
      </c>
      <c r="I53" s="1106">
        <f t="shared" si="30"/>
        <v>-3300</v>
      </c>
      <c r="J53" s="1283">
        <f>SUM(J45:J50)</f>
        <v>-13200</v>
      </c>
      <c r="K53" s="1283">
        <f>K45</f>
        <v>63994.16</v>
      </c>
      <c r="L53" s="1283">
        <f>J53-K53</f>
        <v>-77194.16</v>
      </c>
      <c r="M53" s="1295">
        <f>L53/K53</f>
        <v>-1.2062688220300102</v>
      </c>
      <c r="N53" s="1294">
        <f>SUM(N45:N50)</f>
        <v>560960.72</v>
      </c>
      <c r="O53" s="1295">
        <f>K53/N53</f>
        <v>0.11407957405645087</v>
      </c>
      <c r="P53" s="1309">
        <f>J53-N53</f>
        <v>-574160.72</v>
      </c>
      <c r="Q53" s="1296">
        <f>P53/N53</f>
        <v>-1.0235310593583093</v>
      </c>
      <c r="R53" s="1273"/>
    </row>
    <row r="54" spans="1:18">
      <c r="A54" s="17"/>
      <c r="B54" s="17"/>
      <c r="C54" s="90"/>
      <c r="D54" s="1108" t="s">
        <v>1627</v>
      </c>
      <c r="E54" s="699"/>
      <c r="F54" s="1106">
        <f>SUM(F45:F51)</f>
        <v>5203.7999999999993</v>
      </c>
      <c r="G54" s="1106">
        <f>SUM(G45:G51)</f>
        <v>5203.7999999999993</v>
      </c>
      <c r="H54" s="1106">
        <f>SUM(H45:H51)</f>
        <v>5203.7999999999993</v>
      </c>
      <c r="I54" s="1106">
        <f>SUM(I45:I51)</f>
        <v>5203.7999999999993</v>
      </c>
      <c r="J54" s="1106">
        <f>SUM(J45:J51)</f>
        <v>20815.199999999997</v>
      </c>
      <c r="K54" s="1281"/>
      <c r="L54" s="1281"/>
      <c r="M54" s="1281"/>
      <c r="N54" s="1297">
        <f>SUM(N45:N51)</f>
        <v>694709.36</v>
      </c>
      <c r="O54" s="1250"/>
      <c r="P54" s="1106">
        <f>J54-N54</f>
        <v>-673894.16</v>
      </c>
      <c r="Q54" s="1107">
        <f t="shared" ref="Q54:Q71" si="31">(J54-N54)/N54</f>
        <v>-0.97003754203052628</v>
      </c>
      <c r="R54" s="30"/>
    </row>
    <row r="55" spans="1:18" outlineLevel="1">
      <c r="A55" s="17" t="s">
        <v>3</v>
      </c>
      <c r="B55" s="17"/>
      <c r="C55" s="90" t="s">
        <v>38</v>
      </c>
      <c r="D55" s="45" t="s">
        <v>39</v>
      </c>
      <c r="E55" s="5">
        <f>保安服务费!H12</f>
        <v>22.094999999999999</v>
      </c>
      <c r="F55" s="24">
        <f t="shared" si="27"/>
        <v>66.284999999999997</v>
      </c>
      <c r="G55" s="24">
        <f t="shared" si="27"/>
        <v>66.284999999999997</v>
      </c>
      <c r="H55" s="24">
        <f t="shared" si="27"/>
        <v>66.284999999999997</v>
      </c>
      <c r="I55" s="24">
        <f t="shared" si="27"/>
        <v>66.284999999999997</v>
      </c>
      <c r="J55" s="24">
        <f>F55+G55+H55+I55</f>
        <v>265.14</v>
      </c>
      <c r="K55" s="24">
        <f>'[20]2015预算稿 '!$G$54+'[20]2015预算稿 '!$J$54+'[20]2015预算稿 '!$M$54+'[20]2015预算稿 '!$M$54</f>
        <v>163411.20000000001</v>
      </c>
      <c r="L55" s="24">
        <f>J55-K55</f>
        <v>-163146.06</v>
      </c>
      <c r="M55" s="1001">
        <f>(J55-K55)/K55</f>
        <v>-0.99837746739513566</v>
      </c>
      <c r="N55" s="1257">
        <f>'2015预算稿 '!J54</f>
        <v>220128</v>
      </c>
      <c r="O55" s="1001">
        <f>K55/N55</f>
        <v>0.74234627126035768</v>
      </c>
      <c r="P55" s="24">
        <f t="shared" si="14"/>
        <v>-219862.86</v>
      </c>
      <c r="Q55" s="25">
        <f t="shared" si="31"/>
        <v>-0.99879551897078056</v>
      </c>
      <c r="R55" s="27" t="s">
        <v>1647</v>
      </c>
    </row>
    <row r="56" spans="1:18" outlineLevel="1">
      <c r="A56" s="17"/>
      <c r="B56" s="17"/>
      <c r="C56" s="1387" t="s">
        <v>1671</v>
      </c>
      <c r="D56" s="22" t="s">
        <v>40</v>
      </c>
      <c r="E56" s="5">
        <f>保安服务费!H25</f>
        <v>50</v>
      </c>
      <c r="F56" s="24">
        <f t="shared" si="27"/>
        <v>150</v>
      </c>
      <c r="G56" s="24">
        <f t="shared" si="27"/>
        <v>150</v>
      </c>
      <c r="H56" s="24">
        <f t="shared" si="27"/>
        <v>150</v>
      </c>
      <c r="I56" s="24">
        <f t="shared" si="27"/>
        <v>150</v>
      </c>
      <c r="J56" s="24">
        <f>F56+G56+H56+I56</f>
        <v>600</v>
      </c>
      <c r="K56" s="24">
        <f>'2015年ES实际花费数据'!V49</f>
        <v>3901</v>
      </c>
      <c r="L56" s="24">
        <f>J56-K56</f>
        <v>-3301</v>
      </c>
      <c r="M56" s="1001">
        <f>(J56-K56)/K56</f>
        <v>-0.84619328377339142</v>
      </c>
      <c r="N56" s="1257">
        <f>'2015预算稿 '!J55</f>
        <v>394800</v>
      </c>
      <c r="O56" s="1001">
        <f>K56/N56</f>
        <v>9.8809523809523809E-3</v>
      </c>
      <c r="P56" s="24">
        <f t="shared" si="14"/>
        <v>-394200</v>
      </c>
      <c r="Q56" s="25">
        <f t="shared" si="31"/>
        <v>-0.99848024316109418</v>
      </c>
      <c r="R56" s="1273"/>
    </row>
    <row r="57" spans="1:18" outlineLevel="1">
      <c r="A57" s="17"/>
      <c r="B57" s="17"/>
      <c r="C57" s="1388"/>
      <c r="D57" s="22" t="s">
        <v>594</v>
      </c>
      <c r="E57" s="5">
        <f>保安服务费!H37</f>
        <v>20.2</v>
      </c>
      <c r="F57" s="24">
        <f t="shared" si="27"/>
        <v>60.599999999999994</v>
      </c>
      <c r="G57" s="24">
        <f t="shared" si="27"/>
        <v>60.599999999999994</v>
      </c>
      <c r="H57" s="24">
        <f t="shared" si="27"/>
        <v>60.599999999999994</v>
      </c>
      <c r="I57" s="24">
        <f t="shared" si="27"/>
        <v>60.599999999999994</v>
      </c>
      <c r="J57" s="24">
        <f>F57+G57+H57+I57</f>
        <v>242.39999999999998</v>
      </c>
      <c r="K57" s="24">
        <f>'2015年ES实际花费数据'!V51</f>
        <v>3102</v>
      </c>
      <c r="L57" s="24">
        <f>J57-K57</f>
        <v>-2859.6</v>
      </c>
      <c r="M57" s="1001">
        <f>(J57-K57)/K57</f>
        <v>-0.92185686653771759</v>
      </c>
      <c r="N57" s="1258">
        <f>'2015预算稿 '!J56</f>
        <v>94752</v>
      </c>
      <c r="O57" s="1001">
        <f>K57/N57</f>
        <v>3.273809523809524E-2</v>
      </c>
      <c r="P57" s="24">
        <f t="shared" si="14"/>
        <v>-94509.6</v>
      </c>
      <c r="Q57" s="25">
        <f t="shared" si="31"/>
        <v>-0.99744174265450869</v>
      </c>
      <c r="R57" s="27" t="s">
        <v>1648</v>
      </c>
    </row>
    <row r="58" spans="1:18" outlineLevel="1">
      <c r="A58" s="17"/>
      <c r="B58" s="17"/>
      <c r="C58" s="90"/>
      <c r="D58" s="22" t="s">
        <v>41</v>
      </c>
      <c r="E58" s="5">
        <v>0</v>
      </c>
      <c r="F58" s="24">
        <f t="shared" si="27"/>
        <v>0</v>
      </c>
      <c r="G58" s="24">
        <f t="shared" si="27"/>
        <v>0</v>
      </c>
      <c r="H58" s="24">
        <f t="shared" si="27"/>
        <v>0</v>
      </c>
      <c r="I58" s="24">
        <f t="shared" si="27"/>
        <v>0</v>
      </c>
      <c r="J58" s="24">
        <f>F58+G58+H58+I58</f>
        <v>0</v>
      </c>
      <c r="K58" s="24">
        <f>'2015年ES实际花费数据'!V53</f>
        <v>1296</v>
      </c>
      <c r="L58" s="24">
        <f>J58-K58</f>
        <v>-1296</v>
      </c>
      <c r="M58" s="1001">
        <f>(J58-K58)/K58</f>
        <v>-1</v>
      </c>
      <c r="N58" s="1258">
        <f>'2015预算稿 '!J58</f>
        <v>131600</v>
      </c>
      <c r="O58" s="1001">
        <f>K58/N58</f>
        <v>9.848024316109422E-3</v>
      </c>
      <c r="P58" s="24">
        <f t="shared" si="14"/>
        <v>-131600</v>
      </c>
      <c r="Q58" s="25">
        <f t="shared" si="31"/>
        <v>-1</v>
      </c>
      <c r="R58" s="1273" t="s">
        <v>956</v>
      </c>
    </row>
    <row r="59" spans="1:18" hidden="1" outlineLevel="2">
      <c r="A59" s="17"/>
      <c r="B59" s="35" t="s">
        <v>14</v>
      </c>
      <c r="C59" s="90"/>
      <c r="D59" s="1095" t="s">
        <v>603</v>
      </c>
      <c r="E59" s="1096">
        <f>保安服务费!H52+保安服务费!H65</f>
        <v>99.8</v>
      </c>
      <c r="F59" s="1093">
        <f>$E59*3</f>
        <v>299.39999999999998</v>
      </c>
      <c r="G59" s="1093">
        <f>$E59*3</f>
        <v>299.39999999999998</v>
      </c>
      <c r="H59" s="1093">
        <f>$E59*3</f>
        <v>299.39999999999998</v>
      </c>
      <c r="I59" s="1093">
        <f>$E59*3</f>
        <v>299.39999999999998</v>
      </c>
      <c r="J59" s="1093">
        <f>F59+G59+H59+I59</f>
        <v>1197.5999999999999</v>
      </c>
      <c r="K59" s="1093"/>
      <c r="L59" s="1093"/>
      <c r="M59" s="1093"/>
      <c r="N59" s="1261">
        <f>'2015预算稿 '!J59</f>
        <v>1083648</v>
      </c>
      <c r="O59" s="1254"/>
      <c r="P59" s="1093">
        <f t="shared" si="14"/>
        <v>-1082450.3999999999</v>
      </c>
      <c r="Q59" s="1288">
        <f t="shared" si="31"/>
        <v>-0.99889484408221108</v>
      </c>
      <c r="R59" s="1273" t="s">
        <v>958</v>
      </c>
    </row>
    <row r="60" spans="1:18" hidden="1" outlineLevel="2">
      <c r="A60" s="17"/>
      <c r="B60" s="35"/>
      <c r="C60" s="90"/>
      <c r="D60" s="1285" t="s">
        <v>1572</v>
      </c>
      <c r="E60" s="1096"/>
      <c r="F60" s="1286">
        <f>SUM(F59)</f>
        <v>299.39999999999998</v>
      </c>
      <c r="G60" s="1286">
        <f t="shared" ref="G60:I60" si="32">SUM(G59)</f>
        <v>299.39999999999998</v>
      </c>
      <c r="H60" s="1286">
        <f t="shared" si="32"/>
        <v>299.39999999999998</v>
      </c>
      <c r="I60" s="1286">
        <f t="shared" si="32"/>
        <v>299.39999999999998</v>
      </c>
      <c r="J60" s="1286">
        <f>SUM(J59)</f>
        <v>1197.5999999999999</v>
      </c>
      <c r="K60" s="1093"/>
      <c r="L60" s="1093"/>
      <c r="M60" s="1093"/>
      <c r="N60" s="1292">
        <f>SUM(N59)</f>
        <v>1083648</v>
      </c>
      <c r="O60" s="1293"/>
      <c r="P60" s="1286">
        <f>J60-N60</f>
        <v>-1082450.3999999999</v>
      </c>
      <c r="Q60" s="1290">
        <f>P60/N60</f>
        <v>-0.99889484408221108</v>
      </c>
      <c r="R60" s="1273"/>
    </row>
    <row r="61" spans="1:18" outlineLevel="1" collapsed="1">
      <c r="A61" s="17"/>
      <c r="B61" s="35"/>
      <c r="C61" s="90"/>
      <c r="D61" s="1105" t="s">
        <v>1573</v>
      </c>
      <c r="E61" s="699"/>
      <c r="F61" s="1106">
        <f>SUM(F55:F58)</f>
        <v>276.88499999999999</v>
      </c>
      <c r="G61" s="1106">
        <f t="shared" ref="G61:J61" si="33">SUM(G55:G58)</f>
        <v>276.88499999999999</v>
      </c>
      <c r="H61" s="1106">
        <f t="shared" si="33"/>
        <v>276.88499999999999</v>
      </c>
      <c r="I61" s="1106">
        <f t="shared" si="33"/>
        <v>276.88499999999999</v>
      </c>
      <c r="J61" s="1283">
        <f t="shared" si="33"/>
        <v>1107.54</v>
      </c>
      <c r="K61" s="1283">
        <f>SUM(K55:K58)</f>
        <v>171710.2</v>
      </c>
      <c r="L61" s="1283">
        <f>J61-K61</f>
        <v>-170602.66</v>
      </c>
      <c r="M61" s="1295">
        <f>L61/K61</f>
        <v>-0.99354994636311644</v>
      </c>
      <c r="N61" s="1294">
        <f>SUM(N55:N58)</f>
        <v>841280</v>
      </c>
      <c r="O61" s="1295">
        <f>K61/N61</f>
        <v>0.20410588626854317</v>
      </c>
      <c r="P61" s="1283">
        <f>J61-N61</f>
        <v>-840172.46</v>
      </c>
      <c r="Q61" s="1296">
        <f>P61/N61</f>
        <v>-0.99868350608596423</v>
      </c>
      <c r="R61" s="1273"/>
    </row>
    <row r="62" spans="1:18">
      <c r="A62" s="17"/>
      <c r="B62" s="17"/>
      <c r="C62" s="90"/>
      <c r="D62" s="1108" t="s">
        <v>1626</v>
      </c>
      <c r="E62" s="699"/>
      <c r="F62" s="1106">
        <f>SUM(F55:F59)</f>
        <v>576.28499999999997</v>
      </c>
      <c r="G62" s="1106">
        <f t="shared" ref="G62:J62" si="34">SUM(G55:G59)</f>
        <v>576.28499999999997</v>
      </c>
      <c r="H62" s="1106">
        <f t="shared" si="34"/>
        <v>576.28499999999997</v>
      </c>
      <c r="I62" s="1106">
        <f t="shared" si="34"/>
        <v>576.28499999999997</v>
      </c>
      <c r="J62" s="1106">
        <f t="shared" si="34"/>
        <v>2305.14</v>
      </c>
      <c r="K62" s="1291"/>
      <c r="L62" s="1291"/>
      <c r="M62" s="1291"/>
      <c r="N62" s="1297">
        <f>SUM(N55:N59)</f>
        <v>1924928</v>
      </c>
      <c r="O62" s="1250"/>
      <c r="P62" s="1106">
        <f>J62-N62</f>
        <v>-1922622.86</v>
      </c>
      <c r="Q62" s="1107">
        <f t="shared" si="31"/>
        <v>-0.99880247988496196</v>
      </c>
      <c r="R62" s="1269"/>
    </row>
    <row r="63" spans="1:18" outlineLevel="1">
      <c r="A63" s="17" t="s">
        <v>3</v>
      </c>
      <c r="B63" s="17"/>
      <c r="C63" s="90" t="s">
        <v>42</v>
      </c>
      <c r="D63" s="45" t="s">
        <v>43</v>
      </c>
      <c r="E63" s="5">
        <f>'部分费用明细（水电植物耗材茶歇）'!C60</f>
        <v>100</v>
      </c>
      <c r="F63" s="24">
        <f>$E63*3</f>
        <v>300</v>
      </c>
      <c r="G63" s="24">
        <f>$E63*3</f>
        <v>300</v>
      </c>
      <c r="H63" s="24">
        <f>$E63*3</f>
        <v>300</v>
      </c>
      <c r="I63" s="24">
        <f>$E63*3</f>
        <v>300</v>
      </c>
      <c r="J63" s="24">
        <f t="shared" ref="J63:J68" si="35">F63+G63+H63+I63</f>
        <v>1200</v>
      </c>
      <c r="K63" s="1396">
        <f>141802.33</f>
        <v>141802.32999999999</v>
      </c>
      <c r="L63" s="1396">
        <f>J63+J64+J65+J66-K63</f>
        <v>-129802.32999999999</v>
      </c>
      <c r="M63" s="1397">
        <f>(J63+J64+J65+J66-K63)/K63</f>
        <v>-0.915375156388474</v>
      </c>
      <c r="N63" s="1253">
        <f>'2015预算稿 '!J61</f>
        <v>342</v>
      </c>
      <c r="O63" s="1401">
        <f>K63/(N63+N64+N65+N66+N67)</f>
        <v>54.081742944317313</v>
      </c>
      <c r="P63" s="24">
        <f t="shared" si="14"/>
        <v>858</v>
      </c>
      <c r="Q63" s="25">
        <f t="shared" si="31"/>
        <v>2.5087719298245612</v>
      </c>
      <c r="R63" s="1273"/>
    </row>
    <row r="64" spans="1:18" outlineLevel="1">
      <c r="A64" s="17"/>
      <c r="B64" s="17"/>
      <c r="C64" s="1382" t="s">
        <v>1681</v>
      </c>
      <c r="D64" s="45" t="s">
        <v>44</v>
      </c>
      <c r="E64" s="5">
        <f>'部分费用明细（水电植物耗材茶歇）'!D60</f>
        <v>200</v>
      </c>
      <c r="F64" s="24">
        <f t="shared" ref="F64:I67" si="36">$E64*3</f>
        <v>600</v>
      </c>
      <c r="G64" s="24">
        <f t="shared" si="36"/>
        <v>600</v>
      </c>
      <c r="H64" s="24">
        <f>$E64*3</f>
        <v>600</v>
      </c>
      <c r="I64" s="24">
        <f>$E64*3</f>
        <v>600</v>
      </c>
      <c r="J64" s="24">
        <f t="shared" si="35"/>
        <v>2400</v>
      </c>
      <c r="K64" s="1396"/>
      <c r="L64" s="1396"/>
      <c r="M64" s="1397"/>
      <c r="N64" s="1253">
        <f>'2015预算稿 '!J62</f>
        <v>684</v>
      </c>
      <c r="O64" s="1401"/>
      <c r="P64" s="24">
        <f t="shared" si="14"/>
        <v>1716</v>
      </c>
      <c r="Q64" s="25">
        <f t="shared" si="31"/>
        <v>2.5087719298245612</v>
      </c>
      <c r="R64" s="1273"/>
    </row>
    <row r="65" spans="1:18" outlineLevel="1">
      <c r="A65" s="17"/>
      <c r="B65" s="17"/>
      <c r="C65" s="1382"/>
      <c r="D65" s="22" t="s">
        <v>45</v>
      </c>
      <c r="E65" s="5">
        <f>'部分费用明细（水电植物耗材茶歇）'!E60</f>
        <v>300</v>
      </c>
      <c r="F65" s="24">
        <f t="shared" si="36"/>
        <v>900</v>
      </c>
      <c r="G65" s="24">
        <f t="shared" si="36"/>
        <v>900</v>
      </c>
      <c r="H65" s="24">
        <f t="shared" si="36"/>
        <v>900</v>
      </c>
      <c r="I65" s="24">
        <f t="shared" si="36"/>
        <v>900</v>
      </c>
      <c r="J65" s="24">
        <f t="shared" si="35"/>
        <v>3600</v>
      </c>
      <c r="K65" s="1396"/>
      <c r="L65" s="1396"/>
      <c r="M65" s="1397"/>
      <c r="N65" s="1253">
        <f>'2015预算稿 '!J63</f>
        <v>684</v>
      </c>
      <c r="O65" s="1401"/>
      <c r="P65" s="24">
        <f t="shared" si="14"/>
        <v>2916</v>
      </c>
      <c r="Q65" s="25">
        <f t="shared" si="31"/>
        <v>4.2631578947368425</v>
      </c>
      <c r="R65" s="1273"/>
    </row>
    <row r="66" spans="1:18" outlineLevel="1">
      <c r="A66" s="17"/>
      <c r="B66" s="17"/>
      <c r="C66" s="1382"/>
      <c r="D66" s="22" t="s">
        <v>595</v>
      </c>
      <c r="E66" s="5">
        <f>'部分费用明细（水电植物耗材茶歇）'!F60</f>
        <v>400</v>
      </c>
      <c r="F66" s="24">
        <f t="shared" si="36"/>
        <v>1200</v>
      </c>
      <c r="G66" s="24">
        <f t="shared" si="36"/>
        <v>1200</v>
      </c>
      <c r="H66" s="24">
        <f t="shared" si="36"/>
        <v>1200</v>
      </c>
      <c r="I66" s="24">
        <f t="shared" si="36"/>
        <v>1200</v>
      </c>
      <c r="J66" s="24">
        <f t="shared" si="35"/>
        <v>4800</v>
      </c>
      <c r="K66" s="1396"/>
      <c r="L66" s="1396"/>
      <c r="M66" s="1397"/>
      <c r="N66" s="1253">
        <f>'2015预算稿 '!J64</f>
        <v>684</v>
      </c>
      <c r="O66" s="1401"/>
      <c r="P66" s="24">
        <f t="shared" si="14"/>
        <v>4116</v>
      </c>
      <c r="Q66" s="25">
        <f t="shared" si="31"/>
        <v>6.0175438596491224</v>
      </c>
      <c r="R66" s="1280" t="s">
        <v>1649</v>
      </c>
    </row>
    <row r="67" spans="1:18" outlineLevel="1">
      <c r="A67" s="17"/>
      <c r="B67" s="17"/>
      <c r="C67" s="90"/>
      <c r="D67" s="22" t="s">
        <v>46</v>
      </c>
      <c r="E67" s="5">
        <v>0</v>
      </c>
      <c r="F67" s="24">
        <f t="shared" si="36"/>
        <v>0</v>
      </c>
      <c r="G67" s="24">
        <f t="shared" si="36"/>
        <v>0</v>
      </c>
      <c r="H67" s="24">
        <f t="shared" si="36"/>
        <v>0</v>
      </c>
      <c r="I67" s="24">
        <f t="shared" si="36"/>
        <v>0</v>
      </c>
      <c r="J67" s="24">
        <f t="shared" si="35"/>
        <v>0</v>
      </c>
      <c r="K67" s="1396"/>
      <c r="L67" s="1396"/>
      <c r="M67" s="1397"/>
      <c r="N67" s="1253">
        <f>'2015预算稿 '!J66</f>
        <v>228</v>
      </c>
      <c r="O67" s="1401"/>
      <c r="P67" s="24">
        <f t="shared" si="14"/>
        <v>-228</v>
      </c>
      <c r="Q67" s="25">
        <f t="shared" si="31"/>
        <v>-1</v>
      </c>
      <c r="R67" s="1273" t="s">
        <v>1108</v>
      </c>
    </row>
    <row r="68" spans="1:18" hidden="1" outlineLevel="2">
      <c r="A68" s="17"/>
      <c r="B68" s="35" t="s">
        <v>14</v>
      </c>
      <c r="C68" s="90"/>
      <c r="D68" s="1095" t="s">
        <v>604</v>
      </c>
      <c r="E68" s="1096">
        <f>'部分费用明细（水电植物耗材茶歇）'!G60+'部分费用明细（水电植物耗材茶歇）'!H60</f>
        <v>322</v>
      </c>
      <c r="F68" s="1093">
        <f>$E68*3</f>
        <v>966</v>
      </c>
      <c r="G68" s="1093">
        <f>$E68*3</f>
        <v>966</v>
      </c>
      <c r="H68" s="1093">
        <f>$E68*3</f>
        <v>966</v>
      </c>
      <c r="I68" s="1093">
        <f>$E68*3</f>
        <v>966</v>
      </c>
      <c r="J68" s="1093">
        <f t="shared" si="35"/>
        <v>3864</v>
      </c>
      <c r="K68" s="1093"/>
      <c r="L68" s="1093"/>
      <c r="M68" s="1093"/>
      <c r="N68" s="1261">
        <f>'2015预算稿 '!J67</f>
        <v>684</v>
      </c>
      <c r="O68" s="1254"/>
      <c r="P68" s="1093">
        <f t="shared" si="14"/>
        <v>3180</v>
      </c>
      <c r="Q68" s="1288">
        <f t="shared" si="31"/>
        <v>4.6491228070175437</v>
      </c>
      <c r="R68" s="1273"/>
    </row>
    <row r="69" spans="1:18" hidden="1" outlineLevel="2">
      <c r="A69" s="17"/>
      <c r="B69" s="35"/>
      <c r="C69" s="90"/>
      <c r="D69" s="1285" t="s">
        <v>1574</v>
      </c>
      <c r="E69" s="1096"/>
      <c r="F69" s="1286">
        <f>SUM(F68)</f>
        <v>966</v>
      </c>
      <c r="G69" s="1286">
        <f t="shared" ref="G69:I69" si="37">SUM(G68)</f>
        <v>966</v>
      </c>
      <c r="H69" s="1286">
        <f t="shared" si="37"/>
        <v>966</v>
      </c>
      <c r="I69" s="1286">
        <f t="shared" si="37"/>
        <v>966</v>
      </c>
      <c r="J69" s="1286">
        <f>SUM(J68)</f>
        <v>3864</v>
      </c>
      <c r="K69" s="1093"/>
      <c r="L69" s="1093"/>
      <c r="M69" s="1093"/>
      <c r="N69" s="1292">
        <f>SUM(N68)</f>
        <v>684</v>
      </c>
      <c r="O69" s="1254"/>
      <c r="P69" s="1093"/>
      <c r="Q69" s="1288"/>
      <c r="R69" s="1273"/>
    </row>
    <row r="70" spans="1:18" outlineLevel="1" collapsed="1">
      <c r="A70" s="17"/>
      <c r="B70" s="35"/>
      <c r="C70" s="90"/>
      <c r="D70" s="1105" t="s">
        <v>1575</v>
      </c>
      <c r="E70" s="699"/>
      <c r="F70" s="1106">
        <f>SUM(F63:F67)</f>
        <v>3000</v>
      </c>
      <c r="G70" s="1106">
        <f t="shared" ref="G70:J70" si="38">SUM(G63:G67)</f>
        <v>3000</v>
      </c>
      <c r="H70" s="1106">
        <f t="shared" si="38"/>
        <v>3000</v>
      </c>
      <c r="I70" s="1106">
        <f t="shared" si="38"/>
        <v>3000</v>
      </c>
      <c r="J70" s="1283">
        <f t="shared" si="38"/>
        <v>12000</v>
      </c>
      <c r="K70" s="1283">
        <f>K63</f>
        <v>141802.32999999999</v>
      </c>
      <c r="L70" s="1283">
        <f>J70-K70</f>
        <v>-129802.32999999999</v>
      </c>
      <c r="M70" s="1295">
        <f>L70/K70</f>
        <v>-0.915375156388474</v>
      </c>
      <c r="N70" s="1294">
        <f>SUM(N63:N67)</f>
        <v>2622</v>
      </c>
      <c r="O70" s="1295">
        <f>K70/N70</f>
        <v>54.081742944317313</v>
      </c>
      <c r="P70" s="1283">
        <f>J70-N70</f>
        <v>9378</v>
      </c>
      <c r="Q70" s="1296">
        <f>P70/N70</f>
        <v>3.5766590389016018</v>
      </c>
      <c r="R70" s="1273"/>
    </row>
    <row r="71" spans="1:18">
      <c r="A71" s="17"/>
      <c r="B71" s="17"/>
      <c r="C71" s="90"/>
      <c r="D71" s="1108" t="s">
        <v>1625</v>
      </c>
      <c r="E71" s="998"/>
      <c r="F71" s="1106">
        <f>SUM(F63:F68)</f>
        <v>3966</v>
      </c>
      <c r="G71" s="1106">
        <f>SUM(G63:G68)</f>
        <v>3966</v>
      </c>
      <c r="H71" s="1106">
        <f>SUM(H63:H68)</f>
        <v>3966</v>
      </c>
      <c r="I71" s="1106">
        <f>SUM(I63:I68)</f>
        <v>3966</v>
      </c>
      <c r="J71" s="1106">
        <f>SUM(J63:J68)</f>
        <v>15864</v>
      </c>
      <c r="K71" s="1281"/>
      <c r="L71" s="1281"/>
      <c r="M71" s="1281"/>
      <c r="N71" s="1297">
        <f>SUM(N63:N68)</f>
        <v>3306</v>
      </c>
      <c r="O71" s="1250"/>
      <c r="P71" s="1106">
        <f>J71-N71</f>
        <v>12558</v>
      </c>
      <c r="Q71" s="1107">
        <f t="shared" si="31"/>
        <v>3.7985480943738659</v>
      </c>
      <c r="R71" s="1273"/>
    </row>
    <row r="72" spans="1:18" outlineLevel="1">
      <c r="A72" s="17" t="s">
        <v>3</v>
      </c>
      <c r="B72" s="17"/>
      <c r="C72" s="90" t="s">
        <v>1616</v>
      </c>
      <c r="D72" s="45" t="s">
        <v>47</v>
      </c>
      <c r="E72" s="5">
        <f>保洁服务费!D9</f>
        <v>13.865</v>
      </c>
      <c r="F72" s="24">
        <f>$E72*3</f>
        <v>41.594999999999999</v>
      </c>
      <c r="G72" s="24">
        <f>$E72*3</f>
        <v>41.594999999999999</v>
      </c>
      <c r="H72" s="24">
        <f t="shared" ref="F72:I75" si="39">$E72*3</f>
        <v>41.594999999999999</v>
      </c>
      <c r="I72" s="24">
        <f t="shared" si="39"/>
        <v>41.594999999999999</v>
      </c>
      <c r="J72" s="24">
        <f>F72+G72+H72+I72</f>
        <v>166.38</v>
      </c>
      <c r="K72" s="24">
        <f>'2015年ES实际花费数据'!V63</f>
        <v>8674</v>
      </c>
      <c r="L72" s="24">
        <f>J72-K72</f>
        <v>-8507.6200000000008</v>
      </c>
      <c r="M72" s="1001">
        <f>(J72-K72)/K72</f>
        <v>-0.98081853816001852</v>
      </c>
      <c r="N72" s="1257">
        <f>'2015预算稿 '!J70</f>
        <v>15120</v>
      </c>
      <c r="O72" s="1001">
        <f>K72/N72</f>
        <v>0.57367724867724867</v>
      </c>
      <c r="P72" s="24">
        <f t="shared" si="14"/>
        <v>-14953.62</v>
      </c>
      <c r="Q72" s="25">
        <f t="shared" ref="Q72:Q97" si="40">(J72-N72)/N72</f>
        <v>-0.98899603174603179</v>
      </c>
      <c r="R72" s="1273" t="s">
        <v>1662</v>
      </c>
    </row>
    <row r="73" spans="1:18" outlineLevel="1">
      <c r="A73" s="17"/>
      <c r="B73" s="17"/>
      <c r="C73" s="1383" t="s">
        <v>1671</v>
      </c>
      <c r="D73" s="22" t="s">
        <v>48</v>
      </c>
      <c r="E73" s="5">
        <f>保洁服务费!D18</f>
        <v>25</v>
      </c>
      <c r="F73" s="24">
        <f>$E73*3</f>
        <v>75</v>
      </c>
      <c r="G73" s="24">
        <f t="shared" si="39"/>
        <v>75</v>
      </c>
      <c r="H73" s="24">
        <f t="shared" si="39"/>
        <v>75</v>
      </c>
      <c r="I73" s="24">
        <f t="shared" si="39"/>
        <v>75</v>
      </c>
      <c r="J73" s="24">
        <f>F73+G73+H73+I73</f>
        <v>300</v>
      </c>
      <c r="K73" s="24">
        <f>'2015年ES实际花费数据'!V65</f>
        <v>1504</v>
      </c>
      <c r="L73" s="24">
        <f>J73-K73</f>
        <v>-1204</v>
      </c>
      <c r="M73" s="1001">
        <f>(J73-K73)/K73</f>
        <v>-0.80053191489361697</v>
      </c>
      <c r="N73" s="1257">
        <f>'2015预算稿 '!J72</f>
        <v>300</v>
      </c>
      <c r="O73" s="1001">
        <f>K73/N73</f>
        <v>5.0133333333333336</v>
      </c>
      <c r="P73" s="24">
        <f t="shared" si="14"/>
        <v>0</v>
      </c>
      <c r="Q73" s="25">
        <f t="shared" si="40"/>
        <v>0</v>
      </c>
      <c r="R73" s="1269" t="s">
        <v>1663</v>
      </c>
    </row>
    <row r="74" spans="1:18" ht="25.5" outlineLevel="1">
      <c r="A74" s="17"/>
      <c r="B74" s="17"/>
      <c r="C74" s="1382"/>
      <c r="D74" s="22" t="s">
        <v>596</v>
      </c>
      <c r="E74" s="5">
        <f>保洁服务费!D28</f>
        <v>12</v>
      </c>
      <c r="F74" s="24">
        <f t="shared" si="39"/>
        <v>36</v>
      </c>
      <c r="G74" s="24">
        <f t="shared" si="39"/>
        <v>36</v>
      </c>
      <c r="H74" s="24">
        <f t="shared" si="39"/>
        <v>36</v>
      </c>
      <c r="I74" s="24">
        <f t="shared" si="39"/>
        <v>36</v>
      </c>
      <c r="J74" s="24">
        <f>F74+G74+H74+I74</f>
        <v>144</v>
      </c>
      <c r="K74" s="24">
        <f>'[22]2015预算稿 '!$G$73+'[22]2015预算稿 '!$J$73+'[22]2015预算稿 '!$M$73+'[22]2015预算稿 '!$M$73</f>
        <v>52224</v>
      </c>
      <c r="L74" s="24">
        <f>J74-K74</f>
        <v>-52080</v>
      </c>
      <c r="M74" s="1001">
        <f>(J74-K74)/K74</f>
        <v>-0.99724264705882348</v>
      </c>
      <c r="N74" s="1257">
        <f>'2015预算稿 '!J73</f>
        <v>672</v>
      </c>
      <c r="O74" s="1001">
        <f>K74/N74</f>
        <v>77.714285714285708</v>
      </c>
      <c r="P74" s="24">
        <f t="shared" si="14"/>
        <v>-528</v>
      </c>
      <c r="Q74" s="25">
        <f t="shared" si="40"/>
        <v>-0.7857142857142857</v>
      </c>
      <c r="R74" s="1279" t="s">
        <v>1652</v>
      </c>
    </row>
    <row r="75" spans="1:18" outlineLevel="1">
      <c r="A75" s="17"/>
      <c r="B75" s="17"/>
      <c r="C75" s="90"/>
      <c r="D75" s="22" t="s">
        <v>49</v>
      </c>
      <c r="E75" s="5">
        <v>0</v>
      </c>
      <c r="F75" s="24">
        <f>$E75*3</f>
        <v>0</v>
      </c>
      <c r="G75" s="24">
        <f t="shared" si="39"/>
        <v>0</v>
      </c>
      <c r="H75" s="24">
        <f t="shared" si="39"/>
        <v>0</v>
      </c>
      <c r="I75" s="24">
        <f t="shared" si="39"/>
        <v>0</v>
      </c>
      <c r="J75" s="24">
        <f>F75+G75+H75+I75</f>
        <v>0</v>
      </c>
      <c r="K75" s="24">
        <f>'2015年ES实际花费数据'!V69</f>
        <v>484</v>
      </c>
      <c r="L75" s="24">
        <f>J75-K75</f>
        <v>-484</v>
      </c>
      <c r="M75" s="1001">
        <f>(J75-K75)/K75</f>
        <v>-1</v>
      </c>
      <c r="N75" s="1257">
        <f>'2015预算稿 '!J76</f>
        <v>188</v>
      </c>
      <c r="O75" s="1001">
        <f>K75/N75</f>
        <v>2.5744680851063828</v>
      </c>
      <c r="P75" s="24">
        <f>J75-N75</f>
        <v>-188</v>
      </c>
      <c r="Q75" s="25">
        <f>(J75-N75)/N75</f>
        <v>-1</v>
      </c>
      <c r="R75" s="1273" t="s">
        <v>1108</v>
      </c>
    </row>
    <row r="76" spans="1:18" hidden="1" outlineLevel="2">
      <c r="A76" s="17"/>
      <c r="B76" s="35" t="s">
        <v>14</v>
      </c>
      <c r="C76" s="90"/>
      <c r="D76" s="1095" t="s">
        <v>605</v>
      </c>
      <c r="E76" s="1096">
        <f>保洁服务费!D39+保洁服务费!D50</f>
        <v>73</v>
      </c>
      <c r="F76" s="1093">
        <f>$E76*3</f>
        <v>219</v>
      </c>
      <c r="G76" s="1093">
        <f>$E76*3</f>
        <v>219</v>
      </c>
      <c r="H76" s="1093">
        <f>$E76*3</f>
        <v>219</v>
      </c>
      <c r="I76" s="1093">
        <f>$E76*3</f>
        <v>219</v>
      </c>
      <c r="J76" s="1093">
        <f>F76+G76+H76+I76</f>
        <v>876</v>
      </c>
      <c r="K76" s="1093"/>
      <c r="L76" s="1093"/>
      <c r="M76" s="1093"/>
      <c r="N76" s="1261">
        <f>'2015预算稿 '!J74</f>
        <v>924</v>
      </c>
      <c r="O76" s="1093"/>
      <c r="P76" s="1093">
        <f t="shared" si="14"/>
        <v>-48</v>
      </c>
      <c r="Q76" s="1254">
        <f t="shared" si="40"/>
        <v>-5.1948051948051951E-2</v>
      </c>
      <c r="R76" s="1269" t="s">
        <v>1137</v>
      </c>
    </row>
    <row r="77" spans="1:18" hidden="1" outlineLevel="2">
      <c r="A77" s="17"/>
      <c r="B77" s="17"/>
      <c r="C77" s="90"/>
      <c r="D77" s="1285" t="s">
        <v>1576</v>
      </c>
      <c r="E77" s="1096"/>
      <c r="F77" s="1310">
        <f>SUM(F76)</f>
        <v>219</v>
      </c>
      <c r="G77" s="1310">
        <f t="shared" ref="G77:J77" si="41">SUM(G76)</f>
        <v>219</v>
      </c>
      <c r="H77" s="1310">
        <f t="shared" si="41"/>
        <v>219</v>
      </c>
      <c r="I77" s="1310">
        <f t="shared" si="41"/>
        <v>219</v>
      </c>
      <c r="J77" s="1310">
        <f t="shared" si="41"/>
        <v>876</v>
      </c>
      <c r="K77" s="1093"/>
      <c r="L77" s="1093"/>
      <c r="M77" s="1254"/>
      <c r="N77" s="1292">
        <f>SUM(N76)</f>
        <v>924</v>
      </c>
      <c r="O77" s="1293"/>
      <c r="P77" s="1286">
        <f>J77-N77</f>
        <v>-48</v>
      </c>
      <c r="Q77" s="1287">
        <f>P77/N77</f>
        <v>-5.1948051948051951E-2</v>
      </c>
      <c r="R77" s="1273"/>
    </row>
    <row r="78" spans="1:18" outlineLevel="1" collapsed="1">
      <c r="A78" s="17"/>
      <c r="B78" s="17"/>
      <c r="C78" s="90"/>
      <c r="D78" s="1105" t="s">
        <v>1577</v>
      </c>
      <c r="E78" s="699"/>
      <c r="F78" s="998">
        <f>SUM(F72:F75)</f>
        <v>152.595</v>
      </c>
      <c r="G78" s="998">
        <f t="shared" ref="G78:I78" si="42">SUM(G72:G75)</f>
        <v>152.595</v>
      </c>
      <c r="H78" s="998">
        <f t="shared" si="42"/>
        <v>152.595</v>
      </c>
      <c r="I78" s="998">
        <f t="shared" si="42"/>
        <v>152.595</v>
      </c>
      <c r="J78" s="1300">
        <f>SUM(J72:J75)</f>
        <v>610.38</v>
      </c>
      <c r="K78" s="1300">
        <f>SUM(K72:K75)</f>
        <v>62886</v>
      </c>
      <c r="L78" s="1300">
        <f>J78-K78</f>
        <v>-62275.62</v>
      </c>
      <c r="M78" s="1295">
        <f>L78/K78</f>
        <v>-0.99029386508920914</v>
      </c>
      <c r="N78" s="1294">
        <f>SUM(N72:N75)</f>
        <v>16280</v>
      </c>
      <c r="O78" s="1295">
        <f>K78/N78</f>
        <v>3.8627764127764128</v>
      </c>
      <c r="P78" s="1283">
        <f>J78-N78</f>
        <v>-15669.62</v>
      </c>
      <c r="Q78" s="1284">
        <f>P78/N78</f>
        <v>-0.96250737100737105</v>
      </c>
      <c r="R78" s="1273"/>
    </row>
    <row r="79" spans="1:18">
      <c r="A79" s="17"/>
      <c r="B79" s="17"/>
      <c r="C79" s="90"/>
      <c r="D79" s="1108" t="s">
        <v>1624</v>
      </c>
      <c r="E79" s="699"/>
      <c r="F79" s="1106">
        <f>SUM(F72:F76)</f>
        <v>371.59500000000003</v>
      </c>
      <c r="G79" s="1106">
        <f t="shared" ref="G79:I79" si="43">SUM(G72:G76)</f>
        <v>371.59500000000003</v>
      </c>
      <c r="H79" s="1106">
        <f t="shared" si="43"/>
        <v>371.59500000000003</v>
      </c>
      <c r="I79" s="1106">
        <f t="shared" si="43"/>
        <v>371.59500000000003</v>
      </c>
      <c r="J79" s="1106">
        <f>SUM(J72:J76)</f>
        <v>1486.38</v>
      </c>
      <c r="K79" s="997"/>
      <c r="L79" s="997"/>
      <c r="M79" s="1250"/>
      <c r="N79" s="1297">
        <f>SUM(N72:N76)</f>
        <v>17204</v>
      </c>
      <c r="O79" s="1282"/>
      <c r="P79" s="1106">
        <f>J79-N79</f>
        <v>-15717.619999999999</v>
      </c>
      <c r="Q79" s="1107">
        <f>P79/N79</f>
        <v>-0.91360265054638445</v>
      </c>
      <c r="R79" s="1273"/>
    </row>
    <row r="80" spans="1:18" outlineLevel="1">
      <c r="A80" s="17" t="s">
        <v>3</v>
      </c>
      <c r="B80" s="17"/>
      <c r="C80" s="90" t="s">
        <v>1616</v>
      </c>
      <c r="D80" s="45" t="s">
        <v>51</v>
      </c>
      <c r="E80" s="5"/>
      <c r="F80" s="5">
        <f>保洁服务费!D10/3</f>
        <v>0.11800000000000001</v>
      </c>
      <c r="G80" s="5">
        <f>保洁服务费!D10/3</f>
        <v>0.11800000000000001</v>
      </c>
      <c r="I80" s="5">
        <f>保洁服务费!D10/3</f>
        <v>0.11800000000000001</v>
      </c>
      <c r="J80" s="24">
        <f>F80+G80+H80+I80</f>
        <v>0.35400000000000004</v>
      </c>
      <c r="K80" s="24">
        <f>4050.55+2657.3+2657.3</f>
        <v>9365.1500000000015</v>
      </c>
      <c r="L80" s="24">
        <f>J80-K80</f>
        <v>-9364.7960000000021</v>
      </c>
      <c r="M80" s="1267">
        <f>L80/K80</f>
        <v>-0.99996220028509963</v>
      </c>
      <c r="N80" s="1257">
        <f>'2015预算稿 '!J78</f>
        <v>16349.302199999998</v>
      </c>
      <c r="O80" s="1001">
        <f>K80/N80</f>
        <v>0.57281649610709395</v>
      </c>
      <c r="P80" s="24">
        <f t="shared" ref="P80:P134" si="44">J80-N80</f>
        <v>-16348.948199999999</v>
      </c>
      <c r="Q80" s="25">
        <f t="shared" si="40"/>
        <v>-0.99997834769975691</v>
      </c>
      <c r="R80" s="1273" t="s">
        <v>1650</v>
      </c>
    </row>
    <row r="81" spans="1:18" outlineLevel="1">
      <c r="A81" s="17"/>
      <c r="B81" s="17"/>
      <c r="C81" s="1383" t="s">
        <v>1673</v>
      </c>
      <c r="D81" s="22" t="s">
        <v>52</v>
      </c>
      <c r="E81" s="5"/>
      <c r="F81" s="24">
        <f>保洁服务费!D19/3</f>
        <v>2</v>
      </c>
      <c r="G81" s="5">
        <f>保洁服务费!D19/3</f>
        <v>2</v>
      </c>
      <c r="H81" s="24"/>
      <c r="I81" s="5">
        <f>保洁服务费!D19/3</f>
        <v>2</v>
      </c>
      <c r="J81" s="24">
        <f>F81+G81+H81+I81</f>
        <v>6</v>
      </c>
      <c r="K81" s="24">
        <f>6800.5*3</f>
        <v>20401.5</v>
      </c>
      <c r="L81" s="24">
        <f t="shared" ref="L81:L82" si="45">J81-K81</f>
        <v>-20395.5</v>
      </c>
      <c r="M81" s="1267">
        <f t="shared" ref="M81:M82" si="46">L81/K81</f>
        <v>-0.99970590397764869</v>
      </c>
      <c r="N81" s="1257">
        <f>'2015预算稿 '!J79</f>
        <v>24750</v>
      </c>
      <c r="O81" s="1001">
        <f t="shared" ref="O81:O82" si="47">K81/N81</f>
        <v>0.82430303030303032</v>
      </c>
      <c r="P81" s="24">
        <f t="shared" si="44"/>
        <v>-24744</v>
      </c>
      <c r="Q81" s="25">
        <f t="shared" si="40"/>
        <v>-0.99975757575757573</v>
      </c>
      <c r="R81" s="1269"/>
    </row>
    <row r="82" spans="1:18" outlineLevel="1">
      <c r="A82" s="17"/>
      <c r="B82" s="17"/>
      <c r="C82" s="1382"/>
      <c r="D82" s="22" t="s">
        <v>597</v>
      </c>
      <c r="E82" s="5"/>
      <c r="F82" s="24">
        <f>保洁服务费!D29/3</f>
        <v>0.76000000000000012</v>
      </c>
      <c r="G82" s="24">
        <f>保洁服务费!D29/3</f>
        <v>0.76000000000000012</v>
      </c>
      <c r="H82" s="24"/>
      <c r="I82" s="24">
        <f>保洁服务费!D29/3</f>
        <v>0.76000000000000012</v>
      </c>
      <c r="J82" s="24">
        <f>F82+G82+I82</f>
        <v>2.2800000000000002</v>
      </c>
      <c r="K82" s="24">
        <f>1666.8+2222.4+2222.4</f>
        <v>6111.6</v>
      </c>
      <c r="L82" s="24">
        <f t="shared" si="45"/>
        <v>-6109.3200000000006</v>
      </c>
      <c r="M82" s="1267">
        <f t="shared" si="46"/>
        <v>-0.99962693893579424</v>
      </c>
      <c r="N82" s="1258">
        <f>'2015预算稿 '!J80</f>
        <v>5987.5199999999995</v>
      </c>
      <c r="O82" s="1001">
        <f t="shared" si="47"/>
        <v>1.0207231040564375</v>
      </c>
      <c r="P82" s="24">
        <f t="shared" si="44"/>
        <v>-5985.24</v>
      </c>
      <c r="Q82" s="25">
        <f t="shared" si="40"/>
        <v>-0.99961920795254133</v>
      </c>
      <c r="R82" s="1278" t="s">
        <v>1651</v>
      </c>
    </row>
    <row r="83" spans="1:18" outlineLevel="1">
      <c r="A83" s="17"/>
      <c r="B83" s="17"/>
      <c r="C83" s="1382"/>
      <c r="D83" s="22" t="s">
        <v>53</v>
      </c>
      <c r="E83" s="5">
        <v>0</v>
      </c>
      <c r="F83" s="24">
        <f>E83*3</f>
        <v>0</v>
      </c>
      <c r="G83" s="24">
        <f t="shared" ref="G83:I83" si="48">F83*3</f>
        <v>0</v>
      </c>
      <c r="H83" s="24">
        <f t="shared" si="48"/>
        <v>0</v>
      </c>
      <c r="I83" s="24">
        <f t="shared" si="48"/>
        <v>0</v>
      </c>
      <c r="J83" s="24">
        <f>'2015预算稿 '!J82</f>
        <v>0</v>
      </c>
      <c r="K83" s="24"/>
      <c r="L83" s="24"/>
      <c r="M83" s="1267"/>
      <c r="N83" s="1258">
        <f>'2015预算稿 '!J82</f>
        <v>0</v>
      </c>
      <c r="O83" s="1001"/>
      <c r="P83" s="24">
        <f t="shared" si="44"/>
        <v>0</v>
      </c>
      <c r="Q83" s="25"/>
      <c r="R83" s="1268" t="s">
        <v>1136</v>
      </c>
    </row>
    <row r="84" spans="1:18" outlineLevel="1">
      <c r="A84" s="17"/>
      <c r="B84" s="17"/>
      <c r="C84" s="90"/>
      <c r="D84" s="54" t="s">
        <v>849</v>
      </c>
      <c r="E84" s="55"/>
      <c r="F84" s="24"/>
      <c r="G84" s="24"/>
      <c r="H84" s="24"/>
      <c r="I84" s="24"/>
      <c r="J84" s="24"/>
      <c r="K84" s="24"/>
      <c r="L84" s="24"/>
      <c r="M84" s="24"/>
      <c r="N84" s="1258">
        <f>'2015预算稿 '!J84</f>
        <v>21996</v>
      </c>
      <c r="O84" s="1001">
        <f>K84/N84</f>
        <v>0</v>
      </c>
      <c r="P84" s="24">
        <f>J84-N84</f>
        <v>-21996</v>
      </c>
      <c r="Q84" s="25">
        <f>(J84-N84)/N84</f>
        <v>-1</v>
      </c>
      <c r="R84" s="1269" t="s">
        <v>1330</v>
      </c>
    </row>
    <row r="85" spans="1:18" hidden="1" outlineLevel="2">
      <c r="A85" s="17"/>
      <c r="B85" s="35" t="s">
        <v>14</v>
      </c>
      <c r="C85" s="90"/>
      <c r="D85" s="1095" t="s">
        <v>606</v>
      </c>
      <c r="E85" s="1096"/>
      <c r="F85" s="1301">
        <f>(保洁服务费!D42+保洁服务费!D51)/3</f>
        <v>716.45440000000008</v>
      </c>
      <c r="G85" s="1301">
        <f>(保洁服务费!D42+保洁服务费!D51)/3</f>
        <v>716.45440000000008</v>
      </c>
      <c r="H85" s="1301"/>
      <c r="I85" s="1301">
        <f>(保洁服务费!D42+保洁服务费!D51)/3</f>
        <v>716.45440000000008</v>
      </c>
      <c r="J85" s="1301">
        <f>F85+G85+H85+I85</f>
        <v>2149.3632000000002</v>
      </c>
      <c r="K85" s="1304"/>
      <c r="L85" s="1304"/>
      <c r="M85" s="1304"/>
      <c r="N85" s="1260">
        <f>'2015预算稿 '!J83</f>
        <v>55308.514800000004</v>
      </c>
      <c r="O85" s="1289"/>
      <c r="P85" s="1301">
        <f>J85-N85</f>
        <v>-53159.151600000005</v>
      </c>
      <c r="Q85" s="1288">
        <f t="shared" si="40"/>
        <v>-0.96113865635748363</v>
      </c>
      <c r="R85" s="1269"/>
    </row>
    <row r="86" spans="1:18" hidden="1" outlineLevel="2">
      <c r="A86" s="17"/>
      <c r="B86" s="17"/>
      <c r="C86" s="90"/>
      <c r="D86" s="1285" t="s">
        <v>1578</v>
      </c>
      <c r="E86" s="1298"/>
      <c r="F86" s="1286">
        <f>SUM(F85)</f>
        <v>716.45440000000008</v>
      </c>
      <c r="G86" s="1286">
        <f t="shared" ref="G86:I86" si="49">SUM(G85)</f>
        <v>716.45440000000008</v>
      </c>
      <c r="H86" s="1286">
        <f t="shared" si="49"/>
        <v>0</v>
      </c>
      <c r="I86" s="1286">
        <f t="shared" si="49"/>
        <v>716.45440000000008</v>
      </c>
      <c r="J86" s="1286">
        <f>SUM(J85)</f>
        <v>2149.3632000000002</v>
      </c>
      <c r="K86" s="1093"/>
      <c r="L86" s="1093"/>
      <c r="M86" s="1093"/>
      <c r="N86" s="1302">
        <f>SUM(N85)</f>
        <v>55308.514800000004</v>
      </c>
      <c r="O86" s="1293"/>
      <c r="P86" s="1286">
        <f>J86-N86</f>
        <v>-53159.151600000005</v>
      </c>
      <c r="Q86" s="1287">
        <f>P86/N86</f>
        <v>-0.96113865635748363</v>
      </c>
      <c r="R86" s="1269"/>
    </row>
    <row r="87" spans="1:18" outlineLevel="1" collapsed="1">
      <c r="A87" s="17"/>
      <c r="B87" s="17"/>
      <c r="C87" s="90"/>
      <c r="D87" s="1105" t="s">
        <v>1579</v>
      </c>
      <c r="E87" s="1299"/>
      <c r="F87" s="1106">
        <f>SUM(F80:F84)</f>
        <v>2.8780000000000001</v>
      </c>
      <c r="G87" s="1106">
        <f t="shared" ref="G87:I87" si="50">SUM(G80:G84)</f>
        <v>2.8780000000000001</v>
      </c>
      <c r="H87" s="1106">
        <f t="shared" si="50"/>
        <v>0</v>
      </c>
      <c r="I87" s="1106">
        <f t="shared" si="50"/>
        <v>2.8780000000000001</v>
      </c>
      <c r="J87" s="1283">
        <f>SUM(J80:J84)</f>
        <v>8.6340000000000003</v>
      </c>
      <c r="K87" s="1300">
        <f>SUM(K80:K84)</f>
        <v>35878.25</v>
      </c>
      <c r="L87" s="1300">
        <f>J87-K87</f>
        <v>-35869.616000000002</v>
      </c>
      <c r="M87" s="1295">
        <f>L87/K87</f>
        <v>-0.99975935281124362</v>
      </c>
      <c r="N87" s="1305">
        <f>SUM(N80:N84)</f>
        <v>69082.822199999995</v>
      </c>
      <c r="O87" s="1295">
        <f>K87/N87</f>
        <v>0.51935124908663621</v>
      </c>
      <c r="P87" s="1283">
        <f>J87-N87</f>
        <v>-69074.18819999999</v>
      </c>
      <c r="Q87" s="1284">
        <f>P87/N87</f>
        <v>-0.99987501958193004</v>
      </c>
      <c r="R87" s="1269"/>
    </row>
    <row r="88" spans="1:18">
      <c r="A88" s="17"/>
      <c r="B88" s="17"/>
      <c r="C88" s="90"/>
      <c r="D88" s="1108" t="s">
        <v>1623</v>
      </c>
      <c r="E88" s="699"/>
      <c r="F88" s="998">
        <f>SUM(F80:F85)</f>
        <v>719.33240000000012</v>
      </c>
      <c r="G88" s="998">
        <f t="shared" ref="G88:I88" si="51">SUM(G80:G85)</f>
        <v>719.33240000000012</v>
      </c>
      <c r="H88" s="998">
        <f t="shared" si="51"/>
        <v>0</v>
      </c>
      <c r="I88" s="998">
        <f t="shared" si="51"/>
        <v>719.33240000000012</v>
      </c>
      <c r="J88" s="998">
        <f>SUM(J80:J85)</f>
        <v>2157.9972000000002</v>
      </c>
      <c r="K88" s="1300"/>
      <c r="L88" s="1300"/>
      <c r="M88" s="1295"/>
      <c r="N88" s="1311">
        <f>SUM(N80:N85)</f>
        <v>124391.337</v>
      </c>
      <c r="O88" s="1250"/>
      <c r="P88" s="1106">
        <f>J88-N88</f>
        <v>-122233.3398</v>
      </c>
      <c r="Q88" s="1107">
        <f>P88/N88</f>
        <v>-0.982651547510901</v>
      </c>
      <c r="R88" s="30"/>
    </row>
    <row r="89" spans="1:18" outlineLevel="1">
      <c r="A89" s="17" t="s">
        <v>3</v>
      </c>
      <c r="B89" s="17"/>
      <c r="C89" s="90" t="s">
        <v>54</v>
      </c>
      <c r="D89" s="45" t="s">
        <v>55</v>
      </c>
      <c r="E89" s="5">
        <f>阿姨工资奖金!N8/12</f>
        <v>163.71</v>
      </c>
      <c r="F89" s="24">
        <f t="shared" ref="F89:I91" si="52">$E89*3</f>
        <v>491.13</v>
      </c>
      <c r="G89" s="24">
        <f>E89*3</f>
        <v>491.13</v>
      </c>
      <c r="H89" s="24">
        <f>E89*3</f>
        <v>491.13</v>
      </c>
      <c r="I89" s="24">
        <f>E89*3</f>
        <v>491.13</v>
      </c>
      <c r="J89" s="24">
        <f>F89+G89+H89+I89</f>
        <v>1964.52</v>
      </c>
      <c r="K89" s="24">
        <f>阿姨工资奖金!E8*12</f>
        <v>180</v>
      </c>
      <c r="L89" s="24">
        <f>J89-K89</f>
        <v>1784.52</v>
      </c>
      <c r="M89" s="1001">
        <f>(J89-K89)/K89</f>
        <v>9.9139999999999997</v>
      </c>
      <c r="N89" s="1257">
        <f>'2015预算稿 '!J86</f>
        <v>9</v>
      </c>
      <c r="O89" s="1001">
        <f>K89/N89</f>
        <v>20</v>
      </c>
      <c r="P89" s="1112">
        <f t="shared" si="44"/>
        <v>1955.52</v>
      </c>
      <c r="Q89" s="1119">
        <f t="shared" si="40"/>
        <v>217.28</v>
      </c>
      <c r="R89" s="1268" t="s">
        <v>1653</v>
      </c>
    </row>
    <row r="90" spans="1:18" outlineLevel="1">
      <c r="A90" s="17"/>
      <c r="B90" s="17"/>
      <c r="C90" s="1377" t="s">
        <v>1674</v>
      </c>
      <c r="D90" s="22" t="s">
        <v>56</v>
      </c>
      <c r="E90" s="5">
        <f>阿姨工资奖金!N16/12</f>
        <v>26.75</v>
      </c>
      <c r="F90" s="24">
        <f t="shared" si="52"/>
        <v>80.25</v>
      </c>
      <c r="G90" s="24">
        <f t="shared" si="52"/>
        <v>80.25</v>
      </c>
      <c r="H90" s="24">
        <f t="shared" si="52"/>
        <v>80.25</v>
      </c>
      <c r="I90" s="24">
        <f t="shared" si="52"/>
        <v>80.25</v>
      </c>
      <c r="J90" s="24">
        <f>F90+G90+H90+I90</f>
        <v>321</v>
      </c>
      <c r="K90" s="24">
        <f>阿姨工资奖金!E16*12</f>
        <v>180</v>
      </c>
      <c r="L90" s="24">
        <f>J90-K90</f>
        <v>141</v>
      </c>
      <c r="M90" s="1001">
        <f>(J90-K90)/K90</f>
        <v>0.78333333333333333</v>
      </c>
      <c r="N90" s="1257">
        <f>'2015预算稿 '!J87</f>
        <v>17</v>
      </c>
      <c r="O90" s="1001">
        <f>K90/N90</f>
        <v>10.588235294117647</v>
      </c>
      <c r="P90" s="24">
        <f t="shared" si="44"/>
        <v>304</v>
      </c>
      <c r="Q90" s="25">
        <f t="shared" si="40"/>
        <v>17.882352941176471</v>
      </c>
      <c r="R90" s="1268" t="s">
        <v>1660</v>
      </c>
    </row>
    <row r="91" spans="1:18" outlineLevel="1">
      <c r="A91" s="17"/>
      <c r="B91" s="17"/>
      <c r="C91" s="90"/>
      <c r="D91" s="22" t="s">
        <v>57</v>
      </c>
      <c r="E91" s="5">
        <v>0</v>
      </c>
      <c r="F91" s="24">
        <f t="shared" si="52"/>
        <v>0</v>
      </c>
      <c r="G91" s="24">
        <f t="shared" si="52"/>
        <v>0</v>
      </c>
      <c r="H91" s="24">
        <f t="shared" si="52"/>
        <v>0</v>
      </c>
      <c r="I91" s="24">
        <f t="shared" si="52"/>
        <v>0</v>
      </c>
      <c r="J91" s="24">
        <f>F91+G91+H91+I91</f>
        <v>0</v>
      </c>
      <c r="K91" s="24">
        <v>0</v>
      </c>
      <c r="L91" s="24"/>
      <c r="M91" s="24"/>
      <c r="N91" s="1257">
        <f>'2015预算稿 '!J89</f>
        <v>9.3333333333333339</v>
      </c>
      <c r="O91" s="1001">
        <f>K91/N91</f>
        <v>0</v>
      </c>
      <c r="P91" s="24">
        <f t="shared" si="44"/>
        <v>-9.3333333333333339</v>
      </c>
      <c r="Q91" s="25">
        <f t="shared" si="40"/>
        <v>-1</v>
      </c>
      <c r="R91" s="1268" t="s">
        <v>1138</v>
      </c>
    </row>
    <row r="92" spans="1:18">
      <c r="A92" s="17"/>
      <c r="B92" s="17"/>
      <c r="C92" s="90"/>
      <c r="D92" s="1108" t="s">
        <v>1159</v>
      </c>
      <c r="E92" s="699"/>
      <c r="F92" s="998">
        <f t="shared" ref="F92:K92" si="53">SUM(F89:F91)</f>
        <v>571.38</v>
      </c>
      <c r="G92" s="998">
        <f t="shared" si="53"/>
        <v>571.38</v>
      </c>
      <c r="H92" s="998">
        <f t="shared" si="53"/>
        <v>571.38</v>
      </c>
      <c r="I92" s="998">
        <f t="shared" si="53"/>
        <v>571.38</v>
      </c>
      <c r="J92" s="1283">
        <f t="shared" si="53"/>
        <v>2285.52</v>
      </c>
      <c r="K92" s="1283">
        <f t="shared" si="53"/>
        <v>360</v>
      </c>
      <c r="L92" s="1283">
        <f>J92-K92</f>
        <v>1925.52</v>
      </c>
      <c r="M92" s="1295">
        <f>L92/K92</f>
        <v>5.3486666666666665</v>
      </c>
      <c r="N92" s="1308">
        <f>SUM(N89:N91)</f>
        <v>35.333333333333336</v>
      </c>
      <c r="O92" s="1250"/>
      <c r="P92" s="1283">
        <f>J92-N92</f>
        <v>2250.1866666666665</v>
      </c>
      <c r="Q92" s="1284">
        <f>(J92-N92)/N92</f>
        <v>63.684528301886786</v>
      </c>
      <c r="R92" s="59"/>
    </row>
    <row r="93" spans="1:18" outlineLevel="1">
      <c r="A93" s="60" t="s">
        <v>3</v>
      </c>
      <c r="B93" s="60"/>
      <c r="C93" s="90" t="s">
        <v>58</v>
      </c>
      <c r="D93" s="61" t="s">
        <v>59</v>
      </c>
      <c r="E93" s="5">
        <v>0</v>
      </c>
      <c r="F93" s="24">
        <f t="shared" ref="F93:I94" si="54">$E93*3</f>
        <v>0</v>
      </c>
      <c r="G93" s="24">
        <f t="shared" si="54"/>
        <v>0</v>
      </c>
      <c r="H93" s="24">
        <f t="shared" si="54"/>
        <v>0</v>
      </c>
      <c r="I93" s="24">
        <f t="shared" si="54"/>
        <v>0</v>
      </c>
      <c r="J93" s="24">
        <f>F93+G93+H93+I93</f>
        <v>0</v>
      </c>
      <c r="K93" s="24">
        <f>'2015年ES实际花费数据'!V84</f>
        <v>7723</v>
      </c>
      <c r="L93" s="24">
        <f>J93-K93</f>
        <v>-7723</v>
      </c>
      <c r="M93" s="1001">
        <f>(J93-K93)/K93</f>
        <v>-1</v>
      </c>
      <c r="N93" s="1257">
        <f>'2015预算稿 '!J91</f>
        <v>204</v>
      </c>
      <c r="O93" s="1001">
        <f>K93/N93</f>
        <v>37.857843137254903</v>
      </c>
      <c r="P93" s="24">
        <f t="shared" si="44"/>
        <v>-204</v>
      </c>
      <c r="Q93" s="25">
        <f t="shared" si="40"/>
        <v>-1</v>
      </c>
      <c r="R93" s="1404" t="s">
        <v>1139</v>
      </c>
    </row>
    <row r="94" spans="1:18" hidden="1" outlineLevel="2">
      <c r="A94" s="60"/>
      <c r="B94" s="62" t="s">
        <v>14</v>
      </c>
      <c r="C94" s="90"/>
      <c r="D94" s="1101" t="s">
        <v>1140</v>
      </c>
      <c r="E94" s="1096">
        <v>0</v>
      </c>
      <c r="F94" s="1093">
        <f t="shared" si="54"/>
        <v>0</v>
      </c>
      <c r="G94" s="1093">
        <f t="shared" si="54"/>
        <v>0</v>
      </c>
      <c r="H94" s="1093">
        <f t="shared" si="54"/>
        <v>0</v>
      </c>
      <c r="I94" s="1093">
        <f t="shared" si="54"/>
        <v>0</v>
      </c>
      <c r="J94" s="1093">
        <f>F94+G94+H94+I94</f>
        <v>0</v>
      </c>
      <c r="K94" s="1093"/>
      <c r="L94" s="1093"/>
      <c r="M94" s="1093"/>
      <c r="N94" s="1261">
        <f>'2015预算稿 '!J92</f>
        <v>312</v>
      </c>
      <c r="O94" s="1254"/>
      <c r="P94" s="1093">
        <f t="shared" si="44"/>
        <v>-312</v>
      </c>
      <c r="Q94" s="1255">
        <f t="shared" si="40"/>
        <v>-1</v>
      </c>
      <c r="R94" s="1404"/>
    </row>
    <row r="95" spans="1:18" hidden="1" outlineLevel="2">
      <c r="A95" s="60"/>
      <c r="B95" s="62"/>
      <c r="C95" s="90"/>
      <c r="D95" s="1285" t="s">
        <v>1580</v>
      </c>
      <c r="E95" s="1096"/>
      <c r="F95" s="1093"/>
      <c r="G95" s="1093"/>
      <c r="H95" s="1093"/>
      <c r="I95" s="1093"/>
      <c r="J95" s="1093"/>
      <c r="K95" s="1093"/>
      <c r="L95" s="1093"/>
      <c r="M95" s="1093"/>
      <c r="N95" s="1292">
        <f>SUM(N94)</f>
        <v>312</v>
      </c>
      <c r="O95" s="1254"/>
      <c r="P95" s="1286">
        <f>J95-N95</f>
        <v>-312</v>
      </c>
      <c r="Q95" s="1287">
        <f>P95/N95</f>
        <v>-1</v>
      </c>
      <c r="R95" s="1268"/>
    </row>
    <row r="96" spans="1:18" outlineLevel="1" collapsed="1">
      <c r="A96" s="60"/>
      <c r="B96" s="62"/>
      <c r="C96" s="1375"/>
      <c r="D96" s="1105" t="s">
        <v>1581</v>
      </c>
      <c r="E96" s="699">
        <v>0</v>
      </c>
      <c r="F96" s="997">
        <v>0</v>
      </c>
      <c r="G96" s="997">
        <v>0</v>
      </c>
      <c r="H96" s="997">
        <v>0</v>
      </c>
      <c r="I96" s="997">
        <v>0</v>
      </c>
      <c r="J96" s="997">
        <v>0</v>
      </c>
      <c r="K96" s="1283">
        <f>SUM(K93)</f>
        <v>7723</v>
      </c>
      <c r="L96" s="1283">
        <f>J96-K96</f>
        <v>-7723</v>
      </c>
      <c r="M96" s="1295">
        <f>L96/K96</f>
        <v>-1</v>
      </c>
      <c r="N96" s="1294">
        <f>SUM(N93)</f>
        <v>204</v>
      </c>
      <c r="O96" s="1295">
        <f>K96/N96</f>
        <v>37.857843137254903</v>
      </c>
      <c r="P96" s="1283">
        <f>J96-N96</f>
        <v>-204</v>
      </c>
      <c r="Q96" s="1284">
        <f>P96/N96</f>
        <v>-1</v>
      </c>
      <c r="R96" s="1268"/>
    </row>
    <row r="97" spans="1:18">
      <c r="A97" s="17"/>
      <c r="B97" s="17"/>
      <c r="C97" s="1375"/>
      <c r="D97" s="1108" t="s">
        <v>1622</v>
      </c>
      <c r="E97" s="1109"/>
      <c r="F97" s="1106">
        <f>SUM(F93:F93)</f>
        <v>0</v>
      </c>
      <c r="G97" s="1106">
        <f>SUM(G93:G93)</f>
        <v>0</v>
      </c>
      <c r="H97" s="1106">
        <f>SUM(H93:H93)</f>
        <v>0</v>
      </c>
      <c r="I97" s="1106">
        <f>SUM(I93:I93)</f>
        <v>0</v>
      </c>
      <c r="J97" s="1106">
        <f>SUM(J93:J93)</f>
        <v>0</v>
      </c>
      <c r="K97" s="1106"/>
      <c r="L97" s="1106"/>
      <c r="M97" s="1282"/>
      <c r="N97" s="1297">
        <f>SUM(N93:N94)</f>
        <v>516</v>
      </c>
      <c r="O97" s="1250"/>
      <c r="P97" s="1106">
        <f>J97-N97</f>
        <v>-516</v>
      </c>
      <c r="Q97" s="1107">
        <f t="shared" si="40"/>
        <v>-1</v>
      </c>
      <c r="R97" s="64"/>
    </row>
    <row r="98" spans="1:18" outlineLevel="1">
      <c r="A98" s="60" t="s">
        <v>3</v>
      </c>
      <c r="B98" s="17"/>
      <c r="C98" s="90" t="s">
        <v>1163</v>
      </c>
      <c r="D98" s="45" t="s">
        <v>61</v>
      </c>
      <c r="E98" s="5">
        <v>0</v>
      </c>
      <c r="F98" s="24">
        <f t="shared" ref="F98:I102" si="55">$E98*3</f>
        <v>0</v>
      </c>
      <c r="G98" s="24">
        <f t="shared" si="55"/>
        <v>0</v>
      </c>
      <c r="H98" s="24">
        <f t="shared" si="55"/>
        <v>0</v>
      </c>
      <c r="I98" s="24">
        <f t="shared" si="55"/>
        <v>0</v>
      </c>
      <c r="J98" s="24">
        <f t="shared" ref="J98:J102" si="56">F98+G98+H98+I98</f>
        <v>0</v>
      </c>
      <c r="K98" s="24">
        <v>0</v>
      </c>
      <c r="L98" s="24"/>
      <c r="M98" s="24"/>
      <c r="N98" s="1257">
        <f>'2015预算稿 '!J95</f>
        <v>912</v>
      </c>
      <c r="O98" s="1001">
        <f>K98/N98</f>
        <v>0</v>
      </c>
      <c r="P98" s="24">
        <f t="shared" si="44"/>
        <v>-912</v>
      </c>
      <c r="Q98" s="25">
        <f t="shared" ref="Q98:Q111" si="57">(J98-N98)/N98</f>
        <v>-1</v>
      </c>
      <c r="R98" s="1273" t="s">
        <v>1141</v>
      </c>
    </row>
    <row r="99" spans="1:18" outlineLevel="1">
      <c r="A99" s="17"/>
      <c r="B99" s="17"/>
      <c r="C99" s="1384" t="s">
        <v>1680</v>
      </c>
      <c r="D99" s="45" t="s">
        <v>62</v>
      </c>
      <c r="E99" s="5">
        <f>'部分费用明细（水电植物耗材茶歇）'!C80</f>
        <v>233.10000000000002</v>
      </c>
      <c r="F99" s="24">
        <f t="shared" si="55"/>
        <v>699.30000000000007</v>
      </c>
      <c r="G99" s="24">
        <f t="shared" si="55"/>
        <v>699.30000000000007</v>
      </c>
      <c r="H99" s="24">
        <f t="shared" si="55"/>
        <v>699.30000000000007</v>
      </c>
      <c r="I99" s="24">
        <f t="shared" si="55"/>
        <v>699.30000000000007</v>
      </c>
      <c r="J99" s="24">
        <f t="shared" si="56"/>
        <v>2797.2000000000003</v>
      </c>
      <c r="K99" s="24">
        <f>'部分费用明细（水电植物耗材茶歇）'!C77*12</f>
        <v>2280</v>
      </c>
      <c r="L99" s="24">
        <f>J99-K99</f>
        <v>517.20000000000027</v>
      </c>
      <c r="M99" s="1001">
        <f>L99/K99</f>
        <v>0.22684210526315801</v>
      </c>
      <c r="N99" s="1257">
        <f>'2015预算稿 '!J96</f>
        <v>912</v>
      </c>
      <c r="O99" s="1001">
        <f>K99/N99</f>
        <v>2.5</v>
      </c>
      <c r="P99" s="24">
        <f t="shared" si="44"/>
        <v>1885.2000000000003</v>
      </c>
      <c r="Q99" s="25">
        <f t="shared" si="57"/>
        <v>2.0671052631578952</v>
      </c>
      <c r="R99" s="1312" t="s">
        <v>1599</v>
      </c>
    </row>
    <row r="100" spans="1:18" outlineLevel="1">
      <c r="A100" s="17"/>
      <c r="B100" s="17"/>
      <c r="C100" s="1384"/>
      <c r="D100" s="22" t="s">
        <v>63</v>
      </c>
      <c r="E100" s="5">
        <f>'部分费用明细（水电植物耗材茶歇）'!D80</f>
        <v>-811.25</v>
      </c>
      <c r="F100" s="24">
        <f t="shared" si="55"/>
        <v>-2433.75</v>
      </c>
      <c r="G100" s="24">
        <f t="shared" si="55"/>
        <v>-2433.75</v>
      </c>
      <c r="H100" s="24">
        <f>$E100*3</f>
        <v>-2433.75</v>
      </c>
      <c r="I100" s="24">
        <f t="shared" si="55"/>
        <v>-2433.75</v>
      </c>
      <c r="J100" s="24">
        <f t="shared" si="56"/>
        <v>-9735</v>
      </c>
      <c r="K100" s="24">
        <f>'部分费用明细（水电植物耗材茶歇）'!D77*12</f>
        <v>2040</v>
      </c>
      <c r="L100" s="24">
        <f>J100-K100</f>
        <v>-11775</v>
      </c>
      <c r="M100" s="1001">
        <f>L100/K100</f>
        <v>-5.7720588235294121</v>
      </c>
      <c r="N100" s="1257">
        <f>'2015预算稿 '!J97</f>
        <v>912</v>
      </c>
      <c r="O100" s="1001">
        <f>K100/N100</f>
        <v>2.236842105263158</v>
      </c>
      <c r="P100" s="24">
        <f t="shared" si="44"/>
        <v>-10647</v>
      </c>
      <c r="Q100" s="25">
        <f t="shared" si="57"/>
        <v>-11.674342105263158</v>
      </c>
      <c r="R100" s="1279" t="s">
        <v>1598</v>
      </c>
    </row>
    <row r="101" spans="1:18" ht="24" outlineLevel="1">
      <c r="A101" s="17"/>
      <c r="B101" s="17"/>
      <c r="C101" s="1384"/>
      <c r="D101" s="22" t="s">
        <v>598</v>
      </c>
      <c r="E101" s="5">
        <f>'部分费用明细（水电植物耗材茶歇）'!E80</f>
        <v>-841.05000000000007</v>
      </c>
      <c r="F101" s="24">
        <f t="shared" si="55"/>
        <v>-2523.15</v>
      </c>
      <c r="G101" s="24">
        <f t="shared" si="55"/>
        <v>-2523.15</v>
      </c>
      <c r="H101" s="24">
        <f t="shared" si="55"/>
        <v>-2523.15</v>
      </c>
      <c r="I101" s="24">
        <f t="shared" si="55"/>
        <v>-2523.15</v>
      </c>
      <c r="J101" s="24">
        <f t="shared" si="56"/>
        <v>-10092.6</v>
      </c>
      <c r="K101" s="24">
        <f>'部分费用明细（水电植物耗材茶歇）'!E77*12</f>
        <v>1332</v>
      </c>
      <c r="L101" s="24">
        <f>J101-K101</f>
        <v>-11424.6</v>
      </c>
      <c r="M101" s="1001">
        <f>L101/K101</f>
        <v>-8.577027027027027</v>
      </c>
      <c r="N101" s="1257">
        <f>'2015预算稿 '!J98</f>
        <v>912</v>
      </c>
      <c r="O101" s="1001">
        <f>K101/N101</f>
        <v>1.4605263157894737</v>
      </c>
      <c r="P101" s="24">
        <f t="shared" si="44"/>
        <v>-11004.6</v>
      </c>
      <c r="Q101" s="25">
        <f t="shared" si="57"/>
        <v>-12.066447368421054</v>
      </c>
      <c r="R101" s="1354" t="s">
        <v>1654</v>
      </c>
    </row>
    <row r="102" spans="1:18" outlineLevel="1">
      <c r="A102" s="17"/>
      <c r="B102" s="17"/>
      <c r="C102" s="90"/>
      <c r="D102" s="22" t="s">
        <v>64</v>
      </c>
      <c r="E102" s="5">
        <v>0</v>
      </c>
      <c r="F102" s="24">
        <f t="shared" si="55"/>
        <v>0</v>
      </c>
      <c r="G102" s="24">
        <f>$E102*1</f>
        <v>0</v>
      </c>
      <c r="H102" s="24">
        <v>0</v>
      </c>
      <c r="I102" s="24">
        <v>0</v>
      </c>
      <c r="J102" s="24">
        <f t="shared" si="56"/>
        <v>0</v>
      </c>
      <c r="K102" s="24">
        <v>0</v>
      </c>
      <c r="L102" s="24"/>
      <c r="M102" s="24"/>
      <c r="N102" s="1257">
        <f>'2015预算稿 '!J101</f>
        <v>304</v>
      </c>
      <c r="O102" s="1001"/>
      <c r="P102" s="24">
        <f t="shared" si="44"/>
        <v>-304</v>
      </c>
      <c r="Q102" s="25">
        <f>(J102-N102)/N102</f>
        <v>-1</v>
      </c>
      <c r="R102" s="1269" t="s">
        <v>956</v>
      </c>
    </row>
    <row r="103" spans="1:18" hidden="1" outlineLevel="2">
      <c r="A103" s="17"/>
      <c r="B103" s="35" t="s">
        <v>14</v>
      </c>
      <c r="C103" s="90"/>
      <c r="D103" s="1095" t="s">
        <v>607</v>
      </c>
      <c r="E103" s="1096">
        <f>'部分费用明细（水电植物耗材茶歇）'!F80</f>
        <v>5</v>
      </c>
      <c r="F103" s="1093">
        <f>$E103*3</f>
        <v>15</v>
      </c>
      <c r="G103" s="1093">
        <f>$E103*3</f>
        <v>15</v>
      </c>
      <c r="H103" s="1093">
        <f>$E103*3</f>
        <v>15</v>
      </c>
      <c r="I103" s="1093">
        <f>$E103*3</f>
        <v>15</v>
      </c>
      <c r="J103" s="1093">
        <f>F103+G103+H103+I103</f>
        <v>60</v>
      </c>
      <c r="K103" s="1093"/>
      <c r="L103" s="1093"/>
      <c r="M103" s="1093"/>
      <c r="N103" s="1261">
        <f>'2015预算稿 '!J99</f>
        <v>912</v>
      </c>
      <c r="O103" s="1254"/>
      <c r="P103" s="1093">
        <f>J103-N103</f>
        <v>-852</v>
      </c>
      <c r="Q103" s="1288">
        <f>(J103-N103)/N103</f>
        <v>-0.93421052631578949</v>
      </c>
      <c r="R103" s="1269"/>
    </row>
    <row r="104" spans="1:18" hidden="1" outlineLevel="2">
      <c r="A104" s="17"/>
      <c r="B104" s="17"/>
      <c r="C104" s="90"/>
      <c r="D104" s="1285" t="s">
        <v>1584</v>
      </c>
      <c r="E104" s="1096"/>
      <c r="F104" s="1286">
        <f>SUM(F103)</f>
        <v>15</v>
      </c>
      <c r="G104" s="1286">
        <f t="shared" ref="G104:J104" si="58">SUM(G103)</f>
        <v>15</v>
      </c>
      <c r="H104" s="1286">
        <f t="shared" si="58"/>
        <v>15</v>
      </c>
      <c r="I104" s="1286">
        <f t="shared" si="58"/>
        <v>15</v>
      </c>
      <c r="J104" s="1286">
        <f t="shared" si="58"/>
        <v>60</v>
      </c>
      <c r="K104" s="1093"/>
      <c r="L104" s="1093"/>
      <c r="M104" s="1093"/>
      <c r="N104" s="1292">
        <f>SUM(N103)</f>
        <v>912</v>
      </c>
      <c r="O104" s="1254"/>
      <c r="P104" s="1286">
        <f>J104-N104</f>
        <v>-852</v>
      </c>
      <c r="Q104" s="1287">
        <f>P104/N104</f>
        <v>-0.93421052631578949</v>
      </c>
      <c r="R104" s="1269"/>
    </row>
    <row r="105" spans="1:18" outlineLevel="1" collapsed="1">
      <c r="A105" s="17"/>
      <c r="B105" s="17"/>
      <c r="C105" s="90"/>
      <c r="D105" s="1105" t="s">
        <v>1582</v>
      </c>
      <c r="E105" s="699"/>
      <c r="F105" s="1106">
        <f>SUM(F98:F102)</f>
        <v>-4257.6000000000004</v>
      </c>
      <c r="G105" s="1106">
        <f t="shared" ref="G105:J105" si="59">SUM(G98:G102)</f>
        <v>-4257.6000000000004</v>
      </c>
      <c r="H105" s="1106">
        <f t="shared" si="59"/>
        <v>-4257.6000000000004</v>
      </c>
      <c r="I105" s="1106">
        <f t="shared" si="59"/>
        <v>-4257.6000000000004</v>
      </c>
      <c r="J105" s="1283">
        <f t="shared" si="59"/>
        <v>-17030.400000000001</v>
      </c>
      <c r="K105" s="1283">
        <f>SUM(K98:K102)</f>
        <v>5652</v>
      </c>
      <c r="L105" s="1283">
        <f>J105-K105</f>
        <v>-22682.400000000001</v>
      </c>
      <c r="M105" s="1295">
        <f>L105/K105</f>
        <v>-4.0131634819532911</v>
      </c>
      <c r="N105" s="1294">
        <f>SUM(N98:N102)</f>
        <v>3952</v>
      </c>
      <c r="O105" s="1295"/>
      <c r="P105" s="1283">
        <f>J105-N105</f>
        <v>-20982.400000000001</v>
      </c>
      <c r="Q105" s="1284">
        <f>P105/N105</f>
        <v>-5.3093117408906885</v>
      </c>
      <c r="R105" s="1269"/>
    </row>
    <row r="106" spans="1:18">
      <c r="A106" s="17"/>
      <c r="B106" s="17"/>
      <c r="C106" s="90"/>
      <c r="D106" s="1108" t="s">
        <v>1621</v>
      </c>
      <c r="E106" s="699"/>
      <c r="F106" s="1106">
        <f>SUM(F98:F103)</f>
        <v>-4242.6000000000004</v>
      </c>
      <c r="G106" s="1106">
        <f t="shared" ref="G106:I106" si="60">SUM(G98:G103)</f>
        <v>-4242.6000000000004</v>
      </c>
      <c r="H106" s="1106">
        <f t="shared" si="60"/>
        <v>-4242.6000000000004</v>
      </c>
      <c r="I106" s="1106">
        <f t="shared" si="60"/>
        <v>-4242.6000000000004</v>
      </c>
      <c r="J106" s="1106">
        <f>SUM(J98:J103)</f>
        <v>-16970.400000000001</v>
      </c>
      <c r="K106" s="997"/>
      <c r="L106" s="997"/>
      <c r="M106" s="997"/>
      <c r="N106" s="1297">
        <f>SUM(N98:N103)</f>
        <v>4864</v>
      </c>
      <c r="O106" s="1250"/>
      <c r="P106" s="1106">
        <f>J106-N106</f>
        <v>-21834.400000000001</v>
      </c>
      <c r="Q106" s="1282">
        <f>P106/N106</f>
        <v>-4.4889802631578952</v>
      </c>
      <c r="R106" s="1269"/>
    </row>
    <row r="107" spans="1:18" s="67" customFormat="1" outlineLevel="1">
      <c r="A107" s="60" t="s">
        <v>3</v>
      </c>
      <c r="B107" s="17"/>
      <c r="C107" s="90" t="s">
        <v>1163</v>
      </c>
      <c r="D107" s="22" t="s">
        <v>65</v>
      </c>
      <c r="E107" s="5"/>
      <c r="F107" s="24">
        <v>21000</v>
      </c>
      <c r="G107" s="24">
        <v>0</v>
      </c>
      <c r="H107" s="24">
        <v>21000</v>
      </c>
      <c r="I107" s="24">
        <v>0</v>
      </c>
      <c r="J107" s="24">
        <f>F107+G107+H107+I107</f>
        <v>42000</v>
      </c>
      <c r="K107" s="1252"/>
      <c r="L107" s="1252"/>
      <c r="M107" s="1251"/>
      <c r="N107" s="1262">
        <f>'2015预算稿 '!J103</f>
        <v>15000</v>
      </c>
      <c r="O107" s="1001"/>
      <c r="P107" s="24">
        <f t="shared" si="44"/>
        <v>27000</v>
      </c>
      <c r="Q107" s="1276">
        <f>(J107-N107)/N107</f>
        <v>1.8</v>
      </c>
      <c r="R107" s="1402" t="s">
        <v>1600</v>
      </c>
    </row>
    <row r="108" spans="1:18" s="67" customFormat="1" outlineLevel="1">
      <c r="A108" s="65"/>
      <c r="B108" s="65"/>
      <c r="C108" s="1377" t="s">
        <v>1675</v>
      </c>
      <c r="D108" s="22" t="s">
        <v>66</v>
      </c>
      <c r="E108" s="5"/>
      <c r="F108" s="24">
        <v>0</v>
      </c>
      <c r="G108" s="24">
        <v>4840</v>
      </c>
      <c r="H108" s="24">
        <v>0</v>
      </c>
      <c r="I108" s="24">
        <v>4840</v>
      </c>
      <c r="J108" s="24">
        <f>F108+G108+H108+I108</f>
        <v>9680</v>
      </c>
      <c r="K108" s="1252"/>
      <c r="L108" s="1252"/>
      <c r="M108" s="1251"/>
      <c r="N108" s="1262">
        <f>'2015预算稿 '!J104</f>
        <v>9680.0000000000018</v>
      </c>
      <c r="O108" s="1001"/>
      <c r="P108" s="24">
        <f t="shared" si="44"/>
        <v>0</v>
      </c>
      <c r="Q108" s="1001">
        <f>(J108-N108)/N108</f>
        <v>-1.8791212846548101E-16</v>
      </c>
      <c r="R108" s="1403"/>
    </row>
    <row r="109" spans="1:18">
      <c r="A109" s="17"/>
      <c r="B109" s="17"/>
      <c r="C109" s="90"/>
      <c r="D109" s="1015" t="s">
        <v>1583</v>
      </c>
      <c r="E109" s="699"/>
      <c r="F109" s="1106">
        <f>SUM(F107:F108)</f>
        <v>21000</v>
      </c>
      <c r="G109" s="1106">
        <f t="shared" ref="G109:I109" si="61">SUM(G107:G108)</f>
        <v>4840</v>
      </c>
      <c r="H109" s="1106">
        <f t="shared" si="61"/>
        <v>21000</v>
      </c>
      <c r="I109" s="1106">
        <f t="shared" si="61"/>
        <v>4840</v>
      </c>
      <c r="J109" s="1283">
        <f>SUM(J107:J108)</f>
        <v>51680</v>
      </c>
      <c r="K109" s="1283"/>
      <c r="L109" s="1283"/>
      <c r="M109" s="1284"/>
      <c r="N109" s="1294">
        <f>SUM(N107:N108)</f>
        <v>24680</v>
      </c>
      <c r="O109" s="1250"/>
      <c r="P109" s="1283">
        <f>J109-N109</f>
        <v>27000</v>
      </c>
      <c r="Q109" s="1284">
        <f>(J109-N109)/N109</f>
        <v>1.0940032414910859</v>
      </c>
      <c r="R109" s="1269"/>
    </row>
    <row r="110" spans="1:18" outlineLevel="1">
      <c r="A110" s="17" t="s">
        <v>67</v>
      </c>
      <c r="B110" s="17"/>
      <c r="C110" s="90" t="s">
        <v>68</v>
      </c>
      <c r="D110" s="45" t="s">
        <v>69</v>
      </c>
      <c r="E110" s="5">
        <f>'部分费用明细（水电植物耗材茶歇）'!D195</f>
        <v>30</v>
      </c>
      <c r="F110" s="24">
        <f t="shared" ref="F110:I111" si="62">$E110*3</f>
        <v>90</v>
      </c>
      <c r="G110" s="24">
        <f t="shared" si="62"/>
        <v>90</v>
      </c>
      <c r="H110" s="24">
        <f t="shared" si="62"/>
        <v>90</v>
      </c>
      <c r="I110" s="24">
        <f t="shared" si="62"/>
        <v>90</v>
      </c>
      <c r="J110" s="24">
        <f>F110+G110+H110+I110</f>
        <v>360</v>
      </c>
      <c r="K110" s="1396">
        <f>'2015年ES实际花费数据'!V100</f>
        <v>445208.32700000005</v>
      </c>
      <c r="L110" s="1396">
        <f>J110+J111+J112-K110</f>
        <v>-419960.32700000005</v>
      </c>
      <c r="M110" s="1397">
        <f>L110/K110</f>
        <v>-0.94328947041459987</v>
      </c>
      <c r="N110" s="1253">
        <f>'2015预算稿 '!J106</f>
        <v>2292</v>
      </c>
      <c r="O110" s="1400">
        <f>K110/(N110+N111+N112)</f>
        <v>46.366207769214753</v>
      </c>
      <c r="P110" s="24">
        <f t="shared" si="44"/>
        <v>-1932</v>
      </c>
      <c r="Q110" s="25">
        <f>(J110-N110)/N110</f>
        <v>-0.84293193717277481</v>
      </c>
      <c r="R110" s="68" t="s">
        <v>1421</v>
      </c>
    </row>
    <row r="111" spans="1:18" s="72" customFormat="1" outlineLevel="1">
      <c r="A111" s="69"/>
      <c r="B111" s="69"/>
      <c r="C111" s="1313" t="s">
        <v>1676</v>
      </c>
      <c r="D111" s="29" t="s">
        <v>1160</v>
      </c>
      <c r="E111" s="5">
        <f>'部分费用明细（水电植物耗材茶歇）'!C159</f>
        <v>74</v>
      </c>
      <c r="F111" s="24">
        <f t="shared" si="62"/>
        <v>222</v>
      </c>
      <c r="G111" s="24">
        <f t="shared" si="62"/>
        <v>222</v>
      </c>
      <c r="H111" s="24">
        <f t="shared" si="62"/>
        <v>222</v>
      </c>
      <c r="I111" s="24">
        <f t="shared" si="62"/>
        <v>222</v>
      </c>
      <c r="J111" s="24">
        <f>F111+G111+H111+I111</f>
        <v>888</v>
      </c>
      <c r="K111" s="1396"/>
      <c r="L111" s="1396"/>
      <c r="M111" s="1397"/>
      <c r="N111" s="1253">
        <f>'2015预算稿 '!J107</f>
        <v>1860</v>
      </c>
      <c r="O111" s="1400"/>
      <c r="P111" s="24">
        <f t="shared" si="44"/>
        <v>-972</v>
      </c>
      <c r="Q111" s="25">
        <f t="shared" si="57"/>
        <v>-0.52258064516129032</v>
      </c>
      <c r="R111" s="71"/>
    </row>
    <row r="112" spans="1:18" ht="25.5" outlineLevel="1">
      <c r="A112" s="17"/>
      <c r="B112" s="17"/>
      <c r="C112" s="90"/>
      <c r="D112" s="46" t="s">
        <v>1327</v>
      </c>
      <c r="E112" s="73">
        <v>2000</v>
      </c>
      <c r="F112" s="73">
        <f>$E112*3</f>
        <v>6000</v>
      </c>
      <c r="G112" s="33">
        <f>F112</f>
        <v>6000</v>
      </c>
      <c r="H112" s="73">
        <f>F112</f>
        <v>6000</v>
      </c>
      <c r="I112" s="73">
        <f>F112</f>
        <v>6000</v>
      </c>
      <c r="J112" s="24">
        <f>F112+G112+H112+I112</f>
        <v>24000</v>
      </c>
      <c r="K112" s="1396"/>
      <c r="L112" s="1396"/>
      <c r="M112" s="1397"/>
      <c r="N112" s="1253">
        <f>'2015预算稿 '!J108</f>
        <v>5450</v>
      </c>
      <c r="O112" s="1400"/>
      <c r="P112" s="24">
        <f t="shared" si="44"/>
        <v>18550</v>
      </c>
      <c r="Q112" s="25">
        <f>(J112-N112)/N112</f>
        <v>3.403669724770642</v>
      </c>
      <c r="R112" s="64" t="s">
        <v>1655</v>
      </c>
    </row>
    <row r="113" spans="1:18">
      <c r="A113" s="28"/>
      <c r="B113" s="28"/>
      <c r="C113" s="90"/>
      <c r="D113" s="1110" t="s">
        <v>1162</v>
      </c>
      <c r="E113" s="1314"/>
      <c r="F113" s="1314">
        <f>SUM(F110:F112)</f>
        <v>6312</v>
      </c>
      <c r="G113" s="1314">
        <f>SUM(G110:G112)</f>
        <v>6312</v>
      </c>
      <c r="H113" s="1314">
        <f>SUM(H110:H112)</f>
        <v>6312</v>
      </c>
      <c r="I113" s="1314">
        <f>SUM(I110:I112)</f>
        <v>6312</v>
      </c>
      <c r="J113" s="1315">
        <f>SUM(J110:J112)</f>
        <v>25248</v>
      </c>
      <c r="K113" s="1315">
        <f>SUM(K110)</f>
        <v>445208.32700000005</v>
      </c>
      <c r="L113" s="1315">
        <f>SUM(L110:L112)</f>
        <v>-419960.32700000005</v>
      </c>
      <c r="M113" s="1316">
        <f>SUM(M110:M112)</f>
        <v>-0.94328947041459987</v>
      </c>
      <c r="N113" s="1308">
        <f>SUM(N110:N112)</f>
        <v>9602</v>
      </c>
      <c r="O113" s="1250"/>
      <c r="P113" s="1283">
        <f>J113-N113</f>
        <v>15646</v>
      </c>
      <c r="Q113" s="1284">
        <f>(J113-N113)/N113</f>
        <v>1.6294521974588627</v>
      </c>
      <c r="R113" s="30"/>
    </row>
    <row r="114" spans="1:18" outlineLevel="1">
      <c r="A114" s="60" t="s">
        <v>3</v>
      </c>
      <c r="B114" s="17"/>
      <c r="C114" s="90" t="s">
        <v>70</v>
      </c>
      <c r="D114" s="29" t="s">
        <v>72</v>
      </c>
      <c r="E114" s="5">
        <f>'部分费用明细（水电植物耗材茶歇）'!C178</f>
        <v>233.33333333333331</v>
      </c>
      <c r="F114" s="73">
        <f>$E114*3</f>
        <v>700</v>
      </c>
      <c r="G114" s="73">
        <f>$E114*3</f>
        <v>700</v>
      </c>
      <c r="H114" s="73">
        <f>$E114*3</f>
        <v>700</v>
      </c>
      <c r="I114" s="73">
        <f>$E114*3</f>
        <v>700</v>
      </c>
      <c r="J114" s="5">
        <f>F114+G114+H114+I114</f>
        <v>2800</v>
      </c>
      <c r="K114" s="5">
        <f>'部分费用明细（水电植物耗材茶歇）'!C174*12</f>
        <v>2000</v>
      </c>
      <c r="L114" s="5">
        <f>J114-K114</f>
        <v>800</v>
      </c>
      <c r="M114" s="1001">
        <f>L114/K114</f>
        <v>0.4</v>
      </c>
      <c r="N114" s="1256">
        <f>'2015预算稿 '!J111</f>
        <v>2088</v>
      </c>
      <c r="O114" s="1001">
        <f>K114/N114</f>
        <v>0.95785440613026818</v>
      </c>
      <c r="P114" s="24">
        <f t="shared" si="44"/>
        <v>712</v>
      </c>
      <c r="Q114" s="25">
        <f>(J114-N114)/N114</f>
        <v>0.34099616858237547</v>
      </c>
      <c r="R114" s="31" t="s">
        <v>1596</v>
      </c>
    </row>
    <row r="115" spans="1:18">
      <c r="A115" s="78"/>
      <c r="B115" s="78"/>
      <c r="C115" s="78"/>
      <c r="D115" s="1111" t="s">
        <v>71</v>
      </c>
      <c r="E115" s="1317"/>
      <c r="F115" s="1317">
        <f>SUM(F114:F114)</f>
        <v>700</v>
      </c>
      <c r="G115" s="1317">
        <f>SUM(G114:G114)</f>
        <v>700</v>
      </c>
      <c r="H115" s="1317">
        <f>SUM(H114:H114)</f>
        <v>700</v>
      </c>
      <c r="I115" s="1317">
        <f>SUM(I114:I114)</f>
        <v>700</v>
      </c>
      <c r="J115" s="1318">
        <f>SUM(J114:J114)</f>
        <v>2800</v>
      </c>
      <c r="K115" s="1318">
        <f>SUM(K114)</f>
        <v>2000</v>
      </c>
      <c r="L115" s="1318">
        <f>J115-K115</f>
        <v>800</v>
      </c>
      <c r="M115" s="1319">
        <f>L115/K115</f>
        <v>0.4</v>
      </c>
      <c r="N115" s="1294">
        <f>SUM(N114:N114)</f>
        <v>2088</v>
      </c>
      <c r="O115" s="1250"/>
      <c r="P115" s="1283">
        <f t="shared" ref="P115:P120" si="63">J115-N115</f>
        <v>712</v>
      </c>
      <c r="Q115" s="1284">
        <f>(J115-N115)/N115</f>
        <v>0.34099616858237547</v>
      </c>
      <c r="R115" s="64"/>
    </row>
    <row r="116" spans="1:18" ht="25.5" outlineLevel="1">
      <c r="A116" s="17" t="s">
        <v>73</v>
      </c>
      <c r="B116" s="17"/>
      <c r="C116" s="90" t="s">
        <v>74</v>
      </c>
      <c r="D116" s="46" t="s">
        <v>1587</v>
      </c>
      <c r="E116" s="81"/>
      <c r="F116" s="81">
        <f>'2016年媒体大厦物业费预算'!F78+装饰门禁电视空调维护2016!G46-装饰门禁电视空调维护2016!G44</f>
        <v>16778.88</v>
      </c>
      <c r="G116" s="81">
        <f>'2016年媒体大厦物业费预算'!G78+装饰门禁电视空调维护2016!H46-装饰门禁电视空调维护2016!H44</f>
        <v>24818.379999999997</v>
      </c>
      <c r="H116" s="81">
        <f>'2016年媒体大厦物业费预算'!H78+装饰门禁电视空调维护2016!I46-装饰门禁电视空调维护2016!I44</f>
        <v>17877.78</v>
      </c>
      <c r="I116" s="81">
        <f>'2016年媒体大厦物业费预算'!I78+装饰门禁电视空调维护2016!J46-装饰门禁电视空调维护2016!J44</f>
        <v>23006.879999999997</v>
      </c>
      <c r="J116" s="47">
        <f>F116+G116+H116+I116</f>
        <v>82481.919999999984</v>
      </c>
      <c r="K116" s="1355">
        <f>'[23]2015合同'!$Q$65+'[23]2015合同'!$Q$66+'[23]2015合同'!$Q$67</f>
        <v>5631373.0800000001</v>
      </c>
      <c r="L116" s="1335">
        <f>J116-K116</f>
        <v>-5548891.1600000001</v>
      </c>
      <c r="M116" s="1337">
        <f>L116/K116</f>
        <v>-0.98535314232812299</v>
      </c>
      <c r="N116" s="1253">
        <f>'2015预算稿 '!J9+'2015预算稿 '!J113+'2015预算稿 '!J115</f>
        <v>5737921.7599999998</v>
      </c>
      <c r="O116" s="1336"/>
      <c r="P116" s="24">
        <f t="shared" si="63"/>
        <v>-5655439.8399999999</v>
      </c>
      <c r="Q116" s="25">
        <f>P116/N116</f>
        <v>-0.9856251229190689</v>
      </c>
      <c r="R116" s="64" t="s">
        <v>1601</v>
      </c>
    </row>
    <row r="117" spans="1:18" ht="24" outlineLevel="1">
      <c r="C117" s="1378" t="s">
        <v>1677</v>
      </c>
      <c r="D117" s="45" t="s">
        <v>77</v>
      </c>
      <c r="E117" s="5"/>
      <c r="F117" s="81">
        <f>装饰门禁电视空调维护2016!G44</f>
        <v>0</v>
      </c>
      <c r="G117" s="81">
        <f>装饰门禁电视空调维护2016!H44</f>
        <v>39</v>
      </c>
      <c r="H117" s="81">
        <f>装饰门禁电视空调维护2016!I44</f>
        <v>770</v>
      </c>
      <c r="I117" s="81">
        <f>装饰门禁电视空调维护2016!J44</f>
        <v>39</v>
      </c>
      <c r="J117" s="47">
        <f>F117+G117+H117+I117</f>
        <v>848</v>
      </c>
      <c r="K117" s="47">
        <f>'2015预算稿 '!J117</f>
        <v>85007</v>
      </c>
      <c r="L117" s="24">
        <f>J117-K117</f>
        <v>-84159</v>
      </c>
      <c r="M117" s="1001">
        <f>(J117-K117)/K117</f>
        <v>-0.99002435093580532</v>
      </c>
      <c r="N117" s="1257">
        <f>'2015预算稿 '!J117</f>
        <v>85007</v>
      </c>
      <c r="O117" s="1001">
        <f>K117/N117</f>
        <v>1</v>
      </c>
      <c r="P117" s="24">
        <f t="shared" si="63"/>
        <v>-84159</v>
      </c>
      <c r="Q117" s="25">
        <f>(J117-N117)/N117</f>
        <v>-0.99002435093580532</v>
      </c>
      <c r="R117" s="83"/>
    </row>
    <row r="118" spans="1:18" hidden="1" outlineLevel="2">
      <c r="A118" s="17"/>
      <c r="B118" s="35" t="s">
        <v>14</v>
      </c>
      <c r="C118" s="90"/>
      <c r="D118" s="1098" t="s">
        <v>1588</v>
      </c>
      <c r="E118" s="1099"/>
      <c r="F118" s="1099">
        <f>装饰门禁电视空调维护2016!G47</f>
        <v>1311</v>
      </c>
      <c r="G118" s="1099">
        <f>装饰门禁电视空调维护2016!H47</f>
        <v>5469.13</v>
      </c>
      <c r="H118" s="1099">
        <f>装饰门禁电视空调维护2016!I47</f>
        <v>6831.12</v>
      </c>
      <c r="I118" s="1099">
        <f>装饰门禁电视空调维护2016!J47</f>
        <v>6831.12</v>
      </c>
      <c r="J118" s="1100">
        <f>F118+G118+H118+I118</f>
        <v>20442.37</v>
      </c>
      <c r="K118" s="1100"/>
      <c r="L118" s="1100"/>
      <c r="M118" s="1100"/>
      <c r="N118" s="1261">
        <f>'2015预算稿 '!J114+'2015预算稿 '!J116</f>
        <v>413129</v>
      </c>
      <c r="O118" s="1254"/>
      <c r="P118" s="1093">
        <f t="shared" si="63"/>
        <v>-392686.63</v>
      </c>
      <c r="Q118" s="1288">
        <f>P118/N118</f>
        <v>-0.95051819165442275</v>
      </c>
      <c r="R118" s="64"/>
    </row>
    <row r="119" spans="1:18" hidden="1" outlineLevel="2">
      <c r="A119" s="17"/>
      <c r="B119" s="35"/>
      <c r="C119" s="90"/>
      <c r="D119" s="1285" t="s">
        <v>1586</v>
      </c>
      <c r="E119" s="1099"/>
      <c r="F119" s="1338">
        <f>SUM(F118)</f>
        <v>1311</v>
      </c>
      <c r="G119" s="1338">
        <f t="shared" ref="G119:J119" si="64">SUM(G118)</f>
        <v>5469.13</v>
      </c>
      <c r="H119" s="1338">
        <f t="shared" si="64"/>
        <v>6831.12</v>
      </c>
      <c r="I119" s="1338">
        <f t="shared" si="64"/>
        <v>6831.12</v>
      </c>
      <c r="J119" s="1338">
        <f t="shared" si="64"/>
        <v>20442.37</v>
      </c>
      <c r="K119" s="1100"/>
      <c r="L119" s="1100"/>
      <c r="M119" s="1100"/>
      <c r="N119" s="1292">
        <f>SUM(N118)</f>
        <v>413129</v>
      </c>
      <c r="O119" s="1254"/>
      <c r="P119" s="1286">
        <f t="shared" si="63"/>
        <v>-392686.63</v>
      </c>
      <c r="Q119" s="1290">
        <f>P119/N119</f>
        <v>-0.95051819165442275</v>
      </c>
      <c r="R119" s="64"/>
    </row>
    <row r="120" spans="1:18" outlineLevel="1" collapsed="1">
      <c r="D120" s="1105" t="s">
        <v>1585</v>
      </c>
      <c r="E120" s="1281"/>
      <c r="F120" s="998">
        <f>SUM(F116:F117)</f>
        <v>16778.88</v>
      </c>
      <c r="G120" s="998">
        <f t="shared" ref="G120:I120" si="65">SUM(G116:G117)</f>
        <v>24857.379999999997</v>
      </c>
      <c r="H120" s="998">
        <f t="shared" si="65"/>
        <v>18647.78</v>
      </c>
      <c r="I120" s="998">
        <f t="shared" si="65"/>
        <v>23045.879999999997</v>
      </c>
      <c r="J120" s="1300">
        <f>SUM(J116:J117)</f>
        <v>83329.919999999984</v>
      </c>
      <c r="K120" s="1322">
        <f>SUM(K116:K117)</f>
        <v>5716380.0800000001</v>
      </c>
      <c r="L120" s="1322">
        <f>J120-K120</f>
        <v>-5633050.1600000001</v>
      </c>
      <c r="M120" s="1295">
        <f>L120/K120</f>
        <v>-0.98542260681868443</v>
      </c>
      <c r="N120" s="1321">
        <f>SUM(N116:N117)</f>
        <v>5822928.7599999998</v>
      </c>
      <c r="O120" s="1295">
        <f>K120/N120</f>
        <v>0.9817018747108972</v>
      </c>
      <c r="P120" s="1322">
        <f t="shared" si="63"/>
        <v>-5739598.8399999999</v>
      </c>
      <c r="Q120" s="1295">
        <f>P120/N120</f>
        <v>-0.98568934578550471</v>
      </c>
    </row>
    <row r="121" spans="1:18">
      <c r="A121" s="28"/>
      <c r="B121" s="28"/>
      <c r="C121" s="90"/>
      <c r="D121" s="1108" t="s">
        <v>1617</v>
      </c>
      <c r="E121" s="699"/>
      <c r="F121" s="1314">
        <f>SUBTOTAL(9,F116:F118)</f>
        <v>18089.88</v>
      </c>
      <c r="G121" s="1314">
        <f>SUBTOTAL(9,G116:G118)</f>
        <v>30326.51</v>
      </c>
      <c r="H121" s="1314">
        <f>SUBTOTAL(9,H116:H118)</f>
        <v>25478.899999999998</v>
      </c>
      <c r="I121" s="1314">
        <f>SUBTOTAL(9,I116:I118)</f>
        <v>29876.999999999996</v>
      </c>
      <c r="J121" s="1339">
        <f>SUBTOTAL(9,J116:J118)</f>
        <v>103772.28999999998</v>
      </c>
      <c r="K121" s="1339"/>
      <c r="L121" s="1339"/>
      <c r="M121" s="1340"/>
      <c r="N121" s="1341">
        <f>SUM(N116:N118)</f>
        <v>6236057.7599999998</v>
      </c>
      <c r="O121" s="1250"/>
      <c r="P121" s="1106">
        <f>J121-N121</f>
        <v>-6132285.4699999997</v>
      </c>
      <c r="Q121" s="1107">
        <f>P121/N121</f>
        <v>-0.98335931224601103</v>
      </c>
      <c r="R121" s="71"/>
    </row>
    <row r="122" spans="1:18" outlineLevel="1">
      <c r="A122" s="17" t="s">
        <v>67</v>
      </c>
      <c r="B122" s="17"/>
      <c r="C122" s="90" t="s">
        <v>78</v>
      </c>
      <c r="D122" s="45" t="s">
        <v>79</v>
      </c>
      <c r="E122" s="5"/>
      <c r="F122" s="24">
        <f>财产险!K8*财产险!I8/4-F123</f>
        <v>2430</v>
      </c>
      <c r="G122" s="24">
        <f>财产险!K8*财产险!I8/4+财产险!K8*财产险!H8-G123</f>
        <v>8910</v>
      </c>
      <c r="H122" s="24">
        <f>F122</f>
        <v>2430</v>
      </c>
      <c r="I122" s="24">
        <f>F122</f>
        <v>2430</v>
      </c>
      <c r="J122" s="6">
        <f>F122+G122+H122+I122</f>
        <v>16200</v>
      </c>
      <c r="K122" s="6">
        <f>'[22]2015预算稿 '!$G$119+'[22]2015预算稿 '!$J$119+'[22]2015年费用申请记录'!$H$1192+'[22]2015年费用申请记录'!$H$1193+'[22]2015年费用申请记录'!$H$1194+'[22]2015年费用申请记录'!$H$1195+'[22]2015年费用申请记录'!$H$1196+'[22]2015年费用申请记录'!$H$1197+'[22]2015预算稿 '!$G$119</f>
        <v>261061.02</v>
      </c>
      <c r="L122" s="24">
        <f>J122-K122</f>
        <v>-244861.02</v>
      </c>
      <c r="M122" s="1001">
        <f t="shared" ref="M122:M134" si="66">(J122-K122)/K122</f>
        <v>-0.9379455423869868</v>
      </c>
      <c r="N122" s="1256">
        <f>'2015预算稿 '!J119</f>
        <v>471576.3</v>
      </c>
      <c r="O122" s="1001">
        <f>K122/N122</f>
        <v>0.55359232429619554</v>
      </c>
      <c r="P122" s="24">
        <f t="shared" si="44"/>
        <v>-455376.3</v>
      </c>
      <c r="Q122" s="25">
        <f t="shared" ref="Q122:Q134" si="67">(J122-N122)/N122</f>
        <v>-0.96564712857707224</v>
      </c>
      <c r="R122" s="1268"/>
    </row>
    <row r="123" spans="1:18" hidden="1" outlineLevel="2">
      <c r="A123" s="17"/>
      <c r="B123" s="35" t="s">
        <v>14</v>
      </c>
      <c r="C123" s="90"/>
      <c r="D123" s="1098" t="s">
        <v>81</v>
      </c>
      <c r="E123" s="1096"/>
      <c r="F123" s="1093">
        <f>财产险!K20*财产险!I20/4</f>
        <v>809.99999999999989</v>
      </c>
      <c r="G123" s="1093">
        <f>财产险!K20*财产险!I20/4+财产险!K20*财产险!H20</f>
        <v>3510</v>
      </c>
      <c r="H123" s="1093">
        <f>F123</f>
        <v>809.99999999999989</v>
      </c>
      <c r="I123" s="1093">
        <f>F123</f>
        <v>809.99999999999989</v>
      </c>
      <c r="J123" s="1113">
        <f>F123+G123+H123+I123</f>
        <v>5940</v>
      </c>
      <c r="K123" s="1113"/>
      <c r="L123" s="1100"/>
      <c r="M123" s="1100"/>
      <c r="N123" s="1261">
        <f>'2015预算稿 '!J120</f>
        <v>6924.1249999999982</v>
      </c>
      <c r="O123" s="1254"/>
      <c r="P123" s="1093">
        <f t="shared" si="44"/>
        <v>-984.12499999999818</v>
      </c>
      <c r="Q123" s="1288">
        <f>(J123-N123)/N123</f>
        <v>-0.14212987200548782</v>
      </c>
      <c r="R123" s="1268"/>
    </row>
    <row r="124" spans="1:18" hidden="1" outlineLevel="2">
      <c r="A124" s="17"/>
      <c r="B124" s="35"/>
      <c r="C124" s="1356"/>
      <c r="D124" s="1285" t="s">
        <v>1590</v>
      </c>
      <c r="E124" s="1096"/>
      <c r="F124" s="1286">
        <f>SUM(F123)</f>
        <v>809.99999999999989</v>
      </c>
      <c r="G124" s="1286">
        <f t="shared" ref="G124:J124" si="68">SUM(G123)</f>
        <v>3510</v>
      </c>
      <c r="H124" s="1286">
        <f t="shared" si="68"/>
        <v>809.99999999999989</v>
      </c>
      <c r="I124" s="1286">
        <f t="shared" si="68"/>
        <v>809.99999999999989</v>
      </c>
      <c r="J124" s="1286">
        <f t="shared" si="68"/>
        <v>5940</v>
      </c>
      <c r="K124" s="1113"/>
      <c r="L124" s="1100"/>
      <c r="M124" s="1100"/>
      <c r="N124" s="1292">
        <f>SUM(N123)</f>
        <v>6924.1249999999982</v>
      </c>
      <c r="O124" s="1254"/>
      <c r="P124" s="1286">
        <f>J124-N124</f>
        <v>-984.12499999999818</v>
      </c>
      <c r="Q124" s="1290">
        <f>P124/N124</f>
        <v>-0.14212987200548782</v>
      </c>
      <c r="R124" s="1268"/>
    </row>
    <row r="125" spans="1:18" outlineLevel="1" collapsed="1">
      <c r="A125" s="17"/>
      <c r="B125" s="35"/>
      <c r="D125" s="1105" t="s">
        <v>1591</v>
      </c>
      <c r="E125" s="699"/>
      <c r="F125" s="1106">
        <f>SUM(F122)</f>
        <v>2430</v>
      </c>
      <c r="G125" s="1106">
        <f t="shared" ref="G125:J125" si="69">SUM(G122)</f>
        <v>8910</v>
      </c>
      <c r="H125" s="1106">
        <f t="shared" si="69"/>
        <v>2430</v>
      </c>
      <c r="I125" s="1106">
        <f t="shared" si="69"/>
        <v>2430</v>
      </c>
      <c r="J125" s="1283">
        <f t="shared" si="69"/>
        <v>16200</v>
      </c>
      <c r="K125" s="1315">
        <f>SUM(K122)</f>
        <v>261061.02</v>
      </c>
      <c r="L125" s="1320">
        <f>J125-K125</f>
        <v>-244861.02</v>
      </c>
      <c r="M125" s="1319">
        <f>L125/K125</f>
        <v>-0.9379455423869868</v>
      </c>
      <c r="N125" s="1294">
        <f>SUM(N122)</f>
        <v>471576.3</v>
      </c>
      <c r="O125" s="1295">
        <f>K125/N125</f>
        <v>0.55359232429619554</v>
      </c>
      <c r="P125" s="1283">
        <f>J125-N125</f>
        <v>-455376.3</v>
      </c>
      <c r="Q125" s="1296">
        <f>P125/N125</f>
        <v>-0.96564712857707224</v>
      </c>
      <c r="R125" s="1268"/>
    </row>
    <row r="126" spans="1:18" s="1003" customFormat="1">
      <c r="A126" s="28"/>
      <c r="B126" s="28"/>
      <c r="C126" s="18"/>
      <c r="D126" s="1108" t="s">
        <v>1618</v>
      </c>
      <c r="E126" s="998"/>
      <c r="F126" s="1314">
        <f t="shared" ref="F126:J126" si="70">SUM(F122:F123)</f>
        <v>3240</v>
      </c>
      <c r="G126" s="1314">
        <f t="shared" si="70"/>
        <v>12420</v>
      </c>
      <c r="H126" s="1314">
        <f t="shared" si="70"/>
        <v>3240</v>
      </c>
      <c r="I126" s="1314">
        <f t="shared" si="70"/>
        <v>3240</v>
      </c>
      <c r="J126" s="1314">
        <f t="shared" si="70"/>
        <v>22140</v>
      </c>
      <c r="K126" s="1109"/>
      <c r="L126" s="1109"/>
      <c r="M126" s="1109"/>
      <c r="N126" s="1341">
        <f>SUM(N122:N123)</f>
        <v>478500.42499999999</v>
      </c>
      <c r="O126" s="1250"/>
      <c r="P126" s="1106">
        <f>J126-N126</f>
        <v>-456360.42499999999</v>
      </c>
      <c r="Q126" s="1107">
        <f>(J126-N126)/N126</f>
        <v>-0.95373044861976874</v>
      </c>
      <c r="R126" s="64"/>
    </row>
    <row r="127" spans="1:18" ht="83.25" customHeight="1" outlineLevel="1">
      <c r="A127" s="17" t="s">
        <v>67</v>
      </c>
      <c r="B127" s="17"/>
      <c r="C127" s="1376" t="s">
        <v>1678</v>
      </c>
      <c r="D127" s="22" t="s">
        <v>82</v>
      </c>
      <c r="E127" s="5"/>
      <c r="F127" s="24">
        <f>Capex!D38-'2016预算稿 '!F129</f>
        <v>2349251.5499999998</v>
      </c>
      <c r="G127" s="5">
        <f>Capex!F38-'2016预算稿 '!G129</f>
        <v>805628.30000000016</v>
      </c>
      <c r="H127" s="5">
        <f>Capex!H38-'2016预算稿 '!H129</f>
        <v>1169149.55</v>
      </c>
      <c r="I127" s="5">
        <f>Capex!J38-'2016预算稿 '!I129</f>
        <v>1155311.8000000003</v>
      </c>
      <c r="J127" s="6">
        <f>F127+G127+H127+I127</f>
        <v>5479341.2000000011</v>
      </c>
      <c r="K127" s="6">
        <f>[24]按购置类别统计!$E$5+[24]按购置类别统计!$E$3</f>
        <v>5626861.3900000006</v>
      </c>
      <c r="L127" s="24">
        <f>J127-K127</f>
        <v>-147520.18999999948</v>
      </c>
      <c r="M127" s="1001">
        <f t="shared" si="66"/>
        <v>-2.6217135944057699E-2</v>
      </c>
      <c r="N127" s="1257">
        <f>'2015预算稿 '!J122</f>
        <v>18716700</v>
      </c>
      <c r="O127" s="1001">
        <f>K127/N127</f>
        <v>0.30063319869421429</v>
      </c>
      <c r="P127" s="24">
        <f t="shared" si="44"/>
        <v>-13237358.799999999</v>
      </c>
      <c r="Q127" s="25">
        <f>(J127-N127)/N127</f>
        <v>-0.70724854274524884</v>
      </c>
      <c r="R127" s="1347" t="s">
        <v>1661</v>
      </c>
    </row>
    <row r="128" spans="1:18" ht="13.5" outlineLevel="1">
      <c r="A128" s="17" t="s">
        <v>73</v>
      </c>
      <c r="B128" s="28"/>
      <c r="C128" s="90"/>
      <c r="D128" s="46" t="s">
        <v>85</v>
      </c>
      <c r="E128" s="5">
        <f>Capex!D39/3</f>
        <v>5333.666666666667</v>
      </c>
      <c r="F128" s="5">
        <f>E128*3</f>
        <v>16001</v>
      </c>
      <c r="G128" s="5">
        <f>E128*3</f>
        <v>16001</v>
      </c>
      <c r="H128" s="5">
        <f>E128*3</f>
        <v>16001</v>
      </c>
      <c r="I128" s="5">
        <f>E128*3</f>
        <v>16001</v>
      </c>
      <c r="J128" s="6">
        <f>F128+G128+H128+I128</f>
        <v>64004</v>
      </c>
      <c r="K128" s="6">
        <f>'2015年ES实际花费数据'!V112</f>
        <v>848473.62</v>
      </c>
      <c r="L128" s="24">
        <f>J128-K128</f>
        <v>-784469.62</v>
      </c>
      <c r="M128" s="1001">
        <f t="shared" si="66"/>
        <v>-0.92456571602072912</v>
      </c>
      <c r="N128" s="1257">
        <f>'2015预算稿 '!J124</f>
        <v>409000</v>
      </c>
      <c r="O128" s="1001">
        <f>K128/N128</f>
        <v>2.0745076283618582</v>
      </c>
      <c r="P128" s="24">
        <f t="shared" si="44"/>
        <v>-344996</v>
      </c>
      <c r="Q128" s="25">
        <f t="shared" si="67"/>
        <v>-0.84351100244498778</v>
      </c>
      <c r="R128" s="1222"/>
    </row>
    <row r="129" spans="1:19" ht="13.5" hidden="1" customHeight="1" outlineLevel="2">
      <c r="A129" s="17"/>
      <c r="B129" s="35" t="s">
        <v>14</v>
      </c>
      <c r="C129" s="90"/>
      <c r="D129" s="1102" t="s">
        <v>84</v>
      </c>
      <c r="E129" s="1096"/>
      <c r="F129" s="1093">
        <f>Capex!D10+Capex!D11+Capex!D19+Capex!D20+Capex!D25+Capex!D33+Capex!D34</f>
        <v>336593.45</v>
      </c>
      <c r="G129" s="1093">
        <f>Capex!F10+Capex!F11+Capex!F19+Capex!F20+Capex!F25+Capex!F33+Capex!F34</f>
        <v>370766.15</v>
      </c>
      <c r="H129" s="1093">
        <f>Capex!H10+Capex!H11+Capex!H19+Capex!H20+Capex!H25+Capex!H33+Capex!H34</f>
        <v>155613.80000000002</v>
      </c>
      <c r="I129" s="1093">
        <f>Capex!J10+Capex!J11+Capex!J19+Capex!J20+Capex!J25+Capex!J33+Capex!J34</f>
        <v>792321.6</v>
      </c>
      <c r="J129" s="1113">
        <f>F129+G129+H129+I129</f>
        <v>1655295</v>
      </c>
      <c r="K129" s="1113"/>
      <c r="L129" s="1100"/>
      <c r="M129" s="1100"/>
      <c r="N129" s="1261">
        <f>'2015预算稿 '!J123</f>
        <v>9244550</v>
      </c>
      <c r="O129" s="1254"/>
      <c r="P129" s="1093">
        <f>J129-N129</f>
        <v>-7589255</v>
      </c>
      <c r="Q129" s="1097">
        <f>(J129-N129)/N129</f>
        <v>-0.82094369114775734</v>
      </c>
      <c r="R129" s="1346"/>
    </row>
    <row r="130" spans="1:19" ht="13.5" hidden="1" customHeight="1" outlineLevel="2">
      <c r="A130" s="17"/>
      <c r="B130" s="35"/>
      <c r="C130" s="90"/>
      <c r="D130" s="1285" t="s">
        <v>1592</v>
      </c>
      <c r="E130" s="1096"/>
      <c r="F130" s="1286">
        <f>SUM(F129)</f>
        <v>336593.45</v>
      </c>
      <c r="G130" s="1286">
        <f t="shared" ref="G130:J130" si="71">SUM(G129)</f>
        <v>370766.15</v>
      </c>
      <c r="H130" s="1286">
        <f t="shared" si="71"/>
        <v>155613.80000000002</v>
      </c>
      <c r="I130" s="1286">
        <f t="shared" si="71"/>
        <v>792321.6</v>
      </c>
      <c r="J130" s="1286">
        <f t="shared" si="71"/>
        <v>1655295</v>
      </c>
      <c r="K130" s="1113"/>
      <c r="L130" s="1100"/>
      <c r="M130" s="1100"/>
      <c r="N130" s="1292">
        <f>SUM(N129)</f>
        <v>9244550</v>
      </c>
      <c r="O130" s="1254"/>
      <c r="P130" s="1093"/>
      <c r="Q130" s="1097"/>
      <c r="R130" s="4"/>
    </row>
    <row r="131" spans="1:19" ht="13.5" outlineLevel="1" collapsed="1">
      <c r="A131" s="17"/>
      <c r="B131" s="28"/>
      <c r="C131" s="90"/>
      <c r="D131" s="1105" t="s">
        <v>1593</v>
      </c>
      <c r="E131" s="699"/>
      <c r="F131" s="998">
        <f>SUM(F127:F128)</f>
        <v>2365252.5499999998</v>
      </c>
      <c r="G131" s="998">
        <f t="shared" ref="G131:I131" si="72">SUM(G127:G128)</f>
        <v>821629.30000000016</v>
      </c>
      <c r="H131" s="998">
        <f t="shared" si="72"/>
        <v>1185150.55</v>
      </c>
      <c r="I131" s="998">
        <f t="shared" si="72"/>
        <v>1171312.8000000003</v>
      </c>
      <c r="J131" s="1300">
        <f>SUM(J127:J128)</f>
        <v>5543345.2000000011</v>
      </c>
      <c r="K131" s="1322">
        <f>SUM(K127:K128)</f>
        <v>6475335.0100000007</v>
      </c>
      <c r="L131" s="1322">
        <f>J131-K131</f>
        <v>-931989.80999999959</v>
      </c>
      <c r="M131" s="1295">
        <f>L131/K131</f>
        <v>-0.14392920344054902</v>
      </c>
      <c r="N131" s="1321">
        <f>SUM(N127:N128)</f>
        <v>19125700</v>
      </c>
      <c r="O131" s="1295">
        <f>K131/N131</f>
        <v>0.33856721636332271</v>
      </c>
      <c r="P131" s="1283">
        <f>J131-N131</f>
        <v>-13582354.799999999</v>
      </c>
      <c r="Q131" s="1284">
        <f>P131/N131</f>
        <v>-0.71016249339893434</v>
      </c>
      <c r="R131" s="1222"/>
    </row>
    <row r="132" spans="1:19" ht="13.5">
      <c r="A132" s="28"/>
      <c r="B132" s="28"/>
      <c r="C132" s="90"/>
      <c r="D132" s="1108" t="s">
        <v>1619</v>
      </c>
      <c r="E132" s="998"/>
      <c r="F132" s="998">
        <f>SUM(F127:F129)</f>
        <v>2701846</v>
      </c>
      <c r="G132" s="998">
        <f t="shared" ref="G132:I132" si="73">SUM(G127:G129)</f>
        <v>1192395.4500000002</v>
      </c>
      <c r="H132" s="998">
        <f t="shared" si="73"/>
        <v>1340764.3500000001</v>
      </c>
      <c r="I132" s="998">
        <f t="shared" si="73"/>
        <v>1963634.4000000004</v>
      </c>
      <c r="J132" s="998">
        <f>SUM(J127:J129)</f>
        <v>7198640.2000000011</v>
      </c>
      <c r="K132" s="1281"/>
      <c r="L132" s="1281"/>
      <c r="M132" s="1281"/>
      <c r="N132" s="1311">
        <f>SUM(N127:N129)</f>
        <v>28370250</v>
      </c>
      <c r="O132" s="1348"/>
      <c r="P132" s="1106">
        <f>J132-N132</f>
        <v>-21171609.799999997</v>
      </c>
      <c r="Q132" s="1107">
        <f>P132/N132</f>
        <v>-0.7462609529348524</v>
      </c>
      <c r="R132" s="1323"/>
    </row>
    <row r="133" spans="1:19" ht="13.5" outlineLevel="1">
      <c r="A133" s="17" t="s">
        <v>88</v>
      </c>
      <c r="B133" s="17"/>
      <c r="C133" s="90" t="s">
        <v>89</v>
      </c>
      <c r="D133" s="45" t="s">
        <v>90</v>
      </c>
      <c r="E133" s="5"/>
      <c r="F133" s="73">
        <f>'2016年公司车险及ES车辆养护'!B31</f>
        <v>2802.9</v>
      </c>
      <c r="G133" s="73">
        <f>'2016年公司车险及ES车辆养护'!C31</f>
        <v>9755</v>
      </c>
      <c r="H133" s="73">
        <f>'2016年公司车险及ES车辆养护'!D31</f>
        <v>11577.5</v>
      </c>
      <c r="I133" s="73">
        <f>'2016年公司车险及ES车辆养护'!E31</f>
        <v>2336</v>
      </c>
      <c r="J133" s="86">
        <f>F133+G133+H133+I133</f>
        <v>26471.4</v>
      </c>
      <c r="K133" s="86">
        <f>'2016年公司车险及ES车辆养护'!I28</f>
        <v>240</v>
      </c>
      <c r="L133" s="24">
        <f>J133-K133</f>
        <v>26231.4</v>
      </c>
      <c r="M133" s="1001">
        <f>L133/K133</f>
        <v>109.2975</v>
      </c>
      <c r="N133" s="1257">
        <f>'2015预算稿 '!J126</f>
        <v>327127.7377</v>
      </c>
      <c r="O133" s="1001">
        <f>K133/N133</f>
        <v>7.3365836137104798E-4</v>
      </c>
      <c r="P133" s="1112">
        <f t="shared" si="44"/>
        <v>-300656.33769999997</v>
      </c>
      <c r="Q133" s="1119">
        <f t="shared" si="67"/>
        <v>-0.91907931688667677</v>
      </c>
      <c r="R133" s="1323"/>
      <c r="S133" s="1324"/>
    </row>
    <row r="134" spans="1:19" ht="13.5" outlineLevel="1">
      <c r="A134" s="17"/>
      <c r="B134" s="17"/>
      <c r="C134" s="1377" t="s">
        <v>1679</v>
      </c>
      <c r="D134" s="45" t="s">
        <v>91</v>
      </c>
      <c r="E134" s="5"/>
      <c r="F134" s="73">
        <f>'2016年公司车险及ES车辆养护'!B32</f>
        <v>4791.5</v>
      </c>
      <c r="G134" s="73">
        <f>'2016年公司车险及ES车辆养护'!C32</f>
        <v>4791.5</v>
      </c>
      <c r="H134" s="73">
        <f>'2016年公司车险及ES车辆养护'!D32</f>
        <v>4791.5</v>
      </c>
      <c r="I134" s="73">
        <f>'2016年公司车险及ES车辆养护'!E32</f>
        <v>4791.5</v>
      </c>
      <c r="J134" s="86">
        <f>F134+G134+H134+I134</f>
        <v>19166</v>
      </c>
      <c r="K134" s="86">
        <f>'2015年ES实际花费数据'!V115</f>
        <v>97254.915900000007</v>
      </c>
      <c r="L134" s="24">
        <f>J134-K134</f>
        <v>-78088.915900000007</v>
      </c>
      <c r="M134" s="1001">
        <f t="shared" si="66"/>
        <v>-0.80293027018082075</v>
      </c>
      <c r="N134" s="1257">
        <f>'2015预算稿 '!J127</f>
        <v>112000</v>
      </c>
      <c r="O134" s="1001">
        <f>K134/N134</f>
        <v>0.86834746339285718</v>
      </c>
      <c r="P134" s="24">
        <f t="shared" si="44"/>
        <v>-92834</v>
      </c>
      <c r="Q134" s="25">
        <f t="shared" si="67"/>
        <v>-0.82887500000000003</v>
      </c>
      <c r="R134" s="1374" t="s">
        <v>1656</v>
      </c>
      <c r="S134" s="1324"/>
    </row>
    <row r="135" spans="1:19">
      <c r="A135" s="17"/>
      <c r="B135" s="17"/>
      <c r="C135" s="90"/>
      <c r="D135" s="1108" t="s">
        <v>1161</v>
      </c>
      <c r="E135" s="998"/>
      <c r="F135" s="1325">
        <f t="shared" ref="F135:J135" si="74">SUM(F133:F134)</f>
        <v>7594.4</v>
      </c>
      <c r="G135" s="1325">
        <f t="shared" si="74"/>
        <v>14546.5</v>
      </c>
      <c r="H135" s="1325">
        <f t="shared" si="74"/>
        <v>16369</v>
      </c>
      <c r="I135" s="1325">
        <f t="shared" si="74"/>
        <v>7127.5</v>
      </c>
      <c r="J135" s="1326">
        <f t="shared" si="74"/>
        <v>45637.4</v>
      </c>
      <c r="K135" s="1326">
        <f>SUM(K133:K134)</f>
        <v>97494.915900000007</v>
      </c>
      <c r="L135" s="1326">
        <f>J135-K135</f>
        <v>-51857.515900000006</v>
      </c>
      <c r="M135" s="1327">
        <f>L135/K135</f>
        <v>-0.53189969365366674</v>
      </c>
      <c r="N135" s="1328">
        <f>SUM(N133:N134)</f>
        <v>439127.7377</v>
      </c>
      <c r="O135" s="1250"/>
      <c r="P135" s="1106">
        <f>J135-N135</f>
        <v>-393490.33769999997</v>
      </c>
      <c r="Q135" s="1107">
        <f>(J135-N135)/N135</f>
        <v>-0.896072609216095</v>
      </c>
      <c r="R135" s="30"/>
      <c r="S135" s="8"/>
    </row>
    <row r="136" spans="1:19" outlineLevel="1">
      <c r="A136" s="90" t="s">
        <v>3</v>
      </c>
      <c r="C136" s="90" t="s">
        <v>92</v>
      </c>
      <c r="D136" s="1329" t="s">
        <v>1602</v>
      </c>
      <c r="E136" s="23"/>
      <c r="F136" s="73">
        <v>75000</v>
      </c>
      <c r="G136" s="73">
        <v>75000</v>
      </c>
      <c r="H136" s="73">
        <v>75000</v>
      </c>
      <c r="I136" s="73">
        <v>75000</v>
      </c>
      <c r="J136" s="86">
        <f>F136+G136+H136+I136</f>
        <v>300000</v>
      </c>
      <c r="K136" s="86"/>
      <c r="L136" s="86"/>
      <c r="M136" s="86"/>
      <c r="N136" s="1256">
        <f>'2015预算稿 '!J130</f>
        <v>4</v>
      </c>
      <c r="O136" s="1001"/>
      <c r="P136" s="24"/>
      <c r="Q136" s="42"/>
      <c r="R136" s="30"/>
    </row>
    <row r="137" spans="1:19">
      <c r="A137" s="17"/>
      <c r="B137" s="17"/>
      <c r="C137" s="1377" t="s">
        <v>1679</v>
      </c>
      <c r="D137" s="1108" t="s">
        <v>1602</v>
      </c>
      <c r="E137" s="699"/>
      <c r="F137" s="1325">
        <f>SUM(F136:F136)</f>
        <v>75000</v>
      </c>
      <c r="G137" s="1325">
        <f>SUM(G136:G136)</f>
        <v>75000</v>
      </c>
      <c r="H137" s="1325">
        <f>SUM(H136:H136)</f>
        <v>75000</v>
      </c>
      <c r="I137" s="1325">
        <f>SUM(I136:I136)</f>
        <v>75000</v>
      </c>
      <c r="J137" s="1326">
        <f>SUM(J136:J136)</f>
        <v>300000</v>
      </c>
      <c r="K137" s="1326"/>
      <c r="L137" s="1326"/>
      <c r="M137" s="1326"/>
      <c r="N137" s="1328">
        <f>SUM(N136)</f>
        <v>4</v>
      </c>
      <c r="O137" s="1250">
        <f>K137/N137</f>
        <v>0</v>
      </c>
      <c r="P137" s="997">
        <f>J137-N137</f>
        <v>299996</v>
      </c>
      <c r="Q137" s="1107">
        <f>(J137-N137)/N137</f>
        <v>74999</v>
      </c>
      <c r="R137" s="30"/>
      <c r="S137" s="8"/>
    </row>
    <row r="138" spans="1:19">
      <c r="A138" s="17"/>
      <c r="B138" s="17"/>
      <c r="C138" s="90"/>
      <c r="D138" s="1002"/>
      <c r="E138" s="5"/>
      <c r="F138" s="1368"/>
      <c r="G138" s="1368"/>
      <c r="H138" s="1368"/>
      <c r="I138" s="1368"/>
      <c r="J138" s="1369"/>
      <c r="K138" s="1369"/>
      <c r="L138" s="1369"/>
      <c r="M138" s="1369"/>
      <c r="N138" s="1370"/>
      <c r="O138" s="1001"/>
      <c r="P138" s="24"/>
      <c r="Q138" s="42"/>
      <c r="R138" s="30"/>
      <c r="S138" s="8"/>
    </row>
    <row r="139" spans="1:19" ht="12.75" customHeight="1">
      <c r="D139" s="1371" t="s">
        <v>1620</v>
      </c>
      <c r="E139" s="1281"/>
      <c r="F139" s="1300">
        <f>F137+F135+F132+F126+F121+F115+F113+F109+F106+F92+F88+F79+F71+F62+F54+F44+F32+F21</f>
        <v>2883422.1073576272</v>
      </c>
      <c r="G139" s="1300">
        <f t="shared" ref="G139:I139" si="75">G137+G135+G132+G126+G121+G115+G113+G109+G106+G92+G88+G79+G71+G62+G54+G44+G32+G21</f>
        <v>1386180.2873576269</v>
      </c>
      <c r="H139" s="1300">
        <f t="shared" si="75"/>
        <v>1615204.5316242934</v>
      </c>
      <c r="I139" s="1300">
        <f t="shared" si="75"/>
        <v>2140370.7273576274</v>
      </c>
      <c r="J139" s="1300">
        <f>J21+J32+J44+J54+J62+J71+J79+J88+J92+J97+J106+J109+J113+J115+J121+J135+J126+J137+J132</f>
        <v>8025177.6536971759</v>
      </c>
      <c r="K139" s="1300"/>
      <c r="L139" s="1300"/>
      <c r="M139" s="1300"/>
      <c r="N139" s="1308">
        <f>N21+N32+N44+N54+N62+N71+N79+N88+N92+N97+N106+N109+N113+N115+N121+N126+N132+N135+N137</f>
        <v>48389398.009697586</v>
      </c>
      <c r="O139" s="1250"/>
      <c r="P139" s="1300">
        <f>P21+P32+P44+P54+P62+P71+P79+P88+P97+P106+P109+P113+P115+P121+P132+P135+P126+P137+S92+P92</f>
        <v>-40364220.356000401</v>
      </c>
      <c r="Q139" s="1284">
        <f>(J139-N139)/N139</f>
        <v>-0.83415421592785932</v>
      </c>
      <c r="R139" s="95"/>
    </row>
    <row r="140" spans="1:19">
      <c r="C140" s="96"/>
      <c r="D140" s="1367"/>
      <c r="J140" s="6">
        <f>J136+J134+J133+J130+J128+J127+J124+J122+J119+J117+J116+J114+J112+J111+J110+J108+J107+J101+J100+J99+J90+J89+J82+J81+J80+J77+J86+J104+J74+J73+J72+J69+J66+J65+J64+J63+J60+J57+J56+J55+J52+J49+J48+J46+J45+J42+J39+J38+J37+J36+J35+J34+J33+J30+J25+J24+J23+J22+J19+J12+J11+J10+J9+J8+J7</f>
        <v>8025177.6536971768</v>
      </c>
      <c r="N140" s="1256">
        <f>'2015预算稿 '!J132</f>
        <v>48389398.009697579</v>
      </c>
      <c r="O140" s="1001"/>
      <c r="P140" s="1122">
        <f>J139-N139</f>
        <v>-40364220.356000409</v>
      </c>
      <c r="Q140" s="1114" t="s">
        <v>916</v>
      </c>
      <c r="R140" s="30"/>
    </row>
    <row r="141" spans="1:19" s="53" customFormat="1">
      <c r="A141" s="51"/>
      <c r="D141" s="1351" t="s">
        <v>1595</v>
      </c>
      <c r="E141" s="1352"/>
      <c r="F141" s="1300">
        <f>F137+F135+F131+F125+F120+F115+F113+F109+F105+F92+F87+F78+F70+F61+F53+F43+F31+F20</f>
        <v>2501600.0029576267</v>
      </c>
      <c r="G141" s="1300">
        <f t="shared" ref="G141:I141" si="76">G137+G135+G131+G125+G120+G115+G113+G109+G105+G92+G87+G78+G70+G61+G53+G43+G31+G20</f>
        <v>963327.35295762727</v>
      </c>
      <c r="H141" s="1300">
        <f t="shared" si="76"/>
        <v>1409558.4116242935</v>
      </c>
      <c r="I141" s="1300">
        <f t="shared" si="76"/>
        <v>1297300.352957627</v>
      </c>
      <c r="J141" s="1300">
        <f>J137+J135+J131+J125+J120+J115+J113+J109+J105+J92++J87+J78+J70+J61+J53+J43+J31+J20</f>
        <v>6171786.1204971755</v>
      </c>
      <c r="K141" s="1322">
        <f>K135+K131+K125+K120+K115+K113+K105+K96+K92+K87+K78+K70+K61+K53+K43+K31+K20</f>
        <v>22273906.445459999</v>
      </c>
      <c r="L141" s="1365">
        <f>J141-K141</f>
        <v>-16102120.324962825</v>
      </c>
      <c r="M141" s="1364">
        <f>L141/K141</f>
        <v>-0.72291406827942639</v>
      </c>
      <c r="N141" s="1322">
        <f>N137+N135+N131+N125+N120+N115+N113+N109+N105+N96+N92+N87+N78+N70+N61+N53+N43+N31+N20</f>
        <v>36975732.449897587</v>
      </c>
      <c r="O141" s="1353">
        <f>K141/N141</f>
        <v>0.60239256857565482</v>
      </c>
      <c r="P141" s="1300">
        <f>J141-N141</f>
        <v>-30803946.329400413</v>
      </c>
      <c r="Q141" s="1284">
        <f>P141/N141</f>
        <v>-0.83308549387466513</v>
      </c>
      <c r="R141" s="1271"/>
    </row>
    <row r="142" spans="1:19">
      <c r="A142" s="17"/>
      <c r="B142" s="17"/>
      <c r="E142" s="5"/>
      <c r="J142" s="6">
        <f>J136+J134+J133+J128+J127+J122+J117+J116+J114+J112+J111+J110+J108+J107+J101+J100+J99+J90+J89+J82+J81+J80+J74+J73+J72+J66+J65+J64+J63+J57+J56+J55+J49+J48+J46+J45+J39+J38+J37+J36+J35+J34+J33+J25+J24+J23+J22+J12+J11+J10+J9+J8+J7</f>
        <v>6171786.1204971774</v>
      </c>
      <c r="K142" s="6">
        <f>K134+K133+K128+K127+K122+K114+K117+K116+K110+K101+K100+K99+K93+K90+K89+K82+K81+K80+K75+K74+K73+K72+K63+K58+K57+K56+K55+K45+K40+K39+K38+K36+K34+K33+K26+K25+K23+K22+K14+K13+K12+K11+K10+K9+K8+K7+K6</f>
        <v>22273906.445459999</v>
      </c>
      <c r="N142" s="1256">
        <f>SUM(N6:N14)+SUM(N22:N26)+SUM(N33:N40)+SUM(N45:N50)+SUM(N55:N58)+SUM(N63:N67)+SUM(N72:N75)+SUM(N80:N84)+N89+N90+N91+N93+SUM(N98:N102)+N107+N108+N110+N111+N112+N114+N116+N117+N122+N127+N128+N133+N134+N136</f>
        <v>36975732.449897587</v>
      </c>
      <c r="P142" s="94"/>
      <c r="Q142" s="1114" t="s">
        <v>916</v>
      </c>
      <c r="R142" s="30"/>
    </row>
    <row r="143" spans="1:19">
      <c r="A143" s="17"/>
      <c r="B143" s="17"/>
      <c r="D143" s="1360" t="s">
        <v>1594</v>
      </c>
      <c r="E143" s="1098"/>
      <c r="F143" s="1361">
        <f>F130+F124+F119+F104+F86+F77+F69+F60+F52+F42+F30+F19</f>
        <v>381822.10440000001</v>
      </c>
      <c r="G143" s="1361">
        <f t="shared" ref="G143:I143" si="77">G130+G124+G119+G104+G86+G77+G69+G60+G52+G42+G30+G19</f>
        <v>422852.93440000003</v>
      </c>
      <c r="H143" s="1361">
        <f t="shared" si="77"/>
        <v>205646.12</v>
      </c>
      <c r="I143" s="1361">
        <f t="shared" si="77"/>
        <v>843070.37440000009</v>
      </c>
      <c r="J143" s="1361">
        <f>J130+J124+J119+J104+J86+J77+J69+J60+J52+J42+J30+J19</f>
        <v>1853391.5332000002</v>
      </c>
      <c r="K143" s="1361"/>
      <c r="L143" s="1361"/>
      <c r="M143" s="1361"/>
      <c r="N143" s="1362">
        <f>N130+N124+N119+N104+N95+N86+N77+N69+N60+N52+N42+N30+N19</f>
        <v>11413665.559800001</v>
      </c>
      <c r="O143" s="1361"/>
      <c r="P143" s="1363">
        <f>J143-N143</f>
        <v>-9560274.0266000014</v>
      </c>
      <c r="Q143" s="1307">
        <f>P143/N143</f>
        <v>-0.83761644990476869</v>
      </c>
    </row>
    <row r="144" spans="1:19">
      <c r="D144" s="102"/>
      <c r="F144" s="94"/>
      <c r="G144" s="94"/>
      <c r="H144" s="94"/>
      <c r="I144" s="94"/>
      <c r="J144" s="94"/>
      <c r="K144" s="94"/>
      <c r="L144" s="94"/>
      <c r="M144" s="94"/>
      <c r="N144" s="1262"/>
      <c r="O144" s="4"/>
      <c r="P144" s="94"/>
      <c r="Q144" s="4"/>
      <c r="R144" s="4"/>
    </row>
    <row r="145" spans="1:18">
      <c r="D145" s="103"/>
      <c r="F145" s="4"/>
      <c r="G145" s="4"/>
      <c r="H145" s="4"/>
      <c r="I145" s="4"/>
      <c r="J145" s="4"/>
      <c r="K145" s="4"/>
      <c r="M145" s="4"/>
      <c r="N145" s="1264"/>
      <c r="O145" s="4"/>
      <c r="P145" s="4"/>
      <c r="Q145" s="4"/>
      <c r="R145" s="4"/>
    </row>
    <row r="146" spans="1:18">
      <c r="D146" s="22"/>
      <c r="E146" s="5"/>
      <c r="F146" s="24"/>
      <c r="G146" s="24"/>
      <c r="H146" s="24"/>
      <c r="I146" s="24"/>
      <c r="J146" s="24"/>
      <c r="K146" s="24"/>
      <c r="L146" s="24"/>
      <c r="M146" s="24"/>
      <c r="N146" s="1257"/>
      <c r="O146" s="24"/>
      <c r="P146" s="24"/>
      <c r="Q146" s="25"/>
      <c r="R146" s="1273"/>
    </row>
    <row r="147" spans="1:18">
      <c r="D147" s="104" t="s">
        <v>1422</v>
      </c>
    </row>
    <row r="148" spans="1:18">
      <c r="A148" s="90" t="s">
        <v>3</v>
      </c>
      <c r="C148" s="1331" t="s">
        <v>1423</v>
      </c>
      <c r="N148" s="1265"/>
      <c r="O148" s="106"/>
      <c r="P148" s="106"/>
    </row>
    <row r="149" spans="1:18" ht="13.5" customHeight="1">
      <c r="C149" s="1380" t="s">
        <v>1683</v>
      </c>
      <c r="D149" s="3" t="s">
        <v>94</v>
      </c>
      <c r="E149" s="5">
        <f>武汉研发中心!B94</f>
        <v>34.5</v>
      </c>
      <c r="F149" s="73">
        <f>[22]武汉研发中心!B131</f>
        <v>108000</v>
      </c>
      <c r="G149" s="73">
        <f t="shared" ref="G149:I150" si="78">$E149*3</f>
        <v>103.5</v>
      </c>
      <c r="H149" s="73">
        <f t="shared" si="78"/>
        <v>103.5</v>
      </c>
      <c r="I149" s="73">
        <f t="shared" si="78"/>
        <v>103.5</v>
      </c>
      <c r="J149" s="5">
        <f t="shared" ref="J149:J163" si="79">F149+G149+H149+I149</f>
        <v>108310.5</v>
      </c>
      <c r="K149" s="5">
        <f>武汉研发中心!B85</f>
        <v>3660</v>
      </c>
      <c r="L149" s="5">
        <f>J149-K149</f>
        <v>104650.5</v>
      </c>
      <c r="M149" s="1001">
        <f>L149/K149</f>
        <v>28.593032786885246</v>
      </c>
      <c r="N149" s="1256">
        <f>'2015预算稿 '!J142</f>
        <v>1346</v>
      </c>
      <c r="O149" s="1001">
        <f>K149/N149</f>
        <v>2.7191679049034176</v>
      </c>
      <c r="P149" s="1122">
        <f t="shared" ref="P149:P163" si="80">J149-N149</f>
        <v>106964.5</v>
      </c>
      <c r="Q149" s="25">
        <f t="shared" ref="Q149:Q163" si="81">(J149-N149)/N149</f>
        <v>79.468424962852893</v>
      </c>
    </row>
    <row r="150" spans="1:18">
      <c r="A150" s="90"/>
      <c r="C150" s="1380"/>
      <c r="D150" s="3" t="s">
        <v>95</v>
      </c>
      <c r="E150" s="5">
        <f>武汉研发中心!B111</f>
        <v>3.1661666666666668</v>
      </c>
      <c r="F150" s="73">
        <f>$E150*3</f>
        <v>9.4984999999999999</v>
      </c>
      <c r="G150" s="73">
        <f t="shared" si="78"/>
        <v>9.4984999999999999</v>
      </c>
      <c r="H150" s="73">
        <f t="shared" si="78"/>
        <v>9.4984999999999999</v>
      </c>
      <c r="I150" s="73">
        <f t="shared" si="78"/>
        <v>9.4984999999999999</v>
      </c>
      <c r="J150" s="5">
        <f t="shared" si="79"/>
        <v>37.994</v>
      </c>
      <c r="K150" s="5">
        <f>武汉研发中心!B102</f>
        <v>11611.720000000001</v>
      </c>
      <c r="L150" s="5">
        <f t="shared" ref="L150:L163" si="82">J150-K150</f>
        <v>-11573.726000000001</v>
      </c>
      <c r="M150" s="1001">
        <f t="shared" ref="M150:M163" si="83">L150/K150</f>
        <v>-0.99672796106003236</v>
      </c>
      <c r="N150" s="1256">
        <f>'2015预算稿 '!J143</f>
        <v>1620</v>
      </c>
      <c r="O150" s="1001">
        <f t="shared" ref="O150:O163" si="84">K150/N150</f>
        <v>7.1677283950617294</v>
      </c>
      <c r="P150" s="1122">
        <f t="shared" si="80"/>
        <v>-1582.0060000000001</v>
      </c>
      <c r="Q150" s="25">
        <f t="shared" si="81"/>
        <v>-0.97654691358024692</v>
      </c>
      <c r="R150" s="109"/>
    </row>
    <row r="151" spans="1:18">
      <c r="A151" s="90"/>
      <c r="C151" s="1380"/>
      <c r="D151" s="3" t="s">
        <v>97</v>
      </c>
      <c r="E151" s="5">
        <f>武汉研发中心!B124</f>
        <v>24.5</v>
      </c>
      <c r="F151" s="73">
        <f t="shared" ref="F151:I155" si="85">$E151*3</f>
        <v>73.5</v>
      </c>
      <c r="G151" s="73">
        <f t="shared" si="85"/>
        <v>73.5</v>
      </c>
      <c r="H151" s="73">
        <f t="shared" si="85"/>
        <v>73.5</v>
      </c>
      <c r="I151" s="73">
        <f t="shared" si="85"/>
        <v>73.5</v>
      </c>
      <c r="J151" s="5">
        <f t="shared" si="79"/>
        <v>294</v>
      </c>
      <c r="K151" s="5">
        <f>武汉研发中心!B117</f>
        <v>6470</v>
      </c>
      <c r="L151" s="5">
        <f t="shared" si="82"/>
        <v>-6176</v>
      </c>
      <c r="M151" s="1001">
        <f t="shared" si="83"/>
        <v>-0.95455950540958268</v>
      </c>
      <c r="N151" s="1256">
        <f>'2015预算稿 '!J144</f>
        <v>1620</v>
      </c>
      <c r="O151" s="1001">
        <f t="shared" si="84"/>
        <v>3.9938271604938271</v>
      </c>
      <c r="P151" s="1122">
        <f t="shared" si="80"/>
        <v>-1326</v>
      </c>
      <c r="Q151" s="25">
        <f t="shared" si="81"/>
        <v>-0.81851851851851853</v>
      </c>
    </row>
    <row r="152" spans="1:18">
      <c r="A152" s="90"/>
      <c r="C152" s="1380"/>
      <c r="D152" s="3" t="s">
        <v>99</v>
      </c>
      <c r="E152" s="5">
        <f>武汉研发中心!B137</f>
        <v>555.60833333333335</v>
      </c>
      <c r="F152" s="73">
        <f t="shared" si="85"/>
        <v>1666.825</v>
      </c>
      <c r="G152" s="73">
        <f t="shared" si="85"/>
        <v>1666.825</v>
      </c>
      <c r="H152" s="73">
        <f t="shared" si="85"/>
        <v>1666.825</v>
      </c>
      <c r="I152" s="73">
        <f t="shared" si="85"/>
        <v>1666.825</v>
      </c>
      <c r="J152" s="5">
        <f t="shared" si="79"/>
        <v>6667.3</v>
      </c>
      <c r="K152" s="5">
        <f>武汉研发中心!B130</f>
        <v>7549.3</v>
      </c>
      <c r="L152" s="5">
        <f t="shared" si="82"/>
        <v>-882</v>
      </c>
      <c r="M152" s="1001">
        <f t="shared" si="83"/>
        <v>-0.11683202416118051</v>
      </c>
      <c r="N152" s="1256">
        <f>'2015预算稿 '!J145</f>
        <v>1620</v>
      </c>
      <c r="O152" s="1001">
        <f t="shared" si="84"/>
        <v>4.6600617283950623</v>
      </c>
      <c r="P152" s="1122">
        <f t="shared" si="80"/>
        <v>5047.3</v>
      </c>
      <c r="Q152" s="25">
        <f t="shared" si="81"/>
        <v>3.1156172839506175</v>
      </c>
    </row>
    <row r="153" spans="1:18">
      <c r="C153" s="1380" t="s">
        <v>1684</v>
      </c>
      <c r="D153" s="3" t="s">
        <v>101</v>
      </c>
      <c r="E153" s="5">
        <f>武汉研发中心!B11</f>
        <v>12.65</v>
      </c>
      <c r="F153" s="73">
        <f t="shared" si="85"/>
        <v>37.950000000000003</v>
      </c>
      <c r="G153" s="73">
        <f t="shared" si="85"/>
        <v>37.950000000000003</v>
      </c>
      <c r="H153" s="73">
        <f t="shared" si="85"/>
        <v>37.950000000000003</v>
      </c>
      <c r="I153" s="73">
        <f t="shared" si="85"/>
        <v>37.950000000000003</v>
      </c>
      <c r="J153" s="5">
        <f t="shared" si="79"/>
        <v>151.80000000000001</v>
      </c>
      <c r="K153" s="5">
        <f>武汉研发中心!B5*12</f>
        <v>138</v>
      </c>
      <c r="L153" s="5">
        <f t="shared" si="82"/>
        <v>13.800000000000011</v>
      </c>
      <c r="M153" s="1001">
        <f t="shared" si="83"/>
        <v>0.10000000000000009</v>
      </c>
      <c r="N153" s="1256">
        <f>'2015预算稿 '!J146</f>
        <v>1620</v>
      </c>
      <c r="O153" s="1001">
        <f t="shared" si="84"/>
        <v>8.5185185185185183E-2</v>
      </c>
      <c r="P153" s="1122">
        <f t="shared" si="80"/>
        <v>-1468.2</v>
      </c>
      <c r="Q153" s="25">
        <f t="shared" si="81"/>
        <v>-0.90629629629629638</v>
      </c>
      <c r="R153" s="109"/>
    </row>
    <row r="154" spans="1:18">
      <c r="C154" s="1381"/>
      <c r="D154" s="3" t="s">
        <v>102</v>
      </c>
      <c r="E154" s="5">
        <f>武汉研发中心!B28</f>
        <v>101</v>
      </c>
      <c r="F154" s="73">
        <f>$E154*3</f>
        <v>303</v>
      </c>
      <c r="G154" s="73">
        <f t="shared" si="85"/>
        <v>303</v>
      </c>
      <c r="H154" s="73">
        <f t="shared" si="85"/>
        <v>303</v>
      </c>
      <c r="I154" s="73">
        <f t="shared" si="85"/>
        <v>303</v>
      </c>
      <c r="J154" s="5">
        <f t="shared" si="79"/>
        <v>1212</v>
      </c>
      <c r="K154" s="5">
        <f>武汉研发中心!B24*12</f>
        <v>1212</v>
      </c>
      <c r="L154" s="5">
        <f t="shared" si="82"/>
        <v>0</v>
      </c>
      <c r="M154" s="1001">
        <f t="shared" si="83"/>
        <v>0</v>
      </c>
      <c r="N154" s="1256">
        <f>'2015预算稿 '!J147</f>
        <v>1620</v>
      </c>
      <c r="O154" s="1001">
        <f t="shared" si="84"/>
        <v>0.74814814814814812</v>
      </c>
      <c r="P154" s="1126">
        <f t="shared" si="80"/>
        <v>-408</v>
      </c>
      <c r="Q154" s="1104">
        <f t="shared" si="81"/>
        <v>-0.25185185185185183</v>
      </c>
    </row>
    <row r="155" spans="1:18">
      <c r="C155" s="1381"/>
      <c r="D155" s="3" t="s">
        <v>103</v>
      </c>
      <c r="E155" s="5">
        <f>武汉研发中心!B184</f>
        <v>16.666666666666668</v>
      </c>
      <c r="F155" s="73">
        <f>$E155*3</f>
        <v>50</v>
      </c>
      <c r="G155" s="73">
        <f t="shared" si="85"/>
        <v>50</v>
      </c>
      <c r="H155" s="73">
        <f t="shared" si="85"/>
        <v>50</v>
      </c>
      <c r="I155" s="73">
        <f t="shared" si="85"/>
        <v>50</v>
      </c>
      <c r="J155" s="5">
        <f t="shared" si="79"/>
        <v>200</v>
      </c>
      <c r="K155" s="5">
        <f>武汉研发中心!B177</f>
        <v>200</v>
      </c>
      <c r="L155" s="5">
        <f t="shared" si="82"/>
        <v>0</v>
      </c>
      <c r="M155" s="1001">
        <f t="shared" si="83"/>
        <v>0</v>
      </c>
      <c r="N155" s="1256">
        <f>'2015预算稿 '!J148</f>
        <v>1620</v>
      </c>
      <c r="O155" s="1001">
        <f t="shared" si="84"/>
        <v>0.12345679012345678</v>
      </c>
      <c r="P155" s="1122">
        <f t="shared" si="80"/>
        <v>-1420</v>
      </c>
      <c r="Q155" s="25">
        <f t="shared" si="81"/>
        <v>-0.87654320987654322</v>
      </c>
    </row>
    <row r="156" spans="1:18">
      <c r="C156" s="1381"/>
      <c r="D156" s="3" t="s">
        <v>71</v>
      </c>
      <c r="E156" s="5">
        <v>42</v>
      </c>
      <c r="F156" s="73">
        <f t="shared" ref="F156:I163" si="86">$E156*3</f>
        <v>126</v>
      </c>
      <c r="G156" s="73">
        <f t="shared" si="86"/>
        <v>126</v>
      </c>
      <c r="H156" s="73">
        <f t="shared" si="86"/>
        <v>126</v>
      </c>
      <c r="I156" s="73">
        <f t="shared" si="86"/>
        <v>126</v>
      </c>
      <c r="J156" s="5">
        <f t="shared" si="79"/>
        <v>504</v>
      </c>
      <c r="K156" s="5">
        <v>0</v>
      </c>
      <c r="L156" s="5">
        <f t="shared" si="82"/>
        <v>504</v>
      </c>
      <c r="M156" s="1001">
        <v>1</v>
      </c>
      <c r="N156" s="1256">
        <f>'2015预算稿 '!J149</f>
        <v>1620</v>
      </c>
      <c r="O156" s="1001">
        <f t="shared" si="84"/>
        <v>0</v>
      </c>
      <c r="P156" s="1122">
        <f t="shared" si="80"/>
        <v>-1116</v>
      </c>
      <c r="Q156" s="25">
        <f t="shared" si="81"/>
        <v>-0.68888888888888888</v>
      </c>
    </row>
    <row r="157" spans="1:18">
      <c r="C157" s="1381"/>
      <c r="D157" s="1329" t="s">
        <v>105</v>
      </c>
      <c r="E157" s="5">
        <f>武汉研发中心!B197</f>
        <v>390</v>
      </c>
      <c r="F157" s="73">
        <f t="shared" si="86"/>
        <v>1170</v>
      </c>
      <c r="G157" s="5">
        <f t="shared" si="86"/>
        <v>1170</v>
      </c>
      <c r="H157" s="5">
        <f t="shared" si="86"/>
        <v>1170</v>
      </c>
      <c r="I157" s="5">
        <f t="shared" si="86"/>
        <v>1170</v>
      </c>
      <c r="J157" s="5">
        <f t="shared" si="79"/>
        <v>4680</v>
      </c>
      <c r="K157" s="5">
        <f>武汉研发中心!B190</f>
        <v>4680</v>
      </c>
      <c r="L157" s="5">
        <f t="shared" si="82"/>
        <v>0</v>
      </c>
      <c r="M157" s="1001">
        <f t="shared" si="83"/>
        <v>0</v>
      </c>
      <c r="N157" s="1256">
        <f>'2015预算稿 '!J150</f>
        <v>1620</v>
      </c>
      <c r="O157" s="1001">
        <f t="shared" si="84"/>
        <v>2.8888888888888888</v>
      </c>
      <c r="P157" s="1127">
        <f t="shared" si="80"/>
        <v>3060</v>
      </c>
      <c r="Q157" s="1092">
        <f t="shared" si="81"/>
        <v>1.8888888888888888</v>
      </c>
      <c r="R157" s="109"/>
    </row>
    <row r="158" spans="1:18">
      <c r="C158" s="1379" t="s">
        <v>1670</v>
      </c>
      <c r="D158" s="3" t="s">
        <v>106</v>
      </c>
      <c r="E158" s="5">
        <f>武汉研发中心!B171</f>
        <v>136.76250000000002</v>
      </c>
      <c r="F158" s="73">
        <f t="shared" si="86"/>
        <v>410.28750000000002</v>
      </c>
      <c r="G158" s="73">
        <f t="shared" si="86"/>
        <v>410.28750000000002</v>
      </c>
      <c r="H158" s="73">
        <f t="shared" si="86"/>
        <v>410.28750000000002</v>
      </c>
      <c r="I158" s="73">
        <f t="shared" si="86"/>
        <v>410.28750000000002</v>
      </c>
      <c r="J158" s="5">
        <f t="shared" si="79"/>
        <v>1641.15</v>
      </c>
      <c r="K158" s="5">
        <f>武汉研发中心!B162</f>
        <v>4549</v>
      </c>
      <c r="L158" s="5">
        <f t="shared" si="82"/>
        <v>-2907.85</v>
      </c>
      <c r="M158" s="1001">
        <f t="shared" si="83"/>
        <v>-0.63922840184655971</v>
      </c>
      <c r="N158" s="1256">
        <f>'2015预算稿 '!J151</f>
        <v>1620</v>
      </c>
      <c r="O158" s="1001">
        <f t="shared" si="84"/>
        <v>2.8080246913580247</v>
      </c>
      <c r="P158" s="1122">
        <f t="shared" si="80"/>
        <v>21.150000000000091</v>
      </c>
      <c r="Q158" s="25">
        <f t="shared" si="81"/>
        <v>1.3055555555555612E-2</v>
      </c>
      <c r="R158" s="109"/>
    </row>
    <row r="159" spans="1:18">
      <c r="C159" s="1380" t="s">
        <v>1685</v>
      </c>
      <c r="D159" s="3" t="s">
        <v>108</v>
      </c>
      <c r="E159" s="5">
        <v>50</v>
      </c>
      <c r="F159" s="73">
        <f t="shared" si="86"/>
        <v>150</v>
      </c>
      <c r="G159" s="73">
        <f t="shared" si="86"/>
        <v>150</v>
      </c>
      <c r="H159" s="73">
        <f t="shared" si="86"/>
        <v>150</v>
      </c>
      <c r="I159" s="73">
        <f t="shared" si="86"/>
        <v>150</v>
      </c>
      <c r="J159" s="5">
        <f t="shared" si="79"/>
        <v>600</v>
      </c>
      <c r="K159" s="5">
        <v>0</v>
      </c>
      <c r="L159" s="5">
        <f t="shared" si="82"/>
        <v>600</v>
      </c>
      <c r="M159" s="1001">
        <v>1</v>
      </c>
      <c r="N159" s="1256">
        <f>'2015预算稿 '!J152</f>
        <v>1620</v>
      </c>
      <c r="O159" s="1001">
        <f t="shared" si="84"/>
        <v>0</v>
      </c>
      <c r="P159" s="1122">
        <f t="shared" si="80"/>
        <v>-1020</v>
      </c>
      <c r="Q159" s="25">
        <f t="shared" si="81"/>
        <v>-0.62962962962962965</v>
      </c>
    </row>
    <row r="160" spans="1:18">
      <c r="C160" s="1381"/>
      <c r="D160" s="3" t="s">
        <v>109</v>
      </c>
      <c r="E160" s="5">
        <f>武汉研发中心!B59</f>
        <v>111.10000000000001</v>
      </c>
      <c r="F160" s="73">
        <f t="shared" si="86"/>
        <v>333.3</v>
      </c>
      <c r="G160" s="73">
        <f t="shared" si="86"/>
        <v>333.3</v>
      </c>
      <c r="H160" s="73">
        <f t="shared" si="86"/>
        <v>333.3</v>
      </c>
      <c r="I160" s="73">
        <f t="shared" si="86"/>
        <v>333.3</v>
      </c>
      <c r="J160" s="5">
        <f t="shared" si="79"/>
        <v>1333.2</v>
      </c>
      <c r="K160" s="5">
        <f>武汉研发中心!B55*12</f>
        <v>1212</v>
      </c>
      <c r="L160" s="5">
        <f t="shared" si="82"/>
        <v>121.20000000000005</v>
      </c>
      <c r="M160" s="1001">
        <f t="shared" si="83"/>
        <v>0.10000000000000003</v>
      </c>
      <c r="N160" s="1256">
        <f>'2015预算稿 '!J153</f>
        <v>1620</v>
      </c>
      <c r="O160" s="1001">
        <f t="shared" si="84"/>
        <v>0.74814814814814812</v>
      </c>
      <c r="P160" s="1122">
        <f t="shared" si="80"/>
        <v>-286.79999999999995</v>
      </c>
      <c r="Q160" s="25">
        <f t="shared" si="81"/>
        <v>-0.17703703703703702</v>
      </c>
    </row>
    <row r="161" spans="1:18">
      <c r="C161" s="1381"/>
      <c r="D161" s="3" t="s">
        <v>110</v>
      </c>
      <c r="E161" s="5">
        <f>武汉研发中心!B154</f>
        <v>230</v>
      </c>
      <c r="F161" s="73">
        <f t="shared" si="86"/>
        <v>690</v>
      </c>
      <c r="G161" s="73">
        <f t="shared" si="86"/>
        <v>690</v>
      </c>
      <c r="H161" s="73">
        <f t="shared" si="86"/>
        <v>690</v>
      </c>
      <c r="I161" s="73">
        <f t="shared" si="86"/>
        <v>690</v>
      </c>
      <c r="J161" s="5">
        <f t="shared" si="79"/>
        <v>2760</v>
      </c>
      <c r="K161" s="5">
        <f>武汉研发中心!B145</f>
        <v>2760</v>
      </c>
      <c r="L161" s="5">
        <f t="shared" si="82"/>
        <v>0</v>
      </c>
      <c r="M161" s="1001">
        <f t="shared" si="83"/>
        <v>0</v>
      </c>
      <c r="N161" s="1256">
        <f>'2015预算稿 '!J154</f>
        <v>1620</v>
      </c>
      <c r="O161" s="1001">
        <f t="shared" si="84"/>
        <v>1.7037037037037037</v>
      </c>
      <c r="P161" s="1122">
        <f t="shared" si="80"/>
        <v>1140</v>
      </c>
      <c r="Q161" s="25">
        <f t="shared" si="81"/>
        <v>0.70370370370370372</v>
      </c>
    </row>
    <row r="162" spans="1:18">
      <c r="C162" s="1381"/>
      <c r="D162" s="3" t="s">
        <v>112</v>
      </c>
      <c r="E162" s="5">
        <f>武汉研发中心!B77</f>
        <v>18.333333333333336</v>
      </c>
      <c r="F162" s="73">
        <f t="shared" si="86"/>
        <v>55.000000000000007</v>
      </c>
      <c r="G162" s="73">
        <f t="shared" si="86"/>
        <v>55.000000000000007</v>
      </c>
      <c r="H162" s="73">
        <f t="shared" si="86"/>
        <v>55.000000000000007</v>
      </c>
      <c r="I162" s="73">
        <f t="shared" si="86"/>
        <v>55.000000000000007</v>
      </c>
      <c r="J162" s="5">
        <f t="shared" si="79"/>
        <v>220.00000000000003</v>
      </c>
      <c r="K162" s="5">
        <f>武汉研发中心!B68</f>
        <v>100</v>
      </c>
      <c r="L162" s="5">
        <f t="shared" si="82"/>
        <v>120.00000000000003</v>
      </c>
      <c r="M162" s="1001">
        <f t="shared" si="83"/>
        <v>1.2000000000000002</v>
      </c>
      <c r="N162" s="1256">
        <f>'2015预算稿 '!J155</f>
        <v>1620</v>
      </c>
      <c r="O162" s="1001">
        <f t="shared" si="84"/>
        <v>6.1728395061728392E-2</v>
      </c>
      <c r="P162" s="1122">
        <f t="shared" si="80"/>
        <v>-1400</v>
      </c>
      <c r="Q162" s="25">
        <f t="shared" si="81"/>
        <v>-0.86419753086419748</v>
      </c>
      <c r="R162" s="1123"/>
    </row>
    <row r="163" spans="1:18" ht="20.25" customHeight="1">
      <c r="C163" s="1274"/>
      <c r="D163" s="3" t="s">
        <v>114</v>
      </c>
      <c r="E163" s="5">
        <f>武汉研发中心!B41</f>
        <v>18.516666666666669</v>
      </c>
      <c r="F163" s="73">
        <f t="shared" si="86"/>
        <v>55.550000000000011</v>
      </c>
      <c r="G163" s="73">
        <f t="shared" si="86"/>
        <v>55.550000000000011</v>
      </c>
      <c r="H163" s="73">
        <f t="shared" si="86"/>
        <v>55.550000000000011</v>
      </c>
      <c r="I163" s="73">
        <f t="shared" si="86"/>
        <v>55.550000000000011</v>
      </c>
      <c r="J163" s="5">
        <f t="shared" si="79"/>
        <v>222.20000000000005</v>
      </c>
      <c r="K163" s="5">
        <f>武汉研发中心!B34</f>
        <v>202</v>
      </c>
      <c r="L163" s="5">
        <f t="shared" si="82"/>
        <v>20.200000000000045</v>
      </c>
      <c r="M163" s="1001">
        <f t="shared" si="83"/>
        <v>0.10000000000000023</v>
      </c>
      <c r="N163" s="1256">
        <f>'2015预算稿 '!J156</f>
        <v>1620</v>
      </c>
      <c r="O163" s="1001">
        <f t="shared" si="84"/>
        <v>0.12469135802469136</v>
      </c>
      <c r="P163" s="1122">
        <f t="shared" si="80"/>
        <v>-1397.8</v>
      </c>
      <c r="Q163" s="25">
        <f t="shared" si="81"/>
        <v>-0.86283950617283944</v>
      </c>
    </row>
    <row r="164" spans="1:18">
      <c r="D164" s="115" t="s">
        <v>1426</v>
      </c>
      <c r="F164" s="1330">
        <f t="shared" ref="F164:K164" si="87">SUM(F149:F163)</f>
        <v>113130.91100000001</v>
      </c>
      <c r="G164" s="1330">
        <f t="shared" si="87"/>
        <v>5234.4110000000001</v>
      </c>
      <c r="H164" s="1330">
        <f t="shared" si="87"/>
        <v>5234.4110000000001</v>
      </c>
      <c r="I164" s="1330">
        <f t="shared" si="87"/>
        <v>5234.4110000000001</v>
      </c>
      <c r="J164" s="1330">
        <f t="shared" si="87"/>
        <v>128834.144</v>
      </c>
      <c r="K164" s="1330">
        <f t="shared" si="87"/>
        <v>44344.020000000004</v>
      </c>
      <c r="L164" s="1330">
        <f>J164-K164</f>
        <v>84490.123999999996</v>
      </c>
      <c r="M164" s="1332">
        <f>L164/K164</f>
        <v>1.9053329851465877</v>
      </c>
      <c r="N164" s="1333">
        <f>SUM(N149:N163)</f>
        <v>24026</v>
      </c>
      <c r="O164" s="1334">
        <f>K164/N164</f>
        <v>1.8456680263048366</v>
      </c>
      <c r="P164" s="1124">
        <f>J164-N164</f>
        <v>104808.144</v>
      </c>
      <c r="Q164" s="1125">
        <f>(J164-N164)/N164</f>
        <v>4.3622801964538418</v>
      </c>
    </row>
    <row r="165" spans="1:18">
      <c r="P165" s="1122"/>
    </row>
    <row r="167" spans="1:18">
      <c r="D167" s="93" t="s">
        <v>115</v>
      </c>
      <c r="F167" s="94">
        <f>F139+F164</f>
        <v>2996553.0183576271</v>
      </c>
      <c r="G167" s="94">
        <f>G139+G164</f>
        <v>1391414.698357627</v>
      </c>
      <c r="H167" s="94">
        <f>H139+H164</f>
        <v>1620438.9426242935</v>
      </c>
      <c r="I167" s="94">
        <f>I139+I164</f>
        <v>2145605.1383576272</v>
      </c>
      <c r="J167" s="94">
        <f>J139+J164</f>
        <v>8154011.7976971762</v>
      </c>
      <c r="K167" s="94"/>
      <c r="L167" s="94"/>
      <c r="M167" s="94"/>
      <c r="N167" s="1263">
        <f>N139+N164</f>
        <v>48413424.009697586</v>
      </c>
      <c r="O167" s="94"/>
      <c r="P167" s="94">
        <f>P164+P139</f>
        <v>-40259412.2120004</v>
      </c>
      <c r="Q167" s="1125">
        <f>(J167-N167)/N167</f>
        <v>-0.83157539536836178</v>
      </c>
      <c r="R167" s="114">
        <f>J167-N167</f>
        <v>-40259412.212000407</v>
      </c>
    </row>
    <row r="168" spans="1:18">
      <c r="A168" s="115"/>
      <c r="B168" s="1372"/>
      <c r="D168" s="93" t="s">
        <v>116</v>
      </c>
      <c r="Q168" s="1001"/>
    </row>
    <row r="171" spans="1:18">
      <c r="C171" s="90"/>
    </row>
    <row r="172" spans="1:18">
      <c r="C172" s="90"/>
    </row>
  </sheetData>
  <mergeCells count="54">
    <mergeCell ref="N3:Q3"/>
    <mergeCell ref="N4:N5"/>
    <mergeCell ref="P4:P5"/>
    <mergeCell ref="Q4:Q5"/>
    <mergeCell ref="O4:O5"/>
    <mergeCell ref="K4:K5"/>
    <mergeCell ref="L4:L5"/>
    <mergeCell ref="M4:M5"/>
    <mergeCell ref="K34:K35"/>
    <mergeCell ref="R13:R14"/>
    <mergeCell ref="K23:K24"/>
    <mergeCell ref="L23:L24"/>
    <mergeCell ref="M23:M24"/>
    <mergeCell ref="L34:L35"/>
    <mergeCell ref="M34:M35"/>
    <mergeCell ref="O23:O24"/>
    <mergeCell ref="O34:O35"/>
    <mergeCell ref="R11:R12"/>
    <mergeCell ref="R15:R16"/>
    <mergeCell ref="R17:R18"/>
    <mergeCell ref="R4:R5"/>
    <mergeCell ref="R34:R35"/>
    <mergeCell ref="K110:K112"/>
    <mergeCell ref="L110:L112"/>
    <mergeCell ref="M110:M112"/>
    <mergeCell ref="K45:K50"/>
    <mergeCell ref="L45:L50"/>
    <mergeCell ref="M45:M50"/>
    <mergeCell ref="K63:K67"/>
    <mergeCell ref="L63:L67"/>
    <mergeCell ref="M63:M67"/>
    <mergeCell ref="O110:O112"/>
    <mergeCell ref="O45:O50"/>
    <mergeCell ref="O63:O67"/>
    <mergeCell ref="R107:R108"/>
    <mergeCell ref="R93:R94"/>
    <mergeCell ref="J4:J5"/>
    <mergeCell ref="E4:E5"/>
    <mergeCell ref="F4:F5"/>
    <mergeCell ref="G4:G5"/>
    <mergeCell ref="H4:H5"/>
    <mergeCell ref="I4:I5"/>
    <mergeCell ref="C7:C14"/>
    <mergeCell ref="C23:C26"/>
    <mergeCell ref="C34:C39"/>
    <mergeCell ref="C46:C50"/>
    <mergeCell ref="C56:C57"/>
    <mergeCell ref="C153:C157"/>
    <mergeCell ref="C159:C162"/>
    <mergeCell ref="C64:C66"/>
    <mergeCell ref="C73:C74"/>
    <mergeCell ref="C81:C83"/>
    <mergeCell ref="C99:C101"/>
    <mergeCell ref="C149:C152"/>
  </mergeCells>
  <phoneticPr fontId="5" type="noConversion"/>
  <hyperlinks>
    <hyperlink ref="R99" location="'部分费用明细（水电植物耗材茶歇）'!B62" display="在2015年实际费用基础上因单价及满负荷增长率上涨"/>
    <hyperlink ref="R34:R35" location="'媒体大厦物业费 能源费'!A21" display="根据座位可使用率预估增长"/>
    <hyperlink ref="R101" location="'部分费用明细（水电植物耗材茶歇）'!B62" display="2015年实际消耗较2014年降低约50%，故费用预估较2015年预算降低50%左右；2016年预算在2015年实际费用基础上根据可使用率及物价上涨因素预估上调"/>
  </hyperlinks>
  <printOptions horizontalCentered="1"/>
  <pageMargins left="0.23622047244094491" right="0.23622047244094491" top="0.43307086614173229" bottom="0.35433070866141736" header="0.31496062992125984" footer="0.15748031496062992"/>
  <pageSetup paperSize="8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W149"/>
  <sheetViews>
    <sheetView showGridLines="0" zoomScale="90" zoomScaleNormal="90" workbookViewId="0">
      <pane xSplit="4" ySplit="5" topLeftCell="K14" activePane="bottomRight" state="frozen"/>
      <selection pane="topRight" activeCell="E1" sqref="E1"/>
      <selection pane="bottomLeft" activeCell="A6" sqref="A6"/>
      <selection pane="bottomRight" activeCell="M14" sqref="M14"/>
    </sheetView>
  </sheetViews>
  <sheetFormatPr defaultRowHeight="12.75" outlineLevelRow="1" outlineLevelCol="1"/>
  <cols>
    <col min="1" max="2" width="3.125" style="4" hidden="1" customWidth="1"/>
    <col min="3" max="3" width="16.25" style="2" hidden="1" customWidth="1"/>
    <col min="4" max="4" width="26.375" style="2" customWidth="1"/>
    <col min="5" max="5" width="13.875" style="1241" customWidth="1"/>
    <col min="6" max="6" width="12.25" style="2" customWidth="1"/>
    <col min="7" max="7" width="15.375" style="4" customWidth="1" outlineLevel="1"/>
    <col min="8" max="11" width="10" style="5" customWidth="1" outlineLevel="1"/>
    <col min="12" max="12" width="13.375" style="6" customWidth="1" outlineLevel="1"/>
    <col min="13" max="13" width="15.125" style="6" customWidth="1" outlineLevel="1"/>
    <col min="14" max="14" width="14.625" style="6" customWidth="1" outlineLevel="1"/>
    <col min="15" max="15" width="8.375" style="6" customWidth="1" outlineLevel="1"/>
    <col min="16" max="16" width="16.875" style="8" customWidth="1" outlineLevel="1"/>
    <col min="17" max="17" width="1.5" style="4" customWidth="1"/>
    <col min="18" max="19" width="12.375" style="4" bestFit="1" customWidth="1"/>
    <col min="20" max="22" width="11.375" style="4" bestFit="1" customWidth="1"/>
    <col min="23" max="23" width="19.375" style="4" bestFit="1" customWidth="1"/>
    <col min="24" max="16384" width="9" style="4"/>
  </cols>
  <sheetData>
    <row r="1" spans="1:23">
      <c r="A1" s="1129" t="s">
        <v>1428</v>
      </c>
      <c r="B1" s="1129"/>
      <c r="C1" s="1130"/>
      <c r="D1" s="1130"/>
      <c r="E1" s="1131"/>
      <c r="F1" s="1130"/>
      <c r="G1" s="149"/>
      <c r="H1" s="1132"/>
      <c r="I1" s="1132"/>
      <c r="J1" s="1132"/>
      <c r="K1" s="1132"/>
      <c r="L1" s="1133"/>
      <c r="M1" s="1133"/>
      <c r="N1" s="1133"/>
      <c r="O1" s="1134"/>
      <c r="P1" s="1135"/>
      <c r="Q1" s="149"/>
      <c r="R1" s="1427" t="s">
        <v>1658</v>
      </c>
      <c r="S1" s="1427"/>
      <c r="T1" s="1427"/>
      <c r="U1" s="1427"/>
      <c r="V1" s="1427"/>
    </row>
    <row r="2" spans="1:23">
      <c r="A2" s="149"/>
      <c r="B2" s="149"/>
      <c r="C2" s="1130"/>
      <c r="D2" s="1130"/>
      <c r="E2" s="1131"/>
      <c r="F2" s="1130"/>
      <c r="G2" s="149"/>
      <c r="H2" s="1132"/>
      <c r="I2" s="1132"/>
      <c r="J2" s="1132"/>
      <c r="K2" s="1132"/>
      <c r="L2" s="1133"/>
      <c r="M2" s="1133"/>
      <c r="N2" s="1133"/>
      <c r="O2" s="1133"/>
      <c r="P2" s="1135"/>
      <c r="Q2" s="149"/>
      <c r="R2" s="1136"/>
      <c r="S2" s="149"/>
      <c r="T2" s="149"/>
      <c r="U2" s="149"/>
      <c r="V2" s="149"/>
    </row>
    <row r="3" spans="1:23" ht="15.75" thickBot="1">
      <c r="A3" s="149"/>
      <c r="B3" s="149"/>
      <c r="C3" s="1137" t="s">
        <v>1166</v>
      </c>
      <c r="D3" s="1138" t="s">
        <v>705</v>
      </c>
      <c r="E3" s="1139" t="s">
        <v>1429</v>
      </c>
      <c r="F3" s="1140" t="s">
        <v>1430</v>
      </c>
      <c r="G3" s="1141" t="s">
        <v>1431</v>
      </c>
      <c r="H3" s="1141" t="s">
        <v>1168</v>
      </c>
      <c r="I3" s="1141" t="s">
        <v>1169</v>
      </c>
      <c r="J3" s="1141" t="s">
        <v>1170</v>
      </c>
      <c r="K3" s="1141" t="s">
        <v>1171</v>
      </c>
      <c r="L3" s="1142" t="s">
        <v>709</v>
      </c>
      <c r="M3" s="1420"/>
      <c r="N3" s="1420"/>
      <c r="O3" s="1420"/>
      <c r="P3" s="1143" t="s">
        <v>1432</v>
      </c>
      <c r="Q3" s="1144"/>
      <c r="R3" s="1142" t="s">
        <v>1168</v>
      </c>
      <c r="S3" s="1142" t="s">
        <v>1169</v>
      </c>
      <c r="T3" s="1142" t="s">
        <v>1170</v>
      </c>
      <c r="U3" s="1142" t="s">
        <v>1171</v>
      </c>
      <c r="V3" s="1142" t="s">
        <v>1433</v>
      </c>
    </row>
    <row r="4" spans="1:23">
      <c r="A4" s="149"/>
      <c r="B4" s="149"/>
      <c r="C4" s="1130"/>
      <c r="D4" s="1130"/>
      <c r="E4" s="1131"/>
      <c r="F4" s="1130"/>
      <c r="G4" s="1145" t="s">
        <v>1434</v>
      </c>
      <c r="H4" s="1145"/>
      <c r="I4" s="1145"/>
      <c r="J4" s="1145"/>
      <c r="K4" s="1145"/>
      <c r="L4" s="1146" t="s">
        <v>1435</v>
      </c>
      <c r="M4" s="1421" t="s">
        <v>1436</v>
      </c>
      <c r="N4" s="1423" t="s">
        <v>1437</v>
      </c>
      <c r="O4" s="1423" t="s">
        <v>1438</v>
      </c>
      <c r="P4" s="1147" t="s">
        <v>1439</v>
      </c>
      <c r="Q4" s="1148"/>
      <c r="R4" s="149"/>
      <c r="S4" s="149"/>
      <c r="T4" s="149"/>
      <c r="U4" s="149"/>
      <c r="V4" s="149"/>
    </row>
    <row r="5" spans="1:23" ht="15">
      <c r="A5" s="1149"/>
      <c r="B5" s="1149"/>
      <c r="C5" s="1150"/>
      <c r="D5" s="1151"/>
      <c r="E5" s="1152"/>
      <c r="F5" s="1151"/>
      <c r="G5" s="1145" t="s">
        <v>1440</v>
      </c>
      <c r="H5" s="1145"/>
      <c r="I5" s="1145"/>
      <c r="J5" s="1145"/>
      <c r="K5" s="1145"/>
      <c r="L5" s="1146" t="s">
        <v>1441</v>
      </c>
      <c r="M5" s="1422"/>
      <c r="N5" s="1424"/>
      <c r="O5" s="1425"/>
      <c r="P5" s="1135"/>
      <c r="Q5" s="1148"/>
      <c r="R5" s="149"/>
      <c r="S5" s="149"/>
      <c r="T5" s="149"/>
      <c r="U5" s="149"/>
      <c r="V5" s="149"/>
    </row>
    <row r="6" spans="1:23">
      <c r="A6" s="1149" t="s">
        <v>743</v>
      </c>
      <c r="B6" s="1149"/>
      <c r="C6" s="1153" t="s">
        <v>1442</v>
      </c>
      <c r="D6" s="1154" t="s">
        <v>1443</v>
      </c>
      <c r="E6" s="1155" t="s">
        <v>1444</v>
      </c>
      <c r="F6" s="1156" t="s">
        <v>1445</v>
      </c>
      <c r="G6" s="1157">
        <v>1</v>
      </c>
      <c r="H6" s="1158">
        <f t="shared" ref="H6:K8" si="0">$G6*3</f>
        <v>3</v>
      </c>
      <c r="I6" s="1158">
        <f t="shared" si="0"/>
        <v>3</v>
      </c>
      <c r="J6" s="1158">
        <f t="shared" si="0"/>
        <v>3</v>
      </c>
      <c r="K6" s="1158">
        <f t="shared" si="0"/>
        <v>3</v>
      </c>
      <c r="L6" s="1158">
        <f t="shared" ref="L6:L11" si="1">SUM(H6:K6)</f>
        <v>12</v>
      </c>
      <c r="M6" s="1158">
        <f>'[25]2014预算稿 '!J6</f>
        <v>3394976.3250000002</v>
      </c>
      <c r="N6" s="1158">
        <f>L6-M6</f>
        <v>-3394964.3250000002</v>
      </c>
      <c r="O6" s="1159">
        <f>(L6-M6)/M6</f>
        <v>-0.99999646536563114</v>
      </c>
      <c r="P6" s="1160"/>
      <c r="Q6" s="1148"/>
      <c r="R6" s="1161">
        <f>4</f>
        <v>4</v>
      </c>
      <c r="S6" s="1161">
        <v>0</v>
      </c>
      <c r="T6" s="1161">
        <v>0</v>
      </c>
      <c r="U6" s="1161">
        <v>0</v>
      </c>
      <c r="V6" s="1158">
        <f>SUM(R6:U6)</f>
        <v>4</v>
      </c>
      <c r="W6" s="4" t="s">
        <v>1446</v>
      </c>
    </row>
    <row r="7" spans="1:23">
      <c r="A7" s="1149"/>
      <c r="B7" s="1149"/>
      <c r="C7" s="1153"/>
      <c r="D7" s="1156" t="s">
        <v>1447</v>
      </c>
      <c r="E7" s="1155" t="s">
        <v>1444</v>
      </c>
      <c r="F7" s="1156" t="s">
        <v>1448</v>
      </c>
      <c r="G7" s="1158">
        <v>1</v>
      </c>
      <c r="H7" s="1158">
        <f t="shared" si="0"/>
        <v>3</v>
      </c>
      <c r="I7" s="1158">
        <f t="shared" si="0"/>
        <v>3</v>
      </c>
      <c r="J7" s="1158">
        <f t="shared" si="0"/>
        <v>3</v>
      </c>
      <c r="K7" s="1158">
        <f t="shared" si="0"/>
        <v>3</v>
      </c>
      <c r="L7" s="1158">
        <f t="shared" si="1"/>
        <v>12</v>
      </c>
      <c r="M7" s="1158">
        <f>'[25]2014预算稿 '!J7</f>
        <v>1130081.9494500002</v>
      </c>
      <c r="N7" s="1158">
        <f t="shared" ref="N7:N69" si="2">L7-M7</f>
        <v>-1130069.9494500002</v>
      </c>
      <c r="O7" s="1159">
        <f t="shared" ref="O7:O28" si="3">(L7-M7)/M7</f>
        <v>-0.99998938130105886</v>
      </c>
      <c r="P7" s="1160"/>
      <c r="Q7" s="1148"/>
      <c r="R7" s="1161">
        <f>1724</f>
        <v>1724</v>
      </c>
      <c r="S7" s="1161">
        <v>4</v>
      </c>
      <c r="T7" s="1161">
        <v>4</v>
      </c>
      <c r="U7" s="1161">
        <v>4</v>
      </c>
      <c r="V7" s="1158">
        <f>SUM(R7:U7)</f>
        <v>1736</v>
      </c>
    </row>
    <row r="8" spans="1:23">
      <c r="A8" s="1162"/>
      <c r="B8" s="1162"/>
      <c r="C8" s="1153"/>
      <c r="D8" s="1163" t="s">
        <v>725</v>
      </c>
      <c r="E8" s="1164" t="s">
        <v>1449</v>
      </c>
      <c r="F8" s="1163" t="s">
        <v>1448</v>
      </c>
      <c r="G8" s="1158">
        <v>1</v>
      </c>
      <c r="H8" s="1158">
        <f t="shared" si="0"/>
        <v>3</v>
      </c>
      <c r="I8" s="1158">
        <f t="shared" si="0"/>
        <v>3</v>
      </c>
      <c r="J8" s="1158">
        <f t="shared" si="0"/>
        <v>3</v>
      </c>
      <c r="K8" s="1158">
        <f t="shared" si="0"/>
        <v>3</v>
      </c>
      <c r="L8" s="1158">
        <f t="shared" si="1"/>
        <v>12</v>
      </c>
      <c r="M8" s="1158">
        <f>'[25]2014预算稿 '!J11</f>
        <v>15330828</v>
      </c>
      <c r="N8" s="1158">
        <f>L8-M8</f>
        <v>-15330816</v>
      </c>
      <c r="O8" s="1159">
        <f t="shared" si="3"/>
        <v>-0.99999921726341201</v>
      </c>
      <c r="P8" s="1165"/>
      <c r="Q8" s="1148"/>
      <c r="R8" s="1161">
        <v>4</v>
      </c>
      <c r="S8" s="1161">
        <v>4</v>
      </c>
      <c r="T8" s="1161">
        <v>3834</v>
      </c>
      <c r="U8" s="1161">
        <v>4</v>
      </c>
      <c r="V8" s="1158">
        <f t="shared" ref="V8:V28" si="4">SUM(R8:U8)</f>
        <v>3846</v>
      </c>
    </row>
    <row r="9" spans="1:23">
      <c r="A9" s="1162"/>
      <c r="B9" s="1162"/>
      <c r="C9" s="1153"/>
      <c r="D9" s="1163" t="s">
        <v>726</v>
      </c>
      <c r="E9" s="1164"/>
      <c r="F9" s="1163"/>
      <c r="G9" s="1158"/>
      <c r="H9" s="1158">
        <v>1</v>
      </c>
      <c r="I9" s="1158">
        <v>1</v>
      </c>
      <c r="J9" s="1158">
        <v>1</v>
      </c>
      <c r="K9" s="1158">
        <v>1</v>
      </c>
      <c r="L9" s="1158">
        <f t="shared" si="1"/>
        <v>4</v>
      </c>
      <c r="M9" s="1158">
        <v>0</v>
      </c>
      <c r="N9" s="1158">
        <f t="shared" si="2"/>
        <v>4</v>
      </c>
      <c r="O9" s="1159"/>
      <c r="P9" s="1165"/>
      <c r="Q9" s="1148"/>
      <c r="R9" s="1161"/>
      <c r="S9" s="1161"/>
      <c r="T9" s="1161"/>
      <c r="U9" s="1161">
        <v>0</v>
      </c>
      <c r="V9" s="1158">
        <f t="shared" si="4"/>
        <v>0</v>
      </c>
    </row>
    <row r="10" spans="1:23">
      <c r="A10" s="1162"/>
      <c r="B10" s="1162"/>
      <c r="C10" s="1153"/>
      <c r="D10" s="1154" t="s">
        <v>1450</v>
      </c>
      <c r="E10" s="1155" t="s">
        <v>1451</v>
      </c>
      <c r="F10" s="1154" t="s">
        <v>1445</v>
      </c>
      <c r="G10" s="1158">
        <v>1</v>
      </c>
      <c r="H10" s="1158">
        <f t="shared" ref="H10:K15" si="5">$G10*3</f>
        <v>3</v>
      </c>
      <c r="I10" s="1158">
        <f t="shared" si="5"/>
        <v>3</v>
      </c>
      <c r="J10" s="1158">
        <f t="shared" si="5"/>
        <v>3</v>
      </c>
      <c r="K10" s="1158">
        <f t="shared" si="5"/>
        <v>3</v>
      </c>
      <c r="L10" s="1158">
        <f t="shared" si="1"/>
        <v>12</v>
      </c>
      <c r="M10" s="1158">
        <f>'[25]2014预算稿 '!J12</f>
        <v>7694280</v>
      </c>
      <c r="N10" s="1158">
        <f t="shared" si="2"/>
        <v>-7694268</v>
      </c>
      <c r="O10" s="1159">
        <f t="shared" si="3"/>
        <v>-0.99999844039988151</v>
      </c>
      <c r="P10" s="1166"/>
      <c r="Q10" s="1148"/>
      <c r="R10" s="1161">
        <v>4</v>
      </c>
      <c r="S10" s="1161">
        <v>24</v>
      </c>
      <c r="T10" s="1161">
        <v>4</v>
      </c>
      <c r="U10" s="1161">
        <v>204</v>
      </c>
      <c r="V10" s="1158">
        <f t="shared" si="4"/>
        <v>236</v>
      </c>
    </row>
    <row r="11" spans="1:23">
      <c r="A11" s="1162"/>
      <c r="B11" s="1162"/>
      <c r="C11" s="1153"/>
      <c r="D11" s="1154" t="s">
        <v>1452</v>
      </c>
      <c r="E11" s="1155" t="s">
        <v>1451</v>
      </c>
      <c r="F11" s="1163" t="s">
        <v>1448</v>
      </c>
      <c r="G11" s="1158">
        <v>1</v>
      </c>
      <c r="H11" s="1158">
        <f t="shared" si="5"/>
        <v>3</v>
      </c>
      <c r="I11" s="1158">
        <f t="shared" si="5"/>
        <v>3</v>
      </c>
      <c r="J11" s="1158">
        <f t="shared" si="5"/>
        <v>3</v>
      </c>
      <c r="K11" s="1158">
        <f t="shared" si="5"/>
        <v>3</v>
      </c>
      <c r="L11" s="1158">
        <f t="shared" si="1"/>
        <v>12</v>
      </c>
      <c r="M11" s="1158">
        <f>'[25]2014预算稿 '!J13</f>
        <v>676164</v>
      </c>
      <c r="N11" s="1158">
        <f t="shared" si="2"/>
        <v>-676152</v>
      </c>
      <c r="O11" s="1159">
        <f t="shared" si="3"/>
        <v>-0.99998225282623743</v>
      </c>
      <c r="P11" s="1167"/>
      <c r="Q11" s="1148"/>
      <c r="R11" s="1161">
        <v>1694</v>
      </c>
      <c r="S11" s="1161">
        <v>4169</v>
      </c>
      <c r="T11" s="1161">
        <v>1694</v>
      </c>
      <c r="U11" s="1161">
        <v>4</v>
      </c>
      <c r="V11" s="1158">
        <f t="shared" si="4"/>
        <v>7561</v>
      </c>
    </row>
    <row r="12" spans="1:23">
      <c r="A12" s="1162"/>
      <c r="B12" s="1162"/>
      <c r="C12" s="1153"/>
      <c r="D12" s="1154" t="s">
        <v>1453</v>
      </c>
      <c r="E12" s="1168" t="s">
        <v>1454</v>
      </c>
      <c r="F12" s="1169" t="s">
        <v>1445</v>
      </c>
      <c r="G12" s="1158">
        <v>1</v>
      </c>
      <c r="H12" s="1158">
        <f t="shared" si="5"/>
        <v>3</v>
      </c>
      <c r="I12" s="1158">
        <f t="shared" si="5"/>
        <v>3</v>
      </c>
      <c r="J12" s="1158">
        <f t="shared" si="5"/>
        <v>3</v>
      </c>
      <c r="K12" s="1158">
        <f t="shared" si="5"/>
        <v>3</v>
      </c>
      <c r="L12" s="1158">
        <f t="shared" ref="L12:L17" si="6">SUM(H12:K12)</f>
        <v>12</v>
      </c>
      <c r="M12" s="1158">
        <f>'[25]2014预算稿 '!J14</f>
        <v>14872200</v>
      </c>
      <c r="N12" s="1158">
        <f t="shared" si="2"/>
        <v>-14872188</v>
      </c>
      <c r="O12" s="1159">
        <f>(L12-M12)/M12</f>
        <v>-0.99999919312542862</v>
      </c>
      <c r="P12" s="1166"/>
      <c r="Q12" s="1148"/>
      <c r="R12" s="1161"/>
      <c r="S12" s="1161"/>
      <c r="T12" s="1161"/>
      <c r="U12" s="1161"/>
      <c r="V12" s="1158">
        <f t="shared" si="4"/>
        <v>0</v>
      </c>
      <c r="W12" s="82" t="s">
        <v>1455</v>
      </c>
    </row>
    <row r="13" spans="1:23">
      <c r="A13" s="1162"/>
      <c r="B13" s="1162"/>
      <c r="C13" s="1153"/>
      <c r="D13" s="1154" t="s">
        <v>1456</v>
      </c>
      <c r="E13" s="1168" t="s">
        <v>1454</v>
      </c>
      <c r="F13" s="1163" t="s">
        <v>1448</v>
      </c>
      <c r="G13" s="1158">
        <v>1</v>
      </c>
      <c r="H13" s="1158">
        <f t="shared" si="5"/>
        <v>3</v>
      </c>
      <c r="I13" s="1158">
        <f t="shared" si="5"/>
        <v>3</v>
      </c>
      <c r="J13" s="1158">
        <f t="shared" si="5"/>
        <v>3</v>
      </c>
      <c r="K13" s="1158">
        <f t="shared" si="5"/>
        <v>3</v>
      </c>
      <c r="L13" s="1158">
        <f t="shared" si="6"/>
        <v>12</v>
      </c>
      <c r="M13" s="1158">
        <f>'[25]2014预算稿 '!J15</f>
        <v>1250268</v>
      </c>
      <c r="N13" s="1158">
        <f t="shared" si="2"/>
        <v>-1250256</v>
      </c>
      <c r="O13" s="1159">
        <f t="shared" si="3"/>
        <v>-0.99999040205779877</v>
      </c>
      <c r="P13" s="1167"/>
      <c r="Q13" s="1148"/>
      <c r="R13" s="1161"/>
      <c r="S13" s="1161"/>
      <c r="T13" s="1161"/>
      <c r="U13" s="1161"/>
      <c r="V13" s="1158">
        <f t="shared" si="4"/>
        <v>0</v>
      </c>
      <c r="W13" s="82" t="s">
        <v>1455</v>
      </c>
    </row>
    <row r="14" spans="1:23" ht="15" customHeight="1">
      <c r="A14" s="1162"/>
      <c r="B14" s="1162"/>
      <c r="C14" s="1153"/>
      <c r="D14" s="1154" t="s">
        <v>1457</v>
      </c>
      <c r="E14" s="1168" t="s">
        <v>1458</v>
      </c>
      <c r="F14" s="1154" t="s">
        <v>1445</v>
      </c>
      <c r="G14" s="1158">
        <v>1</v>
      </c>
      <c r="H14" s="1158">
        <f t="shared" si="5"/>
        <v>3</v>
      </c>
      <c r="I14" s="1158">
        <f t="shared" si="5"/>
        <v>3</v>
      </c>
      <c r="J14" s="1158">
        <f t="shared" si="5"/>
        <v>3</v>
      </c>
      <c r="K14" s="1158">
        <f t="shared" si="5"/>
        <v>3</v>
      </c>
      <c r="L14" s="1158">
        <f t="shared" si="6"/>
        <v>12</v>
      </c>
      <c r="M14" s="1170">
        <f>'[25]2014预算稿 '!J16</f>
        <v>9072000</v>
      </c>
      <c r="N14" s="1158">
        <f t="shared" si="2"/>
        <v>-9071988</v>
      </c>
      <c r="O14" s="1159">
        <f t="shared" si="3"/>
        <v>-0.9999986772486773</v>
      </c>
      <c r="P14" s="1171"/>
      <c r="Q14" s="1148"/>
      <c r="R14" s="1161">
        <v>4</v>
      </c>
      <c r="S14" s="1161">
        <v>4</v>
      </c>
      <c r="T14" s="1161">
        <v>4</v>
      </c>
      <c r="U14" s="1161">
        <v>4</v>
      </c>
      <c r="V14" s="1158">
        <f t="shared" si="4"/>
        <v>16</v>
      </c>
    </row>
    <row r="15" spans="1:23">
      <c r="A15" s="1162"/>
      <c r="B15" s="1162"/>
      <c r="C15" s="1153"/>
      <c r="D15" s="1154" t="s">
        <v>1459</v>
      </c>
      <c r="E15" s="1168" t="s">
        <v>1458</v>
      </c>
      <c r="F15" s="1163" t="s">
        <v>1448</v>
      </c>
      <c r="G15" s="1158">
        <v>1</v>
      </c>
      <c r="H15" s="1158">
        <f t="shared" si="5"/>
        <v>3</v>
      </c>
      <c r="I15" s="1158">
        <f t="shared" si="5"/>
        <v>3</v>
      </c>
      <c r="J15" s="1158">
        <f t="shared" si="5"/>
        <v>3</v>
      </c>
      <c r="K15" s="1158">
        <f t="shared" si="5"/>
        <v>3</v>
      </c>
      <c r="L15" s="1158">
        <f t="shared" si="6"/>
        <v>12</v>
      </c>
      <c r="M15" s="1170">
        <f>'[25]2014预算稿 '!J17</f>
        <v>751680</v>
      </c>
      <c r="N15" s="1158">
        <f t="shared" si="2"/>
        <v>-751668</v>
      </c>
      <c r="O15" s="1159">
        <f t="shared" si="3"/>
        <v>-0.9999840357598978</v>
      </c>
      <c r="P15" s="1171"/>
      <c r="Q15" s="1148"/>
      <c r="R15" s="1161">
        <v>4</v>
      </c>
      <c r="S15" s="1161">
        <v>4</v>
      </c>
      <c r="T15" s="1161">
        <v>59943</v>
      </c>
      <c r="U15" s="1161">
        <v>45100.799999999996</v>
      </c>
      <c r="V15" s="1158">
        <f t="shared" si="4"/>
        <v>105051.79999999999</v>
      </c>
    </row>
    <row r="16" spans="1:23">
      <c r="A16" s="1162"/>
      <c r="B16" s="1162"/>
      <c r="C16" s="1153"/>
      <c r="D16" s="1154" t="s">
        <v>1460</v>
      </c>
      <c r="E16" s="1168" t="s">
        <v>1461</v>
      </c>
      <c r="F16" s="1154" t="s">
        <v>1445</v>
      </c>
      <c r="G16" s="1158">
        <v>1</v>
      </c>
      <c r="H16" s="1158">
        <f>$G16*3</f>
        <v>3</v>
      </c>
      <c r="I16" s="1158"/>
      <c r="J16" s="1158"/>
      <c r="K16" s="1158"/>
      <c r="L16" s="1158">
        <f t="shared" si="6"/>
        <v>3</v>
      </c>
      <c r="M16" s="1158">
        <f>'[25]2014预算稿 '!J18</f>
        <v>7709304.1600000001</v>
      </c>
      <c r="N16" s="1158">
        <f t="shared" si="2"/>
        <v>-7709301.1600000001</v>
      </c>
      <c r="O16" s="1159">
        <f t="shared" si="3"/>
        <v>-0.99999961085982114</v>
      </c>
      <c r="P16" s="1172"/>
      <c r="Q16" s="1148"/>
      <c r="R16" s="1161">
        <v>-1214.96</v>
      </c>
      <c r="S16" s="1161"/>
      <c r="T16" s="1161"/>
      <c r="U16" s="1161"/>
      <c r="V16" s="1158">
        <f t="shared" si="4"/>
        <v>-1214.96</v>
      </c>
      <c r="W16" s="4" t="s">
        <v>1462</v>
      </c>
    </row>
    <row r="17" spans="1:23">
      <c r="A17" s="1162"/>
      <c r="B17" s="1162"/>
      <c r="C17" s="1153"/>
      <c r="D17" s="1154" t="s">
        <v>1463</v>
      </c>
      <c r="E17" s="1168" t="s">
        <v>1461</v>
      </c>
      <c r="F17" s="1163" t="s">
        <v>1448</v>
      </c>
      <c r="G17" s="1158">
        <v>1</v>
      </c>
      <c r="H17" s="1158">
        <f>$G17*3</f>
        <v>3</v>
      </c>
      <c r="I17" s="1158"/>
      <c r="J17" s="1158"/>
      <c r="K17" s="1158"/>
      <c r="L17" s="1158">
        <f t="shared" si="6"/>
        <v>3</v>
      </c>
      <c r="M17" s="1158">
        <f>'[25]2014预算稿 '!J19</f>
        <v>922402.56</v>
      </c>
      <c r="N17" s="1158">
        <f t="shared" si="2"/>
        <v>-922399.56</v>
      </c>
      <c r="O17" s="1159">
        <f>(L17-M17)/M17</f>
        <v>-0.99999674762394419</v>
      </c>
      <c r="P17" s="1172"/>
      <c r="Q17" s="1148"/>
      <c r="R17" s="1161"/>
      <c r="S17" s="1161"/>
      <c r="T17" s="1161"/>
      <c r="U17" s="1161"/>
      <c r="V17" s="1158">
        <f t="shared" si="4"/>
        <v>0</v>
      </c>
      <c r="W17" s="4" t="s">
        <v>1462</v>
      </c>
    </row>
    <row r="18" spans="1:23">
      <c r="A18" s="1162"/>
      <c r="B18" s="1162"/>
      <c r="C18" s="1153"/>
      <c r="D18" s="1154" t="s">
        <v>1464</v>
      </c>
      <c r="E18" s="1168" t="s">
        <v>1465</v>
      </c>
      <c r="F18" s="1154" t="s">
        <v>1445</v>
      </c>
      <c r="G18" s="1158">
        <v>1</v>
      </c>
      <c r="H18" s="1158">
        <f t="shared" ref="H18:K19" si="7">$G18*3</f>
        <v>3</v>
      </c>
      <c r="I18" s="1158">
        <f t="shared" si="7"/>
        <v>3</v>
      </c>
      <c r="J18" s="1158">
        <f t="shared" si="7"/>
        <v>3</v>
      </c>
      <c r="K18" s="1158">
        <f t="shared" si="7"/>
        <v>3</v>
      </c>
      <c r="L18" s="1158">
        <f>SUM(H18:K18)</f>
        <v>12</v>
      </c>
      <c r="M18" s="1158">
        <f>'[25]2014预算稿 '!J20</f>
        <v>7795356.7999999998</v>
      </c>
      <c r="N18" s="1158">
        <f t="shared" si="2"/>
        <v>-7795344.7999999998</v>
      </c>
      <c r="O18" s="1159">
        <f t="shared" si="3"/>
        <v>-0.99999846062209752</v>
      </c>
      <c r="P18" s="1172"/>
      <c r="Q18" s="1148"/>
      <c r="R18" s="1161">
        <v>4716</v>
      </c>
      <c r="S18" s="1161">
        <v>6441</v>
      </c>
      <c r="T18" s="1161">
        <v>0</v>
      </c>
      <c r="U18" s="1161">
        <v>0</v>
      </c>
      <c r="V18" s="1158">
        <f t="shared" si="4"/>
        <v>11157</v>
      </c>
      <c r="W18" s="4" t="s">
        <v>1466</v>
      </c>
    </row>
    <row r="19" spans="1:23">
      <c r="A19" s="1162"/>
      <c r="B19" s="1162"/>
      <c r="C19" s="1153"/>
      <c r="D19" s="1154" t="s">
        <v>1467</v>
      </c>
      <c r="E19" s="1168" t="s">
        <v>1465</v>
      </c>
      <c r="F19" s="1163" t="s">
        <v>1448</v>
      </c>
      <c r="G19" s="1158">
        <v>1</v>
      </c>
      <c r="H19" s="1158">
        <f>$G19*3</f>
        <v>3</v>
      </c>
      <c r="I19" s="1158">
        <f t="shared" si="7"/>
        <v>3</v>
      </c>
      <c r="J19" s="1158">
        <f t="shared" si="7"/>
        <v>3</v>
      </c>
      <c r="K19" s="1158">
        <f t="shared" si="7"/>
        <v>3</v>
      </c>
      <c r="L19" s="1158">
        <f>SUM(H19:K19)</f>
        <v>12</v>
      </c>
      <c r="M19" s="1158">
        <f>'[25]2014预算稿 '!J21</f>
        <v>922402.56</v>
      </c>
      <c r="N19" s="1158">
        <f t="shared" si="2"/>
        <v>-922390.56</v>
      </c>
      <c r="O19" s="1159">
        <f t="shared" si="3"/>
        <v>-0.99998699049577655</v>
      </c>
      <c r="P19" s="1172"/>
      <c r="Q19" s="1148"/>
      <c r="R19" s="1161">
        <v>21260</v>
      </c>
      <c r="S19" s="1161">
        <v>7086</v>
      </c>
      <c r="T19" s="1161">
        <v>0</v>
      </c>
      <c r="U19" s="1161">
        <v>0</v>
      </c>
      <c r="V19" s="1158">
        <f t="shared" si="4"/>
        <v>28346</v>
      </c>
      <c r="W19" s="4" t="s">
        <v>1466</v>
      </c>
    </row>
    <row r="20" spans="1:23" ht="15.75" customHeight="1">
      <c r="A20" s="1162"/>
      <c r="B20" s="1162"/>
      <c r="C20" s="1153"/>
      <c r="D20" s="1173" t="s">
        <v>1468</v>
      </c>
      <c r="E20" s="1155"/>
      <c r="F20" s="1154"/>
      <c r="G20" s="1158"/>
      <c r="H20" s="1174">
        <f t="shared" ref="H20:M20" si="8">SUM(H6:H19)</f>
        <v>40</v>
      </c>
      <c r="I20" s="1174">
        <f t="shared" si="8"/>
        <v>34</v>
      </c>
      <c r="J20" s="1174">
        <f t="shared" si="8"/>
        <v>34</v>
      </c>
      <c r="K20" s="1174">
        <f t="shared" si="8"/>
        <v>34</v>
      </c>
      <c r="L20" s="1174">
        <f t="shared" si="8"/>
        <v>142</v>
      </c>
      <c r="M20" s="1174">
        <f t="shared" si="8"/>
        <v>71521944.354450002</v>
      </c>
      <c r="N20" s="1158">
        <f>L20-M20</f>
        <v>-71521802.354450002</v>
      </c>
      <c r="O20" s="1175">
        <f t="shared" si="3"/>
        <v>-0.99999801459536253</v>
      </c>
      <c r="P20" s="1172"/>
      <c r="Q20" s="1148"/>
      <c r="R20" s="1176">
        <f>SUM(R6:R19)</f>
        <v>28199.040000000001</v>
      </c>
      <c r="S20" s="1176">
        <f>SUM(S6:S19)</f>
        <v>17736</v>
      </c>
      <c r="T20" s="1176">
        <f>SUM(T6:T19)</f>
        <v>65483</v>
      </c>
      <c r="U20" s="1176">
        <f>SUM(U6:U19)</f>
        <v>45320.799999999996</v>
      </c>
      <c r="V20" s="1174">
        <f>SUM(V6:V19)</f>
        <v>156738.83999999997</v>
      </c>
    </row>
    <row r="21" spans="1:23">
      <c r="A21" s="1149" t="s">
        <v>743</v>
      </c>
      <c r="B21" s="1149"/>
      <c r="C21" s="1153" t="s">
        <v>744</v>
      </c>
      <c r="D21" s="1154" t="s">
        <v>1469</v>
      </c>
      <c r="E21" s="1155" t="s">
        <v>1444</v>
      </c>
      <c r="F21" s="1156" t="s">
        <v>1470</v>
      </c>
      <c r="G21" s="1132">
        <f>30/12</f>
        <v>2.5</v>
      </c>
      <c r="H21" s="1158">
        <f t="shared" ref="H21:K28" si="9">$G21*3</f>
        <v>7.5</v>
      </c>
      <c r="I21" s="1158">
        <f>$G21*3</f>
        <v>7.5</v>
      </c>
      <c r="J21" s="1158">
        <f>$G21*3</f>
        <v>7.5</v>
      </c>
      <c r="K21" s="1158">
        <f>$G21*3</f>
        <v>7.5</v>
      </c>
      <c r="L21" s="1158">
        <f t="shared" ref="L21:L28" si="10">SUM(H21:K21)</f>
        <v>30</v>
      </c>
      <c r="M21" s="1158">
        <f>'[25]2014预算稿 '!J23</f>
        <v>78120</v>
      </c>
      <c r="N21" s="1158">
        <f t="shared" si="2"/>
        <v>-78090</v>
      </c>
      <c r="O21" s="1159">
        <f t="shared" si="3"/>
        <v>-0.99961597542242708</v>
      </c>
      <c r="P21" s="1172"/>
      <c r="Q21" s="1148"/>
      <c r="R21" s="1161">
        <v>204</v>
      </c>
      <c r="S21" s="1161">
        <v>8310</v>
      </c>
      <c r="T21" s="1161">
        <v>2700</v>
      </c>
      <c r="U21" s="1161">
        <v>315</v>
      </c>
      <c r="V21" s="1158">
        <f t="shared" si="4"/>
        <v>11529</v>
      </c>
    </row>
    <row r="22" spans="1:23">
      <c r="A22" s="1149"/>
      <c r="B22" s="1149"/>
      <c r="C22" s="1153"/>
      <c r="D22" s="1154" t="s">
        <v>1471</v>
      </c>
      <c r="E22" s="1155" t="s">
        <v>1444</v>
      </c>
      <c r="F22" s="1156" t="s">
        <v>1470</v>
      </c>
      <c r="G22" s="1132">
        <v>1</v>
      </c>
      <c r="H22" s="1158">
        <f t="shared" si="9"/>
        <v>3</v>
      </c>
      <c r="I22" s="1158">
        <f t="shared" si="9"/>
        <v>3</v>
      </c>
      <c r="J22" s="1158">
        <f t="shared" si="9"/>
        <v>3</v>
      </c>
      <c r="K22" s="1158">
        <f t="shared" si="9"/>
        <v>3</v>
      </c>
      <c r="L22" s="1158">
        <f t="shared" si="10"/>
        <v>12</v>
      </c>
      <c r="M22" s="1158">
        <f>'[25]2014预算稿 '!J24</f>
        <v>48000</v>
      </c>
      <c r="N22" s="1158">
        <f t="shared" si="2"/>
        <v>-47988</v>
      </c>
      <c r="O22" s="1159">
        <f t="shared" si="3"/>
        <v>-0.99975000000000003</v>
      </c>
      <c r="P22" s="1172"/>
      <c r="Q22" s="1148"/>
      <c r="R22" s="1161"/>
      <c r="S22" s="1161"/>
      <c r="T22" s="1161"/>
      <c r="U22" s="1161"/>
      <c r="V22" s="1158">
        <f t="shared" si="4"/>
        <v>0</v>
      </c>
    </row>
    <row r="23" spans="1:23">
      <c r="A23" s="1149"/>
      <c r="B23" s="1149"/>
      <c r="C23" s="1153"/>
      <c r="D23" s="1154" t="s">
        <v>1472</v>
      </c>
      <c r="E23" s="1155" t="s">
        <v>1451</v>
      </c>
      <c r="F23" s="1154" t="s">
        <v>1470</v>
      </c>
      <c r="G23" s="1132">
        <f>30/12</f>
        <v>2.5</v>
      </c>
      <c r="H23" s="1158">
        <f t="shared" si="9"/>
        <v>7.5</v>
      </c>
      <c r="I23" s="1158">
        <f t="shared" si="9"/>
        <v>7.5</v>
      </c>
      <c r="J23" s="1158">
        <f t="shared" si="9"/>
        <v>7.5</v>
      </c>
      <c r="K23" s="1158">
        <f t="shared" si="9"/>
        <v>7.5</v>
      </c>
      <c r="L23" s="1158">
        <f t="shared" si="10"/>
        <v>30</v>
      </c>
      <c r="M23" s="1158">
        <f>'[25]2014预算稿 '!J25</f>
        <v>71400</v>
      </c>
      <c r="N23" s="1158">
        <f t="shared" si="2"/>
        <v>-71370</v>
      </c>
      <c r="O23" s="1159">
        <f t="shared" si="3"/>
        <v>-0.99957983193277311</v>
      </c>
      <c r="P23" s="1172"/>
      <c r="Q23" s="1148"/>
      <c r="R23" s="1161">
        <v>232</v>
      </c>
      <c r="S23" s="1161">
        <v>27</v>
      </c>
      <c r="T23" s="1161">
        <v>292</v>
      </c>
      <c r="U23" s="1161">
        <v>736</v>
      </c>
      <c r="V23" s="1158">
        <f t="shared" si="4"/>
        <v>1287</v>
      </c>
    </row>
    <row r="24" spans="1:23">
      <c r="A24" s="1149"/>
      <c r="B24" s="1149"/>
      <c r="C24" s="1153"/>
      <c r="D24" s="1154" t="s">
        <v>1473</v>
      </c>
      <c r="E24" s="1155" t="s">
        <v>1454</v>
      </c>
      <c r="F24" s="1154" t="s">
        <v>1470</v>
      </c>
      <c r="G24" s="1132">
        <v>1</v>
      </c>
      <c r="H24" s="1158">
        <f t="shared" si="9"/>
        <v>3</v>
      </c>
      <c r="I24" s="1158">
        <f t="shared" si="9"/>
        <v>3</v>
      </c>
      <c r="J24" s="1158">
        <f t="shared" si="9"/>
        <v>3</v>
      </c>
      <c r="K24" s="1158">
        <f t="shared" si="9"/>
        <v>3</v>
      </c>
      <c r="L24" s="1158">
        <f t="shared" si="10"/>
        <v>12</v>
      </c>
      <c r="M24" s="1158">
        <f>'[25]2014预算稿 '!J26</f>
        <v>153000</v>
      </c>
      <c r="N24" s="1158">
        <f t="shared" si="2"/>
        <v>-152988</v>
      </c>
      <c r="O24" s="1159">
        <f t="shared" si="3"/>
        <v>-0.99992156862745096</v>
      </c>
      <c r="P24" s="1172"/>
      <c r="Q24" s="1148"/>
      <c r="R24" s="1161"/>
      <c r="S24" s="1161"/>
      <c r="T24" s="1161"/>
      <c r="U24" s="1161"/>
      <c r="V24" s="1158">
        <f t="shared" si="4"/>
        <v>0</v>
      </c>
    </row>
    <row r="25" spans="1:23">
      <c r="A25" s="1149"/>
      <c r="B25" s="1149"/>
      <c r="C25" s="1153"/>
      <c r="D25" s="1154" t="s">
        <v>1474</v>
      </c>
      <c r="E25" s="1168" t="s">
        <v>1458</v>
      </c>
      <c r="F25" s="1154" t="s">
        <v>1470</v>
      </c>
      <c r="G25" s="1132">
        <v>1</v>
      </c>
      <c r="H25" s="1158">
        <f t="shared" si="9"/>
        <v>3</v>
      </c>
      <c r="I25" s="1158">
        <f t="shared" si="9"/>
        <v>3</v>
      </c>
      <c r="J25" s="1158">
        <f t="shared" si="9"/>
        <v>3</v>
      </c>
      <c r="K25" s="1158">
        <f t="shared" si="9"/>
        <v>3</v>
      </c>
      <c r="L25" s="1158">
        <f t="shared" si="10"/>
        <v>12</v>
      </c>
      <c r="M25" s="1158">
        <f>'[25]2014预算稿 '!J27</f>
        <v>61200</v>
      </c>
      <c r="N25" s="1158">
        <f t="shared" si="2"/>
        <v>-61188</v>
      </c>
      <c r="O25" s="1159">
        <f t="shared" si="3"/>
        <v>-0.99980392156862741</v>
      </c>
      <c r="P25" s="1171"/>
      <c r="Q25" s="1148"/>
      <c r="R25" s="1161">
        <v>5100</v>
      </c>
      <c r="S25" s="1161">
        <v>510</v>
      </c>
      <c r="T25" s="1161">
        <v>5100</v>
      </c>
      <c r="U25" s="1161">
        <v>3672</v>
      </c>
      <c r="V25" s="1158">
        <f t="shared" si="4"/>
        <v>14382</v>
      </c>
    </row>
    <row r="26" spans="1:23">
      <c r="A26" s="1149"/>
      <c r="B26" s="1149"/>
      <c r="C26" s="1153"/>
      <c r="D26" s="1163" t="s">
        <v>1475</v>
      </c>
      <c r="E26" s="1164" t="s">
        <v>1451</v>
      </c>
      <c r="F26" s="1163" t="s">
        <v>1470</v>
      </c>
      <c r="G26" s="1132">
        <f>2742/12</f>
        <v>228.5</v>
      </c>
      <c r="H26" s="1158">
        <f>$G26*3</f>
        <v>685.5</v>
      </c>
      <c r="I26" s="1158">
        <f>$G26*3</f>
        <v>685.5</v>
      </c>
      <c r="J26" s="1158">
        <f>$G26*3</f>
        <v>685.5</v>
      </c>
      <c r="K26" s="1158">
        <f>$G26*3</f>
        <v>685.5</v>
      </c>
      <c r="L26" s="1158">
        <f t="shared" si="10"/>
        <v>2742</v>
      </c>
      <c r="M26" s="1158">
        <f>'[25]2014预算稿 '!J28</f>
        <v>216000</v>
      </c>
      <c r="N26" s="1158">
        <f t="shared" si="2"/>
        <v>-213258</v>
      </c>
      <c r="O26" s="1159">
        <f t="shared" si="3"/>
        <v>-0.98730555555555555</v>
      </c>
      <c r="P26" s="1177"/>
      <c r="Q26" s="1148"/>
      <c r="R26" s="1161"/>
      <c r="S26" s="1161"/>
      <c r="T26" s="1161"/>
      <c r="U26" s="1161"/>
      <c r="V26" s="1158">
        <f t="shared" si="4"/>
        <v>0</v>
      </c>
    </row>
    <row r="27" spans="1:23">
      <c r="A27" s="1149"/>
      <c r="B27" s="1149"/>
      <c r="C27" s="1153"/>
      <c r="D27" s="1154" t="s">
        <v>1476</v>
      </c>
      <c r="E27" s="1168" t="s">
        <v>1461</v>
      </c>
      <c r="F27" s="1154" t="s">
        <v>1470</v>
      </c>
      <c r="G27" s="1132">
        <v>1</v>
      </c>
      <c r="H27" s="1158"/>
      <c r="I27" s="1158"/>
      <c r="J27" s="1158"/>
      <c r="K27" s="1158"/>
      <c r="L27" s="1158">
        <f t="shared" si="10"/>
        <v>0</v>
      </c>
      <c r="M27" s="1158">
        <f>'[25]2014预算稿 '!J29</f>
        <v>156000</v>
      </c>
      <c r="N27" s="1158">
        <f t="shared" si="2"/>
        <v>-156000</v>
      </c>
      <c r="O27" s="1159">
        <f t="shared" si="3"/>
        <v>-1</v>
      </c>
      <c r="P27" s="1172"/>
      <c r="Q27" s="1148"/>
      <c r="R27" s="1161"/>
      <c r="S27" s="1161"/>
      <c r="T27" s="1161"/>
      <c r="U27" s="1161"/>
      <c r="V27" s="1158">
        <f t="shared" si="4"/>
        <v>0</v>
      </c>
    </row>
    <row r="28" spans="1:23">
      <c r="A28" s="1149"/>
      <c r="B28" s="1149"/>
      <c r="C28" s="1153"/>
      <c r="D28" s="1154" t="s">
        <v>1477</v>
      </c>
      <c r="E28" s="1168" t="s">
        <v>1478</v>
      </c>
      <c r="F28" s="1154" t="s">
        <v>1470</v>
      </c>
      <c r="G28" s="1132">
        <f>46/12</f>
        <v>3.8333333333333335</v>
      </c>
      <c r="H28" s="1158">
        <f t="shared" si="9"/>
        <v>11.5</v>
      </c>
      <c r="I28" s="1158">
        <f t="shared" si="9"/>
        <v>11.5</v>
      </c>
      <c r="J28" s="1158">
        <f t="shared" si="9"/>
        <v>11.5</v>
      </c>
      <c r="K28" s="1158">
        <f t="shared" si="9"/>
        <v>11.5</v>
      </c>
      <c r="L28" s="1158">
        <f t="shared" si="10"/>
        <v>46</v>
      </c>
      <c r="M28" s="1158">
        <f>'[25]2014预算稿 '!J30</f>
        <v>177600</v>
      </c>
      <c r="N28" s="1158">
        <f t="shared" si="2"/>
        <v>-177554</v>
      </c>
      <c r="O28" s="1159">
        <f t="shared" si="3"/>
        <v>-0.99974099099099101</v>
      </c>
      <c r="P28" s="1160"/>
      <c r="Q28" s="1148"/>
      <c r="R28" s="1161">
        <v>311</v>
      </c>
      <c r="S28" s="1161">
        <v>1240</v>
      </c>
      <c r="T28" s="1161">
        <v>0</v>
      </c>
      <c r="U28" s="1161">
        <v>0</v>
      </c>
      <c r="V28" s="1158">
        <f t="shared" si="4"/>
        <v>1551</v>
      </c>
    </row>
    <row r="29" spans="1:23" ht="15">
      <c r="A29" s="1149"/>
      <c r="B29" s="1149"/>
      <c r="C29" s="1153"/>
      <c r="D29" s="1173" t="s">
        <v>1479</v>
      </c>
      <c r="E29" s="1155"/>
      <c r="F29" s="1154"/>
      <c r="G29" s="1132"/>
      <c r="H29" s="1174">
        <f t="shared" ref="H29:M29" si="11">SUM(H21:H28)</f>
        <v>721</v>
      </c>
      <c r="I29" s="1174">
        <f t="shared" si="11"/>
        <v>721</v>
      </c>
      <c r="J29" s="1174">
        <f t="shared" si="11"/>
        <v>721</v>
      </c>
      <c r="K29" s="1174">
        <f t="shared" si="11"/>
        <v>721</v>
      </c>
      <c r="L29" s="1174">
        <f t="shared" si="11"/>
        <v>2884</v>
      </c>
      <c r="M29" s="1174">
        <f t="shared" si="11"/>
        <v>961320</v>
      </c>
      <c r="N29" s="1158">
        <f>L29-M29</f>
        <v>-958436</v>
      </c>
      <c r="O29" s="1175">
        <f>(L29-M29)/M29</f>
        <v>-0.99699995839054634</v>
      </c>
      <c r="P29" s="1171"/>
      <c r="Q29" s="1148"/>
      <c r="R29" s="1174">
        <f>SUM(R21:R28)</f>
        <v>5847</v>
      </c>
      <c r="S29" s="1174">
        <f>SUM(S21:S28)</f>
        <v>10087</v>
      </c>
      <c r="T29" s="1174">
        <f>SUM(T21:T28)</f>
        <v>8092</v>
      </c>
      <c r="U29" s="1174">
        <f>SUM(U21:U28)</f>
        <v>4723</v>
      </c>
      <c r="V29" s="1174">
        <f>SUM(V21:V28)</f>
        <v>28749</v>
      </c>
    </row>
    <row r="30" spans="1:23">
      <c r="A30" s="1149" t="s">
        <v>743</v>
      </c>
      <c r="B30" s="1149"/>
      <c r="C30" s="1153" t="s">
        <v>764</v>
      </c>
      <c r="D30" s="1154" t="s">
        <v>765</v>
      </c>
      <c r="E30" s="1155" t="s">
        <v>1444</v>
      </c>
      <c r="F30" s="1178" t="s">
        <v>1480</v>
      </c>
      <c r="G30" s="1132">
        <v>1</v>
      </c>
      <c r="H30" s="1158">
        <f>$G30*3</f>
        <v>3</v>
      </c>
      <c r="I30" s="1158">
        <f t="shared" ref="I30:K36" si="12">$G30*3</f>
        <v>3</v>
      </c>
      <c r="J30" s="1158">
        <f t="shared" si="12"/>
        <v>3</v>
      </c>
      <c r="K30" s="1158">
        <f t="shared" si="12"/>
        <v>3</v>
      </c>
      <c r="L30" s="1158">
        <f>SUM(H30:K30)</f>
        <v>12</v>
      </c>
      <c r="M30" s="1158">
        <f>'[25]2014预算稿 '!J32</f>
        <v>442740</v>
      </c>
      <c r="N30" s="1158">
        <f t="shared" si="2"/>
        <v>-442728</v>
      </c>
      <c r="O30" s="1159">
        <f>(L30-M30)/M30</f>
        <v>-0.99997289605637618</v>
      </c>
      <c r="P30" s="1172"/>
      <c r="Q30" s="1148"/>
      <c r="R30" s="1161">
        <v>15</v>
      </c>
      <c r="S30" s="1161">
        <v>60017</v>
      </c>
      <c r="T30" s="1161">
        <v>200</v>
      </c>
      <c r="U30" s="1161">
        <v>2101</v>
      </c>
      <c r="V30" s="1158">
        <f>SUM(R30:U30)</f>
        <v>62333</v>
      </c>
    </row>
    <row r="31" spans="1:23">
      <c r="A31" s="1162"/>
      <c r="B31" s="1162"/>
      <c r="C31" s="1153"/>
      <c r="D31" s="1154" t="s">
        <v>767</v>
      </c>
      <c r="E31" s="1164" t="s">
        <v>1449</v>
      </c>
      <c r="F31" s="1169" t="s">
        <v>1480</v>
      </c>
      <c r="G31" s="1132">
        <v>1</v>
      </c>
      <c r="H31" s="1158">
        <f>$G31*3</f>
        <v>3</v>
      </c>
      <c r="I31" s="1158">
        <f t="shared" si="12"/>
        <v>3</v>
      </c>
      <c r="J31" s="1158">
        <f t="shared" si="12"/>
        <v>3</v>
      </c>
      <c r="K31" s="1158">
        <f t="shared" si="12"/>
        <v>3</v>
      </c>
      <c r="L31" s="1158">
        <f>SUM(H31:K31)</f>
        <v>12</v>
      </c>
      <c r="M31" s="1158">
        <f>'[25]2014预算稿 '!J34</f>
        <v>7383783</v>
      </c>
      <c r="N31" s="1158">
        <f t="shared" si="2"/>
        <v>-7383771</v>
      </c>
      <c r="O31" s="1159">
        <f t="shared" ref="O31:O47" si="13">(L31-M31)/M31</f>
        <v>-0.99999837481681142</v>
      </c>
      <c r="P31" s="1172"/>
      <c r="Q31" s="1148"/>
      <c r="R31" s="1161">
        <v>1986</v>
      </c>
      <c r="S31" s="1161">
        <v>1015</v>
      </c>
      <c r="T31" s="1161">
        <v>16</v>
      </c>
      <c r="U31" s="1161">
        <v>1789</v>
      </c>
      <c r="V31" s="1161">
        <f>SUM(R31:U31)</f>
        <v>4806</v>
      </c>
    </row>
    <row r="32" spans="1:23">
      <c r="A32" s="1162"/>
      <c r="B32" s="1162"/>
      <c r="C32" s="1153"/>
      <c r="D32" s="1154" t="s">
        <v>769</v>
      </c>
      <c r="E32" s="1164" t="s">
        <v>1449</v>
      </c>
      <c r="F32" s="1169" t="s">
        <v>1480</v>
      </c>
      <c r="G32" s="1132">
        <v>1</v>
      </c>
      <c r="H32" s="1158">
        <f>$G32*3</f>
        <v>3</v>
      </c>
      <c r="I32" s="1158">
        <f t="shared" si="12"/>
        <v>3</v>
      </c>
      <c r="J32" s="1158">
        <f t="shared" si="12"/>
        <v>3</v>
      </c>
      <c r="K32" s="1158">
        <f t="shared" si="12"/>
        <v>3</v>
      </c>
      <c r="L32" s="1158">
        <f>SUBTOTAL(9,H32:K32)</f>
        <v>12</v>
      </c>
      <c r="M32" s="1170">
        <f>'[25]2014预算稿 '!J35</f>
        <v>203220</v>
      </c>
      <c r="N32" s="1158">
        <f t="shared" si="2"/>
        <v>-203208</v>
      </c>
      <c r="O32" s="1159">
        <f t="shared" si="13"/>
        <v>-0.99994095069382938</v>
      </c>
      <c r="P32" s="1172"/>
      <c r="Q32" s="1148"/>
      <c r="R32" s="1161"/>
      <c r="S32" s="1161"/>
      <c r="T32" s="1161"/>
      <c r="U32" s="1161"/>
      <c r="V32" s="1161"/>
      <c r="W32" s="1426"/>
    </row>
    <row r="33" spans="1:23">
      <c r="A33" s="1162"/>
      <c r="B33" s="1162"/>
      <c r="C33" s="1153"/>
      <c r="D33" s="1154" t="s">
        <v>771</v>
      </c>
      <c r="E33" s="1164" t="s">
        <v>1449</v>
      </c>
      <c r="F33" s="1154" t="s">
        <v>1481</v>
      </c>
      <c r="G33" s="1132"/>
      <c r="H33" s="1158">
        <v>0</v>
      </c>
      <c r="I33" s="1158">
        <v>0</v>
      </c>
      <c r="J33" s="1158">
        <f>'[25]媒体大厦物业费 能源费'!I60</f>
        <v>1353230.2673999998</v>
      </c>
      <c r="K33" s="1158">
        <v>0</v>
      </c>
      <c r="L33" s="1158">
        <f t="shared" ref="L33:L38" si="14">SUM(H33:K33)</f>
        <v>1353230.2673999998</v>
      </c>
      <c r="M33" s="1170">
        <f>'[25]2014预算稿 '!J36</f>
        <v>1342877.2170000002</v>
      </c>
      <c r="N33" s="1158">
        <f t="shared" si="2"/>
        <v>10353.0503999996</v>
      </c>
      <c r="O33" s="1159">
        <f t="shared" si="13"/>
        <v>7.7096031334334559E-3</v>
      </c>
      <c r="P33" s="1172"/>
      <c r="Q33" s="1148"/>
      <c r="R33" s="1161"/>
      <c r="S33" s="1161"/>
      <c r="T33" s="1161"/>
      <c r="U33" s="1161"/>
      <c r="V33" s="149"/>
      <c r="W33" s="1426"/>
    </row>
    <row r="34" spans="1:23">
      <c r="A34" s="1162"/>
      <c r="B34" s="1162"/>
      <c r="C34" s="1153"/>
      <c r="D34" s="1154" t="s">
        <v>772</v>
      </c>
      <c r="E34" s="1155" t="s">
        <v>1449</v>
      </c>
      <c r="F34" s="1154" t="s">
        <v>1480</v>
      </c>
      <c r="G34" s="1132"/>
      <c r="H34" s="1158">
        <v>0</v>
      </c>
      <c r="I34" s="1158">
        <v>0</v>
      </c>
      <c r="J34" s="1158">
        <f>'[25]媒体大厦物业费 能源费'!E68</f>
        <v>76718.36569282136</v>
      </c>
      <c r="K34" s="1158">
        <v>0</v>
      </c>
      <c r="L34" s="1158">
        <f t="shared" si="14"/>
        <v>76718.36569282136</v>
      </c>
      <c r="M34" s="1170">
        <f>'[25]2014预算稿 '!J37</f>
        <v>86268.697224540912</v>
      </c>
      <c r="N34" s="1158">
        <f t="shared" si="2"/>
        <v>-9550.331531719552</v>
      </c>
      <c r="O34" s="1159">
        <f>(L34-M34)/M34</f>
        <v>-0.11070448307410817</v>
      </c>
      <c r="P34" s="1172"/>
      <c r="Q34" s="1148"/>
      <c r="R34" s="1161"/>
      <c r="S34" s="1161"/>
      <c r="T34" s="1161"/>
      <c r="U34" s="1161"/>
      <c r="V34" s="149"/>
    </row>
    <row r="35" spans="1:23">
      <c r="A35" s="1149"/>
      <c r="B35" s="1149"/>
      <c r="C35" s="1153"/>
      <c r="D35" s="1154" t="s">
        <v>1482</v>
      </c>
      <c r="E35" s="1155" t="s">
        <v>1451</v>
      </c>
      <c r="F35" s="1154" t="s">
        <v>1480</v>
      </c>
      <c r="G35" s="1132">
        <v>1</v>
      </c>
      <c r="H35" s="1158">
        <f>$G35*3</f>
        <v>3</v>
      </c>
      <c r="I35" s="1158">
        <f t="shared" si="12"/>
        <v>3</v>
      </c>
      <c r="J35" s="1158">
        <f t="shared" si="12"/>
        <v>3</v>
      </c>
      <c r="K35" s="1158">
        <f t="shared" si="12"/>
        <v>3</v>
      </c>
      <c r="L35" s="1158">
        <f t="shared" si="14"/>
        <v>12</v>
      </c>
      <c r="M35" s="1158">
        <f>'[25]2014预算稿 '!J38</f>
        <v>216960</v>
      </c>
      <c r="N35" s="1158">
        <f t="shared" si="2"/>
        <v>-216948</v>
      </c>
      <c r="O35" s="1159">
        <f t="shared" si="13"/>
        <v>-0.99994469026548671</v>
      </c>
      <c r="P35" s="1172"/>
      <c r="Q35" s="1148"/>
      <c r="R35" s="1161">
        <v>75</v>
      </c>
      <c r="S35" s="1161">
        <v>0</v>
      </c>
      <c r="T35" s="1161">
        <v>0</v>
      </c>
      <c r="U35" s="1161">
        <v>68</v>
      </c>
      <c r="V35" s="1158">
        <f>SUM(R35:U35)</f>
        <v>143</v>
      </c>
    </row>
    <row r="36" spans="1:23">
      <c r="A36" s="1149"/>
      <c r="B36" s="1149"/>
      <c r="C36" s="1153"/>
      <c r="D36" s="1154" t="s">
        <v>1483</v>
      </c>
      <c r="E36" s="1155" t="s">
        <v>1454</v>
      </c>
      <c r="F36" s="1154" t="s">
        <v>1480</v>
      </c>
      <c r="G36" s="1132">
        <v>1</v>
      </c>
      <c r="H36" s="1158">
        <f>$G36*3</f>
        <v>3</v>
      </c>
      <c r="I36" s="1158">
        <f t="shared" si="12"/>
        <v>3</v>
      </c>
      <c r="J36" s="1158">
        <f t="shared" si="12"/>
        <v>3</v>
      </c>
      <c r="K36" s="1158">
        <f t="shared" si="12"/>
        <v>3</v>
      </c>
      <c r="L36" s="1158">
        <f t="shared" si="14"/>
        <v>12</v>
      </c>
      <c r="M36" s="1158">
        <f>'[25]2014预算稿 '!J39+'[25]2014预算稿 '!J40</f>
        <v>612228</v>
      </c>
      <c r="N36" s="1158">
        <f t="shared" si="2"/>
        <v>-612216</v>
      </c>
      <c r="O36" s="1159">
        <f t="shared" si="13"/>
        <v>-0.99998039945902506</v>
      </c>
      <c r="P36" s="1172"/>
      <c r="Q36" s="1148"/>
      <c r="R36" s="1161">
        <v>0</v>
      </c>
      <c r="S36" s="1161">
        <v>750</v>
      </c>
      <c r="T36" s="1161">
        <v>7000</v>
      </c>
      <c r="U36" s="1161">
        <v>0</v>
      </c>
      <c r="V36" s="1158">
        <f>SUM(R36:U36)</f>
        <v>7750</v>
      </c>
    </row>
    <row r="37" spans="1:23">
      <c r="A37" s="1149"/>
      <c r="B37" s="1149"/>
      <c r="C37" s="1153"/>
      <c r="D37" s="1154" t="s">
        <v>1484</v>
      </c>
      <c r="E37" s="1155" t="s">
        <v>1461</v>
      </c>
      <c r="F37" s="1154" t="s">
        <v>1480</v>
      </c>
      <c r="G37" s="1132">
        <v>1</v>
      </c>
      <c r="H37" s="1158"/>
      <c r="I37" s="1158"/>
      <c r="J37" s="1158"/>
      <c r="K37" s="1158"/>
      <c r="L37" s="1158">
        <f t="shared" si="14"/>
        <v>0</v>
      </c>
      <c r="M37" s="1158">
        <f>'[25]2014预算稿 '!J41</f>
        <v>232260</v>
      </c>
      <c r="N37" s="1158">
        <f t="shared" si="2"/>
        <v>-232260</v>
      </c>
      <c r="O37" s="1159">
        <f t="shared" si="13"/>
        <v>-1</v>
      </c>
      <c r="P37" s="1172"/>
      <c r="Q37" s="1148"/>
      <c r="R37" s="1161"/>
      <c r="S37" s="1161"/>
      <c r="T37" s="1161"/>
      <c r="U37" s="1161"/>
      <c r="V37" s="149"/>
    </row>
    <row r="38" spans="1:23">
      <c r="A38" s="1149"/>
      <c r="B38" s="1149"/>
      <c r="C38" s="1153"/>
      <c r="D38" s="1154" t="s">
        <v>1485</v>
      </c>
      <c r="E38" s="1155" t="s">
        <v>1465</v>
      </c>
      <c r="F38" s="1154" t="s">
        <v>1480</v>
      </c>
      <c r="G38" s="1132">
        <f>1</f>
        <v>1</v>
      </c>
      <c r="H38" s="1158">
        <f>$G38*3</f>
        <v>3</v>
      </c>
      <c r="I38" s="1158">
        <f>$G38*3</f>
        <v>3</v>
      </c>
      <c r="J38" s="1158">
        <f>$G38*3</f>
        <v>3</v>
      </c>
      <c r="K38" s="1158">
        <f>$G38*3</f>
        <v>3</v>
      </c>
      <c r="L38" s="1158">
        <f t="shared" si="14"/>
        <v>12</v>
      </c>
      <c r="M38" s="1158">
        <f>'[25]2014预算稿 '!J42</f>
        <v>352548</v>
      </c>
      <c r="N38" s="1158">
        <f t="shared" si="2"/>
        <v>-352536</v>
      </c>
      <c r="O38" s="1159">
        <f t="shared" si="13"/>
        <v>-0.99996596208175903</v>
      </c>
      <c r="P38" s="1172"/>
      <c r="Q38" s="1148"/>
      <c r="R38" s="1161">
        <v>62570.350000000006</v>
      </c>
      <c r="S38" s="1161">
        <v>4120.75</v>
      </c>
      <c r="T38" s="1161">
        <v>0</v>
      </c>
      <c r="U38" s="1161">
        <v>0</v>
      </c>
      <c r="V38" s="1158">
        <f>SUM(R38:U38)</f>
        <v>66691.100000000006</v>
      </c>
    </row>
    <row r="39" spans="1:23" ht="15">
      <c r="A39" s="1162"/>
      <c r="B39" s="1162"/>
      <c r="C39" s="1153"/>
      <c r="D39" s="1173" t="s">
        <v>1486</v>
      </c>
      <c r="E39" s="1155"/>
      <c r="F39" s="1154"/>
      <c r="G39" s="1132"/>
      <c r="H39" s="1174">
        <f t="shared" ref="H39:M39" si="15">SUM(H30:H38)</f>
        <v>18</v>
      </c>
      <c r="I39" s="1174">
        <f t="shared" si="15"/>
        <v>18</v>
      </c>
      <c r="J39" s="1174">
        <f t="shared" si="15"/>
        <v>1429966.6330928211</v>
      </c>
      <c r="K39" s="1174">
        <f t="shared" si="15"/>
        <v>18</v>
      </c>
      <c r="L39" s="1174">
        <f t="shared" si="15"/>
        <v>1430020.6330928211</v>
      </c>
      <c r="M39" s="1174">
        <f t="shared" si="15"/>
        <v>10872884.914224541</v>
      </c>
      <c r="N39" s="1158">
        <f>L39-M39</f>
        <v>-9442864.2811317202</v>
      </c>
      <c r="O39" s="1175">
        <f t="shared" si="13"/>
        <v>-0.86847827008432832</v>
      </c>
      <c r="P39" s="1171"/>
      <c r="Q39" s="1148"/>
      <c r="R39" s="1174">
        <f>SUM(R30:R38)</f>
        <v>64646.350000000006</v>
      </c>
      <c r="S39" s="1174">
        <f>SUM(S30:S38)</f>
        <v>65902.75</v>
      </c>
      <c r="T39" s="1174">
        <f>SUM(T30:T38)</f>
        <v>7216</v>
      </c>
      <c r="U39" s="1174">
        <f>SUM(U30:U38)</f>
        <v>3958</v>
      </c>
      <c r="V39" s="1174">
        <f>SUM(V30:V38)</f>
        <v>141723.1</v>
      </c>
    </row>
    <row r="40" spans="1:23" ht="24">
      <c r="A40" s="1149" t="s">
        <v>743</v>
      </c>
      <c r="B40" s="1149"/>
      <c r="C40" s="1153" t="s">
        <v>783</v>
      </c>
      <c r="D40" s="1179" t="s">
        <v>784</v>
      </c>
      <c r="E40" s="1180" t="s">
        <v>1444</v>
      </c>
      <c r="F40" s="1181" t="s">
        <v>1487</v>
      </c>
      <c r="G40" s="1132">
        <f>1</f>
        <v>1</v>
      </c>
      <c r="H40" s="1158">
        <f t="shared" ref="H40:K53" si="16">$G40*3</f>
        <v>3</v>
      </c>
      <c r="I40" s="1158">
        <f t="shared" si="16"/>
        <v>3</v>
      </c>
      <c r="J40" s="1158">
        <f t="shared" si="16"/>
        <v>3</v>
      </c>
      <c r="K40" s="1158">
        <f t="shared" si="16"/>
        <v>3</v>
      </c>
      <c r="L40" s="1158">
        <f t="shared" ref="L40:L46" si="17">SUM(H40:K40)</f>
        <v>12</v>
      </c>
      <c r="M40" s="1158">
        <f>'[25]2014预算稿 '!J44</f>
        <v>29952</v>
      </c>
      <c r="N40" s="1158">
        <f t="shared" si="2"/>
        <v>-29940</v>
      </c>
      <c r="O40" s="1159">
        <f t="shared" si="13"/>
        <v>-0.99959935897435892</v>
      </c>
      <c r="P40" s="1172"/>
      <c r="Q40" s="1148"/>
      <c r="R40" s="1426">
        <v>211</v>
      </c>
      <c r="S40" s="1426">
        <v>169</v>
      </c>
      <c r="T40" s="1426">
        <v>139</v>
      </c>
      <c r="U40" s="1161">
        <v>332</v>
      </c>
      <c r="V40" s="1161">
        <v>63345</v>
      </c>
    </row>
    <row r="41" spans="1:23" ht="25.5">
      <c r="A41" s="1149"/>
      <c r="B41" s="1149"/>
      <c r="C41" s="1153"/>
      <c r="D41" s="1179" t="s">
        <v>786</v>
      </c>
      <c r="E41" s="1180" t="s">
        <v>1449</v>
      </c>
      <c r="F41" s="1179" t="s">
        <v>1488</v>
      </c>
      <c r="G41" s="1132">
        <v>1</v>
      </c>
      <c r="H41" s="1158">
        <f>$G41*3</f>
        <v>3</v>
      </c>
      <c r="I41" s="1158">
        <f t="shared" si="16"/>
        <v>3</v>
      </c>
      <c r="J41" s="1158">
        <f t="shared" si="16"/>
        <v>3</v>
      </c>
      <c r="K41" s="1158">
        <f t="shared" si="16"/>
        <v>3</v>
      </c>
      <c r="L41" s="1158">
        <f t="shared" si="17"/>
        <v>12</v>
      </c>
      <c r="M41" s="1158">
        <f>'[25]2014预算稿 '!J45</f>
        <v>431424</v>
      </c>
      <c r="N41" s="1158">
        <f t="shared" si="2"/>
        <v>-431412</v>
      </c>
      <c r="O41" s="1159">
        <f t="shared" si="13"/>
        <v>-0.99997218513573649</v>
      </c>
      <c r="P41" s="1172"/>
      <c r="Q41" s="1148"/>
      <c r="R41" s="1426"/>
      <c r="S41" s="1426"/>
      <c r="T41" s="1426"/>
      <c r="U41" s="1161">
        <v>69</v>
      </c>
      <c r="V41" s="1161"/>
    </row>
    <row r="42" spans="1:23" ht="25.5">
      <c r="A42" s="1149"/>
      <c r="B42" s="1149"/>
      <c r="C42" s="1153"/>
      <c r="D42" s="1181" t="s">
        <v>787</v>
      </c>
      <c r="E42" s="1182" t="s">
        <v>1489</v>
      </c>
      <c r="F42" s="1179" t="s">
        <v>1488</v>
      </c>
      <c r="G42" s="1132">
        <v>1</v>
      </c>
      <c r="H42" s="1158">
        <f t="shared" si="16"/>
        <v>3</v>
      </c>
      <c r="I42" s="1158">
        <f t="shared" si="16"/>
        <v>3</v>
      </c>
      <c r="J42" s="1158">
        <f t="shared" si="16"/>
        <v>3</v>
      </c>
      <c r="K42" s="1158">
        <f t="shared" si="16"/>
        <v>3</v>
      </c>
      <c r="L42" s="1158">
        <f t="shared" si="17"/>
        <v>12</v>
      </c>
      <c r="M42" s="1158">
        <f>'[25]2014预算稿 '!J46</f>
        <v>864</v>
      </c>
      <c r="N42" s="1158">
        <f t="shared" si="2"/>
        <v>-852</v>
      </c>
      <c r="O42" s="1159">
        <f t="shared" si="13"/>
        <v>-0.98611111111111116</v>
      </c>
      <c r="P42" s="1172"/>
      <c r="Q42" s="1148"/>
      <c r="R42" s="1426"/>
      <c r="S42" s="1426"/>
      <c r="T42" s="1426"/>
      <c r="U42" s="1161"/>
      <c r="V42" s="1161"/>
    </row>
    <row r="43" spans="1:23">
      <c r="A43" s="1149"/>
      <c r="B43" s="1149"/>
      <c r="C43" s="1153"/>
      <c r="D43" s="1154" t="s">
        <v>1490</v>
      </c>
      <c r="E43" s="1155" t="s">
        <v>1451</v>
      </c>
      <c r="F43" s="1154" t="s">
        <v>1488</v>
      </c>
      <c r="G43" s="1132">
        <v>1</v>
      </c>
      <c r="H43" s="1158">
        <f t="shared" si="16"/>
        <v>3</v>
      </c>
      <c r="I43" s="1158">
        <f t="shared" si="16"/>
        <v>3</v>
      </c>
      <c r="J43" s="1158">
        <f t="shared" si="16"/>
        <v>3</v>
      </c>
      <c r="K43" s="1158">
        <f>$G43*3</f>
        <v>3</v>
      </c>
      <c r="L43" s="1158">
        <f t="shared" si="17"/>
        <v>12</v>
      </c>
      <c r="M43" s="1158">
        <f>'[25]2014预算稿 '!J47</f>
        <v>40608</v>
      </c>
      <c r="N43" s="1158">
        <f t="shared" si="2"/>
        <v>-40596</v>
      </c>
      <c r="O43" s="1159">
        <f t="shared" si="13"/>
        <v>-0.99970449172576836</v>
      </c>
      <c r="P43" s="1172"/>
      <c r="Q43" s="1148"/>
      <c r="R43" s="1426"/>
      <c r="S43" s="1426"/>
      <c r="T43" s="1426"/>
      <c r="U43" s="1161">
        <v>102</v>
      </c>
      <c r="V43" s="1161"/>
    </row>
    <row r="44" spans="1:23">
      <c r="A44" s="1149"/>
      <c r="B44" s="1149"/>
      <c r="C44" s="1153"/>
      <c r="D44" s="1154" t="s">
        <v>1491</v>
      </c>
      <c r="E44" s="1155" t="s">
        <v>1454</v>
      </c>
      <c r="F44" s="1154" t="s">
        <v>1488</v>
      </c>
      <c r="G44" s="1132">
        <v>1</v>
      </c>
      <c r="H44" s="1158">
        <f t="shared" si="16"/>
        <v>3</v>
      </c>
      <c r="I44" s="1158">
        <f t="shared" si="16"/>
        <v>3</v>
      </c>
      <c r="J44" s="1158">
        <f t="shared" si="16"/>
        <v>3</v>
      </c>
      <c r="K44" s="1158">
        <f t="shared" si="16"/>
        <v>3</v>
      </c>
      <c r="L44" s="1158">
        <f t="shared" si="17"/>
        <v>12</v>
      </c>
      <c r="M44" s="1158">
        <f>'[25]2014预算稿 '!J49+'[25]2014预算稿 '!J48</f>
        <v>133356</v>
      </c>
      <c r="N44" s="1158">
        <f t="shared" si="2"/>
        <v>-133344</v>
      </c>
      <c r="O44" s="1159">
        <f t="shared" si="13"/>
        <v>-0.99991001529739942</v>
      </c>
      <c r="P44" s="1172"/>
      <c r="Q44" s="1148"/>
      <c r="R44" s="1426"/>
      <c r="S44" s="1426"/>
      <c r="T44" s="1426"/>
      <c r="U44" s="1161"/>
      <c r="V44" s="1161"/>
    </row>
    <row r="45" spans="1:23">
      <c r="A45" s="1149"/>
      <c r="B45" s="1149"/>
      <c r="C45" s="1153"/>
      <c r="D45" s="1154" t="s">
        <v>1492</v>
      </c>
      <c r="E45" s="1155" t="s">
        <v>1461</v>
      </c>
      <c r="F45" s="1154" t="s">
        <v>1488</v>
      </c>
      <c r="G45" s="1132">
        <v>1</v>
      </c>
      <c r="H45" s="1158"/>
      <c r="I45" s="1158"/>
      <c r="J45" s="1158"/>
      <c r="K45" s="1158"/>
      <c r="L45" s="1158">
        <f t="shared" si="17"/>
        <v>0</v>
      </c>
      <c r="M45" s="1183">
        <f>'[25]2014预算稿 '!J50</f>
        <v>52704</v>
      </c>
      <c r="N45" s="1158">
        <f t="shared" si="2"/>
        <v>-52704</v>
      </c>
      <c r="O45" s="1159">
        <f t="shared" si="13"/>
        <v>-1</v>
      </c>
      <c r="P45" s="1172"/>
      <c r="Q45" s="1148"/>
      <c r="R45" s="1426"/>
      <c r="S45" s="1426"/>
      <c r="T45" s="1426"/>
      <c r="U45" s="1161"/>
      <c r="V45" s="1161"/>
    </row>
    <row r="46" spans="1:23">
      <c r="A46" s="1149"/>
      <c r="B46" s="1149"/>
      <c r="C46" s="1153"/>
      <c r="D46" s="1154" t="s">
        <v>1493</v>
      </c>
      <c r="E46" s="1155" t="s">
        <v>1465</v>
      </c>
      <c r="F46" s="1154" t="s">
        <v>1488</v>
      </c>
      <c r="G46" s="1132">
        <v>1</v>
      </c>
      <c r="H46" s="1158">
        <f t="shared" si="16"/>
        <v>3</v>
      </c>
      <c r="I46" s="1158">
        <f t="shared" si="16"/>
        <v>3</v>
      </c>
      <c r="J46" s="1158">
        <f>$G46*3</f>
        <v>3</v>
      </c>
      <c r="K46" s="1158">
        <f>$G46*3</f>
        <v>3</v>
      </c>
      <c r="L46" s="1158">
        <f t="shared" si="17"/>
        <v>12</v>
      </c>
      <c r="M46" s="1183">
        <f>'[25]2014预算稿 '!J51</f>
        <v>72144</v>
      </c>
      <c r="N46" s="1158">
        <f t="shared" si="2"/>
        <v>-72132</v>
      </c>
      <c r="O46" s="1159">
        <f t="shared" si="13"/>
        <v>-0.99983366600133072</v>
      </c>
      <c r="P46" s="1172"/>
      <c r="Q46" s="1148"/>
      <c r="R46" s="1426"/>
      <c r="S46" s="1426"/>
      <c r="T46" s="1426"/>
      <c r="U46" s="1161"/>
      <c r="V46" s="1161"/>
    </row>
    <row r="47" spans="1:23" ht="15">
      <c r="A47" s="1149"/>
      <c r="B47" s="1149"/>
      <c r="C47" s="1153"/>
      <c r="D47" s="1173" t="s">
        <v>1494</v>
      </c>
      <c r="E47" s="1180"/>
      <c r="F47" s="1179"/>
      <c r="G47" s="1132"/>
      <c r="H47" s="1174">
        <f t="shared" ref="H47:M47" si="18">SUM(H40:H46)</f>
        <v>18</v>
      </c>
      <c r="I47" s="1174">
        <f t="shared" si="18"/>
        <v>18</v>
      </c>
      <c r="J47" s="1174">
        <f t="shared" si="18"/>
        <v>18</v>
      </c>
      <c r="K47" s="1174">
        <f t="shared" si="18"/>
        <v>18</v>
      </c>
      <c r="L47" s="1174">
        <f t="shared" si="18"/>
        <v>72</v>
      </c>
      <c r="M47" s="1174">
        <f t="shared" si="18"/>
        <v>761052</v>
      </c>
      <c r="N47" s="1158">
        <f>L47-M47</f>
        <v>-760980</v>
      </c>
      <c r="O47" s="1175">
        <f t="shared" si="13"/>
        <v>-0.99990539411236024</v>
      </c>
      <c r="P47" s="1165"/>
      <c r="Q47" s="1148"/>
      <c r="R47" s="1174">
        <f>SUM(R40)</f>
        <v>211</v>
      </c>
      <c r="S47" s="1174">
        <f>SUM(S40)</f>
        <v>169</v>
      </c>
      <c r="T47" s="1174">
        <f>SUM(T40)</f>
        <v>139</v>
      </c>
      <c r="U47" s="1174">
        <f>SUM(U40:U46)</f>
        <v>503</v>
      </c>
      <c r="V47" s="1174">
        <f>SUM(V40)</f>
        <v>63345</v>
      </c>
      <c r="W47" s="82" t="s">
        <v>1495</v>
      </c>
    </row>
    <row r="48" spans="1:23" ht="14.25" customHeight="1">
      <c r="A48" s="1149" t="s">
        <v>743</v>
      </c>
      <c r="B48" s="1149"/>
      <c r="C48" s="1153" t="s">
        <v>798</v>
      </c>
      <c r="D48" s="1179" t="s">
        <v>799</v>
      </c>
      <c r="E48" s="1180" t="s">
        <v>1444</v>
      </c>
      <c r="F48" s="1179" t="s">
        <v>1496</v>
      </c>
      <c r="G48" s="1132">
        <v>1</v>
      </c>
      <c r="H48" s="1158">
        <f t="shared" si="16"/>
        <v>3</v>
      </c>
      <c r="I48" s="1158">
        <f t="shared" si="16"/>
        <v>3</v>
      </c>
      <c r="J48" s="1158">
        <f t="shared" si="16"/>
        <v>3</v>
      </c>
      <c r="K48" s="1158">
        <f t="shared" si="16"/>
        <v>3</v>
      </c>
      <c r="L48" s="1158">
        <f t="shared" ref="L48:L53" si="19">SUM(H48:K48)</f>
        <v>12</v>
      </c>
      <c r="M48" s="1158">
        <f>'[25]2014预算稿 '!J53</f>
        <v>228690</v>
      </c>
      <c r="N48" s="1158">
        <f t="shared" si="2"/>
        <v>-228678</v>
      </c>
      <c r="O48" s="1159">
        <f t="shared" ref="O48:O62" si="20">(L48-M48)/M48</f>
        <v>-0.99994752722025448</v>
      </c>
      <c r="P48" s="1172"/>
      <c r="Q48" s="1148"/>
      <c r="R48" s="1161">
        <v>919</v>
      </c>
      <c r="S48" s="1161">
        <v>192</v>
      </c>
      <c r="T48" s="1161">
        <v>261</v>
      </c>
      <c r="U48" s="1161">
        <v>925</v>
      </c>
      <c r="V48" s="1157">
        <f t="shared" ref="V48:V53" si="21">SUM(R48:U48)</f>
        <v>2297</v>
      </c>
    </row>
    <row r="49" spans="1:23">
      <c r="A49" s="1149"/>
      <c r="B49" s="1149"/>
      <c r="C49" s="1153"/>
      <c r="D49" s="1154" t="s">
        <v>1497</v>
      </c>
      <c r="E49" s="1155" t="s">
        <v>1451</v>
      </c>
      <c r="F49" s="1154" t="s">
        <v>1496</v>
      </c>
      <c r="G49" s="1132">
        <v>1</v>
      </c>
      <c r="H49" s="1158">
        <f t="shared" si="16"/>
        <v>3</v>
      </c>
      <c r="I49" s="1158">
        <f t="shared" si="16"/>
        <v>3</v>
      </c>
      <c r="J49" s="1158">
        <f t="shared" si="16"/>
        <v>3</v>
      </c>
      <c r="K49" s="1158">
        <f t="shared" si="16"/>
        <v>3</v>
      </c>
      <c r="L49" s="1158">
        <f t="shared" si="19"/>
        <v>12</v>
      </c>
      <c r="M49" s="1158">
        <f>'[25]2014预算稿 '!J54</f>
        <v>415800</v>
      </c>
      <c r="N49" s="1158">
        <f t="shared" si="2"/>
        <v>-415788</v>
      </c>
      <c r="O49" s="1159">
        <f t="shared" si="20"/>
        <v>-0.99997113997113996</v>
      </c>
      <c r="P49" s="1172"/>
      <c r="Q49" s="1148"/>
      <c r="R49" s="1161">
        <v>972</v>
      </c>
      <c r="S49" s="1161">
        <v>972</v>
      </c>
      <c r="T49" s="1161">
        <v>970</v>
      </c>
      <c r="U49" s="1161">
        <v>987</v>
      </c>
      <c r="V49" s="1157">
        <f t="shared" si="21"/>
        <v>3901</v>
      </c>
    </row>
    <row r="50" spans="1:23">
      <c r="A50" s="1149"/>
      <c r="B50" s="1149"/>
      <c r="C50" s="1153"/>
      <c r="D50" s="1154" t="s">
        <v>1498</v>
      </c>
      <c r="E50" s="1155" t="s">
        <v>1454</v>
      </c>
      <c r="F50" s="1154" t="s">
        <v>1496</v>
      </c>
      <c r="G50" s="1132">
        <v>1</v>
      </c>
      <c r="H50" s="1158">
        <f t="shared" si="16"/>
        <v>3</v>
      </c>
      <c r="I50" s="1158">
        <f t="shared" si="16"/>
        <v>3</v>
      </c>
      <c r="J50" s="1158">
        <f t="shared" si="16"/>
        <v>3</v>
      </c>
      <c r="K50" s="1158">
        <f t="shared" si="16"/>
        <v>3</v>
      </c>
      <c r="L50" s="1158">
        <f t="shared" si="19"/>
        <v>12</v>
      </c>
      <c r="M50" s="1158">
        <f>'[25]2014预算稿 '!J55</f>
        <v>831600</v>
      </c>
      <c r="N50" s="1158">
        <f t="shared" si="2"/>
        <v>-831588</v>
      </c>
      <c r="O50" s="1159">
        <f t="shared" si="20"/>
        <v>-0.99998556998556998</v>
      </c>
      <c r="P50" s="1172"/>
      <c r="Q50" s="1148"/>
      <c r="R50" s="1161"/>
      <c r="S50" s="1161"/>
      <c r="T50" s="1161"/>
      <c r="U50" s="1161"/>
      <c r="V50" s="1157">
        <f t="shared" si="21"/>
        <v>0</v>
      </c>
    </row>
    <row r="51" spans="1:23">
      <c r="A51" s="1149"/>
      <c r="B51" s="1149"/>
      <c r="C51" s="1153"/>
      <c r="D51" s="1154" t="s">
        <v>1499</v>
      </c>
      <c r="E51" s="1155" t="s">
        <v>1458</v>
      </c>
      <c r="F51" s="1154" t="s">
        <v>1496</v>
      </c>
      <c r="G51" s="1132">
        <v>1</v>
      </c>
      <c r="H51" s="1158">
        <f t="shared" si="16"/>
        <v>3</v>
      </c>
      <c r="I51" s="1158">
        <f t="shared" si="16"/>
        <v>3</v>
      </c>
      <c r="J51" s="1158">
        <f t="shared" si="16"/>
        <v>3</v>
      </c>
      <c r="K51" s="1158">
        <f t="shared" si="16"/>
        <v>3</v>
      </c>
      <c r="L51" s="1158">
        <f t="shared" si="19"/>
        <v>12</v>
      </c>
      <c r="M51" s="1170">
        <f>'[25]2014预算稿 '!J56</f>
        <v>415800</v>
      </c>
      <c r="N51" s="1158">
        <f t="shared" si="2"/>
        <v>-415788</v>
      </c>
      <c r="O51" s="1159">
        <f t="shared" si="20"/>
        <v>-0.99997113997113996</v>
      </c>
      <c r="P51" s="1172"/>
      <c r="Q51" s="1148"/>
      <c r="R51" s="1161">
        <v>207</v>
      </c>
      <c r="S51" s="1161">
        <v>253</v>
      </c>
      <c r="T51" s="1161">
        <v>274</v>
      </c>
      <c r="U51" s="1161">
        <v>2368</v>
      </c>
      <c r="V51" s="1157">
        <f t="shared" si="21"/>
        <v>3102</v>
      </c>
    </row>
    <row r="52" spans="1:23">
      <c r="A52" s="1149"/>
      <c r="B52" s="1149"/>
      <c r="C52" s="1153"/>
      <c r="D52" s="1154" t="s">
        <v>1500</v>
      </c>
      <c r="E52" s="1155" t="s">
        <v>1461</v>
      </c>
      <c r="F52" s="1154" t="s">
        <v>1496</v>
      </c>
      <c r="G52" s="1132">
        <v>1</v>
      </c>
      <c r="H52" s="1158"/>
      <c r="I52" s="1158"/>
      <c r="J52" s="1158"/>
      <c r="K52" s="1158"/>
      <c r="L52" s="1158">
        <f t="shared" si="19"/>
        <v>0</v>
      </c>
      <c r="M52" s="1170">
        <f>'[25]2014预算稿 '!J57</f>
        <v>415800</v>
      </c>
      <c r="N52" s="1158">
        <f t="shared" si="2"/>
        <v>-415800</v>
      </c>
      <c r="O52" s="1159">
        <f t="shared" si="20"/>
        <v>-1</v>
      </c>
      <c r="P52" s="1172"/>
      <c r="Q52" s="1148"/>
      <c r="R52" s="1161"/>
      <c r="S52" s="1161"/>
      <c r="T52" s="1161"/>
      <c r="U52" s="1161"/>
      <c r="V52" s="1157">
        <f t="shared" si="21"/>
        <v>0</v>
      </c>
    </row>
    <row r="53" spans="1:23">
      <c r="A53" s="1149"/>
      <c r="B53" s="1149"/>
      <c r="C53" s="1153"/>
      <c r="D53" s="1154" t="s">
        <v>1501</v>
      </c>
      <c r="E53" s="1155" t="s">
        <v>1465</v>
      </c>
      <c r="F53" s="1154" t="s">
        <v>1496</v>
      </c>
      <c r="G53" s="1132">
        <v>1</v>
      </c>
      <c r="H53" s="1158">
        <f t="shared" si="16"/>
        <v>3</v>
      </c>
      <c r="I53" s="1158">
        <f t="shared" si="16"/>
        <v>3</v>
      </c>
      <c r="J53" s="1158">
        <f t="shared" si="16"/>
        <v>3</v>
      </c>
      <c r="K53" s="1158">
        <f t="shared" si="16"/>
        <v>3</v>
      </c>
      <c r="L53" s="1158">
        <f t="shared" si="19"/>
        <v>12</v>
      </c>
      <c r="M53" s="1170">
        <f>'[25]2014预算稿 '!J58</f>
        <v>415800</v>
      </c>
      <c r="N53" s="1158">
        <f t="shared" si="2"/>
        <v>-415788</v>
      </c>
      <c r="O53" s="1159">
        <f t="shared" si="20"/>
        <v>-0.99997113997113996</v>
      </c>
      <c r="P53" s="1172"/>
      <c r="Q53" s="1148"/>
      <c r="R53" s="1161">
        <v>972</v>
      </c>
      <c r="S53" s="1161">
        <v>324</v>
      </c>
      <c r="T53" s="1161">
        <v>0</v>
      </c>
      <c r="U53" s="1161">
        <v>0</v>
      </c>
      <c r="V53" s="1157">
        <f t="shared" si="21"/>
        <v>1296</v>
      </c>
    </row>
    <row r="54" spans="1:23" ht="15">
      <c r="A54" s="1149"/>
      <c r="B54" s="1149"/>
      <c r="C54" s="1153"/>
      <c r="D54" s="1173" t="s">
        <v>1502</v>
      </c>
      <c r="E54" s="1180"/>
      <c r="F54" s="1179"/>
      <c r="G54" s="1132"/>
      <c r="H54" s="1174">
        <f t="shared" ref="H54:M54" si="22">SUM(H48:H53)</f>
        <v>15</v>
      </c>
      <c r="I54" s="1174">
        <f t="shared" si="22"/>
        <v>15</v>
      </c>
      <c r="J54" s="1174">
        <f t="shared" si="22"/>
        <v>15</v>
      </c>
      <c r="K54" s="1174">
        <f t="shared" si="22"/>
        <v>15</v>
      </c>
      <c r="L54" s="1174">
        <f t="shared" si="22"/>
        <v>60</v>
      </c>
      <c r="M54" s="1174">
        <f t="shared" si="22"/>
        <v>2723490</v>
      </c>
      <c r="N54" s="1158">
        <f>L54-M54</f>
        <v>-2723430</v>
      </c>
      <c r="O54" s="1175">
        <f t="shared" si="20"/>
        <v>-0.99997796944361828</v>
      </c>
      <c r="P54" s="1171"/>
      <c r="Q54" s="1148"/>
      <c r="R54" s="1174">
        <f>SUM(R48:R53)</f>
        <v>3070</v>
      </c>
      <c r="S54" s="1174">
        <f>SUM(S48:S53)</f>
        <v>1741</v>
      </c>
      <c r="T54" s="1174">
        <f>SUM(T48:T53)</f>
        <v>1505</v>
      </c>
      <c r="U54" s="1174">
        <f>SUM(U48:U53)</f>
        <v>4280</v>
      </c>
      <c r="V54" s="1174">
        <f>SUM(V48:V53)</f>
        <v>10596</v>
      </c>
    </row>
    <row r="55" spans="1:23">
      <c r="A55" s="1149" t="s">
        <v>743</v>
      </c>
      <c r="B55" s="1149"/>
      <c r="C55" s="1153" t="s">
        <v>810</v>
      </c>
      <c r="D55" s="1179" t="s">
        <v>811</v>
      </c>
      <c r="E55" s="1180" t="s">
        <v>1444</v>
      </c>
      <c r="F55" s="1178" t="s">
        <v>1503</v>
      </c>
      <c r="G55" s="1132">
        <f>1</f>
        <v>1</v>
      </c>
      <c r="H55" s="1158">
        <f>$G55*3</f>
        <v>3</v>
      </c>
      <c r="I55" s="1158">
        <f>$G55*3</f>
        <v>3</v>
      </c>
      <c r="J55" s="1158">
        <f>$G55*3</f>
        <v>3</v>
      </c>
      <c r="K55" s="1158">
        <f>$G55*3</f>
        <v>3</v>
      </c>
      <c r="L55" s="1158">
        <f t="shared" ref="L55:L60" si="23">SUM(H55:K55)</f>
        <v>12</v>
      </c>
      <c r="M55" s="1158">
        <f>'[25]2014预算稿 '!J60</f>
        <v>35256.98000000001</v>
      </c>
      <c r="N55" s="1158">
        <f t="shared" si="2"/>
        <v>-35244.98000000001</v>
      </c>
      <c r="O55" s="1159">
        <f t="shared" si="20"/>
        <v>-0.99965964186382383</v>
      </c>
      <c r="P55" s="1172"/>
      <c r="Q55" s="1148"/>
      <c r="R55" s="1426">
        <v>990</v>
      </c>
      <c r="S55" s="1426">
        <v>0</v>
      </c>
      <c r="T55" s="1426">
        <v>0</v>
      </c>
      <c r="U55" s="1426">
        <v>42802.333333333299</v>
      </c>
      <c r="V55" s="1426">
        <f>SUM(R55:U60)</f>
        <v>43792.333333333299</v>
      </c>
    </row>
    <row r="56" spans="1:23">
      <c r="A56" s="1149"/>
      <c r="B56" s="1149"/>
      <c r="C56" s="1153"/>
      <c r="D56" s="1179" t="s">
        <v>813</v>
      </c>
      <c r="E56" s="1182" t="s">
        <v>1504</v>
      </c>
      <c r="F56" s="1184" t="s">
        <v>1503</v>
      </c>
      <c r="G56" s="1132">
        <v>1</v>
      </c>
      <c r="H56" s="1158">
        <f t="shared" ref="H56:K60" si="24">$G56*3</f>
        <v>3</v>
      </c>
      <c r="I56" s="1158">
        <f t="shared" si="24"/>
        <v>3</v>
      </c>
      <c r="J56" s="1158">
        <f>$G56*3</f>
        <v>3</v>
      </c>
      <c r="K56" s="1158">
        <f>$G56*3</f>
        <v>3</v>
      </c>
      <c r="L56" s="1158">
        <f t="shared" si="23"/>
        <v>12</v>
      </c>
      <c r="M56" s="1158">
        <f>'[25]2014预算稿 '!J61</f>
        <v>49500</v>
      </c>
      <c r="N56" s="1158">
        <f t="shared" si="2"/>
        <v>-49488</v>
      </c>
      <c r="O56" s="1159">
        <f t="shared" si="20"/>
        <v>-0.99975757575757573</v>
      </c>
      <c r="P56" s="1172"/>
      <c r="Q56" s="1148"/>
      <c r="R56" s="1426"/>
      <c r="S56" s="1426"/>
      <c r="T56" s="1426"/>
      <c r="U56" s="1426"/>
      <c r="V56" s="1426"/>
    </row>
    <row r="57" spans="1:23">
      <c r="A57" s="1149"/>
      <c r="B57" s="1149"/>
      <c r="C57" s="1153"/>
      <c r="D57" s="1154" t="s">
        <v>1505</v>
      </c>
      <c r="E57" s="1155" t="s">
        <v>1451</v>
      </c>
      <c r="F57" s="1169" t="s">
        <v>1503</v>
      </c>
      <c r="G57" s="1132">
        <v>1</v>
      </c>
      <c r="H57" s="1158">
        <f t="shared" si="24"/>
        <v>3</v>
      </c>
      <c r="I57" s="1158">
        <f t="shared" si="24"/>
        <v>3</v>
      </c>
      <c r="J57" s="1158">
        <f t="shared" si="24"/>
        <v>3</v>
      </c>
      <c r="K57" s="1158">
        <f t="shared" si="24"/>
        <v>3</v>
      </c>
      <c r="L57" s="1158">
        <f t="shared" si="23"/>
        <v>12</v>
      </c>
      <c r="M57" s="1158">
        <f>'[25]2014预算稿 '!J62</f>
        <v>37012.800000000003</v>
      </c>
      <c r="N57" s="1158">
        <f t="shared" si="2"/>
        <v>-37000.800000000003</v>
      </c>
      <c r="O57" s="1159">
        <f t="shared" si="20"/>
        <v>-0.99967578783555955</v>
      </c>
      <c r="P57" s="1172"/>
      <c r="Q57" s="1148"/>
      <c r="R57" s="1426"/>
      <c r="S57" s="1426">
        <v>0</v>
      </c>
      <c r="T57" s="1426">
        <v>0</v>
      </c>
      <c r="U57" s="1426"/>
      <c r="V57" s="1426"/>
      <c r="W57" s="1426"/>
    </row>
    <row r="58" spans="1:23">
      <c r="A58" s="1149"/>
      <c r="B58" s="1149"/>
      <c r="C58" s="1153"/>
      <c r="D58" s="1154" t="s">
        <v>1506</v>
      </c>
      <c r="E58" s="1155" t="s">
        <v>1454</v>
      </c>
      <c r="F58" s="1169" t="s">
        <v>1503</v>
      </c>
      <c r="G58" s="1132">
        <v>1</v>
      </c>
      <c r="H58" s="1158">
        <f t="shared" si="24"/>
        <v>3</v>
      </c>
      <c r="I58" s="1158">
        <f t="shared" si="24"/>
        <v>3</v>
      </c>
      <c r="J58" s="1158">
        <f t="shared" si="24"/>
        <v>3</v>
      </c>
      <c r="K58" s="1158">
        <f t="shared" si="24"/>
        <v>3</v>
      </c>
      <c r="L58" s="1158">
        <f t="shared" si="23"/>
        <v>12</v>
      </c>
      <c r="M58" s="1158">
        <f>'[25]2014预算稿 '!J63+'[25]2014预算稿 '!J64</f>
        <v>132369.60000000001</v>
      </c>
      <c r="N58" s="1158">
        <f t="shared" si="2"/>
        <v>-132357.6</v>
      </c>
      <c r="O58" s="1159">
        <f t="shared" si="20"/>
        <v>-0.99990934474380821</v>
      </c>
      <c r="P58" s="1172"/>
      <c r="Q58" s="1148"/>
      <c r="R58" s="1426"/>
      <c r="S58" s="1426"/>
      <c r="T58" s="1426"/>
      <c r="U58" s="1426"/>
      <c r="V58" s="1426"/>
      <c r="W58" s="1426"/>
    </row>
    <row r="59" spans="1:23" ht="13.5" customHeight="1">
      <c r="A59" s="1149"/>
      <c r="B59" s="1149"/>
      <c r="C59" s="1153"/>
      <c r="D59" s="1154" t="s">
        <v>1507</v>
      </c>
      <c r="E59" s="1155" t="s">
        <v>1461</v>
      </c>
      <c r="F59" s="1169" t="s">
        <v>1503</v>
      </c>
      <c r="G59" s="1132">
        <v>1</v>
      </c>
      <c r="H59" s="1158"/>
      <c r="I59" s="1158"/>
      <c r="J59" s="1158"/>
      <c r="K59" s="1158"/>
      <c r="L59" s="1158">
        <f t="shared" si="23"/>
        <v>0</v>
      </c>
      <c r="M59" s="1158">
        <f>'[25]2014预算稿 '!J65</f>
        <v>59760.800000000003</v>
      </c>
      <c r="N59" s="1158">
        <f t="shared" si="2"/>
        <v>-59760.800000000003</v>
      </c>
      <c r="O59" s="1159">
        <f t="shared" si="20"/>
        <v>-1</v>
      </c>
      <c r="P59" s="1172"/>
      <c r="Q59" s="1148"/>
      <c r="R59" s="1426"/>
      <c r="S59" s="1426"/>
      <c r="T59" s="1426"/>
      <c r="U59" s="1426"/>
      <c r="V59" s="1426"/>
      <c r="W59" s="1426"/>
    </row>
    <row r="60" spans="1:23">
      <c r="A60" s="1149"/>
      <c r="B60" s="1149"/>
      <c r="C60" s="1153"/>
      <c r="D60" s="1154" t="s">
        <v>1508</v>
      </c>
      <c r="E60" s="1155" t="s">
        <v>1465</v>
      </c>
      <c r="F60" s="1169" t="s">
        <v>1503</v>
      </c>
      <c r="G60" s="1132">
        <v>1</v>
      </c>
      <c r="H60" s="1158">
        <f t="shared" si="24"/>
        <v>3</v>
      </c>
      <c r="I60" s="1158">
        <f t="shared" si="24"/>
        <v>3</v>
      </c>
      <c r="J60" s="1158">
        <f t="shared" si="24"/>
        <v>3</v>
      </c>
      <c r="K60" s="1158">
        <f t="shared" si="24"/>
        <v>3</v>
      </c>
      <c r="L60" s="1158">
        <f t="shared" si="23"/>
        <v>12</v>
      </c>
      <c r="M60" s="1158">
        <f>'[25]2014预算稿 '!J66</f>
        <v>63031.466666666674</v>
      </c>
      <c r="N60" s="1158">
        <f t="shared" si="2"/>
        <v>-63019.466666666674</v>
      </c>
      <c r="O60" s="1159">
        <f t="shared" si="20"/>
        <v>-0.99980961889934339</v>
      </c>
      <c r="P60" s="1172"/>
      <c r="Q60" s="1148"/>
      <c r="R60" s="1426"/>
      <c r="S60" s="1426"/>
      <c r="T60" s="1426"/>
      <c r="U60" s="1426"/>
      <c r="V60" s="1426"/>
      <c r="W60" s="1426"/>
    </row>
    <row r="61" spans="1:23" ht="15">
      <c r="A61" s="1149"/>
      <c r="B61" s="1149"/>
      <c r="C61" s="1153"/>
      <c r="D61" s="1173" t="s">
        <v>1509</v>
      </c>
      <c r="E61" s="1180"/>
      <c r="F61" s="1179"/>
      <c r="G61" s="1132"/>
      <c r="H61" s="1174">
        <f t="shared" ref="H61:M61" si="25">SUM(H55:H60)</f>
        <v>15</v>
      </c>
      <c r="I61" s="1174">
        <f t="shared" si="25"/>
        <v>15</v>
      </c>
      <c r="J61" s="1174">
        <f t="shared" si="25"/>
        <v>15</v>
      </c>
      <c r="K61" s="1174">
        <f t="shared" si="25"/>
        <v>15</v>
      </c>
      <c r="L61" s="1174">
        <f t="shared" si="25"/>
        <v>60</v>
      </c>
      <c r="M61" s="1174">
        <f t="shared" si="25"/>
        <v>376931.64666666667</v>
      </c>
      <c r="N61" s="1158">
        <f>L61-M61</f>
        <v>-376871.64666666667</v>
      </c>
      <c r="O61" s="1175">
        <f t="shared" si="20"/>
        <v>-0.99984081994565699</v>
      </c>
      <c r="P61" s="1172"/>
      <c r="Q61" s="1148"/>
      <c r="R61" s="1174">
        <f>SUM(R55:R60)</f>
        <v>990</v>
      </c>
      <c r="S61" s="1174">
        <f>SUM(S55:S60)</f>
        <v>0</v>
      </c>
      <c r="T61" s="1174">
        <f>SUM(T55:T60)</f>
        <v>0</v>
      </c>
      <c r="U61" s="1174">
        <f>SUM(U55:U60)</f>
        <v>42802.333333333299</v>
      </c>
      <c r="V61" s="1174">
        <f>SUM(R61:U61)</f>
        <v>43792.333333333299</v>
      </c>
      <c r="W61" s="1426"/>
    </row>
    <row r="62" spans="1:23">
      <c r="A62" s="1149" t="s">
        <v>743</v>
      </c>
      <c r="B62" s="1149"/>
      <c r="C62" s="1153" t="s">
        <v>822</v>
      </c>
      <c r="D62" s="1185" t="s">
        <v>823</v>
      </c>
      <c r="E62" s="1186"/>
      <c r="F62" s="1185"/>
      <c r="G62" s="1132">
        <f t="shared" ref="G62:L62" si="26">SUM(G63:G69)</f>
        <v>7</v>
      </c>
      <c r="H62" s="1187">
        <f>SUM(H63:H69)</f>
        <v>18</v>
      </c>
      <c r="I62" s="1187">
        <f t="shared" si="26"/>
        <v>18</v>
      </c>
      <c r="J62" s="1187">
        <f t="shared" si="26"/>
        <v>18</v>
      </c>
      <c r="K62" s="1187">
        <f t="shared" si="26"/>
        <v>18</v>
      </c>
      <c r="L62" s="1187">
        <f t="shared" si="26"/>
        <v>72</v>
      </c>
      <c r="M62" s="1187">
        <f>SUM(M63:M69)</f>
        <v>1273362</v>
      </c>
      <c r="N62" s="1188">
        <f>L62-M62</f>
        <v>-1273290</v>
      </c>
      <c r="O62" s="1159">
        <f t="shared" si="20"/>
        <v>-0.99994345677034491</v>
      </c>
      <c r="P62" s="1172"/>
      <c r="Q62" s="1148"/>
      <c r="R62" s="1161"/>
      <c r="S62" s="1161"/>
      <c r="T62" s="1161"/>
      <c r="U62" s="1161"/>
      <c r="V62" s="149"/>
      <c r="W62" s="1426"/>
    </row>
    <row r="63" spans="1:23">
      <c r="A63" s="1149"/>
      <c r="B63" s="1149"/>
      <c r="C63" s="1153"/>
      <c r="D63" s="1180" t="s">
        <v>824</v>
      </c>
      <c r="E63" s="1180" t="s">
        <v>1444</v>
      </c>
      <c r="F63" s="1179" t="s">
        <v>1510</v>
      </c>
      <c r="G63" s="1132">
        <v>1</v>
      </c>
      <c r="H63" s="1158">
        <f t="shared" ref="H63:K69" si="27">$G63*3</f>
        <v>3</v>
      </c>
      <c r="I63" s="1158">
        <f t="shared" si="27"/>
        <v>3</v>
      </c>
      <c r="J63" s="1158">
        <f t="shared" si="27"/>
        <v>3</v>
      </c>
      <c r="K63" s="1158">
        <f t="shared" si="27"/>
        <v>3</v>
      </c>
      <c r="L63" s="1158">
        <f t="shared" ref="L63:L69" si="28">SUM(H63:K63)</f>
        <v>12</v>
      </c>
      <c r="M63" s="1158">
        <f>'[25]2014预算稿 '!J69</f>
        <v>148962</v>
      </c>
      <c r="N63" s="1158">
        <f t="shared" si="2"/>
        <v>-148950</v>
      </c>
      <c r="O63" s="1159">
        <f t="shared" ref="O63:O85" si="29">(L63-M63)/M63</f>
        <v>-0.9999194425423934</v>
      </c>
      <c r="P63" s="1172"/>
      <c r="Q63" s="1148"/>
      <c r="R63" s="1161">
        <v>679</v>
      </c>
      <c r="S63" s="1161">
        <v>1935</v>
      </c>
      <c r="T63" s="1161">
        <v>2026</v>
      </c>
      <c r="U63" s="1161">
        <v>4034</v>
      </c>
      <c r="V63" s="1157">
        <f>SUM(R63:U63)</f>
        <v>8674</v>
      </c>
    </row>
    <row r="64" spans="1:23">
      <c r="A64" s="1149"/>
      <c r="B64" s="1149"/>
      <c r="C64" s="1153"/>
      <c r="D64" s="1180" t="s">
        <v>826</v>
      </c>
      <c r="E64" s="1182" t="s">
        <v>1489</v>
      </c>
      <c r="F64" s="1179" t="s">
        <v>1510</v>
      </c>
      <c r="G64" s="1132">
        <v>1</v>
      </c>
      <c r="H64" s="1158">
        <f t="shared" si="27"/>
        <v>3</v>
      </c>
      <c r="I64" s="1158">
        <f t="shared" si="27"/>
        <v>3</v>
      </c>
      <c r="J64" s="1158">
        <f t="shared" si="27"/>
        <v>3</v>
      </c>
      <c r="K64" s="1158">
        <f t="shared" si="27"/>
        <v>3</v>
      </c>
      <c r="L64" s="1158">
        <f t="shared" si="28"/>
        <v>12</v>
      </c>
      <c r="M64" s="1158">
        <f>'[25]2014预算稿 '!J70</f>
        <v>7200</v>
      </c>
      <c r="N64" s="1158">
        <f t="shared" si="2"/>
        <v>-7188</v>
      </c>
      <c r="O64" s="1159">
        <f t="shared" si="29"/>
        <v>-0.99833333333333329</v>
      </c>
      <c r="P64" s="1171"/>
      <c r="Q64" s="1148"/>
      <c r="R64" s="1161"/>
      <c r="S64" s="1161"/>
      <c r="T64" s="1161"/>
      <c r="U64" s="1161"/>
      <c r="V64" s="149"/>
    </row>
    <row r="65" spans="1:22">
      <c r="A65" s="1149"/>
      <c r="B65" s="1149"/>
      <c r="C65" s="1153"/>
      <c r="D65" s="1155" t="s">
        <v>1511</v>
      </c>
      <c r="E65" s="1155" t="s">
        <v>1451</v>
      </c>
      <c r="F65" s="1156" t="s">
        <v>1510</v>
      </c>
      <c r="G65" s="1132">
        <v>1</v>
      </c>
      <c r="H65" s="1158">
        <f>$G65*3</f>
        <v>3</v>
      </c>
      <c r="I65" s="1158">
        <f t="shared" si="27"/>
        <v>3</v>
      </c>
      <c r="J65" s="1158">
        <f t="shared" si="27"/>
        <v>3</v>
      </c>
      <c r="K65" s="1158">
        <f t="shared" si="27"/>
        <v>3</v>
      </c>
      <c r="L65" s="1158">
        <f t="shared" si="28"/>
        <v>12</v>
      </c>
      <c r="M65" s="1158">
        <f>'[25]2014预算稿 '!J71</f>
        <v>138600</v>
      </c>
      <c r="N65" s="1158">
        <f t="shared" si="2"/>
        <v>-138588</v>
      </c>
      <c r="O65" s="1159">
        <f t="shared" si="29"/>
        <v>-0.99991341991341987</v>
      </c>
      <c r="P65" s="1171"/>
      <c r="Q65" s="1148"/>
      <c r="R65" s="1161">
        <v>376</v>
      </c>
      <c r="S65" s="1161">
        <v>376</v>
      </c>
      <c r="T65" s="1161">
        <v>376</v>
      </c>
      <c r="U65" s="1161">
        <v>376</v>
      </c>
      <c r="V65" s="1157">
        <f>SUM(R65:U65)</f>
        <v>1504</v>
      </c>
    </row>
    <row r="66" spans="1:22">
      <c r="A66" s="1149"/>
      <c r="B66" s="1149"/>
      <c r="C66" s="1153"/>
      <c r="D66" s="1155" t="s">
        <v>1512</v>
      </c>
      <c r="E66" s="1155" t="s">
        <v>1454</v>
      </c>
      <c r="F66" s="1156" t="s">
        <v>1510</v>
      </c>
      <c r="G66" s="1132">
        <v>1</v>
      </c>
      <c r="H66" s="1158">
        <f t="shared" si="27"/>
        <v>3</v>
      </c>
      <c r="I66" s="1158">
        <f t="shared" si="27"/>
        <v>3</v>
      </c>
      <c r="J66" s="1158">
        <f t="shared" si="27"/>
        <v>3</v>
      </c>
      <c r="K66" s="1158">
        <f t="shared" si="27"/>
        <v>3</v>
      </c>
      <c r="L66" s="1158">
        <f t="shared" si="28"/>
        <v>12</v>
      </c>
      <c r="M66" s="1158">
        <f>'[25]2014预算稿 '!J72</f>
        <v>509400</v>
      </c>
      <c r="N66" s="1158">
        <f t="shared" si="2"/>
        <v>-509388</v>
      </c>
      <c r="O66" s="1159">
        <f t="shared" si="29"/>
        <v>-0.99997644287396936</v>
      </c>
      <c r="P66" s="1171"/>
      <c r="Q66" s="1148"/>
      <c r="R66" s="1161"/>
      <c r="S66" s="1161"/>
      <c r="T66" s="1161"/>
      <c r="U66" s="1161"/>
      <c r="V66" s="149"/>
    </row>
    <row r="67" spans="1:22">
      <c r="A67" s="1149"/>
      <c r="B67" s="1149"/>
      <c r="C67" s="1153"/>
      <c r="D67" s="1155" t="s">
        <v>1513</v>
      </c>
      <c r="E67" s="1155" t="s">
        <v>1458</v>
      </c>
      <c r="F67" s="1156" t="s">
        <v>1510</v>
      </c>
      <c r="G67" s="1132">
        <v>1</v>
      </c>
      <c r="H67" s="1158">
        <f t="shared" si="27"/>
        <v>3</v>
      </c>
      <c r="I67" s="1158">
        <f t="shared" si="27"/>
        <v>3</v>
      </c>
      <c r="J67" s="1158">
        <f t="shared" si="27"/>
        <v>3</v>
      </c>
      <c r="K67" s="1158">
        <f t="shared" si="27"/>
        <v>3</v>
      </c>
      <c r="L67" s="1158">
        <f t="shared" si="28"/>
        <v>12</v>
      </c>
      <c r="M67" s="1158">
        <f>'[25]2014预算稿 '!J73</f>
        <v>166800</v>
      </c>
      <c r="N67" s="1158">
        <f t="shared" si="2"/>
        <v>-166788</v>
      </c>
      <c r="O67" s="1159">
        <f t="shared" si="29"/>
        <v>-0.99992805755395686</v>
      </c>
      <c r="P67" s="1171"/>
      <c r="Q67" s="1148"/>
      <c r="R67" s="1161">
        <v>152</v>
      </c>
      <c r="S67" s="1161">
        <v>172</v>
      </c>
      <c r="T67" s="1161">
        <v>182</v>
      </c>
      <c r="U67" s="1161">
        <v>108</v>
      </c>
      <c r="V67" s="1157">
        <f>SUM(R67:U67)</f>
        <v>614</v>
      </c>
    </row>
    <row r="68" spans="1:22">
      <c r="A68" s="1149"/>
      <c r="B68" s="1149"/>
      <c r="C68" s="1153"/>
      <c r="D68" s="1155" t="s">
        <v>1514</v>
      </c>
      <c r="E68" s="1155" t="s">
        <v>1461</v>
      </c>
      <c r="F68" s="1156" t="s">
        <v>1510</v>
      </c>
      <c r="G68" s="1132">
        <v>1</v>
      </c>
      <c r="H68" s="1158"/>
      <c r="I68" s="1158"/>
      <c r="J68" s="1158"/>
      <c r="K68" s="1158"/>
      <c r="L68" s="1158">
        <f t="shared" si="28"/>
        <v>0</v>
      </c>
      <c r="M68" s="1158">
        <f>'[25]2014预算稿 '!J74</f>
        <v>138600</v>
      </c>
      <c r="N68" s="1158">
        <f t="shared" si="2"/>
        <v>-138600</v>
      </c>
      <c r="O68" s="1159">
        <f t="shared" si="29"/>
        <v>-1</v>
      </c>
      <c r="P68" s="1172"/>
      <c r="Q68" s="1148"/>
      <c r="R68" s="1161"/>
      <c r="S68" s="1161"/>
      <c r="T68" s="1161"/>
      <c r="U68" s="1161"/>
      <c r="V68" s="149"/>
    </row>
    <row r="69" spans="1:22">
      <c r="A69" s="1149"/>
      <c r="B69" s="1149"/>
      <c r="C69" s="1153"/>
      <c r="D69" s="1155" t="s">
        <v>1515</v>
      </c>
      <c r="E69" s="1155" t="s">
        <v>1465</v>
      </c>
      <c r="F69" s="1156" t="s">
        <v>1510</v>
      </c>
      <c r="G69" s="1132">
        <v>1</v>
      </c>
      <c r="H69" s="1158">
        <f t="shared" si="27"/>
        <v>3</v>
      </c>
      <c r="I69" s="1158">
        <f t="shared" si="27"/>
        <v>3</v>
      </c>
      <c r="J69" s="1158">
        <f>$G69*3</f>
        <v>3</v>
      </c>
      <c r="K69" s="1158">
        <f>$G69*3</f>
        <v>3</v>
      </c>
      <c r="L69" s="1158">
        <f t="shared" si="28"/>
        <v>12</v>
      </c>
      <c r="M69" s="1158">
        <f>'[25]2014预算稿 '!J75</f>
        <v>163800</v>
      </c>
      <c r="N69" s="1158">
        <f t="shared" si="2"/>
        <v>-163788</v>
      </c>
      <c r="O69" s="1159">
        <f t="shared" si="29"/>
        <v>-0.99992673992673997</v>
      </c>
      <c r="P69" s="1171"/>
      <c r="Q69" s="1148"/>
      <c r="R69" s="1161">
        <v>363</v>
      </c>
      <c r="S69" s="1161">
        <v>121</v>
      </c>
      <c r="T69" s="1161">
        <v>0</v>
      </c>
      <c r="U69" s="1161">
        <v>0</v>
      </c>
      <c r="V69" s="1157">
        <f>SUM(R69:U69)</f>
        <v>484</v>
      </c>
    </row>
    <row r="70" spans="1:22" s="53" customFormat="1">
      <c r="A70" s="1149"/>
      <c r="B70" s="1149"/>
      <c r="C70" s="1153"/>
      <c r="D70" s="1153" t="s">
        <v>50</v>
      </c>
      <c r="E70" s="1189"/>
      <c r="F70" s="1153"/>
      <c r="G70" s="1132"/>
      <c r="H70" s="1187">
        <f>SUM(H71:H76)</f>
        <v>67.666666666666671</v>
      </c>
      <c r="I70" s="1187">
        <f>SUM(I71:I76)</f>
        <v>36158.400616666666</v>
      </c>
      <c r="J70" s="1187">
        <f>SUM(J71:J76)</f>
        <v>0</v>
      </c>
      <c r="K70" s="1187">
        <f>SUM(K71:K76)</f>
        <v>36158.400616666666</v>
      </c>
      <c r="L70" s="1187">
        <f>SUM(L71:L76)</f>
        <v>72384.467899999989</v>
      </c>
      <c r="M70" s="1188">
        <f>'[25]2014预算稿 '!J76</f>
        <v>131539.9835</v>
      </c>
      <c r="N70" s="1188">
        <f>L70-M70</f>
        <v>-59155.515600000013</v>
      </c>
      <c r="O70" s="1159">
        <f t="shared" si="29"/>
        <v>-0.44971509062109633</v>
      </c>
      <c r="P70" s="1171"/>
      <c r="Q70" s="1148"/>
      <c r="R70" s="1161">
        <v>1800</v>
      </c>
      <c r="S70" s="1161">
        <v>964</v>
      </c>
      <c r="T70" s="1161">
        <v>996</v>
      </c>
      <c r="U70" s="1161">
        <v>161</v>
      </c>
      <c r="V70" s="1157">
        <f>SUM(R70:U70)</f>
        <v>3921</v>
      </c>
    </row>
    <row r="71" spans="1:22">
      <c r="A71" s="1149"/>
      <c r="B71" s="1149"/>
      <c r="C71" s="1153"/>
      <c r="D71" s="1180" t="s">
        <v>51</v>
      </c>
      <c r="E71" s="1180" t="s">
        <v>1444</v>
      </c>
      <c r="F71" s="1190" t="s">
        <v>1516</v>
      </c>
      <c r="G71" s="1132"/>
      <c r="H71" s="1132">
        <f>11/3</f>
        <v>3.6666666666666665</v>
      </c>
      <c r="I71" s="1132">
        <f>[25]保洁服务费!D11/3</f>
        <v>5939.8839499999995</v>
      </c>
      <c r="J71" s="1132">
        <v>0</v>
      </c>
      <c r="K71" s="1132">
        <f>[25]保洁服务费!D11/3</f>
        <v>5939.8839499999995</v>
      </c>
      <c r="L71" s="1158">
        <f t="shared" ref="L71:L77" si="30">SUM(H71:K71)</f>
        <v>11883.434566666667</v>
      </c>
      <c r="M71" s="1158">
        <f>'[25]2014预算稿 '!J77</f>
        <v>16199.683499999999</v>
      </c>
      <c r="N71" s="1158">
        <f t="shared" ref="N71:N115" si="31">L71-M71</f>
        <v>-4316.2489333333324</v>
      </c>
      <c r="O71" s="1159">
        <f t="shared" si="29"/>
        <v>-0.26644032479605745</v>
      </c>
      <c r="P71" s="1172"/>
      <c r="Q71" s="1148"/>
      <c r="R71" s="1161"/>
      <c r="S71" s="1161"/>
      <c r="T71" s="1161"/>
      <c r="U71" s="1161"/>
      <c r="V71" s="149"/>
    </row>
    <row r="72" spans="1:22">
      <c r="A72" s="1149"/>
      <c r="B72" s="1149"/>
      <c r="C72" s="1153"/>
      <c r="D72" s="1155" t="s">
        <v>1517</v>
      </c>
      <c r="E72" s="1155" t="s">
        <v>1451</v>
      </c>
      <c r="F72" s="1191" t="s">
        <v>1516</v>
      </c>
      <c r="G72" s="1132"/>
      <c r="H72" s="1158">
        <f>26/3</f>
        <v>8.6666666666666661</v>
      </c>
      <c r="I72" s="1158">
        <f>[25]保洁服务费!D26/3</f>
        <v>8250</v>
      </c>
      <c r="J72" s="1158">
        <v>0</v>
      </c>
      <c r="K72" s="1158">
        <f>[25]保洁服务费!D26/3</f>
        <v>8250</v>
      </c>
      <c r="L72" s="1158">
        <f t="shared" si="30"/>
        <v>16508.666666666664</v>
      </c>
      <c r="M72" s="1158">
        <f>'[25]2014预算稿 '!J78</f>
        <v>22500</v>
      </c>
      <c r="N72" s="1158">
        <f t="shared" si="31"/>
        <v>-5991.3333333333358</v>
      </c>
      <c r="O72" s="1159">
        <f t="shared" si="29"/>
        <v>-0.26628148148148156</v>
      </c>
      <c r="P72" s="1171"/>
      <c r="Q72" s="1148"/>
      <c r="R72" s="1161"/>
      <c r="S72" s="1161"/>
      <c r="T72" s="1161"/>
      <c r="U72" s="1161"/>
      <c r="V72" s="149"/>
    </row>
    <row r="73" spans="1:22">
      <c r="A73" s="1149"/>
      <c r="B73" s="1149"/>
      <c r="C73" s="1153"/>
      <c r="D73" s="1155" t="s">
        <v>1518</v>
      </c>
      <c r="E73" s="1155" t="s">
        <v>1454</v>
      </c>
      <c r="F73" s="1191" t="s">
        <v>1516</v>
      </c>
      <c r="G73" s="1132"/>
      <c r="H73" s="1158">
        <f>39/3</f>
        <v>13</v>
      </c>
      <c r="I73" s="1158">
        <f>[25]保洁服务费!D39/3</f>
        <v>13632.85</v>
      </c>
      <c r="J73" s="1158">
        <v>0</v>
      </c>
      <c r="K73" s="1158">
        <f>[25]保洁服务费!D39/3</f>
        <v>13632.85</v>
      </c>
      <c r="L73" s="1158">
        <f t="shared" si="30"/>
        <v>27278.7</v>
      </c>
      <c r="M73" s="1158">
        <f>'[25]2014预算稿 '!J79</f>
        <v>37180.5</v>
      </c>
      <c r="N73" s="1158">
        <f t="shared" si="31"/>
        <v>-9901.7999999999993</v>
      </c>
      <c r="O73" s="1159">
        <f t="shared" si="29"/>
        <v>-0.26631702101908256</v>
      </c>
      <c r="P73" s="1171"/>
      <c r="Q73" s="1148"/>
      <c r="R73" s="1161"/>
      <c r="S73" s="1161"/>
      <c r="T73" s="1161"/>
      <c r="U73" s="1161"/>
      <c r="V73" s="149"/>
    </row>
    <row r="74" spans="1:22">
      <c r="A74" s="1149"/>
      <c r="B74" s="1149"/>
      <c r="C74" s="1153"/>
      <c r="D74" s="1155" t="s">
        <v>1519</v>
      </c>
      <c r="E74" s="1155" t="s">
        <v>1458</v>
      </c>
      <c r="F74" s="1191" t="s">
        <v>1516</v>
      </c>
      <c r="G74" s="1132"/>
      <c r="H74" s="1158">
        <f>68/3</f>
        <v>22.666666666666668</v>
      </c>
      <c r="I74" s="1158">
        <f>[25]保洁服务费!D68/3</f>
        <v>8316</v>
      </c>
      <c r="J74" s="1158"/>
      <c r="K74" s="1158">
        <f>[25]保洁服务费!D68/3</f>
        <v>8316</v>
      </c>
      <c r="L74" s="1158">
        <f t="shared" si="30"/>
        <v>16654.666666666664</v>
      </c>
      <c r="M74" s="1170">
        <f>'[25]2014预算稿 '!J80</f>
        <v>5040</v>
      </c>
      <c r="N74" s="1158">
        <f t="shared" si="31"/>
        <v>11614.666666666664</v>
      </c>
      <c r="O74" s="1159">
        <f t="shared" si="29"/>
        <v>2.3044973544973542</v>
      </c>
      <c r="P74" s="1171"/>
      <c r="Q74" s="1148"/>
      <c r="R74" s="1161"/>
      <c r="S74" s="1161"/>
      <c r="T74" s="1161"/>
      <c r="U74" s="1161"/>
      <c r="V74" s="149"/>
    </row>
    <row r="75" spans="1:22">
      <c r="A75" s="1149"/>
      <c r="B75" s="1149"/>
      <c r="C75" s="1153"/>
      <c r="D75" s="1155" t="s">
        <v>1520</v>
      </c>
      <c r="E75" s="1155" t="s">
        <v>1461</v>
      </c>
      <c r="F75" s="1191" t="s">
        <v>1516</v>
      </c>
      <c r="G75" s="1132"/>
      <c r="H75" s="1158"/>
      <c r="I75" s="1158"/>
      <c r="J75" s="1158"/>
      <c r="K75" s="1158"/>
      <c r="L75" s="1158">
        <f t="shared" si="30"/>
        <v>0</v>
      </c>
      <c r="M75" s="1170">
        <f>'[25]2014预算稿 '!J81</f>
        <v>12654.799999999997</v>
      </c>
      <c r="N75" s="1158">
        <f t="shared" si="31"/>
        <v>-12654.799999999997</v>
      </c>
      <c r="O75" s="1159">
        <f t="shared" si="29"/>
        <v>-1</v>
      </c>
      <c r="P75" s="1172"/>
      <c r="Q75" s="1148"/>
      <c r="R75" s="1161"/>
      <c r="S75" s="1161"/>
      <c r="T75" s="1161"/>
      <c r="U75" s="1161"/>
      <c r="V75" s="149"/>
    </row>
    <row r="76" spans="1:22">
      <c r="A76" s="1149"/>
      <c r="B76" s="1149"/>
      <c r="C76" s="1153"/>
      <c r="D76" s="1155" t="s">
        <v>1521</v>
      </c>
      <c r="E76" s="1155" t="s">
        <v>1465</v>
      </c>
      <c r="F76" s="1191" t="s">
        <v>1516</v>
      </c>
      <c r="G76" s="1132"/>
      <c r="H76" s="1158">
        <f>59/3</f>
        <v>19.666666666666668</v>
      </c>
      <c r="I76" s="1158">
        <f>H76</f>
        <v>19.666666666666668</v>
      </c>
      <c r="J76" s="1158">
        <v>0</v>
      </c>
      <c r="K76" s="1158">
        <f>H76</f>
        <v>19.666666666666668</v>
      </c>
      <c r="L76" s="1158">
        <f t="shared" si="30"/>
        <v>59</v>
      </c>
      <c r="M76" s="1170">
        <f>'[25]2014预算稿 '!J82</f>
        <v>37965</v>
      </c>
      <c r="N76" s="1158">
        <f t="shared" si="31"/>
        <v>-37906</v>
      </c>
      <c r="O76" s="1159">
        <f t="shared" si="29"/>
        <v>-0.99844593704728035</v>
      </c>
      <c r="P76" s="1171"/>
      <c r="Q76" s="1148"/>
      <c r="R76" s="1161"/>
      <c r="S76" s="1161"/>
      <c r="T76" s="1161"/>
      <c r="U76" s="1161"/>
      <c r="V76" s="149"/>
    </row>
    <row r="77" spans="1:22">
      <c r="A77" s="1149"/>
      <c r="B77" s="1149"/>
      <c r="C77" s="1153"/>
      <c r="D77" s="1192" t="s">
        <v>849</v>
      </c>
      <c r="E77" s="1193" t="s">
        <v>1504</v>
      </c>
      <c r="F77" s="1194" t="s">
        <v>1522</v>
      </c>
      <c r="G77" s="1195">
        <v>1</v>
      </c>
      <c r="H77" s="1132">
        <f>$G77*3</f>
        <v>3</v>
      </c>
      <c r="I77" s="1132">
        <f>$G77*3</f>
        <v>3</v>
      </c>
      <c r="J77" s="1132">
        <f>$G77*3</f>
        <v>3</v>
      </c>
      <c r="K77" s="1132">
        <f>$G77*3</f>
        <v>3</v>
      </c>
      <c r="L77" s="1188">
        <f t="shared" si="30"/>
        <v>12</v>
      </c>
      <c r="M77" s="1170">
        <f>'[25]2014预算稿 '!J83</f>
        <v>20000</v>
      </c>
      <c r="N77" s="1188">
        <f>L77-M77</f>
        <v>-19988</v>
      </c>
      <c r="O77" s="1159">
        <f t="shared" si="29"/>
        <v>-0.99939999999999996</v>
      </c>
      <c r="P77" s="1171"/>
      <c r="Q77" s="1148"/>
      <c r="R77" s="1161"/>
      <c r="S77" s="1161"/>
      <c r="T77" s="1161"/>
      <c r="U77" s="1161"/>
      <c r="V77" s="149"/>
    </row>
    <row r="78" spans="1:22" ht="15">
      <c r="A78" s="1149"/>
      <c r="B78" s="1149"/>
      <c r="C78" s="1153"/>
      <c r="D78" s="1196" t="s">
        <v>1523</v>
      </c>
      <c r="E78" s="1180"/>
      <c r="F78" s="1179"/>
      <c r="G78" s="1132"/>
      <c r="H78" s="1197">
        <f>H62+H70+H77</f>
        <v>88.666666666666671</v>
      </c>
      <c r="I78" s="1197">
        <f>I62+I70+I77</f>
        <v>36179.400616666666</v>
      </c>
      <c r="J78" s="1197">
        <f>J62+J70+J77</f>
        <v>21</v>
      </c>
      <c r="K78" s="1197">
        <f>K62+K70+K77</f>
        <v>36179.400616666666</v>
      </c>
      <c r="L78" s="1197">
        <f>SUM(L62,L70,L77)</f>
        <v>72468.467899999989</v>
      </c>
      <c r="M78" s="1197">
        <f>SUM(M62,M70,M77)</f>
        <v>1424901.9835000001</v>
      </c>
      <c r="N78" s="1158">
        <f>L78-M78</f>
        <v>-1352433.5156</v>
      </c>
      <c r="O78" s="1175">
        <f t="shared" si="29"/>
        <v>-0.94914143657657413</v>
      </c>
      <c r="P78" s="1165"/>
      <c r="Q78" s="1148"/>
      <c r="R78" s="1197">
        <f>SUM(R63:R77)</f>
        <v>3370</v>
      </c>
      <c r="S78" s="1197">
        <f>SUM(S63:S77)</f>
        <v>3568</v>
      </c>
      <c r="T78" s="1197">
        <f>SUM(T63:T77)</f>
        <v>3580</v>
      </c>
      <c r="U78" s="1197">
        <f>SUM(U63:U77)</f>
        <v>4679</v>
      </c>
      <c r="V78" s="1197">
        <f>SUM(R78:U78)</f>
        <v>15197</v>
      </c>
    </row>
    <row r="79" spans="1:22" ht="25.5">
      <c r="A79" s="1149" t="s">
        <v>743</v>
      </c>
      <c r="B79" s="1149"/>
      <c r="C79" s="1153" t="s">
        <v>54</v>
      </c>
      <c r="D79" s="1179" t="s">
        <v>55</v>
      </c>
      <c r="E79" s="1180" t="s">
        <v>1444</v>
      </c>
      <c r="F79" s="1179" t="s">
        <v>1488</v>
      </c>
      <c r="G79" s="1132">
        <v>1</v>
      </c>
      <c r="H79" s="1158">
        <f t="shared" ref="H79:K82" si="32">$G79*3</f>
        <v>3</v>
      </c>
      <c r="I79" s="1158">
        <f>G79*3</f>
        <v>3</v>
      </c>
      <c r="J79" s="1158">
        <f>G79*3</f>
        <v>3</v>
      </c>
      <c r="K79" s="1158">
        <f>G79*3</f>
        <v>3</v>
      </c>
      <c r="L79" s="1158">
        <f>SUM(H79:K79)</f>
        <v>12</v>
      </c>
      <c r="M79" s="1158">
        <f>'[25]2014预算稿 '!J85</f>
        <v>195338.52</v>
      </c>
      <c r="N79" s="1158">
        <f t="shared" si="31"/>
        <v>-195326.52</v>
      </c>
      <c r="O79" s="1159">
        <f t="shared" si="29"/>
        <v>-0.99993856818409399</v>
      </c>
      <c r="P79" s="1198"/>
      <c r="Q79" s="1148"/>
      <c r="R79" s="1161"/>
      <c r="S79" s="1161"/>
      <c r="T79" s="1161"/>
      <c r="U79" s="1161"/>
      <c r="V79" s="149"/>
    </row>
    <row r="80" spans="1:22" ht="25.5">
      <c r="A80" s="1149"/>
      <c r="B80" s="1149"/>
      <c r="C80" s="1153"/>
      <c r="D80" s="1154" t="s">
        <v>1524</v>
      </c>
      <c r="E80" s="1155" t="s">
        <v>1451</v>
      </c>
      <c r="F80" s="1180" t="s">
        <v>1488</v>
      </c>
      <c r="G80" s="1132">
        <v>1</v>
      </c>
      <c r="H80" s="1158">
        <f t="shared" si="32"/>
        <v>3</v>
      </c>
      <c r="I80" s="1158">
        <f t="shared" si="32"/>
        <v>3</v>
      </c>
      <c r="J80" s="1158">
        <f t="shared" si="32"/>
        <v>3</v>
      </c>
      <c r="K80" s="1158">
        <f t="shared" si="32"/>
        <v>3</v>
      </c>
      <c r="L80" s="1158">
        <f>SUM(H80:K80)</f>
        <v>12</v>
      </c>
      <c r="M80" s="1158">
        <f>'[25]2014预算稿 '!J86</f>
        <v>23623</v>
      </c>
      <c r="N80" s="1158">
        <f t="shared" si="31"/>
        <v>-23611</v>
      </c>
      <c r="O80" s="1159">
        <f t="shared" si="29"/>
        <v>-0.99949202048850694</v>
      </c>
      <c r="P80" s="1171"/>
      <c r="Q80" s="1148"/>
      <c r="R80" s="1161"/>
      <c r="S80" s="1161"/>
      <c r="T80" s="1161"/>
      <c r="U80" s="1161"/>
      <c r="V80" s="149"/>
    </row>
    <row r="81" spans="1:23" ht="25.5">
      <c r="A81" s="1149"/>
      <c r="B81" s="1149"/>
      <c r="C81" s="1153"/>
      <c r="D81" s="1154" t="s">
        <v>1525</v>
      </c>
      <c r="E81" s="1155" t="s">
        <v>1454</v>
      </c>
      <c r="F81" s="1180" t="s">
        <v>1488</v>
      </c>
      <c r="G81" s="1132"/>
      <c r="H81" s="1158"/>
      <c r="I81" s="1158"/>
      <c r="J81" s="1158"/>
      <c r="K81" s="1158"/>
      <c r="L81" s="1158"/>
      <c r="M81" s="1158">
        <f>'[25]2014预算稿 '!J87</f>
        <v>22920</v>
      </c>
      <c r="N81" s="1158">
        <f>L81-M81</f>
        <v>-22920</v>
      </c>
      <c r="O81" s="1159"/>
      <c r="P81" s="1171"/>
      <c r="Q81" s="1148"/>
      <c r="R81" s="1161"/>
      <c r="S81" s="1161"/>
      <c r="T81" s="1161"/>
      <c r="U81" s="1161"/>
      <c r="V81" s="149"/>
    </row>
    <row r="82" spans="1:23" ht="25.5">
      <c r="A82" s="1149"/>
      <c r="B82" s="1149"/>
      <c r="C82" s="1153"/>
      <c r="D82" s="1154" t="s">
        <v>1526</v>
      </c>
      <c r="E82" s="1155" t="s">
        <v>1465</v>
      </c>
      <c r="F82" s="1180" t="s">
        <v>1488</v>
      </c>
      <c r="G82" s="1132">
        <v>1</v>
      </c>
      <c r="H82" s="1158">
        <f t="shared" si="32"/>
        <v>3</v>
      </c>
      <c r="I82" s="1158">
        <f t="shared" si="32"/>
        <v>3</v>
      </c>
      <c r="J82" s="1158">
        <f t="shared" si="32"/>
        <v>3</v>
      </c>
      <c r="K82" s="1158">
        <f t="shared" si="32"/>
        <v>3</v>
      </c>
      <c r="L82" s="1158">
        <f>SUM(H82:K82)</f>
        <v>12</v>
      </c>
      <c r="M82" s="1158">
        <f>'[25]2014预算稿 '!J89+'[25]2014预算稿 '!J88</f>
        <v>47246</v>
      </c>
      <c r="N82" s="1158">
        <f t="shared" si="31"/>
        <v>-47234</v>
      </c>
      <c r="O82" s="1159">
        <f t="shared" si="29"/>
        <v>-0.99974601024425347</v>
      </c>
      <c r="P82" s="1171"/>
      <c r="Q82" s="1148"/>
      <c r="R82" s="1161"/>
      <c r="S82" s="1161"/>
      <c r="T82" s="1161"/>
      <c r="U82" s="1161"/>
      <c r="V82" s="149"/>
    </row>
    <row r="83" spans="1:23" ht="15">
      <c r="A83" s="1149"/>
      <c r="B83" s="1149"/>
      <c r="C83" s="1153"/>
      <c r="D83" s="1179"/>
      <c r="E83" s="1180"/>
      <c r="F83" s="1179"/>
      <c r="G83" s="1132"/>
      <c r="H83" s="1197">
        <f t="shared" ref="H83:M83" si="33">SUM(H79:H82)</f>
        <v>9</v>
      </c>
      <c r="I83" s="1197">
        <f t="shared" si="33"/>
        <v>9</v>
      </c>
      <c r="J83" s="1197">
        <f t="shared" si="33"/>
        <v>9</v>
      </c>
      <c r="K83" s="1197">
        <f t="shared" si="33"/>
        <v>9</v>
      </c>
      <c r="L83" s="1174">
        <f t="shared" si="33"/>
        <v>36</v>
      </c>
      <c r="M83" s="1197">
        <f t="shared" si="33"/>
        <v>289127.52</v>
      </c>
      <c r="N83" s="1158">
        <f>L83-M83</f>
        <v>-289091.52</v>
      </c>
      <c r="O83" s="1175">
        <f t="shared" si="29"/>
        <v>-0.9998754874665684</v>
      </c>
      <c r="P83" s="1199"/>
      <c r="Q83" s="1148"/>
      <c r="R83" s="1161"/>
      <c r="S83" s="1161"/>
      <c r="T83" s="1161"/>
      <c r="U83" s="1161"/>
      <c r="V83" s="149"/>
    </row>
    <row r="84" spans="1:23">
      <c r="A84" s="1200" t="s">
        <v>743</v>
      </c>
      <c r="B84" s="1200"/>
      <c r="C84" s="1153" t="s">
        <v>58</v>
      </c>
      <c r="D84" s="1201" t="s">
        <v>59</v>
      </c>
      <c r="E84" s="1202" t="s">
        <v>1504</v>
      </c>
      <c r="F84" s="1203" t="s">
        <v>1527</v>
      </c>
      <c r="G84" s="1132">
        <v>100</v>
      </c>
      <c r="H84" s="1158">
        <f>$G84*3</f>
        <v>300</v>
      </c>
      <c r="I84" s="1158">
        <f>$G84*3</f>
        <v>300</v>
      </c>
      <c r="J84" s="1158">
        <f>$G84*3</f>
        <v>300</v>
      </c>
      <c r="K84" s="1158">
        <f>$G84*3</f>
        <v>300</v>
      </c>
      <c r="L84" s="1158">
        <f>SUM(H84:K84)</f>
        <v>1200</v>
      </c>
      <c r="M84" s="1158">
        <f>'[25]2014预算稿 '!J91</f>
        <v>2305440</v>
      </c>
      <c r="N84" s="1158">
        <f t="shared" si="31"/>
        <v>-2304240</v>
      </c>
      <c r="O84" s="1159">
        <f t="shared" si="29"/>
        <v>-0.99947949198417652</v>
      </c>
      <c r="P84" s="1171"/>
      <c r="Q84" s="1148"/>
      <c r="R84" s="1161">
        <v>3549</v>
      </c>
      <c r="S84" s="1161">
        <v>354</v>
      </c>
      <c r="T84" s="1161">
        <v>3820</v>
      </c>
      <c r="U84" s="1161">
        <v>0</v>
      </c>
      <c r="V84" s="1157">
        <f>SUM(R84:U84)</f>
        <v>7723</v>
      </c>
      <c r="W84" s="82" t="s">
        <v>1528</v>
      </c>
    </row>
    <row r="85" spans="1:23" ht="15">
      <c r="A85" s="1149"/>
      <c r="B85" s="1149"/>
      <c r="C85" s="1153"/>
      <c r="D85" s="1180"/>
      <c r="E85" s="1180"/>
      <c r="F85" s="1180"/>
      <c r="G85" s="149"/>
      <c r="H85" s="1174">
        <f t="shared" ref="H85:M85" si="34">SUM(H84:H84)</f>
        <v>300</v>
      </c>
      <c r="I85" s="1174">
        <f t="shared" si="34"/>
        <v>300</v>
      </c>
      <c r="J85" s="1174">
        <f t="shared" si="34"/>
        <v>300</v>
      </c>
      <c r="K85" s="1174">
        <f t="shared" si="34"/>
        <v>300</v>
      </c>
      <c r="L85" s="1174">
        <f t="shared" si="34"/>
        <v>1200</v>
      </c>
      <c r="M85" s="1174">
        <f t="shared" si="34"/>
        <v>2305440</v>
      </c>
      <c r="N85" s="1158">
        <f>L85-M85</f>
        <v>-2304240</v>
      </c>
      <c r="O85" s="1175">
        <f t="shared" si="29"/>
        <v>-0.99947949198417652</v>
      </c>
      <c r="P85" s="1204"/>
      <c r="Q85" s="1148"/>
      <c r="R85" s="1174">
        <f>SUM(R84:R84)</f>
        <v>3549</v>
      </c>
      <c r="S85" s="1174">
        <f>SUM(S84:S84)</f>
        <v>354</v>
      </c>
      <c r="T85" s="1174">
        <f>SUM(T84:T84)</f>
        <v>3820</v>
      </c>
      <c r="U85" s="1174">
        <f>SUM(U84:U84)</f>
        <v>0</v>
      </c>
      <c r="V85" s="1174">
        <f>SUM(V84:V84)</f>
        <v>7723</v>
      </c>
    </row>
    <row r="86" spans="1:23">
      <c r="A86" s="1200" t="s">
        <v>743</v>
      </c>
      <c r="B86" s="1149"/>
      <c r="C86" s="1153" t="s">
        <v>862</v>
      </c>
      <c r="D86" s="1205" t="s">
        <v>60</v>
      </c>
      <c r="E86" s="1186"/>
      <c r="F86" s="1205"/>
      <c r="G86" s="1132"/>
      <c r="H86" s="1187">
        <f>SUM(H87:H92)</f>
        <v>15</v>
      </c>
      <c r="I86" s="1187">
        <f>SUM(I87:I92)</f>
        <v>15</v>
      </c>
      <c r="J86" s="1187">
        <f>SUM(J87:J92)</f>
        <v>15</v>
      </c>
      <c r="K86" s="1187">
        <f>SUM(K87:K92)</f>
        <v>15</v>
      </c>
      <c r="L86" s="1187">
        <f>SUM(H86:K86)</f>
        <v>60</v>
      </c>
      <c r="M86" s="1188">
        <f>'[25]2014预算稿 '!J94</f>
        <v>538671.24</v>
      </c>
      <c r="N86" s="1158">
        <f>L86-M86</f>
        <v>-538611.24</v>
      </c>
      <c r="O86" s="1159"/>
      <c r="P86" s="1171"/>
      <c r="Q86" s="1148"/>
      <c r="R86" s="1161"/>
      <c r="S86" s="1161"/>
      <c r="T86" s="1161"/>
      <c r="U86" s="1161"/>
      <c r="V86" s="149"/>
    </row>
    <row r="87" spans="1:23" ht="25.5">
      <c r="A87" s="1149"/>
      <c r="B87" s="1149"/>
      <c r="C87" s="1153"/>
      <c r="D87" s="1180" t="s">
        <v>61</v>
      </c>
      <c r="E87" s="1180" t="s">
        <v>1444</v>
      </c>
      <c r="F87" s="1179" t="s">
        <v>1488</v>
      </c>
      <c r="G87" s="1132">
        <v>1</v>
      </c>
      <c r="H87" s="1158">
        <f t="shared" ref="H87:K95" si="35">$G87*3</f>
        <v>3</v>
      </c>
      <c r="I87" s="1158">
        <f t="shared" si="35"/>
        <v>3</v>
      </c>
      <c r="J87" s="1158">
        <f t="shared" si="35"/>
        <v>3</v>
      </c>
      <c r="K87" s="1158">
        <f t="shared" si="35"/>
        <v>3</v>
      </c>
      <c r="L87" s="1158">
        <f t="shared" ref="L87:L92" si="36">SUM(H87:K87)</f>
        <v>12</v>
      </c>
      <c r="M87" s="1158">
        <f>'[25]2014预算稿 '!J95</f>
        <v>20688</v>
      </c>
      <c r="N87" s="1158">
        <f t="shared" si="31"/>
        <v>-20676</v>
      </c>
      <c r="O87" s="1159">
        <f t="shared" ref="O87:O98" si="37">(L87-M87)/M87</f>
        <v>-0.99941995359628766</v>
      </c>
      <c r="P87" s="1172"/>
      <c r="Q87" s="1148"/>
      <c r="R87" s="1161"/>
      <c r="S87" s="1161"/>
      <c r="T87" s="1161"/>
      <c r="U87" s="1161"/>
      <c r="V87" s="149"/>
    </row>
    <row r="88" spans="1:23" ht="25.5">
      <c r="A88" s="1149"/>
      <c r="B88" s="1149"/>
      <c r="C88" s="1153"/>
      <c r="D88" s="1180" t="s">
        <v>62</v>
      </c>
      <c r="E88" s="1182" t="s">
        <v>1529</v>
      </c>
      <c r="F88" s="1180" t="s">
        <v>1488</v>
      </c>
      <c r="G88" s="1132">
        <v>1</v>
      </c>
      <c r="H88" s="1158">
        <f t="shared" si="35"/>
        <v>3</v>
      </c>
      <c r="I88" s="1158">
        <f t="shared" si="35"/>
        <v>3</v>
      </c>
      <c r="J88" s="1158">
        <f t="shared" si="35"/>
        <v>3</v>
      </c>
      <c r="K88" s="1158">
        <f t="shared" si="35"/>
        <v>3</v>
      </c>
      <c r="L88" s="1158">
        <f t="shared" si="36"/>
        <v>12</v>
      </c>
      <c r="M88" s="1158">
        <f>'[25]2014预算稿 '!J96</f>
        <v>366660</v>
      </c>
      <c r="N88" s="1158">
        <f t="shared" si="31"/>
        <v>-366648</v>
      </c>
      <c r="O88" s="1159">
        <f t="shared" si="37"/>
        <v>-0.99996727213222059</v>
      </c>
      <c r="P88" s="1171"/>
      <c r="Q88" s="1148"/>
      <c r="R88" s="1161"/>
      <c r="S88" s="1161"/>
      <c r="T88" s="1161"/>
      <c r="U88" s="1161"/>
      <c r="V88" s="149"/>
    </row>
    <row r="89" spans="1:23">
      <c r="A89" s="1149"/>
      <c r="B89" s="1149"/>
      <c r="C89" s="1153"/>
      <c r="D89" s="1155" t="s">
        <v>1530</v>
      </c>
      <c r="E89" s="1155" t="s">
        <v>253</v>
      </c>
      <c r="F89" s="1155" t="s">
        <v>1488</v>
      </c>
      <c r="G89" s="1132">
        <v>1</v>
      </c>
      <c r="H89" s="1158">
        <f t="shared" si="35"/>
        <v>3</v>
      </c>
      <c r="I89" s="1158">
        <f t="shared" si="35"/>
        <v>3</v>
      </c>
      <c r="J89" s="1158">
        <f>$G89*3</f>
        <v>3</v>
      </c>
      <c r="K89" s="1158">
        <f t="shared" si="35"/>
        <v>3</v>
      </c>
      <c r="L89" s="1158">
        <f t="shared" si="36"/>
        <v>12</v>
      </c>
      <c r="M89" s="1158">
        <f>'[25]2014预算稿 '!J97</f>
        <v>15960</v>
      </c>
      <c r="N89" s="1158">
        <f t="shared" si="31"/>
        <v>-15948</v>
      </c>
      <c r="O89" s="1159">
        <f t="shared" si="37"/>
        <v>-0.99924812030075183</v>
      </c>
      <c r="P89" s="1171"/>
      <c r="Q89" s="1148"/>
      <c r="R89" s="1161"/>
      <c r="S89" s="1161"/>
      <c r="T89" s="1161"/>
      <c r="U89" s="1161"/>
      <c r="V89" s="149"/>
    </row>
    <row r="90" spans="1:23">
      <c r="A90" s="1149"/>
      <c r="B90" s="1149"/>
      <c r="C90" s="1153"/>
      <c r="D90" s="1155" t="s">
        <v>1531</v>
      </c>
      <c r="E90" s="1155" t="s">
        <v>1454</v>
      </c>
      <c r="F90" s="1155" t="s">
        <v>1488</v>
      </c>
      <c r="G90" s="1132">
        <v>1</v>
      </c>
      <c r="H90" s="1158">
        <f t="shared" si="35"/>
        <v>3</v>
      </c>
      <c r="I90" s="1158">
        <f t="shared" si="35"/>
        <v>3</v>
      </c>
      <c r="J90" s="1158">
        <f t="shared" si="35"/>
        <v>3</v>
      </c>
      <c r="K90" s="1158">
        <f t="shared" si="35"/>
        <v>3</v>
      </c>
      <c r="L90" s="1158">
        <f t="shared" si="36"/>
        <v>12</v>
      </c>
      <c r="M90" s="1158">
        <f>'[25]2014预算稿 '!J98+'[25]2014预算稿 '!J99</f>
        <v>78747.239999999991</v>
      </c>
      <c r="N90" s="1158">
        <f t="shared" si="31"/>
        <v>-78735.239999999991</v>
      </c>
      <c r="O90" s="1159">
        <f t="shared" si="37"/>
        <v>-0.99984761370684228</v>
      </c>
      <c r="P90" s="1171"/>
      <c r="Q90" s="1148"/>
      <c r="R90" s="1161"/>
      <c r="S90" s="1161"/>
      <c r="T90" s="1161"/>
      <c r="U90" s="1161"/>
      <c r="V90" s="149"/>
    </row>
    <row r="91" spans="1:23">
      <c r="A91" s="1149"/>
      <c r="B91" s="1149"/>
      <c r="C91" s="1153"/>
      <c r="D91" s="1155" t="s">
        <v>1532</v>
      </c>
      <c r="E91" s="1155" t="s">
        <v>1461</v>
      </c>
      <c r="F91" s="1155" t="s">
        <v>1488</v>
      </c>
      <c r="G91" s="1132">
        <v>1</v>
      </c>
      <c r="H91" s="1158"/>
      <c r="I91" s="1158"/>
      <c r="J91" s="1158"/>
      <c r="K91" s="1158"/>
      <c r="L91" s="1158">
        <f>SUM(H91:K91)</f>
        <v>0</v>
      </c>
      <c r="M91" s="1158">
        <f>'[25]2014预算稿 '!J100</f>
        <v>27912</v>
      </c>
      <c r="N91" s="1158">
        <f t="shared" si="31"/>
        <v>-27912</v>
      </c>
      <c r="O91" s="1159">
        <f>(L91-M91)/M91</f>
        <v>-1</v>
      </c>
      <c r="P91" s="1172"/>
      <c r="Q91" s="1148"/>
      <c r="R91" s="1161"/>
      <c r="S91" s="1161"/>
      <c r="T91" s="1161"/>
      <c r="U91" s="1161"/>
      <c r="V91" s="149"/>
    </row>
    <row r="92" spans="1:23">
      <c r="A92" s="1149"/>
      <c r="B92" s="1149"/>
      <c r="C92" s="1153"/>
      <c r="D92" s="1155" t="s">
        <v>1533</v>
      </c>
      <c r="E92" s="1155" t="s">
        <v>1465</v>
      </c>
      <c r="F92" s="1155" t="s">
        <v>1488</v>
      </c>
      <c r="G92" s="1132">
        <v>1</v>
      </c>
      <c r="H92" s="1158">
        <f t="shared" si="35"/>
        <v>3</v>
      </c>
      <c r="I92" s="1158">
        <f t="shared" si="35"/>
        <v>3</v>
      </c>
      <c r="J92" s="1158">
        <f>$G92*3</f>
        <v>3</v>
      </c>
      <c r="K92" s="1158">
        <f>$G92*3</f>
        <v>3</v>
      </c>
      <c r="L92" s="1158">
        <f t="shared" si="36"/>
        <v>12</v>
      </c>
      <c r="M92" s="1158">
        <f>'[25]2014预算稿 '!J101</f>
        <v>28704</v>
      </c>
      <c r="N92" s="1158">
        <f t="shared" si="31"/>
        <v>-28692</v>
      </c>
      <c r="O92" s="1159">
        <f>(L92-M92)/M92</f>
        <v>-0.99958193979933108</v>
      </c>
      <c r="P92" s="1171"/>
      <c r="Q92" s="1148"/>
      <c r="R92" s="1161"/>
      <c r="S92" s="1161"/>
      <c r="T92" s="1161"/>
      <c r="U92" s="1161"/>
      <c r="V92" s="149"/>
    </row>
    <row r="93" spans="1:23" s="67" customFormat="1">
      <c r="A93" s="1162"/>
      <c r="B93" s="1162"/>
      <c r="C93" s="1153"/>
      <c r="D93" s="1185" t="s">
        <v>66</v>
      </c>
      <c r="E93" s="1186"/>
      <c r="F93" s="1185"/>
      <c r="G93" s="1132"/>
      <c r="H93" s="1187">
        <f>H94+H95</f>
        <v>14000</v>
      </c>
      <c r="I93" s="1187">
        <f>I94+I95</f>
        <v>4840.0000000000009</v>
      </c>
      <c r="J93" s="1187">
        <f>J94+J95</f>
        <v>0</v>
      </c>
      <c r="K93" s="1187">
        <f>K94+K95</f>
        <v>4840.0000000000009</v>
      </c>
      <c r="L93" s="1187">
        <f>SUM(H93:K93)</f>
        <v>23680</v>
      </c>
      <c r="M93" s="1187">
        <f>'[25]2014预算稿 '!J102</f>
        <v>13200</v>
      </c>
      <c r="N93" s="1158">
        <f>L93-M93</f>
        <v>10480</v>
      </c>
      <c r="O93" s="1159"/>
      <c r="P93" s="1206"/>
      <c r="Q93" s="1148"/>
      <c r="R93" s="1161"/>
      <c r="S93" s="1161"/>
      <c r="T93" s="1161"/>
      <c r="U93" s="1161"/>
      <c r="V93" s="149"/>
    </row>
    <row r="94" spans="1:23" s="67" customFormat="1">
      <c r="A94" s="1162"/>
      <c r="B94" s="1162"/>
      <c r="C94" s="1153"/>
      <c r="D94" s="1155" t="s">
        <v>65</v>
      </c>
      <c r="E94" s="1155" t="s">
        <v>1534</v>
      </c>
      <c r="F94" s="1154" t="s">
        <v>1522</v>
      </c>
      <c r="G94" s="1132">
        <v>0</v>
      </c>
      <c r="H94" s="1158">
        <f>1000*14</f>
        <v>14000</v>
      </c>
      <c r="I94" s="1158">
        <f>$G94*3</f>
        <v>0</v>
      </c>
      <c r="J94" s="1158">
        <f>$G94*3</f>
        <v>0</v>
      </c>
      <c r="K94" s="1158">
        <f>$G94*3</f>
        <v>0</v>
      </c>
      <c r="L94" s="1187">
        <f>SUM(H94:K94)</f>
        <v>14000</v>
      </c>
      <c r="M94" s="1187">
        <f>'[25]2014预算稿 '!J103</f>
        <v>0</v>
      </c>
      <c r="N94" s="1158">
        <f t="shared" si="31"/>
        <v>14000</v>
      </c>
      <c r="O94" s="1159"/>
      <c r="P94" s="1206"/>
      <c r="Q94" s="1148"/>
      <c r="R94" s="1161"/>
      <c r="S94" s="1161"/>
      <c r="T94" s="1161"/>
      <c r="U94" s="1161"/>
      <c r="V94" s="149"/>
    </row>
    <row r="95" spans="1:23" s="67" customFormat="1">
      <c r="A95" s="1162"/>
      <c r="B95" s="1162"/>
      <c r="C95" s="1153"/>
      <c r="D95" s="1155" t="s">
        <v>66</v>
      </c>
      <c r="E95" s="1155" t="s">
        <v>1534</v>
      </c>
      <c r="F95" s="1154" t="s">
        <v>1522</v>
      </c>
      <c r="G95" s="1132"/>
      <c r="H95" s="1158">
        <v>0</v>
      </c>
      <c r="I95" s="1158">
        <f>'[25]部分费用明细（水电植物耗材茶歇）'!C198</f>
        <v>4840.0000000000009</v>
      </c>
      <c r="J95" s="1158">
        <f t="shared" si="35"/>
        <v>0</v>
      </c>
      <c r="K95" s="1158">
        <f>'[25]部分费用明细（水电植物耗材茶歇）'!E198</f>
        <v>4840.0000000000009</v>
      </c>
      <c r="L95" s="1158">
        <f>SUM(H95:K95)</f>
        <v>9680.0000000000018</v>
      </c>
      <c r="M95" s="1187">
        <f>'[25]2014预算稿 '!J104</f>
        <v>13200</v>
      </c>
      <c r="N95" s="1158">
        <f t="shared" si="31"/>
        <v>-3519.9999999999982</v>
      </c>
      <c r="O95" s="1159">
        <f t="shared" si="37"/>
        <v>-0.26666666666666655</v>
      </c>
      <c r="P95" s="1207"/>
      <c r="Q95" s="1148"/>
      <c r="R95" s="1161"/>
      <c r="S95" s="1161"/>
      <c r="T95" s="1161"/>
      <c r="U95" s="1161"/>
      <c r="V95" s="149"/>
    </row>
    <row r="96" spans="1:23" ht="15">
      <c r="A96" s="1149"/>
      <c r="B96" s="1149"/>
      <c r="C96" s="1153"/>
      <c r="D96" s="1180"/>
      <c r="E96" s="1180"/>
      <c r="F96" s="1180"/>
      <c r="G96" s="1132"/>
      <c r="H96" s="1174">
        <f t="shared" ref="H96:M96" si="38">H86+H93</f>
        <v>14015</v>
      </c>
      <c r="I96" s="1174">
        <f t="shared" si="38"/>
        <v>4855.0000000000009</v>
      </c>
      <c r="J96" s="1174">
        <f t="shared" si="38"/>
        <v>15</v>
      </c>
      <c r="K96" s="1174">
        <f t="shared" si="38"/>
        <v>4855.0000000000009</v>
      </c>
      <c r="L96" s="1174">
        <f t="shared" si="38"/>
        <v>23740</v>
      </c>
      <c r="M96" s="1174">
        <f t="shared" si="38"/>
        <v>551871.24</v>
      </c>
      <c r="N96" s="1188">
        <f>L96-M96</f>
        <v>-528131.24</v>
      </c>
      <c r="O96" s="1175">
        <f t="shared" si="37"/>
        <v>-0.95698271937490342</v>
      </c>
      <c r="P96" s="1171"/>
      <c r="Q96" s="1148"/>
      <c r="R96" s="1161"/>
      <c r="S96" s="1161"/>
      <c r="T96" s="1161"/>
      <c r="U96" s="1161"/>
      <c r="V96" s="149"/>
    </row>
    <row r="97" spans="1:23" ht="12" customHeight="1">
      <c r="A97" s="1149" t="s">
        <v>67</v>
      </c>
      <c r="B97" s="1149"/>
      <c r="C97" s="1153" t="s">
        <v>68</v>
      </c>
      <c r="D97" s="1179" t="s">
        <v>69</v>
      </c>
      <c r="E97" s="1180" t="s">
        <v>1534</v>
      </c>
      <c r="F97" s="1208" t="s">
        <v>1522</v>
      </c>
      <c r="G97" s="1132">
        <f>1</f>
        <v>1</v>
      </c>
      <c r="H97" s="1209">
        <f t="shared" ref="H97:K98" si="39">$G97*3</f>
        <v>3</v>
      </c>
      <c r="I97" s="1158">
        <f t="shared" si="39"/>
        <v>3</v>
      </c>
      <c r="J97" s="1158">
        <f t="shared" si="39"/>
        <v>3</v>
      </c>
      <c r="K97" s="1158">
        <f t="shared" si="39"/>
        <v>3</v>
      </c>
      <c r="L97" s="1158">
        <f>SUM(H97:K97)</f>
        <v>12</v>
      </c>
      <c r="M97" s="1158">
        <f>'[25]2014预算稿 '!J106</f>
        <v>578739.88799999992</v>
      </c>
      <c r="N97" s="1158">
        <f t="shared" si="31"/>
        <v>-578727.88799999992</v>
      </c>
      <c r="O97" s="1159">
        <f t="shared" si="37"/>
        <v>-0.99997926529646775</v>
      </c>
      <c r="P97" s="1210"/>
      <c r="Q97" s="1148"/>
      <c r="R97" s="1161"/>
      <c r="S97" s="1161"/>
      <c r="T97" s="1161"/>
      <c r="U97" s="1161"/>
      <c r="V97" s="149"/>
    </row>
    <row r="98" spans="1:23" s="72" customFormat="1">
      <c r="A98" s="1149"/>
      <c r="B98" s="1149"/>
      <c r="C98" s="1153"/>
      <c r="D98" s="1155" t="s">
        <v>883</v>
      </c>
      <c r="E98" s="1155" t="s">
        <v>1534</v>
      </c>
      <c r="F98" s="1154" t="s">
        <v>1522</v>
      </c>
      <c r="G98" s="1132">
        <f>1</f>
        <v>1</v>
      </c>
      <c r="H98" s="1158">
        <f t="shared" si="39"/>
        <v>3</v>
      </c>
      <c r="I98" s="1158">
        <f t="shared" si="39"/>
        <v>3</v>
      </c>
      <c r="J98" s="1158">
        <f t="shared" si="39"/>
        <v>3</v>
      </c>
      <c r="K98" s="1158">
        <f t="shared" si="39"/>
        <v>3</v>
      </c>
      <c r="L98" s="1132">
        <f>SUM(H98:K98)</f>
        <v>12</v>
      </c>
      <c r="M98" s="1158">
        <f>'[25]2014预算稿 '!J108+'[25]2014预算稿 '!J107</f>
        <v>66317</v>
      </c>
      <c r="N98" s="1158">
        <f t="shared" si="31"/>
        <v>-66305</v>
      </c>
      <c r="O98" s="1159">
        <f t="shared" si="37"/>
        <v>-0.99981905092208634</v>
      </c>
      <c r="P98" s="1211"/>
      <c r="Q98" s="1148"/>
      <c r="R98" s="1161"/>
      <c r="S98" s="1161"/>
      <c r="T98" s="1161"/>
      <c r="U98" s="1161"/>
      <c r="V98" s="149"/>
    </row>
    <row r="99" spans="1:23">
      <c r="A99" s="1149"/>
      <c r="B99" s="1149"/>
      <c r="C99" s="1153"/>
      <c r="D99" s="1179" t="s">
        <v>1535</v>
      </c>
      <c r="E99" s="1180" t="s">
        <v>1534</v>
      </c>
      <c r="F99" s="1208" t="s">
        <v>1522</v>
      </c>
      <c r="G99" s="1212">
        <f>10*(100/12)</f>
        <v>83.333333333333343</v>
      </c>
      <c r="H99" s="1212">
        <f>$G99*3</f>
        <v>250.00000000000003</v>
      </c>
      <c r="I99" s="1170">
        <f>H99</f>
        <v>250.00000000000003</v>
      </c>
      <c r="J99" s="1212">
        <f>H99</f>
        <v>250.00000000000003</v>
      </c>
      <c r="K99" s="1212">
        <f>H99</f>
        <v>250.00000000000003</v>
      </c>
      <c r="L99" s="1170">
        <f>SUM(H99:K99)</f>
        <v>1000.0000000000001</v>
      </c>
      <c r="M99" s="1158">
        <f>'[25]2014预算稿 '!J109</f>
        <v>79100.000000000015</v>
      </c>
      <c r="N99" s="1158">
        <f t="shared" si="31"/>
        <v>-78100.000000000015</v>
      </c>
      <c r="O99" s="1159">
        <f>(L99-M99)/M99</f>
        <v>-0.98735777496839439</v>
      </c>
      <c r="P99" s="1204"/>
      <c r="Q99" s="1148"/>
      <c r="R99" s="1161"/>
      <c r="S99" s="1161"/>
      <c r="T99" s="1161"/>
      <c r="U99" s="1161"/>
      <c r="V99" s="149"/>
    </row>
    <row r="100" spans="1:23" ht="15">
      <c r="A100" s="1162"/>
      <c r="B100" s="1162"/>
      <c r="C100" s="1153"/>
      <c r="D100" s="1201" t="s">
        <v>1249</v>
      </c>
      <c r="E100" s="1213"/>
      <c r="F100" s="149"/>
      <c r="G100" s="1214"/>
      <c r="H100" s="1214">
        <f t="shared" ref="H100:M100" si="40">SUM(H97:H99)</f>
        <v>256</v>
      </c>
      <c r="I100" s="1214">
        <f t="shared" si="40"/>
        <v>256</v>
      </c>
      <c r="J100" s="1214">
        <f t="shared" si="40"/>
        <v>256</v>
      </c>
      <c r="K100" s="1214">
        <f t="shared" si="40"/>
        <v>256</v>
      </c>
      <c r="L100" s="1214">
        <f t="shared" si="40"/>
        <v>1024</v>
      </c>
      <c r="M100" s="1214">
        <f t="shared" si="40"/>
        <v>724156.88799999992</v>
      </c>
      <c r="N100" s="1158">
        <f>L100-M100</f>
        <v>-723132.88799999992</v>
      </c>
      <c r="O100" s="1175">
        <f>(L100-M100)/M100</f>
        <v>-0.99858594178006355</v>
      </c>
      <c r="P100" s="1165"/>
      <c r="Q100" s="1148"/>
      <c r="R100" s="1214">
        <v>99929.41</v>
      </c>
      <c r="S100" s="1214">
        <v>40824.800000000003</v>
      </c>
      <c r="T100" s="1214">
        <v>146254.91</v>
      </c>
      <c r="U100" s="1214">
        <v>158199.20700000002</v>
      </c>
      <c r="V100" s="1214">
        <f>SUM(R100:U100)</f>
        <v>445208.32700000005</v>
      </c>
      <c r="W100" s="82"/>
    </row>
    <row r="101" spans="1:23">
      <c r="A101" s="1200" t="s">
        <v>743</v>
      </c>
      <c r="B101" s="1149"/>
      <c r="C101" s="1153" t="s">
        <v>70</v>
      </c>
      <c r="D101" s="1154" t="s">
        <v>71</v>
      </c>
      <c r="E101" s="1155"/>
      <c r="F101" s="1154"/>
      <c r="G101" s="149"/>
      <c r="H101" s="1132"/>
      <c r="I101" s="1132"/>
      <c r="J101" s="1132"/>
      <c r="K101" s="1132"/>
      <c r="L101" s="149"/>
      <c r="M101" s="149"/>
      <c r="N101" s="1158">
        <f t="shared" si="31"/>
        <v>0</v>
      </c>
      <c r="O101" s="1159"/>
      <c r="P101" s="1204"/>
      <c r="Q101" s="1148"/>
      <c r="R101" s="1161"/>
      <c r="S101" s="1161"/>
      <c r="T101" s="1161"/>
      <c r="U101" s="1161"/>
      <c r="V101" s="149"/>
    </row>
    <row r="102" spans="1:23">
      <c r="A102" s="1200"/>
      <c r="B102" s="1149"/>
      <c r="C102" s="1153"/>
      <c r="D102" s="1215" t="s">
        <v>72</v>
      </c>
      <c r="E102" s="1164" t="s">
        <v>1534</v>
      </c>
      <c r="F102" s="1163" t="s">
        <v>1536</v>
      </c>
      <c r="G102" s="1132">
        <f>1</f>
        <v>1</v>
      </c>
      <c r="H102" s="1212">
        <f>$G102*3</f>
        <v>3</v>
      </c>
      <c r="I102" s="1212">
        <f>$G102*3</f>
        <v>3</v>
      </c>
      <c r="J102" s="1212">
        <f>$G102*3</f>
        <v>3</v>
      </c>
      <c r="K102" s="1212">
        <f>$G102*3</f>
        <v>3</v>
      </c>
      <c r="L102" s="1132">
        <f>SUM(H102:K102)</f>
        <v>12</v>
      </c>
      <c r="M102" s="1133">
        <f>'[25]2014预算稿 '!J113</f>
        <v>47314.079999999987</v>
      </c>
      <c r="N102" s="1158">
        <f t="shared" si="31"/>
        <v>-47302.079999999987</v>
      </c>
      <c r="O102" s="1159">
        <f>(L102-M102)/M102</f>
        <v>-0.99974637570887992</v>
      </c>
      <c r="P102" s="1216"/>
      <c r="Q102" s="1148"/>
      <c r="R102" s="1161"/>
      <c r="S102" s="1161"/>
      <c r="T102" s="1161"/>
      <c r="U102" s="1161"/>
      <c r="V102" s="149"/>
    </row>
    <row r="103" spans="1:23" ht="15">
      <c r="A103" s="1155"/>
      <c r="B103" s="1155"/>
      <c r="C103" s="1155"/>
      <c r="D103" s="1155"/>
      <c r="E103" s="1155"/>
      <c r="F103" s="1155"/>
      <c r="G103" s="1217"/>
      <c r="H103" s="1217">
        <f t="shared" ref="H103:M103" si="41">SUM(H102:H102)</f>
        <v>3</v>
      </c>
      <c r="I103" s="1217">
        <f t="shared" si="41"/>
        <v>3</v>
      </c>
      <c r="J103" s="1217">
        <f t="shared" si="41"/>
        <v>3</v>
      </c>
      <c r="K103" s="1217">
        <f t="shared" si="41"/>
        <v>3</v>
      </c>
      <c r="L103" s="1217">
        <f t="shared" si="41"/>
        <v>12</v>
      </c>
      <c r="M103" s="1217">
        <f t="shared" si="41"/>
        <v>47314.079999999987</v>
      </c>
      <c r="N103" s="1158">
        <f>L103-M103</f>
        <v>-47302.079999999987</v>
      </c>
      <c r="O103" s="1175">
        <f>(L102-M103)/M103</f>
        <v>-0.99974637570887992</v>
      </c>
      <c r="P103" s="1204"/>
      <c r="Q103" s="1148"/>
      <c r="R103" s="1161"/>
      <c r="S103" s="1161"/>
      <c r="T103" s="1161"/>
      <c r="U103" s="1161"/>
      <c r="V103" s="149"/>
    </row>
    <row r="104" spans="1:23">
      <c r="A104" s="1149" t="s">
        <v>73</v>
      </c>
      <c r="B104" s="1149"/>
      <c r="C104" s="1153" t="s">
        <v>1172</v>
      </c>
      <c r="D104" s="1181" t="s">
        <v>75</v>
      </c>
      <c r="E104" s="1164" t="s">
        <v>1504</v>
      </c>
      <c r="F104" s="1163" t="s">
        <v>1537</v>
      </c>
      <c r="G104" s="1218"/>
      <c r="H104" s="1218">
        <f>1</f>
        <v>1</v>
      </c>
      <c r="I104" s="1218">
        <f>[25]装饰门禁电视空调维护2015!H10</f>
        <v>392498.27</v>
      </c>
      <c r="J104" s="1218">
        <f>[25]装饰门禁电视空调维护2015!I10</f>
        <v>395777.27</v>
      </c>
      <c r="K104" s="1218">
        <f>[25]装饰门禁电视空调维护2015!J10</f>
        <v>399080.27</v>
      </c>
      <c r="L104" s="1183">
        <f>SUM(H104:K104)</f>
        <v>1187356.81</v>
      </c>
      <c r="M104" s="1158">
        <f>'[25]2014预算稿 '!J115</f>
        <v>1134472.7625</v>
      </c>
      <c r="N104" s="1158">
        <f t="shared" si="31"/>
        <v>52884.047500000102</v>
      </c>
      <c r="O104" s="1159">
        <f t="shared" ref="O104:O115" si="42">(L104-M104)/M104</f>
        <v>4.6615528594499953E-2</v>
      </c>
      <c r="P104" s="1204"/>
      <c r="Q104" s="1148"/>
      <c r="R104" s="1161">
        <v>295918.36</v>
      </c>
      <c r="S104" s="1161">
        <v>718052.54</v>
      </c>
      <c r="T104" s="1161">
        <v>975741.10000000009</v>
      </c>
      <c r="U104" s="1426">
        <v>1661261.27</v>
      </c>
      <c r="V104" s="1157">
        <f>SUM(R104:U104)</f>
        <v>3650973.27</v>
      </c>
    </row>
    <row r="105" spans="1:23">
      <c r="A105" s="149"/>
      <c r="B105" s="149"/>
      <c r="C105" s="1153"/>
      <c r="D105" s="1181" t="s">
        <v>76</v>
      </c>
      <c r="E105" s="1182" t="s">
        <v>1534</v>
      </c>
      <c r="F105" s="1219" t="s">
        <v>1537</v>
      </c>
      <c r="G105" s="1218"/>
      <c r="H105" s="1218">
        <v>1</v>
      </c>
      <c r="I105" s="1218">
        <f>[25]装饰门禁电视空调维护2015!H30</f>
        <v>2279413.5</v>
      </c>
      <c r="J105" s="1218">
        <f>[25]装饰门禁电视空调维护2015!I30</f>
        <v>100919.5</v>
      </c>
      <c r="K105" s="1218">
        <f>[25]装饰门禁电视空调维护2015!J30</f>
        <v>183695.5</v>
      </c>
      <c r="L105" s="1218">
        <f>SUM(H105:K105)</f>
        <v>2564029.5</v>
      </c>
      <c r="M105" s="1158">
        <f>'[25]2014预算稿 '!J116</f>
        <v>593731</v>
      </c>
      <c r="N105" s="1158">
        <f t="shared" si="31"/>
        <v>1970298.5</v>
      </c>
      <c r="O105" s="1159">
        <f>(L105-M105)/M105</f>
        <v>3.3185036658015163</v>
      </c>
      <c r="P105" s="1204"/>
      <c r="Q105" s="1148"/>
      <c r="R105" s="1161">
        <v>177502.87</v>
      </c>
      <c r="S105" s="1161">
        <v>206632.05000000002</v>
      </c>
      <c r="T105" s="1161">
        <v>110416.64000000001</v>
      </c>
      <c r="U105" s="1426"/>
      <c r="V105" s="1157">
        <f>SUM(R105:U105)</f>
        <v>494551.56000000006</v>
      </c>
      <c r="W105" s="82" t="s">
        <v>1538</v>
      </c>
    </row>
    <row r="106" spans="1:23">
      <c r="A106" s="149"/>
      <c r="B106" s="149"/>
      <c r="C106" s="1153"/>
      <c r="D106" s="1181" t="s">
        <v>1539</v>
      </c>
      <c r="E106" s="1182" t="s">
        <v>1461</v>
      </c>
      <c r="F106" s="1181" t="s">
        <v>1540</v>
      </c>
      <c r="G106" s="1218"/>
      <c r="H106" s="1218">
        <v>1</v>
      </c>
      <c r="I106" s="1218">
        <v>0</v>
      </c>
      <c r="J106" s="1218">
        <v>0</v>
      </c>
      <c r="K106" s="1218">
        <v>0</v>
      </c>
      <c r="L106" s="1218">
        <f>SUM(H106:K106)</f>
        <v>1</v>
      </c>
      <c r="M106" s="1158">
        <v>0</v>
      </c>
      <c r="N106" s="1158">
        <f t="shared" si="31"/>
        <v>1</v>
      </c>
      <c r="O106" s="1159"/>
      <c r="P106" s="1204"/>
      <c r="Q106" s="1148"/>
      <c r="R106" s="1161"/>
      <c r="S106" s="1161"/>
      <c r="T106" s="1161"/>
      <c r="U106" s="1161"/>
      <c r="V106" s="1157">
        <f>SUM(R106:U106)</f>
        <v>0</v>
      </c>
    </row>
    <row r="107" spans="1:23">
      <c r="A107" s="149"/>
      <c r="B107" s="149"/>
      <c r="C107" s="1153"/>
      <c r="D107" s="1179" t="s">
        <v>77</v>
      </c>
      <c r="E107" s="1180" t="s">
        <v>1444</v>
      </c>
      <c r="F107" s="1179" t="s">
        <v>1541</v>
      </c>
      <c r="G107" s="1132"/>
      <c r="H107" s="1218">
        <f>[25]装饰门禁电视空调维护2015!G33</f>
        <v>0</v>
      </c>
      <c r="I107" s="1218">
        <f>[25]装饰门禁电视空调维护2015!H33</f>
        <v>3996</v>
      </c>
      <c r="J107" s="1218">
        <f>[25]装饰门禁电视空调维护2015!I33</f>
        <v>77015</v>
      </c>
      <c r="K107" s="1218">
        <f>[25]装饰门禁电视空调维护2015!J33</f>
        <v>3996</v>
      </c>
      <c r="L107" s="1218">
        <f>SUM(H107:K107)</f>
        <v>85007</v>
      </c>
      <c r="M107" s="1158">
        <f>'[25]2014预算稿 '!J117</f>
        <v>101237</v>
      </c>
      <c r="N107" s="1158">
        <f t="shared" si="31"/>
        <v>-16230</v>
      </c>
      <c r="O107" s="1159">
        <f t="shared" si="42"/>
        <v>-0.16031688019202467</v>
      </c>
      <c r="P107" s="1220"/>
      <c r="Q107" s="1148"/>
      <c r="R107" s="1161">
        <v>19253.760000000002</v>
      </c>
      <c r="S107" s="1161">
        <v>19253.760000000002</v>
      </c>
      <c r="T107" s="1161">
        <v>19253.72</v>
      </c>
      <c r="U107" s="1161">
        <v>3996</v>
      </c>
      <c r="V107" s="1157">
        <f>SUM(R107:U107)</f>
        <v>61757.240000000005</v>
      </c>
    </row>
    <row r="108" spans="1:23" ht="15">
      <c r="A108" s="1162"/>
      <c r="B108" s="1162"/>
      <c r="C108" s="1153"/>
      <c r="D108" s="1181" t="s">
        <v>1542</v>
      </c>
      <c r="E108" s="1180"/>
      <c r="F108" s="1179"/>
      <c r="G108" s="1132"/>
      <c r="H108" s="1214">
        <f>SUBTOTAL(9,H104:H107)</f>
        <v>3</v>
      </c>
      <c r="I108" s="1214">
        <f>SUBTOTAL(9,I104:I107)</f>
        <v>2675907.77</v>
      </c>
      <c r="J108" s="1214">
        <f>SUBTOTAL(9,J104:J107)</f>
        <v>573711.77</v>
      </c>
      <c r="K108" s="1214">
        <f>SUBTOTAL(9,K104:K107)</f>
        <v>586771.77</v>
      </c>
      <c r="L108" s="1221">
        <f>SUBTOTAL(9,L104:L107)</f>
        <v>3836394.31</v>
      </c>
      <c r="M108" s="1221">
        <f>SUM(M104:M107)</f>
        <v>1829440.7625</v>
      </c>
      <c r="N108" s="1158">
        <f t="shared" si="31"/>
        <v>2006953.5475000001</v>
      </c>
      <c r="O108" s="1175">
        <f t="shared" si="42"/>
        <v>1.0970311740279703</v>
      </c>
      <c r="P108" s="1211"/>
      <c r="Q108" s="1148"/>
      <c r="R108" s="1214">
        <f>SUBTOTAL(9,R104:R107)</f>
        <v>492674.99</v>
      </c>
      <c r="S108" s="1214">
        <f>SUBTOTAL(9,S104:S107)</f>
        <v>943938.35000000009</v>
      </c>
      <c r="T108" s="1214">
        <f>SUBTOTAL(9,T104:T107)</f>
        <v>1105411.4600000002</v>
      </c>
      <c r="U108" s="1214">
        <f>SUBTOTAL(9,U104:U107)</f>
        <v>1665257.27</v>
      </c>
      <c r="V108" s="1214">
        <f>SUBTOTAL(9,V104:V107)</f>
        <v>4207282.07</v>
      </c>
    </row>
    <row r="109" spans="1:23" ht="25.5">
      <c r="A109" s="1149" t="s">
        <v>67</v>
      </c>
      <c r="B109" s="1149"/>
      <c r="C109" s="1153" t="s">
        <v>1543</v>
      </c>
      <c r="D109" s="1179" t="s">
        <v>79</v>
      </c>
      <c r="E109" s="1180" t="s">
        <v>1534</v>
      </c>
      <c r="F109" s="1208" t="s">
        <v>1544</v>
      </c>
      <c r="G109" s="1132">
        <f>8/12</f>
        <v>0.66666666666666663</v>
      </c>
      <c r="H109" s="1158">
        <f>[25]财产险!$K$8*[25]财产险!$I$8/4</f>
        <v>17801.245833333342</v>
      </c>
      <c r="I109" s="1158">
        <f>[25]财产险!$K$8*[25]财产险!$I$8/4+[25]财产险!K8*[25]财产险!H8</f>
        <v>449027.87083333335</v>
      </c>
      <c r="J109" s="1158">
        <f>[25]财产险!$K$8*[25]财产险!$I$8/4</f>
        <v>17801.245833333342</v>
      </c>
      <c r="K109" s="1158">
        <f>[25]财产险!$K$8*[25]财产险!$I$8/4</f>
        <v>17801.245833333342</v>
      </c>
      <c r="L109" s="1133">
        <f>SUM(H109:K109)</f>
        <v>502431.6083333334</v>
      </c>
      <c r="M109" s="1133">
        <f>'[25]2014预算稿 '!J119</f>
        <v>499203.78199999995</v>
      </c>
      <c r="N109" s="1158">
        <f t="shared" si="31"/>
        <v>3227.8263333334471</v>
      </c>
      <c r="O109" s="1159">
        <f t="shared" si="42"/>
        <v>6.4659492770698752E-3</v>
      </c>
      <c r="P109" s="1171"/>
      <c r="Q109" s="1148"/>
      <c r="R109" s="1161">
        <v>65651.790000000008</v>
      </c>
      <c r="S109" s="1161">
        <v>71889.899999999994</v>
      </c>
      <c r="T109" s="1161">
        <v>46523.229999999996</v>
      </c>
      <c r="U109" s="1161">
        <v>17801.245833333342</v>
      </c>
      <c r="V109" s="1157">
        <f>SUM(R109:U109)</f>
        <v>201866.16583333333</v>
      </c>
    </row>
    <row r="110" spans="1:23" ht="15">
      <c r="A110" s="1149"/>
      <c r="B110" s="1149"/>
      <c r="C110" s="1153"/>
      <c r="D110" s="1196" t="s">
        <v>1545</v>
      </c>
      <c r="E110" s="1180"/>
      <c r="F110" s="1179"/>
      <c r="G110" s="1132"/>
      <c r="H110" s="1214">
        <f>SUM(H109)</f>
        <v>17801.245833333342</v>
      </c>
      <c r="I110" s="1214">
        <f>SUM(I109)</f>
        <v>449027.87083333335</v>
      </c>
      <c r="J110" s="1214">
        <f>SUM(J109)</f>
        <v>17801.245833333342</v>
      </c>
      <c r="K110" s="1214">
        <f>SUM(K109)</f>
        <v>17801.245833333342</v>
      </c>
      <c r="L110" s="1221">
        <f>SUM(L109)</f>
        <v>502431.6083333334</v>
      </c>
      <c r="M110" s="1221">
        <f>'[25]2014预算稿 '!J120</f>
        <v>499203.78199999995</v>
      </c>
      <c r="N110" s="1158">
        <f t="shared" si="31"/>
        <v>3227.8263333334471</v>
      </c>
      <c r="O110" s="1175">
        <f t="shared" si="42"/>
        <v>6.4659492770698752E-3</v>
      </c>
      <c r="P110" s="1204"/>
      <c r="Q110" s="1148"/>
      <c r="R110" s="1214">
        <f>SUM(R109)</f>
        <v>65651.790000000008</v>
      </c>
      <c r="S110" s="1214">
        <f>SUM(S109)</f>
        <v>71889.899999999994</v>
      </c>
      <c r="T110" s="1214">
        <f>SUM(T109)</f>
        <v>46523.229999999996</v>
      </c>
      <c r="U110" s="1214">
        <f>SUM(U109)</f>
        <v>17801.245833333342</v>
      </c>
      <c r="V110" s="1214">
        <f>SUM(V109)</f>
        <v>201866.16583333333</v>
      </c>
    </row>
    <row r="111" spans="1:23">
      <c r="A111" s="1149" t="s">
        <v>67</v>
      </c>
      <c r="B111" s="1149"/>
      <c r="C111" s="1153" t="s">
        <v>1546</v>
      </c>
      <c r="D111" s="1163" t="s">
        <v>1547</v>
      </c>
      <c r="E111" s="1155"/>
      <c r="F111" s="1154"/>
      <c r="G111" s="1132"/>
      <c r="H111" s="1132">
        <f>[25]capex!D45</f>
        <v>11469484.050000001</v>
      </c>
      <c r="I111" s="1132">
        <f>[25]capex!F45</f>
        <v>11337654.050000001</v>
      </c>
      <c r="J111" s="1132">
        <f>[25]capex!H45</f>
        <v>11401654.050000001</v>
      </c>
      <c r="K111" s="1132">
        <f>[25]capex!J45</f>
        <v>11113924.050000001</v>
      </c>
      <c r="L111" s="1133">
        <f>SUM(H111:K111)</f>
        <v>45322716.200000003</v>
      </c>
      <c r="M111" s="1158">
        <f>'[25]2014预算稿 '!J121</f>
        <v>34980638.799999997</v>
      </c>
      <c r="N111" s="1158">
        <f t="shared" si="31"/>
        <v>10342077.400000006</v>
      </c>
      <c r="O111" s="1159">
        <f t="shared" si="42"/>
        <v>0.29565147335159603</v>
      </c>
      <c r="P111" s="1204"/>
      <c r="Q111" s="1148"/>
      <c r="R111" s="1161">
        <v>521808.94</v>
      </c>
      <c r="S111" s="1161">
        <v>323647.66000000003</v>
      </c>
      <c r="T111" s="1161">
        <v>290433.89999999997</v>
      </c>
      <c r="U111" s="1161">
        <v>2904010</v>
      </c>
      <c r="V111" s="1157">
        <f>SUM(R111:U111)</f>
        <v>4039900.5</v>
      </c>
      <c r="W111" s="82"/>
    </row>
    <row r="112" spans="1:23" ht="13.5">
      <c r="A112" s="1149" t="s">
        <v>73</v>
      </c>
      <c r="B112" s="1162"/>
      <c r="C112" s="1153"/>
      <c r="D112" s="1181" t="s">
        <v>1548</v>
      </c>
      <c r="E112" s="1182"/>
      <c r="F112" s="1219"/>
      <c r="G112" s="1132"/>
      <c r="H112" s="1132">
        <f>[25]capex!D46</f>
        <v>102250</v>
      </c>
      <c r="I112" s="1132">
        <f>[25]capex!F46</f>
        <v>102250</v>
      </c>
      <c r="J112" s="1132">
        <f>[25]capex!H46</f>
        <v>102250</v>
      </c>
      <c r="K112" s="1132">
        <f>[25]capex!J46</f>
        <v>102250</v>
      </c>
      <c r="L112" s="1133">
        <f>SUM(H112:K112)</f>
        <v>409000</v>
      </c>
      <c r="M112" s="1158">
        <f>'[25]2014预算稿 '!J122</f>
        <v>411400</v>
      </c>
      <c r="N112" s="1158">
        <f t="shared" si="31"/>
        <v>-2400</v>
      </c>
      <c r="O112" s="1159">
        <f t="shared" si="42"/>
        <v>-5.8337384540593099E-3</v>
      </c>
      <c r="P112" s="1222"/>
      <c r="Q112" s="1148"/>
      <c r="R112" s="1161">
        <v>623987.18999999994</v>
      </c>
      <c r="S112" s="1161">
        <v>52714</v>
      </c>
      <c r="T112" s="1161">
        <v>18397.43</v>
      </c>
      <c r="U112" s="1161">
        <v>153375</v>
      </c>
      <c r="V112" s="1157">
        <f>SUM(R112:U112)</f>
        <v>848473.62</v>
      </c>
      <c r="W112" s="82"/>
    </row>
    <row r="113" spans="1:23" ht="15">
      <c r="A113" s="1162"/>
      <c r="B113" s="1162"/>
      <c r="C113" s="1153"/>
      <c r="D113" s="1196" t="s">
        <v>1549</v>
      </c>
      <c r="E113" s="1180"/>
      <c r="F113" s="1180"/>
      <c r="G113" s="1132"/>
      <c r="H113" s="1197">
        <f t="shared" ref="H113:M113" si="43">SUM(H111:H112)</f>
        <v>11571734.050000001</v>
      </c>
      <c r="I113" s="1197">
        <f t="shared" si="43"/>
        <v>11439904.050000001</v>
      </c>
      <c r="J113" s="1197">
        <f t="shared" si="43"/>
        <v>11503904.050000001</v>
      </c>
      <c r="K113" s="1197">
        <f t="shared" si="43"/>
        <v>11216174.050000001</v>
      </c>
      <c r="L113" s="1223">
        <f t="shared" si="43"/>
        <v>45731716.200000003</v>
      </c>
      <c r="M113" s="1223">
        <f t="shared" si="43"/>
        <v>35392038.799999997</v>
      </c>
      <c r="N113" s="1158">
        <f t="shared" si="31"/>
        <v>10339677.400000006</v>
      </c>
      <c r="O113" s="1175">
        <f t="shared" si="42"/>
        <v>0.29214698419690949</v>
      </c>
      <c r="P113" s="1224"/>
      <c r="Q113" s="1148"/>
      <c r="R113" s="1197">
        <f>SUM(R111:R112)</f>
        <v>1145796.1299999999</v>
      </c>
      <c r="S113" s="1197">
        <f>SUM(S111:S112)</f>
        <v>376361.66000000003</v>
      </c>
      <c r="T113" s="1197">
        <f>SUM(T111:T112)</f>
        <v>308831.32999999996</v>
      </c>
      <c r="U113" s="1197">
        <f>SUM(U111:U112)</f>
        <v>3057385</v>
      </c>
      <c r="V113" s="1197">
        <f>SUM(V111:V112)</f>
        <v>4888374.12</v>
      </c>
      <c r="W113" s="82"/>
    </row>
    <row r="114" spans="1:23" ht="24">
      <c r="A114" s="1149" t="s">
        <v>88</v>
      </c>
      <c r="B114" s="1149"/>
      <c r="C114" s="1153" t="s">
        <v>89</v>
      </c>
      <c r="D114" s="1179" t="s">
        <v>90</v>
      </c>
      <c r="E114" s="1182" t="s">
        <v>1504</v>
      </c>
      <c r="F114" s="1219" t="s">
        <v>1550</v>
      </c>
      <c r="G114" s="1132"/>
      <c r="H114" s="1212">
        <f>'[25]2015年公司车险及ES车辆养护'!B30</f>
        <v>60064.307800000002</v>
      </c>
      <c r="I114" s="1212">
        <f>'[25]2015年公司车险及ES车辆养护'!C30</f>
        <v>75859.13</v>
      </c>
      <c r="J114" s="1212">
        <f>'[25]2015年公司车险及ES车辆养护'!D30</f>
        <v>145464.334</v>
      </c>
      <c r="K114" s="1212">
        <f>'[25]2015年公司车险及ES车辆养护'!E30</f>
        <v>45739.965900000003</v>
      </c>
      <c r="L114" s="1225">
        <f>SUM(H114:K114)</f>
        <v>327127.7377</v>
      </c>
      <c r="M114" s="1158">
        <f>'[25]2014预算稿 '!J124</f>
        <v>367095.2169</v>
      </c>
      <c r="N114" s="1158">
        <f t="shared" si="31"/>
        <v>-39967.479200000002</v>
      </c>
      <c r="O114" s="1159">
        <f t="shared" si="42"/>
        <v>-0.10887496583995944</v>
      </c>
      <c r="P114" s="1226"/>
      <c r="Q114" s="1227"/>
      <c r="R114" s="1161"/>
      <c r="S114" s="1161"/>
      <c r="T114" s="1161"/>
      <c r="U114" s="1161"/>
      <c r="V114" s="149"/>
    </row>
    <row r="115" spans="1:23" ht="25.5">
      <c r="A115" s="1149"/>
      <c r="B115" s="1149"/>
      <c r="C115" s="1153"/>
      <c r="D115" s="1179" t="s">
        <v>91</v>
      </c>
      <c r="E115" s="1180" t="s">
        <v>1534</v>
      </c>
      <c r="F115" s="1208" t="s">
        <v>1550</v>
      </c>
      <c r="G115" s="1132">
        <v>1</v>
      </c>
      <c r="H115" s="1212">
        <f>$G115*3</f>
        <v>3</v>
      </c>
      <c r="I115" s="1212">
        <f>$G115*3</f>
        <v>3</v>
      </c>
      <c r="J115" s="1212">
        <f>$G115*3</f>
        <v>3</v>
      </c>
      <c r="K115" s="1212">
        <f>$G115*3</f>
        <v>3</v>
      </c>
      <c r="L115" s="1225">
        <f>SUM(H115:K115)</f>
        <v>12</v>
      </c>
      <c r="M115" s="1158">
        <f>'[25]2014预算稿 '!J125</f>
        <v>154000</v>
      </c>
      <c r="N115" s="1158">
        <f t="shared" si="31"/>
        <v>-153988</v>
      </c>
      <c r="O115" s="1159">
        <f t="shared" si="42"/>
        <v>-0.99992207792207788</v>
      </c>
      <c r="P115" s="1228"/>
      <c r="Q115" s="1227"/>
      <c r="R115" s="1161">
        <v>14933</v>
      </c>
      <c r="S115" s="1161">
        <v>8581.9500000000007</v>
      </c>
      <c r="T115" s="1161">
        <v>0</v>
      </c>
      <c r="U115" s="1161">
        <v>73739.96590000001</v>
      </c>
      <c r="V115" s="1157">
        <f>SUM(R115:U115)</f>
        <v>97254.915900000007</v>
      </c>
    </row>
    <row r="116" spans="1:23" ht="15">
      <c r="A116" s="1149"/>
      <c r="B116" s="1149"/>
      <c r="C116" s="1153"/>
      <c r="D116" s="1196" t="s">
        <v>1551</v>
      </c>
      <c r="E116" s="1180"/>
      <c r="F116" s="1179"/>
      <c r="G116" s="1132"/>
      <c r="H116" s="1229">
        <f t="shared" ref="H116:M116" si="44">SUM(H114:H115)</f>
        <v>60067.307800000002</v>
      </c>
      <c r="I116" s="1229">
        <f t="shared" si="44"/>
        <v>75862.13</v>
      </c>
      <c r="J116" s="1229">
        <f t="shared" si="44"/>
        <v>145467.334</v>
      </c>
      <c r="K116" s="1229">
        <f t="shared" si="44"/>
        <v>45742.965900000003</v>
      </c>
      <c r="L116" s="1230">
        <f t="shared" si="44"/>
        <v>327139.7377</v>
      </c>
      <c r="M116" s="1230">
        <f t="shared" si="44"/>
        <v>521095.2169</v>
      </c>
      <c r="N116" s="1158">
        <f>L116-M116</f>
        <v>-193955.4792</v>
      </c>
      <c r="O116" s="1175">
        <f>(L116-M116)/M116</f>
        <v>-0.37220736807726396</v>
      </c>
      <c r="P116" s="1165"/>
      <c r="Q116" s="1231"/>
      <c r="R116" s="1229">
        <f>SUM(R114:R115)</f>
        <v>14933</v>
      </c>
      <c r="S116" s="1229">
        <f>SUM(S114:S115)</f>
        <v>8581.9500000000007</v>
      </c>
      <c r="T116" s="1229">
        <f>SUM(T114:T115)</f>
        <v>0</v>
      </c>
      <c r="U116" s="1229">
        <f>SUM(U114:U115)</f>
        <v>73739.96590000001</v>
      </c>
      <c r="V116" s="1229">
        <f>SUM(V114:V115)</f>
        <v>97254.915900000007</v>
      </c>
    </row>
    <row r="117" spans="1:23" ht="12" customHeight="1">
      <c r="A117" s="149"/>
      <c r="B117" s="149"/>
      <c r="C117" s="1130"/>
      <c r="D117" s="1154"/>
      <c r="E117" s="1155"/>
      <c r="F117" s="1154"/>
      <c r="G117" s="149"/>
      <c r="H117" s="1132"/>
      <c r="I117" s="1132"/>
      <c r="J117" s="1132"/>
      <c r="K117" s="1132"/>
      <c r="L117" s="1133"/>
      <c r="M117" s="1133"/>
      <c r="N117" s="1158">
        <f>L117-M117</f>
        <v>0</v>
      </c>
      <c r="O117" s="1133"/>
      <c r="P117" s="1165"/>
      <c r="Q117" s="1148"/>
      <c r="R117" s="1161"/>
      <c r="S117" s="1161"/>
      <c r="T117" s="1161"/>
      <c r="U117" s="1161"/>
      <c r="V117" s="149"/>
    </row>
    <row r="118" spans="1:23">
      <c r="A118" s="1154" t="s">
        <v>743</v>
      </c>
      <c r="B118" s="149"/>
      <c r="C118" s="1153" t="s">
        <v>92</v>
      </c>
      <c r="D118" s="1232" t="s">
        <v>913</v>
      </c>
      <c r="E118" s="1233"/>
      <c r="F118" s="1232"/>
      <c r="G118" s="1157"/>
      <c r="H118" s="1132">
        <v>10</v>
      </c>
      <c r="I118" s="1132">
        <v>10</v>
      </c>
      <c r="J118" s="1132">
        <v>10</v>
      </c>
      <c r="K118" s="1132">
        <v>10</v>
      </c>
      <c r="L118" s="1225">
        <f>SUM(H118:K118)</f>
        <v>40</v>
      </c>
      <c r="M118" s="1133">
        <v>0</v>
      </c>
      <c r="N118" s="1158">
        <f>L118-M118</f>
        <v>40</v>
      </c>
      <c r="O118" s="1133"/>
      <c r="P118" s="1165"/>
      <c r="Q118" s="1148"/>
      <c r="R118" s="1161"/>
      <c r="S118" s="1161"/>
      <c r="T118" s="1161"/>
      <c r="U118" s="1161"/>
      <c r="V118" s="149"/>
    </row>
    <row r="119" spans="1:23" ht="15">
      <c r="A119" s="1149"/>
      <c r="B119" s="1149"/>
      <c r="C119" s="1153"/>
      <c r="D119" s="149"/>
      <c r="E119" s="1213"/>
      <c r="F119" s="149"/>
      <c r="G119" s="1132"/>
      <c r="H119" s="1229">
        <f>SUM(H118:H118)</f>
        <v>10</v>
      </c>
      <c r="I119" s="1229">
        <f>SUM(I118:I118)</f>
        <v>10</v>
      </c>
      <c r="J119" s="1229">
        <f>SUM(J118:J118)</f>
        <v>10</v>
      </c>
      <c r="K119" s="1229">
        <f>SUM(K118:K118)</f>
        <v>10</v>
      </c>
      <c r="L119" s="1230">
        <f>SUM(L118:L118)</f>
        <v>40</v>
      </c>
      <c r="M119" s="149">
        <v>0</v>
      </c>
      <c r="N119" s="1158">
        <f>L119-M119</f>
        <v>40</v>
      </c>
      <c r="O119" s="1159"/>
      <c r="P119" s="1165"/>
      <c r="Q119" s="1231"/>
      <c r="R119" s="1161"/>
      <c r="S119" s="1161"/>
      <c r="T119" s="1161"/>
      <c r="U119" s="1161"/>
      <c r="V119" s="149"/>
    </row>
    <row r="120" spans="1:23">
      <c r="A120" s="149"/>
      <c r="B120" s="149"/>
      <c r="C120" s="1130"/>
      <c r="D120" s="1234" t="s">
        <v>266</v>
      </c>
      <c r="E120" s="1235"/>
      <c r="F120" s="1234"/>
      <c r="G120" s="149"/>
      <c r="H120" s="1187">
        <f>H20+H29+H39+H47+H54+H61+H78+H83+H85+H96+H100+H103+H108+H113+H116+H110+H119</f>
        <v>11665114.270300001</v>
      </c>
      <c r="I120" s="1187">
        <f>I20+I29+I39+I47+I54+I61+I78+I83+I85+I96+I100+I103+I108+I113+I116+I110+I119</f>
        <v>14683135.221450003</v>
      </c>
      <c r="J120" s="1187">
        <f>J20+J29+J39+J47+J54+J61+J78+J83+J85+J96+J100+J103+J108+J113+J116+J110+J119</f>
        <v>13672268.032926155</v>
      </c>
      <c r="K120" s="1187">
        <f>K20+K29+K39+K47+K54+K61+K78+K83+K85+K96+K100+K103+K108+K113+K116+K110+K119</f>
        <v>11908923.43235</v>
      </c>
      <c r="L120" s="1187">
        <f>L20+L29+L39+L47+L54+L61+L78+L83+L85+L96+L100+L103+L108+L113+L116+L110+L119</f>
        <v>51929440.957026161</v>
      </c>
      <c r="M120" s="1187">
        <f>M20+M29+M39+M47+M54+M61+M78+M85+M96+M100+M103+M108+M113+M116+M110+M119+M83</f>
        <v>130802213.1882412</v>
      </c>
      <c r="N120" s="1187">
        <f>N20+N29+N39+N47+N54+N61+N78+N85+N96+N100+N103+N108+N113+N116+N110+N119+Q83+N83</f>
        <v>-78872772.23121503</v>
      </c>
      <c r="O120" s="1159">
        <f>(L120-M120)/M120</f>
        <v>-0.60299264292804411</v>
      </c>
      <c r="P120" s="1236">
        <f>L120-M123</f>
        <v>-82207004.23121503</v>
      </c>
      <c r="Q120" s="1148"/>
      <c r="R120" s="1187">
        <f>R20+R29+R39+R47+R54+R61+R78+R83+R85+R96+R100+R103+R108+R113+R116+R110+R119</f>
        <v>1928867.71</v>
      </c>
      <c r="S120" s="1187">
        <f>S20+S29+S39+S47+S54+S61+S78+S83+S85+S96+S100+S103+S108+S113+S116+S110+S119</f>
        <v>1541154.41</v>
      </c>
      <c r="T120" s="1187">
        <f>T20+T29+T39+T47+T54+T61+T78+T83+T85+T96+T100+T103+T108+T113+T116+T110+T119</f>
        <v>1696855.9300000002</v>
      </c>
      <c r="U120" s="1187">
        <f>U20+U29+U39+U47+U54+U61+U78+U83+U85+U96+U100+U103+U108+U113+U116+U110+U119</f>
        <v>5078648.8220666666</v>
      </c>
      <c r="V120" s="1187">
        <f>V20+V29+V39+V47+V54+V61+V78+V83+V85+V96+V100+V103+V108+V113+V116+V110+V119</f>
        <v>10307849.872066667</v>
      </c>
    </row>
    <row r="121" spans="1:23">
      <c r="A121" s="149"/>
      <c r="B121" s="149"/>
      <c r="C121" s="1187" t="s">
        <v>1552</v>
      </c>
      <c r="D121" s="149"/>
      <c r="E121" s="1213"/>
      <c r="F121" s="149"/>
      <c r="G121" s="149"/>
      <c r="H121" s="1132"/>
      <c r="I121" s="1132"/>
      <c r="J121" s="1132"/>
      <c r="K121" s="1132"/>
      <c r="L121" s="1133"/>
      <c r="M121" s="1133">
        <f>'[25]2014预算稿 '!J130</f>
        <v>3334232</v>
      </c>
      <c r="N121" s="1133">
        <f>L120-M120</f>
        <v>-78872772.23121503</v>
      </c>
      <c r="O121" s="1133"/>
      <c r="P121" s="1165"/>
      <c r="Q121" s="149"/>
      <c r="R121" s="1161"/>
      <c r="S121" s="1161"/>
      <c r="T121" s="1161"/>
      <c r="U121" s="1161"/>
      <c r="V121" s="149"/>
    </row>
    <row r="122" spans="1:23" s="53" customFormat="1" hidden="1" outlineLevel="1">
      <c r="A122" s="1149"/>
      <c r="B122" s="149"/>
      <c r="C122" s="149"/>
      <c r="D122" s="149"/>
      <c r="E122" s="1213"/>
      <c r="F122" s="149"/>
      <c r="G122" s="1132"/>
      <c r="H122" s="1132"/>
      <c r="I122" s="1132"/>
      <c r="J122" s="1132"/>
      <c r="K122" s="1132"/>
      <c r="L122" s="1133"/>
      <c r="M122" s="1132"/>
      <c r="N122" s="1132">
        <f>N120-N121</f>
        <v>0</v>
      </c>
      <c r="O122" s="1159"/>
      <c r="P122" s="1206"/>
      <c r="Q122" s="149"/>
      <c r="R122" s="1161"/>
      <c r="S122" s="1161"/>
      <c r="T122" s="1161"/>
      <c r="U122" s="1161"/>
      <c r="V122" s="149"/>
    </row>
    <row r="123" spans="1:23" hidden="1" outlineLevel="1">
      <c r="A123" s="1149" t="s">
        <v>93</v>
      </c>
      <c r="B123" s="1149"/>
      <c r="C123" s="1154" t="s">
        <v>945</v>
      </c>
      <c r="D123" s="1179"/>
      <c r="E123" s="1180"/>
      <c r="F123" s="1179"/>
      <c r="G123" s="1132"/>
      <c r="H123" s="1132"/>
      <c r="I123" s="1132"/>
      <c r="J123" s="1132"/>
      <c r="K123" s="1132"/>
      <c r="L123" s="1237" t="s">
        <v>1553</v>
      </c>
      <c r="M123" s="1133">
        <f>SUM(M120:M122)</f>
        <v>134136445.1882412</v>
      </c>
      <c r="N123" s="1133"/>
      <c r="O123" s="1133"/>
      <c r="P123" s="1165"/>
      <c r="Q123" s="149"/>
      <c r="R123" s="1161">
        <f>R120-R113-[21]导出数据!F53</f>
        <v>-15781761.639999997</v>
      </c>
      <c r="S123" s="1161">
        <f>S120-S113-[21]导出数据!J53</f>
        <v>-9363121.5599999987</v>
      </c>
      <c r="T123" s="1161">
        <f>T120-T113-[21]导出数据!N53</f>
        <v>-9160953.9399999995</v>
      </c>
      <c r="U123" s="1161">
        <f>U120-'[21]导出数据-1'!F46-'[21]导出数据-1'!V60</f>
        <v>-6201805.1600000001</v>
      </c>
      <c r="V123" s="1161"/>
    </row>
    <row r="124" spans="1:23" collapsed="1">
      <c r="A124" s="1149"/>
      <c r="B124" s="1149"/>
      <c r="C124" s="1154" t="s">
        <v>946</v>
      </c>
      <c r="D124" s="1179"/>
      <c r="E124" s="1180"/>
      <c r="F124" s="1179"/>
      <c r="G124" s="1132"/>
      <c r="H124" s="1132"/>
      <c r="I124" s="1132"/>
      <c r="J124" s="1132"/>
      <c r="K124" s="1132"/>
      <c r="L124" s="1133"/>
      <c r="M124" s="1133"/>
      <c r="N124" s="1133"/>
      <c r="O124" s="1133"/>
      <c r="P124" s="1135"/>
      <c r="Q124" s="149"/>
      <c r="R124" s="1161"/>
      <c r="S124" s="1161"/>
      <c r="T124" s="1161"/>
      <c r="U124" s="1161"/>
      <c r="V124" s="149"/>
    </row>
    <row r="125" spans="1:23">
      <c r="A125" s="17"/>
      <c r="B125" s="17"/>
      <c r="C125" s="90" t="s">
        <v>1554</v>
      </c>
      <c r="D125" s="45"/>
      <c r="E125" s="1238"/>
      <c r="F125" s="45"/>
      <c r="G125" s="5"/>
      <c r="R125" s="1239"/>
      <c r="S125" s="1239"/>
      <c r="T125" s="1239"/>
      <c r="U125" s="1239"/>
    </row>
    <row r="126" spans="1:23">
      <c r="A126" s="17"/>
      <c r="B126" s="17"/>
      <c r="C126" s="90" t="s">
        <v>1555</v>
      </c>
      <c r="D126" s="1240" t="s">
        <v>1556</v>
      </c>
      <c r="E126" s="1238"/>
      <c r="F126" s="45"/>
      <c r="G126" s="5"/>
      <c r="R126" s="1239"/>
      <c r="S126" s="1239"/>
      <c r="T126" s="1239"/>
      <c r="U126" s="1239"/>
    </row>
    <row r="127" spans="1:23">
      <c r="G127" s="5"/>
      <c r="R127" s="1239"/>
      <c r="S127" s="1239"/>
      <c r="T127" s="1239"/>
      <c r="U127" s="1239"/>
    </row>
    <row r="128" spans="1:23" hidden="1">
      <c r="D128" s="1242" t="s">
        <v>919</v>
      </c>
      <c r="E128" s="1243"/>
      <c r="F128" s="1242"/>
      <c r="R128" s="1239"/>
      <c r="S128" s="1239"/>
      <c r="T128" s="1239"/>
      <c r="U128" s="1239"/>
    </row>
    <row r="129" spans="1:21" ht="25.5" hidden="1">
      <c r="A129" s="90" t="s">
        <v>743</v>
      </c>
      <c r="C129" s="105" t="s">
        <v>920</v>
      </c>
      <c r="M129" s="106" t="s">
        <v>921</v>
      </c>
      <c r="N129" s="106"/>
      <c r="R129" s="1239"/>
      <c r="S129" s="1239"/>
      <c r="T129" s="1239"/>
      <c r="U129" s="1239"/>
    </row>
    <row r="130" spans="1:21" ht="37.5" hidden="1">
      <c r="C130" s="107"/>
      <c r="D130" s="1244" t="s">
        <v>94</v>
      </c>
      <c r="E130" s="1245"/>
      <c r="F130" s="1244"/>
      <c r="G130" s="5">
        <f>[25]武汉研发中心!B135</f>
        <v>36000</v>
      </c>
      <c r="H130" s="73">
        <f>[25]武汉研发中心!B131</f>
        <v>108000</v>
      </c>
      <c r="I130" s="73">
        <f t="shared" ref="I130:K131" si="45">$G130*3</f>
        <v>108000</v>
      </c>
      <c r="J130" s="73">
        <f t="shared" si="45"/>
        <v>108000</v>
      </c>
      <c r="K130" s="73">
        <f t="shared" si="45"/>
        <v>108000</v>
      </c>
      <c r="L130" s="5">
        <f>SUM(H130:K130)</f>
        <v>432000</v>
      </c>
      <c r="M130" s="6">
        <f>[25]武汉研发中心!B126</f>
        <v>412000</v>
      </c>
      <c r="N130" s="6">
        <f t="shared" ref="N130:N145" si="46">L130-M130</f>
        <v>20000</v>
      </c>
      <c r="O130" s="25">
        <f t="shared" ref="O130:O144" si="47">(L130-M130)/M130</f>
        <v>4.8543689320388349E-2</v>
      </c>
      <c r="P130" s="8" t="s">
        <v>1557</v>
      </c>
      <c r="R130" s="1239"/>
      <c r="S130" s="1239"/>
      <c r="T130" s="1239"/>
      <c r="U130" s="1239"/>
    </row>
    <row r="131" spans="1:21" ht="24" hidden="1">
      <c r="A131" s="90"/>
      <c r="C131" s="107"/>
      <c r="D131" s="1244" t="s">
        <v>95</v>
      </c>
      <c r="E131" s="1245"/>
      <c r="F131" s="1244"/>
      <c r="G131" s="5">
        <f>[25]武汉研发中心!B152</f>
        <v>5652</v>
      </c>
      <c r="H131" s="73">
        <f>$G131*3</f>
        <v>16956</v>
      </c>
      <c r="I131" s="73">
        <f t="shared" si="45"/>
        <v>16956</v>
      </c>
      <c r="J131" s="73">
        <f t="shared" si="45"/>
        <v>16956</v>
      </c>
      <c r="K131" s="73">
        <f t="shared" si="45"/>
        <v>16956</v>
      </c>
      <c r="L131" s="6">
        <f t="shared" ref="L131:L144" si="48">SUM(H131:K131)</f>
        <v>67824</v>
      </c>
      <c r="M131" s="6">
        <f>[25]武汉研发中心!B143</f>
        <v>64684</v>
      </c>
      <c r="N131" s="6">
        <f t="shared" si="46"/>
        <v>3140</v>
      </c>
      <c r="O131" s="25">
        <f t="shared" si="47"/>
        <v>4.8543689320388349E-2</v>
      </c>
      <c r="P131" s="109" t="s">
        <v>96</v>
      </c>
      <c r="R131" s="1239"/>
      <c r="S131" s="1239"/>
      <c r="T131" s="1239"/>
      <c r="U131" s="1239"/>
    </row>
    <row r="132" spans="1:21" hidden="1">
      <c r="A132" s="90"/>
      <c r="C132" s="107"/>
      <c r="D132" s="2" t="s">
        <v>97</v>
      </c>
      <c r="G132" s="5">
        <f>[25]武汉研发中心!B165</f>
        <v>2451.3333333333335</v>
      </c>
      <c r="H132" s="73">
        <f t="shared" ref="H132:K136" si="49">$G132*3</f>
        <v>7354</v>
      </c>
      <c r="I132" s="73">
        <f t="shared" si="49"/>
        <v>7354</v>
      </c>
      <c r="J132" s="73">
        <f t="shared" si="49"/>
        <v>7354</v>
      </c>
      <c r="K132" s="73">
        <f t="shared" si="49"/>
        <v>7354</v>
      </c>
      <c r="L132" s="6">
        <f t="shared" si="48"/>
        <v>29416</v>
      </c>
      <c r="M132" s="6">
        <f>[25]武汉研发中心!B158</f>
        <v>29416</v>
      </c>
      <c r="N132" s="6">
        <f t="shared" si="46"/>
        <v>0</v>
      </c>
      <c r="O132" s="25">
        <f t="shared" si="47"/>
        <v>0</v>
      </c>
      <c r="P132" s="8" t="s">
        <v>98</v>
      </c>
      <c r="R132" s="1239"/>
      <c r="S132" s="1239"/>
      <c r="T132" s="1239"/>
      <c r="U132" s="1239"/>
    </row>
    <row r="133" spans="1:21" hidden="1">
      <c r="A133" s="90"/>
      <c r="C133" s="107"/>
      <c r="D133" s="1244" t="s">
        <v>99</v>
      </c>
      <c r="E133" s="1245"/>
      <c r="F133" s="1244"/>
      <c r="G133" s="5">
        <f>[25]武汉研发中心!B178</f>
        <v>1634.1666666666667</v>
      </c>
      <c r="H133" s="73">
        <f t="shared" si="49"/>
        <v>4902.5</v>
      </c>
      <c r="I133" s="73">
        <f t="shared" si="49"/>
        <v>4902.5</v>
      </c>
      <c r="J133" s="73">
        <f t="shared" si="49"/>
        <v>4902.5</v>
      </c>
      <c r="K133" s="73">
        <f t="shared" si="49"/>
        <v>4902.5</v>
      </c>
      <c r="L133" s="6">
        <f t="shared" si="48"/>
        <v>19610</v>
      </c>
      <c r="M133" s="6">
        <f>[25]武汉研发中心!B171</f>
        <v>19610</v>
      </c>
      <c r="N133" s="6">
        <f t="shared" si="46"/>
        <v>0</v>
      </c>
      <c r="O133" s="25">
        <f t="shared" si="47"/>
        <v>0</v>
      </c>
      <c r="P133" s="8" t="s">
        <v>100</v>
      </c>
      <c r="R133" s="1239"/>
      <c r="S133" s="1239"/>
      <c r="T133" s="1239"/>
      <c r="U133" s="1239"/>
    </row>
    <row r="134" spans="1:21" ht="36" hidden="1">
      <c r="C134" s="107"/>
      <c r="D134" s="1244" t="s">
        <v>101</v>
      </c>
      <c r="E134" s="1245"/>
      <c r="F134" s="1244"/>
      <c r="G134" s="5">
        <f>[25]武汉研发中心!B11</f>
        <v>99.600000000000009</v>
      </c>
      <c r="H134" s="73">
        <f t="shared" si="49"/>
        <v>298.8</v>
      </c>
      <c r="I134" s="73">
        <f t="shared" si="49"/>
        <v>298.8</v>
      </c>
      <c r="J134" s="73">
        <f t="shared" si="49"/>
        <v>298.8</v>
      </c>
      <c r="K134" s="73">
        <f t="shared" si="49"/>
        <v>298.8</v>
      </c>
      <c r="L134" s="6">
        <f t="shared" si="48"/>
        <v>1195.2</v>
      </c>
      <c r="M134" s="6">
        <f>[25]武汉研发中心!B4*2</f>
        <v>996</v>
      </c>
      <c r="N134" s="6">
        <f t="shared" si="46"/>
        <v>199.20000000000005</v>
      </c>
      <c r="O134" s="25">
        <f t="shared" si="47"/>
        <v>0.20000000000000004</v>
      </c>
      <c r="P134" s="109" t="s">
        <v>929</v>
      </c>
      <c r="R134" s="1239"/>
      <c r="S134" s="1239"/>
      <c r="T134" s="1239"/>
      <c r="U134" s="1239"/>
    </row>
    <row r="135" spans="1:21" ht="37.5" hidden="1">
      <c r="C135" s="1128"/>
      <c r="D135" s="1244" t="s">
        <v>102</v>
      </c>
      <c r="E135" s="1245"/>
      <c r="F135" s="1244"/>
      <c r="G135" s="5">
        <f>[25]武汉研发中心!B29</f>
        <v>13628.442666666668</v>
      </c>
      <c r="H135" s="73">
        <f>$G135*3</f>
        <v>40885.328000000001</v>
      </c>
      <c r="I135" s="73">
        <f t="shared" si="49"/>
        <v>40885.328000000001</v>
      </c>
      <c r="J135" s="73">
        <f t="shared" si="49"/>
        <v>40885.328000000001</v>
      </c>
      <c r="K135" s="73">
        <f t="shared" si="49"/>
        <v>40885.328000000001</v>
      </c>
      <c r="L135" s="6">
        <f t="shared" si="48"/>
        <v>163541.31200000001</v>
      </c>
      <c r="M135" s="6">
        <f>[25]武汉研发中心!B25*12</f>
        <v>136284.42666666667</v>
      </c>
      <c r="N135" s="6">
        <f t="shared" si="46"/>
        <v>27256.885333333339</v>
      </c>
      <c r="O135" s="25">
        <f t="shared" si="47"/>
        <v>0.20000000000000004</v>
      </c>
      <c r="P135" s="8" t="s">
        <v>931</v>
      </c>
      <c r="R135" s="1239"/>
      <c r="S135" s="1239"/>
      <c r="T135" s="1239"/>
      <c r="U135" s="1239"/>
    </row>
    <row r="136" spans="1:21" ht="50.25" hidden="1">
      <c r="C136" s="1128"/>
      <c r="D136" s="1244" t="s">
        <v>103</v>
      </c>
      <c r="E136" s="1245"/>
      <c r="F136" s="1244"/>
      <c r="G136" s="5">
        <f>[25]武汉研发中心!B225</f>
        <v>183.33333333333334</v>
      </c>
      <c r="H136" s="73">
        <f>$G136*3</f>
        <v>550</v>
      </c>
      <c r="I136" s="73">
        <f t="shared" si="49"/>
        <v>550</v>
      </c>
      <c r="J136" s="73">
        <f t="shared" si="49"/>
        <v>550</v>
      </c>
      <c r="K136" s="73">
        <f t="shared" si="49"/>
        <v>550</v>
      </c>
      <c r="L136" s="6">
        <f t="shared" si="48"/>
        <v>2200</v>
      </c>
      <c r="M136" s="6">
        <f>[25]武汉研发中心!B218</f>
        <v>2000</v>
      </c>
      <c r="N136" s="6">
        <f t="shared" si="46"/>
        <v>200</v>
      </c>
      <c r="O136" s="25">
        <f t="shared" si="47"/>
        <v>0.1</v>
      </c>
      <c r="P136" s="8" t="s">
        <v>104</v>
      </c>
      <c r="R136" s="1239"/>
      <c r="S136" s="1239"/>
      <c r="T136" s="1239"/>
      <c r="U136" s="1239"/>
    </row>
    <row r="137" spans="1:21" hidden="1">
      <c r="C137" s="1128"/>
      <c r="D137" s="1244" t="s">
        <v>71</v>
      </c>
      <c r="E137" s="1245"/>
      <c r="F137" s="1244"/>
      <c r="G137" s="5">
        <f>[25]武汉研发中心!B101</f>
        <v>41.81818181818182</v>
      </c>
      <c r="H137" s="73">
        <f t="shared" ref="H137:K144" si="50">$G137*3</f>
        <v>125.45454545454547</v>
      </c>
      <c r="I137" s="73">
        <f t="shared" si="50"/>
        <v>125.45454545454547</v>
      </c>
      <c r="J137" s="73">
        <f t="shared" si="50"/>
        <v>125.45454545454547</v>
      </c>
      <c r="K137" s="73">
        <f t="shared" si="50"/>
        <v>125.45454545454547</v>
      </c>
      <c r="L137" s="6">
        <f t="shared" si="48"/>
        <v>501.81818181818187</v>
      </c>
      <c r="M137" s="6">
        <f>[25]武汉研发中心!B97*12</f>
        <v>436.36363636363637</v>
      </c>
      <c r="N137" s="6">
        <f t="shared" si="46"/>
        <v>65.454545454545496</v>
      </c>
      <c r="O137" s="25">
        <f t="shared" si="47"/>
        <v>0.15000000000000008</v>
      </c>
      <c r="R137" s="1239"/>
      <c r="S137" s="1239"/>
      <c r="T137" s="1239"/>
      <c r="U137" s="1239"/>
    </row>
    <row r="138" spans="1:21" hidden="1">
      <c r="C138" s="1128"/>
      <c r="D138" s="1246" t="s">
        <v>105</v>
      </c>
      <c r="E138" s="1247"/>
      <c r="F138" s="1246"/>
      <c r="G138" s="5">
        <f>[25]武汉研发中心!B238</f>
        <v>3000</v>
      </c>
      <c r="H138" s="73">
        <f t="shared" si="50"/>
        <v>9000</v>
      </c>
      <c r="I138" s="5">
        <f t="shared" si="50"/>
        <v>9000</v>
      </c>
      <c r="J138" s="5">
        <f t="shared" si="50"/>
        <v>9000</v>
      </c>
      <c r="K138" s="5">
        <f t="shared" si="50"/>
        <v>9000</v>
      </c>
      <c r="L138" s="6">
        <f>SUM(H138:K138)</f>
        <v>36000</v>
      </c>
      <c r="M138" s="6">
        <f>[25]武汉研发中心!B231</f>
        <v>24000</v>
      </c>
      <c r="N138" s="6">
        <f t="shared" si="46"/>
        <v>12000</v>
      </c>
      <c r="O138" s="25">
        <f t="shared" si="47"/>
        <v>0.5</v>
      </c>
      <c r="R138" s="1239"/>
      <c r="S138" s="1239"/>
      <c r="T138" s="1239"/>
      <c r="U138" s="1239"/>
    </row>
    <row r="139" spans="1:21" ht="37.5" hidden="1">
      <c r="D139" s="1244" t="s">
        <v>106</v>
      </c>
      <c r="E139" s="1245"/>
      <c r="F139" s="1244"/>
      <c r="G139" s="5">
        <f>[25]武汉研发中心!B212</f>
        <v>4740</v>
      </c>
      <c r="H139" s="73">
        <f t="shared" si="50"/>
        <v>14220</v>
      </c>
      <c r="I139" s="73">
        <f t="shared" si="50"/>
        <v>14220</v>
      </c>
      <c r="J139" s="73">
        <f t="shared" si="50"/>
        <v>14220</v>
      </c>
      <c r="K139" s="73">
        <f t="shared" si="50"/>
        <v>14220</v>
      </c>
      <c r="L139" s="6">
        <f t="shared" si="48"/>
        <v>56880</v>
      </c>
      <c r="M139" s="6">
        <f>[25]武汉研发中心!B203</f>
        <v>47400</v>
      </c>
      <c r="N139" s="6">
        <f t="shared" si="46"/>
        <v>9480</v>
      </c>
      <c r="O139" s="25">
        <f t="shared" si="47"/>
        <v>0.2</v>
      </c>
      <c r="P139" s="8" t="s">
        <v>107</v>
      </c>
      <c r="R139" s="1239"/>
      <c r="S139" s="1239"/>
      <c r="T139" s="1239"/>
      <c r="U139" s="1239"/>
    </row>
    <row r="140" spans="1:21" ht="25.5" hidden="1">
      <c r="C140" s="1128"/>
      <c r="D140" s="1244" t="s">
        <v>108</v>
      </c>
      <c r="E140" s="1245"/>
      <c r="F140" s="1244"/>
      <c r="G140" s="5">
        <f>[25]武汉研发中心!B81</f>
        <v>62.727272727272727</v>
      </c>
      <c r="H140" s="73">
        <f t="shared" si="50"/>
        <v>188.18181818181819</v>
      </c>
      <c r="I140" s="73">
        <f t="shared" si="50"/>
        <v>188.18181818181819</v>
      </c>
      <c r="J140" s="73">
        <f t="shared" si="50"/>
        <v>188.18181818181819</v>
      </c>
      <c r="K140" s="73">
        <f t="shared" si="50"/>
        <v>188.18181818181819</v>
      </c>
      <c r="L140" s="6">
        <f t="shared" si="48"/>
        <v>752.72727272727275</v>
      </c>
      <c r="M140" s="6">
        <f>[25]武汉研发中心!B77*12</f>
        <v>654.5454545454545</v>
      </c>
      <c r="N140" s="6">
        <f t="shared" si="46"/>
        <v>98.181818181818244</v>
      </c>
      <c r="O140" s="25">
        <f t="shared" si="47"/>
        <v>0.15000000000000011</v>
      </c>
      <c r="P140" s="8" t="s">
        <v>937</v>
      </c>
      <c r="R140" s="1239"/>
      <c r="S140" s="1239"/>
      <c r="T140" s="1239"/>
      <c r="U140" s="1239"/>
    </row>
    <row r="141" spans="1:21" hidden="1">
      <c r="C141" s="1128"/>
      <c r="D141" s="1244" t="s">
        <v>109</v>
      </c>
      <c r="E141" s="1245"/>
      <c r="F141" s="1244"/>
      <c r="G141" s="5">
        <f>[25]武汉研发中心!B61</f>
        <v>1063.2704500000002</v>
      </c>
      <c r="H141" s="73">
        <f t="shared" si="50"/>
        <v>3189.8113500000009</v>
      </c>
      <c r="I141" s="73">
        <f t="shared" si="50"/>
        <v>3189.8113500000009</v>
      </c>
      <c r="J141" s="73">
        <f t="shared" si="50"/>
        <v>3189.8113500000009</v>
      </c>
      <c r="K141" s="73">
        <f t="shared" si="50"/>
        <v>3189.8113500000009</v>
      </c>
      <c r="L141" s="6">
        <f t="shared" si="48"/>
        <v>12759.245400000003</v>
      </c>
      <c r="M141" s="6">
        <f>[25]武汉研发中心!B57*12</f>
        <v>11094.996000000003</v>
      </c>
      <c r="N141" s="6">
        <f t="shared" si="46"/>
        <v>1664.2494000000006</v>
      </c>
      <c r="O141" s="25">
        <f t="shared" si="47"/>
        <v>0.15000000000000002</v>
      </c>
      <c r="R141" s="1239"/>
      <c r="S141" s="1239"/>
      <c r="T141" s="1239"/>
      <c r="U141" s="1239"/>
    </row>
    <row r="142" spans="1:21" ht="37.5" hidden="1">
      <c r="C142" s="1128"/>
      <c r="D142" s="1244" t="s">
        <v>110</v>
      </c>
      <c r="E142" s="1245"/>
      <c r="F142" s="1244"/>
      <c r="G142" s="5">
        <f>[25]武汉研发中心!B195</f>
        <v>2676</v>
      </c>
      <c r="H142" s="73">
        <f t="shared" si="50"/>
        <v>8028</v>
      </c>
      <c r="I142" s="73">
        <f t="shared" si="50"/>
        <v>8028</v>
      </c>
      <c r="J142" s="73">
        <f t="shared" si="50"/>
        <v>8028</v>
      </c>
      <c r="K142" s="73">
        <f t="shared" si="50"/>
        <v>8028</v>
      </c>
      <c r="L142" s="6">
        <f t="shared" si="48"/>
        <v>32112</v>
      </c>
      <c r="M142" s="6">
        <f>[25]武汉研发中心!B186</f>
        <v>26760</v>
      </c>
      <c r="N142" s="6">
        <f t="shared" si="46"/>
        <v>5352</v>
      </c>
      <c r="O142" s="25">
        <f t="shared" si="47"/>
        <v>0.2</v>
      </c>
      <c r="P142" s="8" t="s">
        <v>111</v>
      </c>
      <c r="R142" s="1239"/>
      <c r="S142" s="1239"/>
      <c r="T142" s="1239"/>
      <c r="U142" s="1239"/>
    </row>
    <row r="143" spans="1:21" ht="49.5" hidden="1">
      <c r="C143" s="1128"/>
      <c r="D143" s="1244" t="s">
        <v>112</v>
      </c>
      <c r="E143" s="1245"/>
      <c r="F143" s="1244"/>
      <c r="G143" s="5">
        <f>[25]武汉研发中心!B118</f>
        <v>412.08333333333331</v>
      </c>
      <c r="H143" s="73">
        <f t="shared" si="50"/>
        <v>1236.25</v>
      </c>
      <c r="I143" s="73">
        <f t="shared" si="50"/>
        <v>1236.25</v>
      </c>
      <c r="J143" s="73">
        <f t="shared" si="50"/>
        <v>1236.25</v>
      </c>
      <c r="K143" s="73">
        <f t="shared" si="50"/>
        <v>1236.25</v>
      </c>
      <c r="L143" s="6">
        <f t="shared" si="48"/>
        <v>4945</v>
      </c>
      <c r="M143" s="6">
        <f>[25]武汉研发中心!B109</f>
        <v>2300</v>
      </c>
      <c r="N143" s="6">
        <f t="shared" si="46"/>
        <v>2645</v>
      </c>
      <c r="O143" s="25">
        <f t="shared" si="47"/>
        <v>1.1499999999999999</v>
      </c>
      <c r="P143" s="111" t="s">
        <v>113</v>
      </c>
      <c r="R143" s="1239"/>
      <c r="S143" s="1239"/>
      <c r="T143" s="1239"/>
      <c r="U143" s="1239"/>
    </row>
    <row r="144" spans="1:21" ht="20.25" hidden="1" customHeight="1">
      <c r="C144" s="1128"/>
      <c r="D144" s="1244" t="s">
        <v>114</v>
      </c>
      <c r="E144" s="1245"/>
      <c r="F144" s="1244"/>
      <c r="G144" s="5">
        <f>[25]武汉研发中心!B42</f>
        <v>742.5</v>
      </c>
      <c r="H144" s="73">
        <f t="shared" si="50"/>
        <v>2227.5</v>
      </c>
      <c r="I144" s="73">
        <f t="shared" si="50"/>
        <v>2227.5</v>
      </c>
      <c r="J144" s="73">
        <f t="shared" si="50"/>
        <v>2227.5</v>
      </c>
      <c r="K144" s="73">
        <f t="shared" si="50"/>
        <v>2227.5</v>
      </c>
      <c r="L144" s="6">
        <f t="shared" si="48"/>
        <v>8910</v>
      </c>
      <c r="M144" s="6">
        <f>[25]武汉研发中心!B35</f>
        <v>8100</v>
      </c>
      <c r="N144" s="6">
        <f t="shared" si="46"/>
        <v>810</v>
      </c>
      <c r="O144" s="25">
        <f t="shared" si="47"/>
        <v>0.1</v>
      </c>
      <c r="P144" s="8" t="s">
        <v>942</v>
      </c>
      <c r="R144" s="1239"/>
      <c r="S144" s="1239"/>
      <c r="T144" s="1239"/>
      <c r="U144" s="1239"/>
    </row>
    <row r="145" spans="1:21" ht="15" hidden="1">
      <c r="H145" s="92">
        <f t="shared" ref="H145:M145" si="51">SUM(H130:H144)</f>
        <v>217161.82571363638</v>
      </c>
      <c r="I145" s="92">
        <f t="shared" si="51"/>
        <v>217161.82571363638</v>
      </c>
      <c r="J145" s="92">
        <f t="shared" si="51"/>
        <v>217161.82571363638</v>
      </c>
      <c r="K145" s="92">
        <f t="shared" si="51"/>
        <v>217161.82571363638</v>
      </c>
      <c r="L145" s="92">
        <f t="shared" si="51"/>
        <v>868647.30285454553</v>
      </c>
      <c r="M145" s="112">
        <f t="shared" si="51"/>
        <v>785736.33175757574</v>
      </c>
      <c r="N145" s="113">
        <f t="shared" si="46"/>
        <v>82910.971096969792</v>
      </c>
      <c r="O145" s="25">
        <f>(L145-M145)/M145</f>
        <v>0.10552009337726592</v>
      </c>
      <c r="R145" s="1239"/>
      <c r="S145" s="1239"/>
      <c r="T145" s="1239"/>
      <c r="U145" s="1239"/>
    </row>
    <row r="146" spans="1:21" hidden="1">
      <c r="N146" s="6">
        <f>L145-M145</f>
        <v>82910.971096969792</v>
      </c>
    </row>
    <row r="147" spans="1:21" hidden="1"/>
    <row r="148" spans="1:21" hidden="1">
      <c r="D148" s="1248" t="s">
        <v>115</v>
      </c>
      <c r="E148" s="1249"/>
      <c r="F148" s="1248"/>
      <c r="H148" s="94">
        <f>+H120+H145</f>
        <v>11882276.096013637</v>
      </c>
      <c r="I148" s="94">
        <f>+I120+I145</f>
        <v>14900297.047163639</v>
      </c>
      <c r="J148" s="94">
        <f>+J120+J145</f>
        <v>13889429.858639792</v>
      </c>
      <c r="K148" s="94">
        <f>+K120+K145</f>
        <v>12126085.258063637</v>
      </c>
      <c r="L148" s="94">
        <f>+L120+L145</f>
        <v>52798088.259880707</v>
      </c>
      <c r="M148" s="94">
        <f>M120+M145</f>
        <v>131587949.51999877</v>
      </c>
      <c r="N148" s="94"/>
      <c r="O148" s="25">
        <f>(L148-M148)/M148</f>
        <v>-0.5987619804664831</v>
      </c>
      <c r="P148" s="114">
        <f>L148-M148</f>
        <v>-78789861.260118067</v>
      </c>
    </row>
    <row r="149" spans="1:21" hidden="1">
      <c r="A149" s="93" t="s">
        <v>1558</v>
      </c>
    </row>
  </sheetData>
  <autoFilter ref="D3:F126"/>
  <mergeCells count="16">
    <mergeCell ref="R1:V1"/>
    <mergeCell ref="W57:W62"/>
    <mergeCell ref="W32:W33"/>
    <mergeCell ref="U104:U105"/>
    <mergeCell ref="R55:R60"/>
    <mergeCell ref="S55:S60"/>
    <mergeCell ref="T55:T60"/>
    <mergeCell ref="U55:U60"/>
    <mergeCell ref="R40:R46"/>
    <mergeCell ref="S40:S46"/>
    <mergeCell ref="T40:T46"/>
    <mergeCell ref="M3:O3"/>
    <mergeCell ref="M4:M5"/>
    <mergeCell ref="N4:N5"/>
    <mergeCell ref="O4:O5"/>
    <mergeCell ref="V55:V60"/>
  </mergeCells>
  <phoneticPr fontId="5" type="noConversion"/>
  <printOptions horizontalCentered="1"/>
  <pageMargins left="0.23622047244094491" right="0.23622047244094491" top="0.43307086614173229" bottom="0.35433070866141736" header="0.31496062992125984" footer="0.15748031496062992"/>
  <pageSetup paperSize="8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O165"/>
  <sheetViews>
    <sheetView showGridLines="0" zoomScale="90" zoomScaleNormal="90" workbookViewId="0">
      <pane xSplit="4" ySplit="5" topLeftCell="E48" activePane="bottomRight" state="frozen"/>
      <selection pane="topRight" activeCell="E1" sqref="E1"/>
      <selection pane="bottomLeft" activeCell="A6" sqref="A6"/>
      <selection pane="bottomRight" activeCell="F137" sqref="F137"/>
    </sheetView>
  </sheetViews>
  <sheetFormatPr defaultRowHeight="12.75"/>
  <cols>
    <col min="1" max="1" width="2.625" style="4" customWidth="1"/>
    <col min="2" max="2" width="9.75" style="4" customWidth="1"/>
    <col min="3" max="3" width="15.5" style="2" customWidth="1"/>
    <col min="4" max="4" width="32.125" style="3" customWidth="1"/>
    <col min="5" max="5" width="15.375" style="4" bestFit="1" customWidth="1"/>
    <col min="6" max="7" width="11.375" style="5" customWidth="1"/>
    <col min="8" max="9" width="10" style="5" customWidth="1"/>
    <col min="10" max="10" width="13.375" style="6" bestFit="1" customWidth="1"/>
    <col min="11" max="11" width="15.125" style="6" customWidth="1"/>
    <col min="12" max="12" width="14.625" style="6" bestFit="1" customWidth="1"/>
    <col min="13" max="13" width="8.375" style="6" bestFit="1" customWidth="1"/>
    <col min="14" max="14" width="86.875" style="8" customWidth="1"/>
    <col min="15" max="15" width="3.375" style="4" customWidth="1"/>
    <col min="16" max="16384" width="9" style="4"/>
  </cols>
  <sheetData>
    <row r="1" spans="1:14">
      <c r="A1" s="1" t="s">
        <v>703</v>
      </c>
      <c r="B1" s="1"/>
      <c r="M1" s="7"/>
    </row>
    <row r="3" spans="1:14" ht="15.75" thickBot="1">
      <c r="C3" s="9" t="s">
        <v>704</v>
      </c>
      <c r="D3" s="10" t="s">
        <v>705</v>
      </c>
      <c r="E3" s="11" t="s">
        <v>706</v>
      </c>
      <c r="F3" s="12" t="s">
        <v>707</v>
      </c>
      <c r="G3" s="12" t="s">
        <v>656</v>
      </c>
      <c r="H3" s="12" t="s">
        <v>708</v>
      </c>
      <c r="I3" s="12" t="s">
        <v>657</v>
      </c>
      <c r="J3" s="1004" t="s">
        <v>709</v>
      </c>
      <c r="K3" s="1416"/>
      <c r="L3" s="1416"/>
      <c r="M3" s="1416"/>
      <c r="N3" s="13" t="s">
        <v>710</v>
      </c>
    </row>
    <row r="4" spans="1:14">
      <c r="E4" s="14" t="s">
        <v>711</v>
      </c>
      <c r="F4" s="14"/>
      <c r="G4" s="14"/>
      <c r="H4" s="14"/>
      <c r="I4" s="14"/>
      <c r="J4" s="15" t="s">
        <v>712</v>
      </c>
      <c r="K4" s="1429" t="s">
        <v>713</v>
      </c>
      <c r="L4" s="1431" t="s">
        <v>714</v>
      </c>
      <c r="M4" s="1431" t="s">
        <v>715</v>
      </c>
      <c r="N4" s="16" t="s">
        <v>716</v>
      </c>
    </row>
    <row r="5" spans="1:14" ht="15">
      <c r="A5" s="17"/>
      <c r="B5" s="17"/>
      <c r="C5" s="18"/>
      <c r="D5" s="19"/>
      <c r="E5" s="14" t="s">
        <v>717</v>
      </c>
      <c r="F5" s="20" t="s">
        <v>2</v>
      </c>
      <c r="G5" s="20" t="s">
        <v>2</v>
      </c>
      <c r="H5" s="20" t="s">
        <v>2</v>
      </c>
      <c r="I5" s="20" t="s">
        <v>2</v>
      </c>
      <c r="J5" s="15" t="s">
        <v>718</v>
      </c>
      <c r="K5" s="1430"/>
      <c r="L5" s="1432"/>
      <c r="M5" s="1433"/>
    </row>
    <row r="6" spans="1:14">
      <c r="A6" s="17" t="s">
        <v>719</v>
      </c>
      <c r="B6" s="17"/>
      <c r="C6" s="21" t="s">
        <v>720</v>
      </c>
      <c r="D6" s="22" t="s">
        <v>721</v>
      </c>
      <c r="F6" s="23">
        <f>[22]物业房租车位费!K26</f>
        <v>548776.995</v>
      </c>
      <c r="G6" s="14"/>
      <c r="H6" s="14"/>
      <c r="I6" s="14"/>
      <c r="J6" s="24">
        <f>SUM(F6:I6)</f>
        <v>548776.995</v>
      </c>
      <c r="K6" s="24">
        <f>'[22]2014预算稿 '!J6</f>
        <v>3394976.3250000002</v>
      </c>
      <c r="L6" s="24">
        <f>J6-K6</f>
        <v>-2846199.33</v>
      </c>
      <c r="M6" s="25">
        <f>(J6-K6)/K6</f>
        <v>-0.83835616438356164</v>
      </c>
      <c r="N6" s="26" t="s">
        <v>722</v>
      </c>
    </row>
    <row r="7" spans="1:14" ht="24.75">
      <c r="A7" s="17"/>
      <c r="B7" s="17"/>
      <c r="C7" s="21"/>
      <c r="D7" s="22" t="s">
        <v>723</v>
      </c>
      <c r="E7" s="24">
        <f>26/12</f>
        <v>2.1666666666666665</v>
      </c>
      <c r="F7" s="24">
        <f>$E7*3</f>
        <v>6.5</v>
      </c>
      <c r="G7" s="24">
        <f t="shared" ref="F7:I13" si="0">$E7*3</f>
        <v>6.5</v>
      </c>
      <c r="H7" s="24">
        <f t="shared" si="0"/>
        <v>6.5</v>
      </c>
      <c r="I7" s="24">
        <f t="shared" si="0"/>
        <v>6.5</v>
      </c>
      <c r="J7" s="24">
        <f t="shared" ref="J7:J21" si="1">F7+G7+H7+I7</f>
        <v>26</v>
      </c>
      <c r="K7" s="24">
        <f>'[22]2014预算稿 '!J7</f>
        <v>1130081.9494500002</v>
      </c>
      <c r="L7" s="24">
        <f t="shared" ref="L7:L21" si="2">J7-K7</f>
        <v>-1130055.9494500002</v>
      </c>
      <c r="M7" s="25">
        <f t="shared" ref="M7:M29" si="3">(J7-K7)/K7</f>
        <v>-0.99997699281896091</v>
      </c>
      <c r="N7" s="27" t="s">
        <v>724</v>
      </c>
    </row>
    <row r="8" spans="1:14">
      <c r="A8" s="28"/>
      <c r="B8" s="17"/>
      <c r="C8" s="21"/>
      <c r="D8" s="29" t="s">
        <v>725</v>
      </c>
      <c r="E8" s="24">
        <v>1</v>
      </c>
      <c r="F8" s="24">
        <f>$E8*3</f>
        <v>3</v>
      </c>
      <c r="G8" s="24">
        <f t="shared" si="0"/>
        <v>3</v>
      </c>
      <c r="H8" s="24">
        <f t="shared" si="0"/>
        <v>3</v>
      </c>
      <c r="I8" s="24">
        <f t="shared" si="0"/>
        <v>3</v>
      </c>
      <c r="J8" s="24">
        <f t="shared" si="1"/>
        <v>12</v>
      </c>
      <c r="K8" s="24">
        <f>'[22]2014预算稿 '!J11</f>
        <v>15330828</v>
      </c>
      <c r="L8" s="24">
        <f t="shared" si="2"/>
        <v>-15330816</v>
      </c>
      <c r="M8" s="25">
        <f>(J8-K8)/K8</f>
        <v>-0.99999921726341201</v>
      </c>
      <c r="N8" s="30"/>
    </row>
    <row r="9" spans="1:14">
      <c r="A9" s="28"/>
      <c r="B9" s="17"/>
      <c r="C9" s="21"/>
      <c r="D9" s="29" t="s">
        <v>726</v>
      </c>
      <c r="E9" s="24"/>
      <c r="F9" s="24">
        <f>[22]媒体大厦日常和工程费用!F56</f>
        <v>397207.4</v>
      </c>
      <c r="G9" s="24">
        <f>[22]媒体大厦日常和工程费用!G56</f>
        <v>1125392.8399999999</v>
      </c>
      <c r="H9" s="24">
        <f>[22]媒体大厦日常和工程费用!H56</f>
        <v>1129745.26</v>
      </c>
      <c r="I9" s="24">
        <f>[22]媒体大厦日常和工程费用!I56</f>
        <v>1040589.26</v>
      </c>
      <c r="J9" s="24">
        <f t="shared" si="1"/>
        <v>3692934.76</v>
      </c>
      <c r="K9" s="24">
        <v>0</v>
      </c>
      <c r="L9" s="24">
        <f t="shared" si="2"/>
        <v>3692934.76</v>
      </c>
      <c r="M9" s="25"/>
      <c r="N9" s="31" t="s">
        <v>727</v>
      </c>
    </row>
    <row r="10" spans="1:14">
      <c r="A10" s="28"/>
      <c r="B10" s="17"/>
      <c r="C10" s="21"/>
      <c r="D10" s="22" t="s">
        <v>8</v>
      </c>
      <c r="E10" s="24">
        <f>128/12</f>
        <v>10.666666666666666</v>
      </c>
      <c r="F10" s="24">
        <f>$E10*3</f>
        <v>32</v>
      </c>
      <c r="G10" s="24">
        <f t="shared" si="0"/>
        <v>32</v>
      </c>
      <c r="H10" s="24">
        <f t="shared" si="0"/>
        <v>32</v>
      </c>
      <c r="I10" s="24">
        <f>$E10*3</f>
        <v>32</v>
      </c>
      <c r="J10" s="24">
        <f t="shared" si="1"/>
        <v>128</v>
      </c>
      <c r="K10" s="24">
        <f>'[22]2014预算稿 '!J12</f>
        <v>7694280</v>
      </c>
      <c r="L10" s="24">
        <f t="shared" si="2"/>
        <v>-7694152</v>
      </c>
      <c r="M10" s="25">
        <f t="shared" si="3"/>
        <v>-0.99998336426540235</v>
      </c>
      <c r="N10" s="630" t="s">
        <v>9</v>
      </c>
    </row>
    <row r="11" spans="1:14">
      <c r="A11" s="28"/>
      <c r="B11" s="17"/>
      <c r="C11" s="21"/>
      <c r="D11" s="22" t="s">
        <v>10</v>
      </c>
      <c r="E11" s="24">
        <f>28/12</f>
        <v>2.3333333333333335</v>
      </c>
      <c r="F11" s="24">
        <f t="shared" si="0"/>
        <v>7</v>
      </c>
      <c r="G11" s="24">
        <f t="shared" si="0"/>
        <v>7</v>
      </c>
      <c r="H11" s="24">
        <f t="shared" si="0"/>
        <v>7</v>
      </c>
      <c r="I11" s="24">
        <f t="shared" si="0"/>
        <v>7</v>
      </c>
      <c r="J11" s="24">
        <f t="shared" si="1"/>
        <v>28</v>
      </c>
      <c r="K11" s="24">
        <f>'[22]2014预算稿 '!J13</f>
        <v>676164</v>
      </c>
      <c r="L11" s="24">
        <f t="shared" si="2"/>
        <v>-676136</v>
      </c>
      <c r="M11" s="25">
        <f t="shared" si="3"/>
        <v>-0.99995858992788733</v>
      </c>
      <c r="N11" s="32"/>
    </row>
    <row r="12" spans="1:14" ht="15" customHeight="1">
      <c r="A12" s="28"/>
      <c r="B12" s="17"/>
      <c r="C12" s="21"/>
      <c r="D12" s="22" t="s">
        <v>728</v>
      </c>
      <c r="E12" s="24">
        <f>29/12</f>
        <v>2.4166666666666665</v>
      </c>
      <c r="F12" s="24">
        <f>$E12*3</f>
        <v>7.25</v>
      </c>
      <c r="G12" s="24">
        <f>$E12*3</f>
        <v>7.25</v>
      </c>
      <c r="H12" s="24">
        <f>$E12*3</f>
        <v>7.25</v>
      </c>
      <c r="I12" s="24">
        <f>$E12*3</f>
        <v>7.25</v>
      </c>
      <c r="J12" s="24">
        <f t="shared" si="1"/>
        <v>29</v>
      </c>
      <c r="K12" s="33">
        <f>'[22]2014预算稿 '!J16</f>
        <v>9072000</v>
      </c>
      <c r="L12" s="24">
        <f t="shared" si="2"/>
        <v>-9071971</v>
      </c>
      <c r="M12" s="25">
        <f t="shared" si="3"/>
        <v>-0.99999680335096996</v>
      </c>
      <c r="N12" s="1411" t="s">
        <v>11</v>
      </c>
    </row>
    <row r="13" spans="1:14">
      <c r="A13" s="28"/>
      <c r="B13" s="17"/>
      <c r="C13" s="21"/>
      <c r="D13" s="22" t="s">
        <v>729</v>
      </c>
      <c r="E13" s="24">
        <f>29/12</f>
        <v>2.4166666666666665</v>
      </c>
      <c r="F13" s="24">
        <f t="shared" si="0"/>
        <v>7.25</v>
      </c>
      <c r="G13" s="24">
        <f>$E13*3</f>
        <v>7.25</v>
      </c>
      <c r="H13" s="24">
        <f t="shared" si="0"/>
        <v>7.25</v>
      </c>
      <c r="I13" s="24">
        <f t="shared" si="0"/>
        <v>7.25</v>
      </c>
      <c r="J13" s="24">
        <f t="shared" si="1"/>
        <v>29</v>
      </c>
      <c r="K13" s="33">
        <f>'[22]2014预算稿 '!J17</f>
        <v>751680</v>
      </c>
      <c r="L13" s="24">
        <f t="shared" si="2"/>
        <v>-751651</v>
      </c>
      <c r="M13" s="25">
        <f t="shared" si="3"/>
        <v>-0.99996141975308639</v>
      </c>
      <c r="N13" s="1411"/>
    </row>
    <row r="14" spans="1:14">
      <c r="A14" s="28"/>
      <c r="B14" s="28"/>
      <c r="C14" s="21"/>
      <c r="D14" s="22" t="s">
        <v>730</v>
      </c>
      <c r="E14" s="24">
        <f>[22]物业房租车位费!L30/12</f>
        <v>0</v>
      </c>
      <c r="F14" s="24">
        <f>$E14*3</f>
        <v>0</v>
      </c>
      <c r="G14" s="24"/>
      <c r="H14" s="24"/>
      <c r="I14" s="24"/>
      <c r="J14" s="24">
        <f t="shared" si="1"/>
        <v>0</v>
      </c>
      <c r="K14" s="24">
        <f>'[22]2014预算稿 '!J18</f>
        <v>7709304.1600000001</v>
      </c>
      <c r="L14" s="24">
        <f>J14-K14</f>
        <v>-7709304.1600000001</v>
      </c>
      <c r="M14" s="25">
        <f t="shared" si="3"/>
        <v>-1</v>
      </c>
      <c r="N14" s="1412" t="s">
        <v>731</v>
      </c>
    </row>
    <row r="15" spans="1:14">
      <c r="A15" s="28"/>
      <c r="B15" s="28"/>
      <c r="C15" s="21"/>
      <c r="D15" s="22" t="s">
        <v>732</v>
      </c>
      <c r="E15" s="24">
        <f>[22]物业房租车位费!H30/12</f>
        <v>0</v>
      </c>
      <c r="F15" s="24">
        <f>$E15*3</f>
        <v>0</v>
      </c>
      <c r="G15" s="24"/>
      <c r="H15" s="24"/>
      <c r="I15" s="24"/>
      <c r="J15" s="24">
        <f t="shared" si="1"/>
        <v>0</v>
      </c>
      <c r="K15" s="24">
        <f>'[22]2014预算稿 '!J19</f>
        <v>922402.56</v>
      </c>
      <c r="L15" s="24">
        <f>J15-K15</f>
        <v>-922402.56</v>
      </c>
      <c r="M15" s="25">
        <f t="shared" si="3"/>
        <v>-1</v>
      </c>
      <c r="N15" s="1412"/>
    </row>
    <row r="16" spans="1:14" ht="18" customHeight="1">
      <c r="A16" s="28"/>
      <c r="B16" s="28"/>
      <c r="C16" s="21"/>
      <c r="D16" s="22" t="s">
        <v>733</v>
      </c>
      <c r="E16" s="24">
        <f>31/7</f>
        <v>4.4285714285714288</v>
      </c>
      <c r="F16" s="34">
        <f>E16*3</f>
        <v>13.285714285714286</v>
      </c>
      <c r="G16" s="34">
        <f>E16*5</f>
        <v>22.142857142857146</v>
      </c>
      <c r="H16" s="24">
        <v>0</v>
      </c>
      <c r="I16" s="24">
        <v>0</v>
      </c>
      <c r="J16" s="24">
        <f t="shared" si="1"/>
        <v>35.428571428571431</v>
      </c>
      <c r="K16" s="24">
        <f>'[22]2014预算稿 '!J20</f>
        <v>7795356.7999999998</v>
      </c>
      <c r="L16" s="24">
        <f>J16-K16</f>
        <v>-7795321.3714285716</v>
      </c>
      <c r="M16" s="25">
        <f t="shared" si="3"/>
        <v>-0.99999545517000221</v>
      </c>
      <c r="N16" s="1409" t="s">
        <v>734</v>
      </c>
    </row>
    <row r="17" spans="1:14" ht="18.75" customHeight="1">
      <c r="A17" s="28"/>
      <c r="B17" s="28"/>
      <c r="C17" s="21"/>
      <c r="D17" s="22" t="s">
        <v>735</v>
      </c>
      <c r="E17" s="24">
        <f>31/7</f>
        <v>4.4285714285714288</v>
      </c>
      <c r="F17" s="34">
        <f>E17*3</f>
        <v>13.285714285714286</v>
      </c>
      <c r="G17" s="34">
        <f>E17*4</f>
        <v>17.714285714285715</v>
      </c>
      <c r="H17" s="24">
        <v>0</v>
      </c>
      <c r="I17" s="24">
        <v>0</v>
      </c>
      <c r="J17" s="24">
        <f t="shared" si="1"/>
        <v>31</v>
      </c>
      <c r="K17" s="24">
        <f>'[22]2014预算稿 '!J21</f>
        <v>922402.56</v>
      </c>
      <c r="L17" s="24">
        <f>J17-K17</f>
        <v>-922371.56</v>
      </c>
      <c r="M17" s="25">
        <f t="shared" si="3"/>
        <v>-0.99996639211408955</v>
      </c>
      <c r="N17" s="1409"/>
    </row>
    <row r="18" spans="1:14">
      <c r="A18" s="28"/>
      <c r="B18" s="35" t="s">
        <v>736</v>
      </c>
      <c r="C18" s="21"/>
      <c r="D18" s="22" t="s">
        <v>737</v>
      </c>
      <c r="E18" s="14">
        <f>56/12</f>
        <v>4.666666666666667</v>
      </c>
      <c r="F18" s="14">
        <f t="shared" ref="F18:I21" si="4">$E18*3</f>
        <v>14</v>
      </c>
      <c r="G18" s="14">
        <f t="shared" si="4"/>
        <v>14</v>
      </c>
      <c r="H18" s="14">
        <f t="shared" si="4"/>
        <v>14</v>
      </c>
      <c r="I18" s="14">
        <f t="shared" si="4"/>
        <v>14</v>
      </c>
      <c r="J18" s="24">
        <f t="shared" si="1"/>
        <v>56</v>
      </c>
      <c r="K18" s="36">
        <f>'[22]2014预算稿 '!J14</f>
        <v>14872200</v>
      </c>
      <c r="L18" s="24">
        <f t="shared" si="2"/>
        <v>-14872144</v>
      </c>
      <c r="M18" s="37">
        <f t="shared" si="3"/>
        <v>-0.99999623458533371</v>
      </c>
      <c r="N18" s="1428" t="s">
        <v>738</v>
      </c>
    </row>
    <row r="19" spans="1:14">
      <c r="A19" s="28"/>
      <c r="B19" s="35" t="s">
        <v>736</v>
      </c>
      <c r="C19" s="21"/>
      <c r="D19" s="22" t="s">
        <v>739</v>
      </c>
      <c r="E19" s="14">
        <f>56/12</f>
        <v>4.666666666666667</v>
      </c>
      <c r="F19" s="14">
        <f t="shared" si="4"/>
        <v>14</v>
      </c>
      <c r="G19" s="14">
        <f t="shared" si="4"/>
        <v>14</v>
      </c>
      <c r="H19" s="14">
        <f t="shared" si="4"/>
        <v>14</v>
      </c>
      <c r="I19" s="14">
        <f t="shared" si="4"/>
        <v>14</v>
      </c>
      <c r="J19" s="24">
        <f t="shared" si="1"/>
        <v>56</v>
      </c>
      <c r="K19" s="36">
        <f>'[22]2014预算稿 '!J15</f>
        <v>1250268</v>
      </c>
      <c r="L19" s="24">
        <f t="shared" si="2"/>
        <v>-1250212</v>
      </c>
      <c r="M19" s="37">
        <f t="shared" si="3"/>
        <v>-0.99995520960306106</v>
      </c>
      <c r="N19" s="1428"/>
    </row>
    <row r="20" spans="1:14">
      <c r="A20" s="28"/>
      <c r="B20" s="35" t="s">
        <v>736</v>
      </c>
      <c r="C20" s="21"/>
      <c r="D20" s="22" t="s">
        <v>740</v>
      </c>
      <c r="E20" s="24">
        <f>57/12</f>
        <v>4.75</v>
      </c>
      <c r="F20" s="24">
        <f t="shared" si="4"/>
        <v>14.25</v>
      </c>
      <c r="G20" s="24">
        <f t="shared" si="4"/>
        <v>14.25</v>
      </c>
      <c r="H20" s="24">
        <f t="shared" si="4"/>
        <v>14.25</v>
      </c>
      <c r="I20" s="24">
        <f t="shared" si="4"/>
        <v>14.25</v>
      </c>
      <c r="J20" s="24">
        <f t="shared" si="1"/>
        <v>57</v>
      </c>
      <c r="K20" s="33"/>
      <c r="L20" s="24">
        <f t="shared" si="2"/>
        <v>57</v>
      </c>
      <c r="M20" s="37"/>
      <c r="N20" s="1411" t="s">
        <v>741</v>
      </c>
    </row>
    <row r="21" spans="1:14">
      <c r="A21" s="28"/>
      <c r="B21" s="35" t="s">
        <v>736</v>
      </c>
      <c r="C21" s="21"/>
      <c r="D21" s="22" t="s">
        <v>742</v>
      </c>
      <c r="E21" s="24">
        <f>57/12</f>
        <v>4.75</v>
      </c>
      <c r="F21" s="24">
        <f t="shared" si="4"/>
        <v>14.25</v>
      </c>
      <c r="G21" s="24">
        <f t="shared" si="4"/>
        <v>14.25</v>
      </c>
      <c r="H21" s="24">
        <f t="shared" si="4"/>
        <v>14.25</v>
      </c>
      <c r="I21" s="24">
        <f t="shared" si="4"/>
        <v>14.25</v>
      </c>
      <c r="J21" s="24">
        <f t="shared" si="1"/>
        <v>57</v>
      </c>
      <c r="K21" s="33"/>
      <c r="L21" s="24">
        <f t="shared" si="2"/>
        <v>57</v>
      </c>
      <c r="M21" s="37"/>
      <c r="N21" s="1411"/>
    </row>
    <row r="22" spans="1:14" ht="15">
      <c r="A22" s="28"/>
      <c r="B22" s="28"/>
      <c r="C22" s="21"/>
      <c r="D22" s="22"/>
      <c r="E22" s="24"/>
      <c r="F22" s="38">
        <f t="shared" ref="F22:K22" si="5">SUM(F6:F21)</f>
        <v>946130.46642857138</v>
      </c>
      <c r="G22" s="38">
        <f t="shared" si="5"/>
        <v>1125552.1971428571</v>
      </c>
      <c r="H22" s="38">
        <f t="shared" si="5"/>
        <v>1129864.76</v>
      </c>
      <c r="I22" s="38">
        <f t="shared" si="5"/>
        <v>1040708.76</v>
      </c>
      <c r="J22" s="39">
        <f t="shared" si="5"/>
        <v>4242256.1835714281</v>
      </c>
      <c r="K22" s="40">
        <f t="shared" si="5"/>
        <v>71521944.354450002</v>
      </c>
      <c r="L22" s="41">
        <f>J22-K22</f>
        <v>-67279688.170878574</v>
      </c>
      <c r="M22" s="42">
        <f t="shared" si="3"/>
        <v>-0.9406859499995196</v>
      </c>
      <c r="N22" s="632"/>
    </row>
    <row r="23" spans="1:14">
      <c r="A23" s="17" t="s">
        <v>743</v>
      </c>
      <c r="B23" s="17"/>
      <c r="C23" s="21" t="s">
        <v>744</v>
      </c>
      <c r="D23" s="22" t="s">
        <v>745</v>
      </c>
      <c r="E23" s="5">
        <f>34/12</f>
        <v>2.8333333333333335</v>
      </c>
      <c r="F23" s="24">
        <f>$E23*3</f>
        <v>8.5</v>
      </c>
      <c r="G23" s="24">
        <f t="shared" ref="G23:I25" si="6">$E23*3</f>
        <v>8.5</v>
      </c>
      <c r="H23" s="24">
        <f t="shared" si="6"/>
        <v>8.5</v>
      </c>
      <c r="I23" s="24">
        <f t="shared" si="6"/>
        <v>8.5</v>
      </c>
      <c r="J23" s="24">
        <f t="shared" ref="J23:J32" si="7">F23+G23+H23+I23</f>
        <v>34</v>
      </c>
      <c r="K23" s="24">
        <f>'[22]2014预算稿 '!J23</f>
        <v>78120</v>
      </c>
      <c r="L23" s="24">
        <f t="shared" ref="L23:L76" si="8">J23-K23</f>
        <v>-78086</v>
      </c>
      <c r="M23" s="25">
        <f t="shared" si="3"/>
        <v>-0.99956477214541728</v>
      </c>
      <c r="N23" s="632" t="s">
        <v>746</v>
      </c>
    </row>
    <row r="24" spans="1:14">
      <c r="A24" s="17"/>
      <c r="B24" s="17"/>
      <c r="C24" s="21"/>
      <c r="D24" s="22" t="s">
        <v>747</v>
      </c>
      <c r="E24" s="5">
        <f>([22]物业房租车位费!H36+[22]物业房租车位费!L36)/12</f>
        <v>0</v>
      </c>
      <c r="F24" s="24">
        <f>$E24*3</f>
        <v>0</v>
      </c>
      <c r="G24" s="24">
        <f t="shared" si="6"/>
        <v>0</v>
      </c>
      <c r="H24" s="24">
        <f t="shared" si="6"/>
        <v>0</v>
      </c>
      <c r="I24" s="24">
        <f t="shared" si="6"/>
        <v>0</v>
      </c>
      <c r="J24" s="24">
        <f t="shared" si="7"/>
        <v>0</v>
      </c>
      <c r="K24" s="24">
        <f>'[22]2014预算稿 '!J24</f>
        <v>48000</v>
      </c>
      <c r="L24" s="24">
        <f t="shared" si="8"/>
        <v>-48000</v>
      </c>
      <c r="M24" s="25">
        <f t="shared" si="3"/>
        <v>-1</v>
      </c>
      <c r="N24" s="632" t="s">
        <v>748</v>
      </c>
    </row>
    <row r="25" spans="1:14">
      <c r="A25" s="17"/>
      <c r="B25" s="17"/>
      <c r="C25" s="21"/>
      <c r="D25" s="22" t="s">
        <v>749</v>
      </c>
      <c r="E25" s="5">
        <f>([22]物业房租车位费!H37+[22]物业房租车位费!L37)/12</f>
        <v>5950</v>
      </c>
      <c r="F25" s="24">
        <f>$E25*3</f>
        <v>17850</v>
      </c>
      <c r="G25" s="24">
        <f>$E25*3</f>
        <v>17850</v>
      </c>
      <c r="H25" s="24">
        <f t="shared" si="6"/>
        <v>17850</v>
      </c>
      <c r="I25" s="24">
        <f t="shared" si="6"/>
        <v>17850</v>
      </c>
      <c r="J25" s="24">
        <f t="shared" si="7"/>
        <v>71400</v>
      </c>
      <c r="K25" s="24">
        <f>'[22]2014预算稿 '!J25</f>
        <v>71400</v>
      </c>
      <c r="L25" s="24">
        <f t="shared" si="8"/>
        <v>0</v>
      </c>
      <c r="M25" s="25">
        <f t="shared" si="3"/>
        <v>0</v>
      </c>
      <c r="N25" s="632" t="s">
        <v>750</v>
      </c>
    </row>
    <row r="26" spans="1:14">
      <c r="A26" s="17"/>
      <c r="B26" s="17"/>
      <c r="C26" s="21"/>
      <c r="D26" s="22" t="s">
        <v>751</v>
      </c>
      <c r="E26" s="5">
        <f>38/12</f>
        <v>3.1666666666666665</v>
      </c>
      <c r="F26" s="24">
        <f>$E26*3</f>
        <v>9.5</v>
      </c>
      <c r="G26" s="24">
        <f>$E26*3</f>
        <v>9.5</v>
      </c>
      <c r="H26" s="24">
        <f>$E26*3</f>
        <v>9.5</v>
      </c>
      <c r="I26" s="24">
        <f>$E26*3</f>
        <v>9.5</v>
      </c>
      <c r="J26" s="24">
        <f t="shared" si="7"/>
        <v>38</v>
      </c>
      <c r="K26" s="24">
        <f>'[22]2014预算稿 '!J27</f>
        <v>61200</v>
      </c>
      <c r="L26" s="24">
        <f t="shared" si="8"/>
        <v>-61162</v>
      </c>
      <c r="M26" s="25">
        <f t="shared" si="3"/>
        <v>-0.99937908496732031</v>
      </c>
      <c r="N26" s="631" t="s">
        <v>752</v>
      </c>
    </row>
    <row r="27" spans="1:14" ht="24">
      <c r="A27" s="17"/>
      <c r="B27" s="17"/>
      <c r="C27" s="21"/>
      <c r="D27" s="29" t="s">
        <v>753</v>
      </c>
      <c r="E27" s="5">
        <f>39/12</f>
        <v>3.25</v>
      </c>
      <c r="F27" s="24">
        <f>$E27*3</f>
        <v>9.75</v>
      </c>
      <c r="G27" s="24">
        <f>$E27*3</f>
        <v>9.75</v>
      </c>
      <c r="H27" s="24">
        <f>$E27*3</f>
        <v>9.75</v>
      </c>
      <c r="I27" s="24">
        <f>$E27*3</f>
        <v>9.75</v>
      </c>
      <c r="J27" s="24">
        <f t="shared" si="7"/>
        <v>39</v>
      </c>
      <c r="K27" s="24">
        <f>'[22]2014预算稿 '!J28</f>
        <v>216000</v>
      </c>
      <c r="L27" s="24">
        <f t="shared" si="8"/>
        <v>-215961</v>
      </c>
      <c r="M27" s="25">
        <f t="shared" si="3"/>
        <v>-0.99981944444444448</v>
      </c>
      <c r="N27" s="629" t="s">
        <v>754</v>
      </c>
    </row>
    <row r="28" spans="1:14">
      <c r="A28" s="17"/>
      <c r="B28" s="17"/>
      <c r="C28" s="21"/>
      <c r="D28" s="22" t="s">
        <v>755</v>
      </c>
      <c r="E28" s="5">
        <v>0</v>
      </c>
      <c r="F28" s="24"/>
      <c r="G28" s="24"/>
      <c r="H28" s="24"/>
      <c r="I28" s="24"/>
      <c r="J28" s="24">
        <f t="shared" si="7"/>
        <v>0</v>
      </c>
      <c r="K28" s="24">
        <f>'[22]2014预算稿 '!J29</f>
        <v>156000</v>
      </c>
      <c r="L28" s="24">
        <f t="shared" si="8"/>
        <v>-156000</v>
      </c>
      <c r="M28" s="25">
        <f t="shared" si="3"/>
        <v>-1</v>
      </c>
      <c r="N28" s="632" t="s">
        <v>756</v>
      </c>
    </row>
    <row r="29" spans="1:14">
      <c r="A29" s="17"/>
      <c r="B29" s="17"/>
      <c r="C29" s="21"/>
      <c r="D29" s="22" t="s">
        <v>757</v>
      </c>
      <c r="E29" s="5">
        <f>43/4</f>
        <v>10.75</v>
      </c>
      <c r="F29" s="24">
        <f>$E29*3</f>
        <v>32.25</v>
      </c>
      <c r="G29" s="34">
        <f>$E29*1</f>
        <v>10.75</v>
      </c>
      <c r="H29" s="24">
        <v>0</v>
      </c>
      <c r="I29" s="24">
        <v>0</v>
      </c>
      <c r="J29" s="24">
        <f t="shared" si="7"/>
        <v>43</v>
      </c>
      <c r="K29" s="24">
        <f>'[22]2014预算稿 '!J30</f>
        <v>177600</v>
      </c>
      <c r="L29" s="24">
        <f t="shared" si="8"/>
        <v>-177557</v>
      </c>
      <c r="M29" s="25">
        <f t="shared" si="3"/>
        <v>-0.99975788288288292</v>
      </c>
      <c r="N29" s="27" t="s">
        <v>758</v>
      </c>
    </row>
    <row r="30" spans="1:14">
      <c r="A30" s="17"/>
      <c r="B30" s="35" t="s">
        <v>736</v>
      </c>
      <c r="C30" s="21"/>
      <c r="D30" s="22" t="s">
        <v>759</v>
      </c>
      <c r="E30" s="5">
        <f>60/12</f>
        <v>5</v>
      </c>
      <c r="F30" s="24">
        <f>$E30*3</f>
        <v>15</v>
      </c>
      <c r="G30" s="24">
        <f t="shared" ref="G30:I32" si="9">$E30*3</f>
        <v>15</v>
      </c>
      <c r="H30" s="24">
        <f t="shared" si="9"/>
        <v>15</v>
      </c>
      <c r="I30" s="24">
        <f t="shared" si="9"/>
        <v>15</v>
      </c>
      <c r="J30" s="24">
        <f t="shared" si="7"/>
        <v>60</v>
      </c>
      <c r="K30" s="43">
        <f>'[22]2014预算稿 '!J26</f>
        <v>153000</v>
      </c>
      <c r="L30" s="24">
        <f>J30-K30</f>
        <v>-152940</v>
      </c>
      <c r="M30" s="37">
        <f>(J30-K30)/K30</f>
        <v>-0.99960784313725493</v>
      </c>
      <c r="N30" s="632" t="s">
        <v>750</v>
      </c>
    </row>
    <row r="31" spans="1:14">
      <c r="A31" s="17"/>
      <c r="B31" s="35" t="s">
        <v>736</v>
      </c>
      <c r="C31" s="21"/>
      <c r="D31" s="22" t="s">
        <v>760</v>
      </c>
      <c r="E31" s="699">
        <f>60/12</f>
        <v>5</v>
      </c>
      <c r="F31" s="24">
        <f>$E31*3</f>
        <v>15</v>
      </c>
      <c r="G31" s="24">
        <f t="shared" si="9"/>
        <v>15</v>
      </c>
      <c r="H31" s="24">
        <f t="shared" si="9"/>
        <v>15</v>
      </c>
      <c r="I31" s="24">
        <f t="shared" si="9"/>
        <v>15</v>
      </c>
      <c r="J31" s="24">
        <f t="shared" si="7"/>
        <v>60</v>
      </c>
      <c r="K31" s="24">
        <f>'[22]2014预算稿 '!J132</f>
        <v>0</v>
      </c>
      <c r="L31" s="24">
        <f>J31-K31</f>
        <v>60</v>
      </c>
      <c r="M31" s="37"/>
      <c r="N31" s="631" t="s">
        <v>761</v>
      </c>
    </row>
    <row r="32" spans="1:14">
      <c r="A32" s="17"/>
      <c r="B32" s="35" t="s">
        <v>736</v>
      </c>
      <c r="C32" s="21"/>
      <c r="D32" s="29" t="s">
        <v>762</v>
      </c>
      <c r="E32" s="5">
        <f>62/12</f>
        <v>5.166666666666667</v>
      </c>
      <c r="F32" s="24">
        <f>$E32*3</f>
        <v>15.5</v>
      </c>
      <c r="G32" s="24">
        <f t="shared" si="9"/>
        <v>15.5</v>
      </c>
      <c r="H32" s="24">
        <f t="shared" si="9"/>
        <v>15.5</v>
      </c>
      <c r="I32" s="24">
        <f t="shared" si="9"/>
        <v>15.5</v>
      </c>
      <c r="J32" s="24">
        <f t="shared" si="7"/>
        <v>62</v>
      </c>
      <c r="K32" s="24">
        <f>'[22]2014预算稿 '!J133</f>
        <v>0</v>
      </c>
      <c r="L32" s="24">
        <f>J32-K32</f>
        <v>62</v>
      </c>
      <c r="M32" s="37">
        <v>0</v>
      </c>
      <c r="N32" s="44" t="s">
        <v>763</v>
      </c>
    </row>
    <row r="33" spans="1:14" ht="15">
      <c r="A33" s="17"/>
      <c r="B33" s="17"/>
      <c r="C33" s="21"/>
      <c r="D33" s="22"/>
      <c r="E33" s="5"/>
      <c r="F33" s="38">
        <f t="shared" ref="F33:K33" si="10">SUM(F23:F32)</f>
        <v>17955.5</v>
      </c>
      <c r="G33" s="38">
        <f t="shared" si="10"/>
        <v>17934</v>
      </c>
      <c r="H33" s="38">
        <f t="shared" si="10"/>
        <v>17923.25</v>
      </c>
      <c r="I33" s="38">
        <f t="shared" si="10"/>
        <v>17923.25</v>
      </c>
      <c r="J33" s="39">
        <f t="shared" si="10"/>
        <v>71736</v>
      </c>
      <c r="K33" s="40">
        <f t="shared" si="10"/>
        <v>961320</v>
      </c>
      <c r="L33" s="24">
        <f>J33-K33</f>
        <v>-889584</v>
      </c>
      <c r="M33" s="42">
        <f>(J33-K33)/K33</f>
        <v>-0.92537760579203598</v>
      </c>
      <c r="N33" s="631"/>
    </row>
    <row r="34" spans="1:14" ht="25.5">
      <c r="A34" s="17" t="s">
        <v>743</v>
      </c>
      <c r="B34" s="17"/>
      <c r="C34" s="21" t="s">
        <v>764</v>
      </c>
      <c r="D34" s="22" t="s">
        <v>765</v>
      </c>
      <c r="E34" s="5">
        <f>'[22]部分费用明细（水电植物耗材茶歇）'!E17</f>
        <v>38076</v>
      </c>
      <c r="F34" s="24">
        <f>$E34*3</f>
        <v>114228</v>
      </c>
      <c r="G34" s="24">
        <f t="shared" ref="G34:I40" si="11">$E34*3</f>
        <v>114228</v>
      </c>
      <c r="H34" s="24">
        <f t="shared" si="11"/>
        <v>114228</v>
      </c>
      <c r="I34" s="24">
        <f t="shared" si="11"/>
        <v>114228</v>
      </c>
      <c r="J34" s="24">
        <f t="shared" ref="J34:J43" si="12">F34+G34+H34+I34</f>
        <v>456912</v>
      </c>
      <c r="K34" s="24">
        <f>'[22]2014预算稿 '!J32</f>
        <v>442740</v>
      </c>
      <c r="L34" s="24">
        <f>J34-K34</f>
        <v>14172</v>
      </c>
      <c r="M34" s="25">
        <f>(J34-K34)/K34</f>
        <v>3.200975741970457E-2</v>
      </c>
      <c r="N34" s="632" t="s">
        <v>766</v>
      </c>
    </row>
    <row r="35" spans="1:14">
      <c r="A35" s="28"/>
      <c r="B35" s="28"/>
      <c r="C35" s="21"/>
      <c r="D35" s="22" t="s">
        <v>767</v>
      </c>
      <c r="E35" s="5">
        <f>'[22]媒体大厦物业费 能源费'!D53</f>
        <v>536686</v>
      </c>
      <c r="F35" s="24">
        <f>$E35*3</f>
        <v>1610058</v>
      </c>
      <c r="G35" s="24">
        <f t="shared" si="11"/>
        <v>1610058</v>
      </c>
      <c r="H35" s="24">
        <f t="shared" si="11"/>
        <v>1610058</v>
      </c>
      <c r="I35" s="24">
        <f t="shared" si="11"/>
        <v>1610058</v>
      </c>
      <c r="J35" s="24">
        <f t="shared" si="12"/>
        <v>6440232</v>
      </c>
      <c r="K35" s="24">
        <f>'[22]2014预算稿 '!J34</f>
        <v>7383783</v>
      </c>
      <c r="L35" s="24">
        <f t="shared" ref="L35:L42" si="13">J35-K35</f>
        <v>-943551</v>
      </c>
      <c r="M35" s="25">
        <f t="shared" ref="M35:M53" si="14">(J35-K35)/K35</f>
        <v>-0.12778693523360588</v>
      </c>
      <c r="N35" s="632" t="s">
        <v>768</v>
      </c>
    </row>
    <row r="36" spans="1:14" ht="25.5">
      <c r="A36" s="28"/>
      <c r="B36" s="28"/>
      <c r="C36" s="21"/>
      <c r="D36" s="22" t="s">
        <v>769</v>
      </c>
      <c r="E36" s="5">
        <f>'[22]媒体大厦物业费 能源费'!D36</f>
        <v>23595</v>
      </c>
      <c r="F36" s="24">
        <f>$E36*3</f>
        <v>70785</v>
      </c>
      <c r="G36" s="24">
        <f t="shared" si="11"/>
        <v>70785</v>
      </c>
      <c r="H36" s="24">
        <f t="shared" si="11"/>
        <v>70785</v>
      </c>
      <c r="I36" s="24">
        <f t="shared" si="11"/>
        <v>70785</v>
      </c>
      <c r="J36" s="24">
        <f t="shared" si="12"/>
        <v>283140</v>
      </c>
      <c r="K36" s="33">
        <f>'[22]2014预算稿 '!J35</f>
        <v>203220</v>
      </c>
      <c r="L36" s="24">
        <f t="shared" si="13"/>
        <v>79920</v>
      </c>
      <c r="M36" s="25">
        <f t="shared" si="14"/>
        <v>0.39326837909654561</v>
      </c>
      <c r="N36" s="632" t="s">
        <v>770</v>
      </c>
    </row>
    <row r="37" spans="1:14">
      <c r="A37" s="28"/>
      <c r="B37" s="28"/>
      <c r="C37" s="21"/>
      <c r="D37" s="22" t="s">
        <v>771</v>
      </c>
      <c r="E37" s="5"/>
      <c r="F37" s="24">
        <v>0</v>
      </c>
      <c r="G37" s="24">
        <v>0</v>
      </c>
      <c r="H37" s="24">
        <f>'[22]媒体大厦物业费 能源费'!I60</f>
        <v>1353230.2673999998</v>
      </c>
      <c r="I37" s="24">
        <v>0</v>
      </c>
      <c r="J37" s="24">
        <f t="shared" si="12"/>
        <v>1353230.2673999998</v>
      </c>
      <c r="K37" s="33">
        <f>'[22]2014预算稿 '!J36</f>
        <v>1342877.2170000002</v>
      </c>
      <c r="L37" s="24">
        <f t="shared" si="13"/>
        <v>10353.0503999996</v>
      </c>
      <c r="M37" s="25">
        <f t="shared" si="14"/>
        <v>7.7096031334334559E-3</v>
      </c>
      <c r="N37" s="632"/>
    </row>
    <row r="38" spans="1:14">
      <c r="A38" s="28"/>
      <c r="B38" s="28"/>
      <c r="C38" s="21"/>
      <c r="D38" s="22" t="s">
        <v>772</v>
      </c>
      <c r="E38" s="5"/>
      <c r="F38" s="24">
        <v>0</v>
      </c>
      <c r="G38" s="24">
        <v>0</v>
      </c>
      <c r="H38" s="24">
        <f>'[22]媒体大厦物业费 能源费'!E68</f>
        <v>76718.36569282136</v>
      </c>
      <c r="I38" s="24">
        <v>0</v>
      </c>
      <c r="J38" s="24">
        <f t="shared" si="12"/>
        <v>76718.36569282136</v>
      </c>
      <c r="K38" s="33">
        <f>'[22]2014预算稿 '!J37</f>
        <v>86268.697224540912</v>
      </c>
      <c r="L38" s="24">
        <f t="shared" si="13"/>
        <v>-9550.331531719552</v>
      </c>
      <c r="M38" s="25">
        <f>(J38-K38)/K38</f>
        <v>-0.11070448307410817</v>
      </c>
      <c r="N38" s="632" t="s">
        <v>768</v>
      </c>
    </row>
    <row r="39" spans="1:14">
      <c r="A39" s="17"/>
      <c r="B39" s="17"/>
      <c r="C39" s="21"/>
      <c r="D39" s="22" t="s">
        <v>773</v>
      </c>
      <c r="E39" s="5">
        <f>'[22]部分费用明细（水电植物耗材茶歇）'!H17</f>
        <v>19012</v>
      </c>
      <c r="F39" s="24">
        <f>$E39*3</f>
        <v>57036</v>
      </c>
      <c r="G39" s="24">
        <f t="shared" si="11"/>
        <v>57036</v>
      </c>
      <c r="H39" s="24">
        <f t="shared" si="11"/>
        <v>57036</v>
      </c>
      <c r="I39" s="24">
        <f t="shared" si="11"/>
        <v>57036</v>
      </c>
      <c r="J39" s="24">
        <f t="shared" si="12"/>
        <v>228144</v>
      </c>
      <c r="K39" s="24">
        <f>'[22]2014预算稿 '!J38</f>
        <v>216960</v>
      </c>
      <c r="L39" s="24">
        <f t="shared" si="13"/>
        <v>11184</v>
      </c>
      <c r="M39" s="25">
        <f t="shared" si="14"/>
        <v>5.1548672566371682E-2</v>
      </c>
      <c r="N39" s="632" t="s">
        <v>774</v>
      </c>
    </row>
    <row r="40" spans="1:14">
      <c r="A40" s="17"/>
      <c r="B40" s="17"/>
      <c r="C40" s="21"/>
      <c r="D40" s="22" t="s">
        <v>775</v>
      </c>
      <c r="E40" s="5">
        <f>'[22]部分费用明细（水电植物耗材茶歇）'!N17</f>
        <v>3170.56</v>
      </c>
      <c r="F40" s="24">
        <f>$E40*3</f>
        <v>9511.68</v>
      </c>
      <c r="G40" s="24">
        <f t="shared" si="11"/>
        <v>9511.68</v>
      </c>
      <c r="H40" s="24">
        <f t="shared" si="11"/>
        <v>9511.68</v>
      </c>
      <c r="I40" s="24">
        <f t="shared" si="11"/>
        <v>9511.68</v>
      </c>
      <c r="J40" s="24">
        <f t="shared" si="12"/>
        <v>38046.720000000001</v>
      </c>
      <c r="K40" s="24">
        <f>'[22]2014预算稿 '!J39+'[22]2014预算稿 '!J40</f>
        <v>612228</v>
      </c>
      <c r="L40" s="24">
        <f t="shared" si="13"/>
        <v>-574181.28</v>
      </c>
      <c r="M40" s="25">
        <f t="shared" si="14"/>
        <v>-0.93785530880652312</v>
      </c>
      <c r="N40" s="632" t="s">
        <v>776</v>
      </c>
    </row>
    <row r="41" spans="1:14">
      <c r="A41" s="17"/>
      <c r="B41" s="17"/>
      <c r="C41" s="21"/>
      <c r="D41" s="22" t="s">
        <v>777</v>
      </c>
      <c r="E41" s="5">
        <v>0</v>
      </c>
      <c r="F41" s="24"/>
      <c r="G41" s="24"/>
      <c r="H41" s="24"/>
      <c r="I41" s="24"/>
      <c r="J41" s="24">
        <f t="shared" si="12"/>
        <v>0</v>
      </c>
      <c r="K41" s="24">
        <f>'[22]2014预算稿 '!J41</f>
        <v>232260</v>
      </c>
      <c r="L41" s="24">
        <f t="shared" si="13"/>
        <v>-232260</v>
      </c>
      <c r="M41" s="25">
        <f t="shared" si="14"/>
        <v>-1</v>
      </c>
      <c r="N41" s="632" t="s">
        <v>778</v>
      </c>
    </row>
    <row r="42" spans="1:14">
      <c r="A42" s="17"/>
      <c r="B42" s="17"/>
      <c r="C42" s="21"/>
      <c r="D42" s="22" t="s">
        <v>779</v>
      </c>
      <c r="E42" s="5">
        <f>'[22]部分费用明细（水电植物耗材茶歇）'!K17</f>
        <v>22134</v>
      </c>
      <c r="F42" s="24">
        <f>$E42*3</f>
        <v>66402</v>
      </c>
      <c r="G42" s="24">
        <f>$E42*1</f>
        <v>22134</v>
      </c>
      <c r="H42" s="24">
        <v>0</v>
      </c>
      <c r="I42" s="24">
        <v>0</v>
      </c>
      <c r="J42" s="24">
        <f t="shared" si="12"/>
        <v>88536</v>
      </c>
      <c r="K42" s="24">
        <f>'[22]2014预算稿 '!J42</f>
        <v>352548</v>
      </c>
      <c r="L42" s="24">
        <f t="shared" si="13"/>
        <v>-264012</v>
      </c>
      <c r="M42" s="25">
        <f t="shared" si="14"/>
        <v>-0.74886823921848944</v>
      </c>
      <c r="N42" s="632" t="s">
        <v>780</v>
      </c>
    </row>
    <row r="43" spans="1:14">
      <c r="A43" s="17"/>
      <c r="B43" s="35" t="s">
        <v>736</v>
      </c>
      <c r="C43" s="21"/>
      <c r="D43" s="22" t="s">
        <v>781</v>
      </c>
      <c r="E43" s="5">
        <f>'[22]部分费用明细（水电植物耗材茶歇）'!Q17</f>
        <v>39426.44</v>
      </c>
      <c r="F43" s="24">
        <f>$E43*3</f>
        <v>118279.32</v>
      </c>
      <c r="G43" s="24">
        <f>$E43*3</f>
        <v>118279.32</v>
      </c>
      <c r="H43" s="24">
        <f>$E43*3</f>
        <v>118279.32</v>
      </c>
      <c r="I43" s="24">
        <f>$E43*3</f>
        <v>118279.32</v>
      </c>
      <c r="J43" s="24">
        <f t="shared" si="12"/>
        <v>473117.28</v>
      </c>
      <c r="K43" s="24">
        <f>'[22]2014预算稿 '!J135+'[22]2014预算稿 '!J136</f>
        <v>0</v>
      </c>
      <c r="L43" s="24">
        <f>J43-K43</f>
        <v>473117.28</v>
      </c>
      <c r="M43" s="25"/>
      <c r="N43" s="632" t="s">
        <v>782</v>
      </c>
    </row>
    <row r="44" spans="1:14" ht="15">
      <c r="A44" s="28"/>
      <c r="B44" s="28"/>
      <c r="C44" s="21"/>
      <c r="D44" s="22"/>
      <c r="E44" s="5"/>
      <c r="F44" s="38">
        <f t="shared" ref="F44:K44" si="15">SUM(F34:F43)</f>
        <v>2046300</v>
      </c>
      <c r="G44" s="38">
        <f t="shared" si="15"/>
        <v>2002032</v>
      </c>
      <c r="H44" s="38">
        <f t="shared" si="15"/>
        <v>3409846.6330928211</v>
      </c>
      <c r="I44" s="38">
        <f t="shared" si="15"/>
        <v>1979898</v>
      </c>
      <c r="J44" s="39">
        <f t="shared" si="15"/>
        <v>9438076.6330928225</v>
      </c>
      <c r="K44" s="40">
        <f t="shared" si="15"/>
        <v>10872884.914224541</v>
      </c>
      <c r="L44" s="24">
        <f>J44-K44</f>
        <v>-1434808.2811317183</v>
      </c>
      <c r="M44" s="42">
        <f t="shared" si="14"/>
        <v>-0.13196205905339978</v>
      </c>
      <c r="N44" s="631"/>
    </row>
    <row r="45" spans="1:14">
      <c r="A45" s="17" t="s">
        <v>743</v>
      </c>
      <c r="B45" s="17"/>
      <c r="C45" s="21" t="s">
        <v>783</v>
      </c>
      <c r="D45" s="45" t="s">
        <v>784</v>
      </c>
      <c r="E45" s="5">
        <f>'[22]部分费用明细（水电植物耗材茶歇）'!E38</f>
        <v>3983</v>
      </c>
      <c r="F45" s="24">
        <f t="shared" ref="F45:I58" si="16">$E45*3</f>
        <v>11949</v>
      </c>
      <c r="G45" s="24">
        <f t="shared" si="16"/>
        <v>11949</v>
      </c>
      <c r="H45" s="24">
        <f t="shared" si="16"/>
        <v>11949</v>
      </c>
      <c r="I45" s="24">
        <f t="shared" si="16"/>
        <v>11949</v>
      </c>
      <c r="J45" s="24">
        <f t="shared" ref="J45:J52" si="17">F45+G45+H45+I45</f>
        <v>47796</v>
      </c>
      <c r="K45" s="24">
        <f>'[22]2014预算稿 '!J44</f>
        <v>29952</v>
      </c>
      <c r="L45" s="24">
        <f t="shared" si="8"/>
        <v>17844</v>
      </c>
      <c r="M45" s="25">
        <f t="shared" si="14"/>
        <v>0.59575320512820518</v>
      </c>
      <c r="N45" s="632" t="s">
        <v>785</v>
      </c>
    </row>
    <row r="46" spans="1:14">
      <c r="A46" s="17"/>
      <c r="B46" s="17"/>
      <c r="C46" s="21"/>
      <c r="D46" s="45" t="s">
        <v>786</v>
      </c>
      <c r="E46" s="5">
        <f>'[22]部分费用明细（水电植物耗材茶歇）'!W38</f>
        <v>36295.5</v>
      </c>
      <c r="F46" s="24">
        <f>$E46*3</f>
        <v>108886.5</v>
      </c>
      <c r="G46" s="24">
        <f t="shared" si="16"/>
        <v>108886.5</v>
      </c>
      <c r="H46" s="24">
        <f t="shared" si="16"/>
        <v>108886.5</v>
      </c>
      <c r="I46" s="24">
        <f t="shared" si="16"/>
        <v>108886.5</v>
      </c>
      <c r="J46" s="24">
        <f t="shared" si="17"/>
        <v>435546</v>
      </c>
      <c r="K46" s="24">
        <f>'[22]2014预算稿 '!J45</f>
        <v>431424</v>
      </c>
      <c r="L46" s="24">
        <f t="shared" si="8"/>
        <v>4122</v>
      </c>
      <c r="M46" s="25">
        <f t="shared" si="14"/>
        <v>9.5544058744993325E-3</v>
      </c>
      <c r="N46" s="632"/>
    </row>
    <row r="47" spans="1:14">
      <c r="A47" s="17"/>
      <c r="B47" s="17"/>
      <c r="C47" s="21"/>
      <c r="D47" s="46" t="s">
        <v>787</v>
      </c>
      <c r="E47" s="5">
        <f>'[22]部分费用明细（水电植物耗材茶歇）'!O38+'[22]部分费用明细（水电植物耗材茶歇）'!Q38</f>
        <v>27</v>
      </c>
      <c r="F47" s="24">
        <f t="shared" si="16"/>
        <v>81</v>
      </c>
      <c r="G47" s="24">
        <f t="shared" si="16"/>
        <v>81</v>
      </c>
      <c r="H47" s="24">
        <f t="shared" si="16"/>
        <v>81</v>
      </c>
      <c r="I47" s="24">
        <f t="shared" si="16"/>
        <v>81</v>
      </c>
      <c r="J47" s="24">
        <f t="shared" si="17"/>
        <v>324</v>
      </c>
      <c r="K47" s="24">
        <f>'[22]2014预算稿 '!J46</f>
        <v>864</v>
      </c>
      <c r="L47" s="24">
        <f t="shared" si="8"/>
        <v>-540</v>
      </c>
      <c r="M47" s="25">
        <f t="shared" si="14"/>
        <v>-0.625</v>
      </c>
      <c r="N47" s="629" t="s">
        <v>788</v>
      </c>
    </row>
    <row r="48" spans="1:14">
      <c r="A48" s="17"/>
      <c r="B48" s="17"/>
      <c r="C48" s="21"/>
      <c r="D48" s="22" t="s">
        <v>789</v>
      </c>
      <c r="E48" s="5">
        <f>'[22]部分费用明细（水电植物耗材茶歇）'!G38</f>
        <v>3753</v>
      </c>
      <c r="F48" s="24">
        <f t="shared" si="16"/>
        <v>11259</v>
      </c>
      <c r="G48" s="24">
        <f t="shared" si="16"/>
        <v>11259</v>
      </c>
      <c r="H48" s="24">
        <f t="shared" si="16"/>
        <v>11259</v>
      </c>
      <c r="I48" s="24">
        <f>$E48*3</f>
        <v>11259</v>
      </c>
      <c r="J48" s="24">
        <f t="shared" si="17"/>
        <v>45036</v>
      </c>
      <c r="K48" s="24">
        <f>'[22]2014预算稿 '!J47</f>
        <v>40608</v>
      </c>
      <c r="L48" s="24">
        <f t="shared" si="8"/>
        <v>4428</v>
      </c>
      <c r="M48" s="25">
        <f t="shared" si="14"/>
        <v>0.10904255319148937</v>
      </c>
      <c r="N48" s="632" t="s">
        <v>790</v>
      </c>
    </row>
    <row r="49" spans="1:14">
      <c r="A49" s="17"/>
      <c r="B49" s="17"/>
      <c r="C49" s="21"/>
      <c r="D49" s="22" t="s">
        <v>791</v>
      </c>
      <c r="E49" s="5">
        <f>'[22]部分费用明细（水电植物耗材茶歇）'!Y38</f>
        <v>1072.56</v>
      </c>
      <c r="F49" s="24">
        <f t="shared" si="16"/>
        <v>3217.68</v>
      </c>
      <c r="G49" s="24">
        <f t="shared" si="16"/>
        <v>3217.68</v>
      </c>
      <c r="H49" s="24">
        <f t="shared" si="16"/>
        <v>3217.68</v>
      </c>
      <c r="I49" s="24">
        <f t="shared" si="16"/>
        <v>3217.68</v>
      </c>
      <c r="J49" s="24">
        <f t="shared" si="17"/>
        <v>12870.72</v>
      </c>
      <c r="K49" s="24">
        <f>'[22]2014预算稿 '!J49+'[22]2014预算稿 '!J48</f>
        <v>133356</v>
      </c>
      <c r="L49" s="24">
        <f t="shared" si="8"/>
        <v>-120485.28</v>
      </c>
      <c r="M49" s="25">
        <f t="shared" si="14"/>
        <v>-0.90348600737874563</v>
      </c>
      <c r="N49" s="632" t="s">
        <v>792</v>
      </c>
    </row>
    <row r="50" spans="1:14">
      <c r="A50" s="17"/>
      <c r="B50" s="17"/>
      <c r="C50" s="21"/>
      <c r="D50" s="22" t="s">
        <v>793</v>
      </c>
      <c r="E50" s="5">
        <v>0</v>
      </c>
      <c r="F50" s="24"/>
      <c r="G50" s="24"/>
      <c r="H50" s="24"/>
      <c r="I50" s="24"/>
      <c r="J50" s="24">
        <f t="shared" si="17"/>
        <v>0</v>
      </c>
      <c r="K50" s="47">
        <f>'[22]2014预算稿 '!J50</f>
        <v>52704</v>
      </c>
      <c r="L50" s="24">
        <f t="shared" si="8"/>
        <v>-52704</v>
      </c>
      <c r="M50" s="25">
        <f t="shared" si="14"/>
        <v>-1</v>
      </c>
      <c r="N50" s="629" t="s">
        <v>794</v>
      </c>
    </row>
    <row r="51" spans="1:14">
      <c r="A51" s="17"/>
      <c r="B51" s="17"/>
      <c r="C51" s="21"/>
      <c r="D51" s="22" t="s">
        <v>795</v>
      </c>
      <c r="E51" s="5">
        <f>'[22]部分费用明细（水电植物耗材茶歇）'!M38</f>
        <v>4847</v>
      </c>
      <c r="F51" s="24">
        <f t="shared" si="16"/>
        <v>14541</v>
      </c>
      <c r="G51" s="24">
        <f>$E51*1</f>
        <v>4847</v>
      </c>
      <c r="H51" s="24">
        <v>0</v>
      </c>
      <c r="I51" s="24">
        <v>0</v>
      </c>
      <c r="J51" s="24">
        <f t="shared" si="17"/>
        <v>19388</v>
      </c>
      <c r="K51" s="47">
        <f>'[22]2014预算稿 '!J51</f>
        <v>72144</v>
      </c>
      <c r="L51" s="24">
        <f t="shared" si="8"/>
        <v>-52756</v>
      </c>
      <c r="M51" s="25">
        <f t="shared" si="14"/>
        <v>-0.73125970281658903</v>
      </c>
      <c r="N51" s="632" t="s">
        <v>796</v>
      </c>
    </row>
    <row r="52" spans="1:14">
      <c r="A52" s="17"/>
      <c r="B52" s="35" t="s">
        <v>736</v>
      </c>
      <c r="C52" s="21"/>
      <c r="D52" s="22" t="s">
        <v>797</v>
      </c>
      <c r="E52" s="5">
        <f>'[22]部分费用明细（水电植物耗材茶歇）'!AA38+'[22]部分费用明细（水电植物耗材茶歇）'!I38</f>
        <v>11145.720000000001</v>
      </c>
      <c r="F52" s="24">
        <f>$E52*3</f>
        <v>33437.160000000003</v>
      </c>
      <c r="G52" s="24">
        <f>$E52*3</f>
        <v>33437.160000000003</v>
      </c>
      <c r="H52" s="24">
        <f>$E52*3</f>
        <v>33437.160000000003</v>
      </c>
      <c r="I52" s="24">
        <f>$E52*3</f>
        <v>33437.160000000003</v>
      </c>
      <c r="J52" s="24">
        <f t="shared" si="17"/>
        <v>133748.64000000001</v>
      </c>
      <c r="K52" s="24">
        <f>'[22]2014预算稿 '!J138+'[22]2014预算稿 '!J137</f>
        <v>0</v>
      </c>
      <c r="L52" s="24"/>
      <c r="M52" s="25"/>
      <c r="N52" s="632" t="s">
        <v>792</v>
      </c>
    </row>
    <row r="53" spans="1:14" ht="15">
      <c r="A53" s="17"/>
      <c r="B53" s="17"/>
      <c r="C53" s="21"/>
      <c r="D53" s="45"/>
      <c r="E53" s="5"/>
      <c r="F53" s="38">
        <f t="shared" ref="F53:K53" si="18">SUM(F45:F52)</f>
        <v>183371.34</v>
      </c>
      <c r="G53" s="38">
        <f t="shared" si="18"/>
        <v>173677.34</v>
      </c>
      <c r="H53" s="38">
        <f t="shared" si="18"/>
        <v>168830.34</v>
      </c>
      <c r="I53" s="38">
        <f t="shared" si="18"/>
        <v>168830.34</v>
      </c>
      <c r="J53" s="39">
        <f t="shared" si="18"/>
        <v>694709.36</v>
      </c>
      <c r="K53" s="40">
        <f t="shared" si="18"/>
        <v>761052</v>
      </c>
      <c r="L53" s="24">
        <f>J53-K53</f>
        <v>-66342.640000000014</v>
      </c>
      <c r="M53" s="42">
        <f t="shared" si="14"/>
        <v>-8.7172282577274635E-2</v>
      </c>
      <c r="N53" s="30"/>
    </row>
    <row r="54" spans="1:14" ht="38.25">
      <c r="A54" s="17" t="s">
        <v>743</v>
      </c>
      <c r="B54" s="17"/>
      <c r="C54" s="21" t="s">
        <v>798</v>
      </c>
      <c r="D54" s="45" t="s">
        <v>799</v>
      </c>
      <c r="E54" s="5">
        <f>[22]保安服务费!H13</f>
        <v>15944</v>
      </c>
      <c r="F54" s="24">
        <f>$E54*3+[22]保安服务费!I6</f>
        <v>76632</v>
      </c>
      <c r="G54" s="24">
        <f t="shared" si="16"/>
        <v>47832</v>
      </c>
      <c r="H54" s="24">
        <f t="shared" si="16"/>
        <v>47832</v>
      </c>
      <c r="I54" s="24">
        <f t="shared" si="16"/>
        <v>47832</v>
      </c>
      <c r="J54" s="24">
        <f t="shared" ref="J54:J59" si="19">F54+G54+H54+I54</f>
        <v>220128</v>
      </c>
      <c r="K54" s="24">
        <f>'[22]2014预算稿 '!J53</f>
        <v>228690</v>
      </c>
      <c r="L54" s="24">
        <f t="shared" si="8"/>
        <v>-8562</v>
      </c>
      <c r="M54" s="25">
        <f>(J54-K54)/K54</f>
        <v>-3.743932834841926E-2</v>
      </c>
      <c r="N54" s="632" t="s">
        <v>800</v>
      </c>
    </row>
    <row r="55" spans="1:14">
      <c r="A55" s="17"/>
      <c r="B55" s="17"/>
      <c r="C55" s="21"/>
      <c r="D55" s="22" t="s">
        <v>801</v>
      </c>
      <c r="E55" s="5">
        <f>[22]保安服务费!H26</f>
        <v>32900</v>
      </c>
      <c r="F55" s="24">
        <f t="shared" si="16"/>
        <v>98700</v>
      </c>
      <c r="G55" s="24">
        <f t="shared" si="16"/>
        <v>98700</v>
      </c>
      <c r="H55" s="24">
        <f t="shared" si="16"/>
        <v>98700</v>
      </c>
      <c r="I55" s="24">
        <f t="shared" si="16"/>
        <v>98700</v>
      </c>
      <c r="J55" s="24">
        <f t="shared" si="19"/>
        <v>394800</v>
      </c>
      <c r="K55" s="24">
        <f>'[22]2014预算稿 '!J54</f>
        <v>415800</v>
      </c>
      <c r="L55" s="24">
        <f t="shared" si="8"/>
        <v>-21000</v>
      </c>
      <c r="M55" s="25">
        <f>(J55-K55)/K55</f>
        <v>-5.0505050505050504E-2</v>
      </c>
      <c r="N55" s="632" t="s">
        <v>802</v>
      </c>
    </row>
    <row r="56" spans="1:14" ht="25.5">
      <c r="A56" s="17"/>
      <c r="B56" s="17"/>
      <c r="C56" s="21"/>
      <c r="D56" s="22" t="s">
        <v>803</v>
      </c>
      <c r="E56" s="5">
        <f>[22]保安服务费!H52</f>
        <v>7896</v>
      </c>
      <c r="F56" s="24">
        <f t="shared" si="16"/>
        <v>23688</v>
      </c>
      <c r="G56" s="24">
        <f t="shared" si="16"/>
        <v>23688</v>
      </c>
      <c r="H56" s="24">
        <f t="shared" si="16"/>
        <v>23688</v>
      </c>
      <c r="I56" s="24">
        <f t="shared" si="16"/>
        <v>23688</v>
      </c>
      <c r="J56" s="24">
        <f t="shared" si="19"/>
        <v>94752</v>
      </c>
      <c r="K56" s="33">
        <f>'[22]2014预算稿 '!J56</f>
        <v>415800</v>
      </c>
      <c r="L56" s="24">
        <f t="shared" si="8"/>
        <v>-321048</v>
      </c>
      <c r="M56" s="25">
        <f>(J56-K56)/K56</f>
        <v>-0.7721212121212121</v>
      </c>
      <c r="N56" s="632" t="s">
        <v>804</v>
      </c>
    </row>
    <row r="57" spans="1:14">
      <c r="A57" s="17"/>
      <c r="B57" s="17"/>
      <c r="C57" s="21"/>
      <c r="D57" s="22" t="s">
        <v>805</v>
      </c>
      <c r="E57" s="5">
        <v>0</v>
      </c>
      <c r="F57" s="24"/>
      <c r="G57" s="24"/>
      <c r="H57" s="24"/>
      <c r="I57" s="24"/>
      <c r="J57" s="24">
        <f t="shared" si="19"/>
        <v>0</v>
      </c>
      <c r="K57" s="33">
        <f>'[22]2014预算稿 '!J57</f>
        <v>415800</v>
      </c>
      <c r="L57" s="24">
        <f t="shared" si="8"/>
        <v>-415800</v>
      </c>
      <c r="M57" s="25">
        <f>(J57-K57)/K57</f>
        <v>-1</v>
      </c>
      <c r="N57" s="632" t="s">
        <v>806</v>
      </c>
    </row>
    <row r="58" spans="1:14">
      <c r="A58" s="17"/>
      <c r="B58" s="17"/>
      <c r="C58" s="21"/>
      <c r="D58" s="22" t="s">
        <v>807</v>
      </c>
      <c r="E58" s="5">
        <f>[22]保安服务费!H39</f>
        <v>32900</v>
      </c>
      <c r="F58" s="24">
        <f t="shared" si="16"/>
        <v>98700</v>
      </c>
      <c r="G58" s="24">
        <f>$E58*1</f>
        <v>32900</v>
      </c>
      <c r="H58" s="24">
        <v>0</v>
      </c>
      <c r="I58" s="24">
        <v>0</v>
      </c>
      <c r="J58" s="24">
        <f t="shared" si="19"/>
        <v>131600</v>
      </c>
      <c r="K58" s="33">
        <f>'[22]2014预算稿 '!J58</f>
        <v>415800</v>
      </c>
      <c r="L58" s="24">
        <f t="shared" si="8"/>
        <v>-284200</v>
      </c>
      <c r="M58" s="25">
        <f>(J58-K58)/K58</f>
        <v>-0.6835016835016835</v>
      </c>
      <c r="N58" s="632" t="s">
        <v>808</v>
      </c>
    </row>
    <row r="59" spans="1:14">
      <c r="A59" s="17"/>
      <c r="B59" s="35" t="s">
        <v>736</v>
      </c>
      <c r="C59" s="21"/>
      <c r="D59" s="22" t="s">
        <v>809</v>
      </c>
      <c r="E59" s="5">
        <f>[22]保安服务费!H69+[22]保安服务费!H83</f>
        <v>90304</v>
      </c>
      <c r="F59" s="24">
        <f>$E59*3</f>
        <v>270912</v>
      </c>
      <c r="G59" s="24">
        <f>$E59*3</f>
        <v>270912</v>
      </c>
      <c r="H59" s="24">
        <f>$E59*3</f>
        <v>270912</v>
      </c>
      <c r="I59" s="24">
        <f>$E59*3</f>
        <v>270912</v>
      </c>
      <c r="J59" s="24">
        <f t="shared" si="19"/>
        <v>1083648</v>
      </c>
      <c r="K59" s="43">
        <v>831600</v>
      </c>
      <c r="L59" s="24"/>
      <c r="M59" s="25"/>
      <c r="N59" s="632" t="s">
        <v>802</v>
      </c>
    </row>
    <row r="60" spans="1:14" ht="15">
      <c r="A60" s="17"/>
      <c r="B60" s="17"/>
      <c r="C60" s="21"/>
      <c r="D60" s="45"/>
      <c r="E60" s="5"/>
      <c r="F60" s="38">
        <f t="shared" ref="F60:K60" si="20">SUM(F54:F59)</f>
        <v>568632</v>
      </c>
      <c r="G60" s="38">
        <f t="shared" si="20"/>
        <v>474032</v>
      </c>
      <c r="H60" s="38">
        <f t="shared" si="20"/>
        <v>441132</v>
      </c>
      <c r="I60" s="38">
        <f t="shared" si="20"/>
        <v>441132</v>
      </c>
      <c r="J60" s="39">
        <f t="shared" si="20"/>
        <v>1924928</v>
      </c>
      <c r="K60" s="40">
        <f t="shared" si="20"/>
        <v>2723490</v>
      </c>
      <c r="L60" s="24">
        <f>J60-K60</f>
        <v>-798562</v>
      </c>
      <c r="M60" s="42">
        <f t="shared" ref="M60:M66" si="21">(J60-K60)/K60</f>
        <v>-0.29321275275473746</v>
      </c>
      <c r="N60" s="631"/>
    </row>
    <row r="61" spans="1:14" ht="24.75">
      <c r="A61" s="17" t="s">
        <v>743</v>
      </c>
      <c r="B61" s="17"/>
      <c r="C61" s="21" t="s">
        <v>810</v>
      </c>
      <c r="D61" s="45" t="s">
        <v>811</v>
      </c>
      <c r="E61" s="5">
        <f>57/2</f>
        <v>28.5</v>
      </c>
      <c r="F61" s="24">
        <f>$E61*3</f>
        <v>85.5</v>
      </c>
      <c r="G61" s="24">
        <f>$E61*3</f>
        <v>85.5</v>
      </c>
      <c r="H61" s="24">
        <f>$E61*3</f>
        <v>85.5</v>
      </c>
      <c r="I61" s="24">
        <f>$E61*3</f>
        <v>85.5</v>
      </c>
      <c r="J61" s="24">
        <f t="shared" ref="J61:J67" si="22">F61+G61+H61+I61</f>
        <v>342</v>
      </c>
      <c r="K61" s="24">
        <f>'[22]2014预算稿 '!J60</f>
        <v>35256.98000000001</v>
      </c>
      <c r="L61" s="24">
        <f t="shared" si="8"/>
        <v>-34914.98000000001</v>
      </c>
      <c r="M61" s="25">
        <f t="shared" si="21"/>
        <v>-0.99029979311897953</v>
      </c>
      <c r="N61" s="632" t="s">
        <v>812</v>
      </c>
    </row>
    <row r="62" spans="1:14">
      <c r="A62" s="17"/>
      <c r="B62" s="17"/>
      <c r="C62" s="21"/>
      <c r="D62" s="45" t="s">
        <v>813</v>
      </c>
      <c r="E62" s="5">
        <v>57</v>
      </c>
      <c r="F62" s="24">
        <f t="shared" ref="F62:I66" si="23">$E62*3</f>
        <v>171</v>
      </c>
      <c r="G62" s="24">
        <f t="shared" si="23"/>
        <v>171</v>
      </c>
      <c r="H62" s="24">
        <f>$E62*3</f>
        <v>171</v>
      </c>
      <c r="I62" s="24">
        <f>$E62*3</f>
        <v>171</v>
      </c>
      <c r="J62" s="24">
        <f t="shared" si="22"/>
        <v>684</v>
      </c>
      <c r="K62" s="24">
        <f>'[22]2014预算稿 '!J61</f>
        <v>49500</v>
      </c>
      <c r="L62" s="24">
        <f t="shared" si="8"/>
        <v>-48816</v>
      </c>
      <c r="M62" s="25">
        <f t="shared" si="21"/>
        <v>-0.98618181818181816</v>
      </c>
      <c r="N62" s="632"/>
    </row>
    <row r="63" spans="1:14">
      <c r="A63" s="17"/>
      <c r="B63" s="17"/>
      <c r="C63" s="21"/>
      <c r="D63" s="22" t="s">
        <v>814</v>
      </c>
      <c r="E63" s="5">
        <v>57</v>
      </c>
      <c r="F63" s="24">
        <f t="shared" si="23"/>
        <v>171</v>
      </c>
      <c r="G63" s="24">
        <f t="shared" si="23"/>
        <v>171</v>
      </c>
      <c r="H63" s="24">
        <f t="shared" si="23"/>
        <v>171</v>
      </c>
      <c r="I63" s="24">
        <f t="shared" si="23"/>
        <v>171</v>
      </c>
      <c r="J63" s="24">
        <f t="shared" si="22"/>
        <v>684</v>
      </c>
      <c r="K63" s="24">
        <f>'[22]2014预算稿 '!J62</f>
        <v>37012.800000000003</v>
      </c>
      <c r="L63" s="24">
        <f t="shared" si="8"/>
        <v>-36328.800000000003</v>
      </c>
      <c r="M63" s="25">
        <f t="shared" si="21"/>
        <v>-0.98151990662689659</v>
      </c>
      <c r="N63" s="632"/>
    </row>
    <row r="64" spans="1:14">
      <c r="A64" s="17"/>
      <c r="B64" s="17"/>
      <c r="C64" s="21"/>
      <c r="D64" s="22" t="s">
        <v>815</v>
      </c>
      <c r="E64" s="5">
        <v>57</v>
      </c>
      <c r="F64" s="24">
        <f t="shared" si="23"/>
        <v>171</v>
      </c>
      <c r="G64" s="24">
        <f t="shared" si="23"/>
        <v>171</v>
      </c>
      <c r="H64" s="24">
        <f t="shared" si="23"/>
        <v>171</v>
      </c>
      <c r="I64" s="24">
        <f t="shared" si="23"/>
        <v>171</v>
      </c>
      <c r="J64" s="24">
        <f t="shared" si="22"/>
        <v>684</v>
      </c>
      <c r="K64" s="24">
        <v>66185</v>
      </c>
      <c r="L64" s="24">
        <f t="shared" si="8"/>
        <v>-65501</v>
      </c>
      <c r="M64" s="25">
        <f t="shared" si="21"/>
        <v>-0.98966533202387252</v>
      </c>
      <c r="N64" s="632" t="s">
        <v>816</v>
      </c>
    </row>
    <row r="65" spans="1:14">
      <c r="A65" s="17"/>
      <c r="B65" s="17"/>
      <c r="C65" s="21"/>
      <c r="D65" s="22" t="s">
        <v>817</v>
      </c>
      <c r="E65" s="5">
        <v>0</v>
      </c>
      <c r="F65" s="24"/>
      <c r="G65" s="24"/>
      <c r="H65" s="24"/>
      <c r="I65" s="24"/>
      <c r="J65" s="24">
        <f t="shared" si="22"/>
        <v>0</v>
      </c>
      <c r="K65" s="24">
        <f>'[22]2014预算稿 '!J65</f>
        <v>59760.800000000003</v>
      </c>
      <c r="L65" s="24">
        <f t="shared" si="8"/>
        <v>-59760.800000000003</v>
      </c>
      <c r="M65" s="25">
        <f t="shared" si="21"/>
        <v>-1</v>
      </c>
      <c r="N65" s="632" t="s">
        <v>818</v>
      </c>
    </row>
    <row r="66" spans="1:14">
      <c r="A66" s="17"/>
      <c r="B66" s="17"/>
      <c r="C66" s="21"/>
      <c r="D66" s="22" t="s">
        <v>819</v>
      </c>
      <c r="E66" s="5">
        <v>57</v>
      </c>
      <c r="F66" s="24">
        <f t="shared" si="23"/>
        <v>171</v>
      </c>
      <c r="G66" s="24">
        <f>$E66*1</f>
        <v>57</v>
      </c>
      <c r="H66" s="24">
        <v>0</v>
      </c>
      <c r="I66" s="24">
        <v>0</v>
      </c>
      <c r="J66" s="24">
        <f t="shared" si="22"/>
        <v>228</v>
      </c>
      <c r="K66" s="24">
        <f>'[22]2014预算稿 '!J66</f>
        <v>63031.466666666674</v>
      </c>
      <c r="L66" s="24">
        <f t="shared" si="8"/>
        <v>-62803.466666666674</v>
      </c>
      <c r="M66" s="25">
        <f t="shared" si="21"/>
        <v>-0.99638275908752449</v>
      </c>
      <c r="N66" s="632" t="s">
        <v>820</v>
      </c>
    </row>
    <row r="67" spans="1:14">
      <c r="A67" s="17"/>
      <c r="B67" s="35" t="s">
        <v>736</v>
      </c>
      <c r="C67" s="21"/>
      <c r="D67" s="22" t="s">
        <v>821</v>
      </c>
      <c r="E67" s="5">
        <v>57</v>
      </c>
      <c r="F67" s="24">
        <f>$E67*3</f>
        <v>171</v>
      </c>
      <c r="G67" s="24">
        <f>$E67*3</f>
        <v>171</v>
      </c>
      <c r="H67" s="24">
        <f>$E67*3</f>
        <v>171</v>
      </c>
      <c r="I67" s="24">
        <f>$E67*3</f>
        <v>171</v>
      </c>
      <c r="J67" s="24">
        <f t="shared" si="22"/>
        <v>684</v>
      </c>
      <c r="K67" s="43">
        <v>66185</v>
      </c>
      <c r="L67" s="24"/>
      <c r="M67" s="25"/>
      <c r="N67" s="632"/>
    </row>
    <row r="68" spans="1:14" ht="15">
      <c r="A68" s="17"/>
      <c r="B68" s="17"/>
      <c r="C68" s="21"/>
      <c r="D68" s="45"/>
      <c r="E68" s="5"/>
      <c r="F68" s="38">
        <f t="shared" ref="F68:K68" si="24">SUM(F61:F67)</f>
        <v>940.5</v>
      </c>
      <c r="G68" s="38">
        <f t="shared" si="24"/>
        <v>826.5</v>
      </c>
      <c r="H68" s="38">
        <f t="shared" si="24"/>
        <v>769.5</v>
      </c>
      <c r="I68" s="38">
        <f t="shared" si="24"/>
        <v>769.5</v>
      </c>
      <c r="J68" s="39">
        <f t="shared" si="24"/>
        <v>3306</v>
      </c>
      <c r="K68" s="40">
        <f t="shared" si="24"/>
        <v>376932.04666666669</v>
      </c>
      <c r="L68" s="24">
        <f>J68-K68</f>
        <v>-373626.04666666669</v>
      </c>
      <c r="M68" s="42">
        <f>(J68-K68)/K68</f>
        <v>-0.99122918831328877</v>
      </c>
      <c r="N68" s="632"/>
    </row>
    <row r="69" spans="1:14">
      <c r="A69" s="17" t="s">
        <v>743</v>
      </c>
      <c r="B69" s="17"/>
      <c r="C69" s="21" t="s">
        <v>822</v>
      </c>
      <c r="D69" s="48" t="s">
        <v>823</v>
      </c>
      <c r="E69" s="5">
        <f t="shared" ref="E69:K69" si="25">SUM(E70:E76)</f>
        <v>215</v>
      </c>
      <c r="F69" s="49">
        <f t="shared" si="25"/>
        <v>15645</v>
      </c>
      <c r="G69" s="49">
        <f t="shared" si="25"/>
        <v>551</v>
      </c>
      <c r="H69" s="49">
        <f t="shared" si="25"/>
        <v>504</v>
      </c>
      <c r="I69" s="5">
        <f t="shared" si="25"/>
        <v>504</v>
      </c>
      <c r="J69" s="49">
        <f>SUM(J70:J76)</f>
        <v>17204</v>
      </c>
      <c r="K69" s="49">
        <f t="shared" si="25"/>
        <v>1273362</v>
      </c>
      <c r="L69" s="41">
        <f>J69-K69</f>
        <v>-1256158</v>
      </c>
      <c r="M69" s="25">
        <f>(J69-K69)/K69</f>
        <v>-0.98648930940298207</v>
      </c>
      <c r="N69" s="632"/>
    </row>
    <row r="70" spans="1:14">
      <c r="A70" s="17"/>
      <c r="B70" s="17"/>
      <c r="C70" s="21"/>
      <c r="D70" s="45" t="s">
        <v>824</v>
      </c>
      <c r="E70" s="5">
        <f>10</f>
        <v>10</v>
      </c>
      <c r="F70" s="24">
        <f>$E70*3+[22]保洁服务费!F3</f>
        <v>15030</v>
      </c>
      <c r="G70" s="24">
        <f t="shared" ref="F70:I76" si="26">$E70*3</f>
        <v>30</v>
      </c>
      <c r="H70" s="24">
        <f t="shared" si="26"/>
        <v>30</v>
      </c>
      <c r="I70" s="24">
        <f t="shared" si="26"/>
        <v>30</v>
      </c>
      <c r="J70" s="24">
        <f t="shared" ref="J70:J76" si="27">F70+G70+H70+I70</f>
        <v>15120</v>
      </c>
      <c r="K70" s="24">
        <f>'[22]2014预算稿 '!J69</f>
        <v>148962</v>
      </c>
      <c r="L70" s="24">
        <f t="shared" si="8"/>
        <v>-133842</v>
      </c>
      <c r="M70" s="25">
        <f t="shared" ref="M70:M93" si="28">(J70-K70)/K70</f>
        <v>-0.89849760341563623</v>
      </c>
      <c r="N70" s="632" t="s">
        <v>825</v>
      </c>
    </row>
    <row r="71" spans="1:14">
      <c r="A71" s="17"/>
      <c r="B71" s="17"/>
      <c r="C71" s="21"/>
      <c r="D71" s="45" t="s">
        <v>826</v>
      </c>
      <c r="E71" s="5">
        <f>[22]保洁服务费!D17</f>
        <v>0</v>
      </c>
      <c r="F71" s="24">
        <f t="shared" si="26"/>
        <v>0</v>
      </c>
      <c r="G71" s="24">
        <f t="shared" si="26"/>
        <v>0</v>
      </c>
      <c r="H71" s="24">
        <f t="shared" si="26"/>
        <v>0</v>
      </c>
      <c r="I71" s="24">
        <f t="shared" si="26"/>
        <v>0</v>
      </c>
      <c r="J71" s="24">
        <f t="shared" si="27"/>
        <v>0</v>
      </c>
      <c r="K71" s="24">
        <f>'[22]2014预算稿 '!J70</f>
        <v>7200</v>
      </c>
      <c r="L71" s="24">
        <f t="shared" si="8"/>
        <v>-7200</v>
      </c>
      <c r="M71" s="25">
        <f t="shared" si="28"/>
        <v>-1</v>
      </c>
      <c r="N71" s="50" t="s">
        <v>827</v>
      </c>
    </row>
    <row r="72" spans="1:14">
      <c r="A72" s="17"/>
      <c r="B72" s="17"/>
      <c r="C72" s="21"/>
      <c r="D72" s="22" t="s">
        <v>828</v>
      </c>
      <c r="E72" s="5">
        <v>25</v>
      </c>
      <c r="F72" s="24">
        <f>$E72*3</f>
        <v>75</v>
      </c>
      <c r="G72" s="24">
        <f t="shared" si="26"/>
        <v>75</v>
      </c>
      <c r="H72" s="24">
        <f t="shared" si="26"/>
        <v>75</v>
      </c>
      <c r="I72" s="24">
        <f t="shared" si="26"/>
        <v>75</v>
      </c>
      <c r="J72" s="24">
        <f t="shared" si="27"/>
        <v>300</v>
      </c>
      <c r="K72" s="24">
        <f>'[22]2014预算稿 '!J71</f>
        <v>138600</v>
      </c>
      <c r="L72" s="24">
        <f t="shared" si="8"/>
        <v>-138300</v>
      </c>
      <c r="M72" s="25">
        <f t="shared" si="28"/>
        <v>-0.99783549783549785</v>
      </c>
      <c r="N72" s="631" t="s">
        <v>829</v>
      </c>
    </row>
    <row r="73" spans="1:14">
      <c r="A73" s="17"/>
      <c r="B73" s="17"/>
      <c r="C73" s="21"/>
      <c r="D73" s="22" t="s">
        <v>830</v>
      </c>
      <c r="E73" s="5">
        <v>56</v>
      </c>
      <c r="F73" s="24">
        <f t="shared" si="26"/>
        <v>168</v>
      </c>
      <c r="G73" s="24">
        <f t="shared" si="26"/>
        <v>168</v>
      </c>
      <c r="H73" s="24">
        <f t="shared" si="26"/>
        <v>168</v>
      </c>
      <c r="I73" s="24">
        <f t="shared" si="26"/>
        <v>168</v>
      </c>
      <c r="J73" s="24">
        <f t="shared" si="27"/>
        <v>672</v>
      </c>
      <c r="K73" s="24">
        <f>'[22]2014预算稿 '!J73</f>
        <v>166800</v>
      </c>
      <c r="L73" s="24">
        <f t="shared" si="8"/>
        <v>-166128</v>
      </c>
      <c r="M73" s="25">
        <f t="shared" si="28"/>
        <v>-0.9959712230215827</v>
      </c>
      <c r="N73" s="631" t="s">
        <v>831</v>
      </c>
    </row>
    <row r="74" spans="1:14">
      <c r="A74" s="17"/>
      <c r="B74" s="35" t="s">
        <v>832</v>
      </c>
      <c r="C74" s="21"/>
      <c r="D74" s="22" t="s">
        <v>833</v>
      </c>
      <c r="E74" s="5">
        <v>77</v>
      </c>
      <c r="F74" s="24">
        <f>$E74*3</f>
        <v>231</v>
      </c>
      <c r="G74" s="24">
        <f>$E74*3</f>
        <v>231</v>
      </c>
      <c r="H74" s="24">
        <f>$E74*3</f>
        <v>231</v>
      </c>
      <c r="I74" s="24">
        <f>$E74*3</f>
        <v>231</v>
      </c>
      <c r="J74" s="24">
        <f t="shared" si="27"/>
        <v>924</v>
      </c>
      <c r="K74" s="43">
        <v>509400</v>
      </c>
      <c r="L74" s="24"/>
      <c r="M74" s="25"/>
      <c r="N74" s="631" t="s">
        <v>829</v>
      </c>
    </row>
    <row r="75" spans="1:14">
      <c r="A75" s="17"/>
      <c r="B75" s="17"/>
      <c r="C75" s="21"/>
      <c r="D75" s="22" t="s">
        <v>834</v>
      </c>
      <c r="E75" s="5">
        <v>0</v>
      </c>
      <c r="F75" s="24"/>
      <c r="G75" s="24"/>
      <c r="H75" s="24"/>
      <c r="I75" s="24"/>
      <c r="J75" s="24">
        <f t="shared" si="27"/>
        <v>0</v>
      </c>
      <c r="K75" s="24">
        <f>'[22]2014预算稿 '!J74</f>
        <v>138600</v>
      </c>
      <c r="L75" s="24">
        <f t="shared" si="8"/>
        <v>-138600</v>
      </c>
      <c r="M75" s="25">
        <f t="shared" si="28"/>
        <v>-1</v>
      </c>
      <c r="N75" s="632" t="s">
        <v>835</v>
      </c>
    </row>
    <row r="76" spans="1:14">
      <c r="A76" s="17"/>
      <c r="B76" s="17"/>
      <c r="C76" s="21"/>
      <c r="D76" s="22" t="s">
        <v>836</v>
      </c>
      <c r="E76" s="5">
        <v>47</v>
      </c>
      <c r="F76" s="24">
        <f t="shared" si="26"/>
        <v>141</v>
      </c>
      <c r="G76" s="24">
        <f>$E76*1</f>
        <v>47</v>
      </c>
      <c r="H76" s="24"/>
      <c r="I76" s="24"/>
      <c r="J76" s="24">
        <f t="shared" si="27"/>
        <v>188</v>
      </c>
      <c r="K76" s="24">
        <f>'[22]2014预算稿 '!J75</f>
        <v>163800</v>
      </c>
      <c r="L76" s="24">
        <f t="shared" si="8"/>
        <v>-163612</v>
      </c>
      <c r="M76" s="25">
        <f t="shared" si="28"/>
        <v>-0.99885225885225881</v>
      </c>
      <c r="N76" s="631" t="s">
        <v>829</v>
      </c>
    </row>
    <row r="77" spans="1:14" s="53" customFormat="1">
      <c r="A77" s="51"/>
      <c r="B77" s="51"/>
      <c r="C77" s="21"/>
      <c r="D77" s="52" t="s">
        <v>837</v>
      </c>
      <c r="E77" s="5"/>
      <c r="F77" s="5">
        <f>SUM(F78:F82)</f>
        <v>15695.607400000001</v>
      </c>
      <c r="G77" s="5">
        <f>SUM(G78:G82)</f>
        <v>15695.607400000001</v>
      </c>
      <c r="H77" s="49">
        <f>SUM(H78:H82)</f>
        <v>0</v>
      </c>
      <c r="I77" s="5">
        <f>SUM(I78:I82)</f>
        <v>15695.607400000001</v>
      </c>
      <c r="J77" s="24">
        <f>SUM(J78:J83)</f>
        <v>102395.337</v>
      </c>
      <c r="K77" s="49">
        <f>SUM(K78:K83)</f>
        <v>131540.4835</v>
      </c>
      <c r="L77" s="41">
        <f>J77-K77</f>
        <v>-29145.146500000003</v>
      </c>
      <c r="M77" s="25">
        <f t="shared" si="28"/>
        <v>-0.22156788332011873</v>
      </c>
      <c r="N77" s="631"/>
    </row>
    <row r="78" spans="1:14">
      <c r="A78" s="17"/>
      <c r="B78" s="17"/>
      <c r="C78" s="21"/>
      <c r="D78" s="45" t="s">
        <v>838</v>
      </c>
      <c r="E78" s="5"/>
      <c r="F78" s="5">
        <f>[22]保洁服务费!D11/3</f>
        <v>5449.7673999999997</v>
      </c>
      <c r="G78" s="5">
        <f>[22]保洁服务费!D11/3</f>
        <v>5449.7673999999997</v>
      </c>
      <c r="H78" s="5">
        <v>0</v>
      </c>
      <c r="I78" s="5">
        <f>[22]保洁服务费!D11/3</f>
        <v>5449.7673999999997</v>
      </c>
      <c r="J78" s="24">
        <f t="shared" ref="J78:J84" si="29">F78+G78+H78+I78</f>
        <v>16349.302199999998</v>
      </c>
      <c r="K78" s="24">
        <f>'[22]2014预算稿 '!J77</f>
        <v>16199.683499999999</v>
      </c>
      <c r="L78" s="24">
        <f t="shared" ref="L78:L127" si="30">J78-K78</f>
        <v>149.61869999999908</v>
      </c>
      <c r="M78" s="25">
        <f t="shared" si="28"/>
        <v>9.2359026643945904E-3</v>
      </c>
      <c r="N78" s="632" t="s">
        <v>839</v>
      </c>
    </row>
    <row r="79" spans="1:14">
      <c r="A79" s="17"/>
      <c r="B79" s="17"/>
      <c r="C79" s="21"/>
      <c r="D79" s="22" t="s">
        <v>840</v>
      </c>
      <c r="E79" s="5"/>
      <c r="F79" s="5">
        <f>[22]保洁服务费!D26/3</f>
        <v>8250</v>
      </c>
      <c r="G79" s="5">
        <f>[22]保洁服务费!D26/3</f>
        <v>8250</v>
      </c>
      <c r="H79" s="24">
        <v>0</v>
      </c>
      <c r="I79" s="5">
        <f>[22]保洁服务费!D26/3</f>
        <v>8250</v>
      </c>
      <c r="J79" s="24">
        <f t="shared" si="29"/>
        <v>24750</v>
      </c>
      <c r="K79" s="24">
        <f>'[22]2014预算稿 '!J78</f>
        <v>22500</v>
      </c>
      <c r="L79" s="24">
        <f t="shared" si="30"/>
        <v>2250</v>
      </c>
      <c r="M79" s="25">
        <f t="shared" si="28"/>
        <v>0.1</v>
      </c>
      <c r="N79" s="631" t="s">
        <v>841</v>
      </c>
    </row>
    <row r="80" spans="1:14">
      <c r="A80" s="17"/>
      <c r="B80" s="17"/>
      <c r="C80" s="21"/>
      <c r="D80" s="22" t="s">
        <v>842</v>
      </c>
      <c r="E80" s="5"/>
      <c r="F80" s="24">
        <f>[22]保洁服务费!D57/3</f>
        <v>1995.84</v>
      </c>
      <c r="G80" s="24">
        <f>F80</f>
        <v>1995.84</v>
      </c>
      <c r="H80" s="24"/>
      <c r="I80" s="24">
        <f>F80</f>
        <v>1995.84</v>
      </c>
      <c r="J80" s="24">
        <f t="shared" si="29"/>
        <v>5987.5199999999995</v>
      </c>
      <c r="K80" s="33">
        <f>'[22]2014预算稿 '!J80</f>
        <v>5040</v>
      </c>
      <c r="L80" s="24">
        <f t="shared" si="30"/>
        <v>947.51999999999953</v>
      </c>
      <c r="M80" s="25">
        <f t="shared" si="28"/>
        <v>0.18799999999999992</v>
      </c>
      <c r="N80" s="631" t="s">
        <v>843</v>
      </c>
    </row>
    <row r="81" spans="1:14">
      <c r="A81" s="17"/>
      <c r="B81" s="17"/>
      <c r="C81" s="21"/>
      <c r="D81" s="22" t="s">
        <v>844</v>
      </c>
      <c r="E81" s="5"/>
      <c r="F81" s="24"/>
      <c r="G81" s="24"/>
      <c r="H81" s="24"/>
      <c r="I81" s="24"/>
      <c r="J81" s="24">
        <f t="shared" si="29"/>
        <v>0</v>
      </c>
      <c r="K81" s="33">
        <f>'[22]2014预算稿 '!J81</f>
        <v>12654.799999999997</v>
      </c>
      <c r="L81" s="24">
        <f t="shared" si="30"/>
        <v>-12654.799999999997</v>
      </c>
      <c r="M81" s="25">
        <f t="shared" si="28"/>
        <v>-1</v>
      </c>
      <c r="N81" s="632" t="s">
        <v>845</v>
      </c>
    </row>
    <row r="82" spans="1:14">
      <c r="A82" s="17"/>
      <c r="B82" s="17"/>
      <c r="C82" s="21"/>
      <c r="D82" s="22" t="s">
        <v>846</v>
      </c>
      <c r="E82" s="5"/>
      <c r="F82" s="24">
        <v>0</v>
      </c>
      <c r="G82" s="24">
        <f>F82</f>
        <v>0</v>
      </c>
      <c r="H82" s="24">
        <v>0</v>
      </c>
      <c r="I82" s="24">
        <f>F82</f>
        <v>0</v>
      </c>
      <c r="J82" s="24">
        <f t="shared" si="29"/>
        <v>0</v>
      </c>
      <c r="K82" s="33">
        <f>'[22]2014预算稿 '!J82</f>
        <v>37965</v>
      </c>
      <c r="L82" s="24">
        <f t="shared" si="30"/>
        <v>-37965</v>
      </c>
      <c r="M82" s="25">
        <f t="shared" si="28"/>
        <v>-1</v>
      </c>
      <c r="N82" s="50" t="s">
        <v>847</v>
      </c>
    </row>
    <row r="83" spans="1:14">
      <c r="A83" s="17"/>
      <c r="B83" s="35" t="s">
        <v>736</v>
      </c>
      <c r="C83" s="21"/>
      <c r="D83" s="22" t="s">
        <v>848</v>
      </c>
      <c r="E83" s="5"/>
      <c r="F83" s="24">
        <f>([22]保洁服务费!D70+[22]保洁服务费!D78)/3</f>
        <v>18436.171600000001</v>
      </c>
      <c r="G83" s="24">
        <f>F83</f>
        <v>18436.171600000001</v>
      </c>
      <c r="H83" s="24">
        <v>0</v>
      </c>
      <c r="I83" s="24">
        <f>F83</f>
        <v>18436.171600000001</v>
      </c>
      <c r="J83" s="24">
        <f t="shared" si="29"/>
        <v>55308.514800000004</v>
      </c>
      <c r="K83" s="43">
        <v>37181</v>
      </c>
      <c r="L83" s="24"/>
      <c r="M83" s="25"/>
      <c r="N83" s="631" t="s">
        <v>841</v>
      </c>
    </row>
    <row r="84" spans="1:14">
      <c r="A84" s="17"/>
      <c r="B84" s="17"/>
      <c r="C84" s="21"/>
      <c r="D84" s="54" t="s">
        <v>849</v>
      </c>
      <c r="E84" s="55">
        <v>1833</v>
      </c>
      <c r="F84" s="5">
        <f>$E84*3</f>
        <v>5499</v>
      </c>
      <c r="G84" s="5">
        <f>$E84*3</f>
        <v>5499</v>
      </c>
      <c r="H84" s="5">
        <f>$E84*3</f>
        <v>5499</v>
      </c>
      <c r="I84" s="5">
        <f>$E84*3</f>
        <v>5499</v>
      </c>
      <c r="J84" s="997">
        <f t="shared" si="29"/>
        <v>21996</v>
      </c>
      <c r="K84" s="33">
        <f>'[22]2014预算稿 '!J83</f>
        <v>20000</v>
      </c>
      <c r="L84" s="41">
        <f>J84-K84</f>
        <v>1996</v>
      </c>
      <c r="M84" s="25">
        <f t="shared" si="28"/>
        <v>9.98E-2</v>
      </c>
      <c r="N84" s="631"/>
    </row>
    <row r="85" spans="1:14" ht="15">
      <c r="A85" s="17"/>
      <c r="B85" s="17"/>
      <c r="C85" s="21"/>
      <c r="D85" s="45"/>
      <c r="E85" s="5"/>
      <c r="F85" s="56">
        <f>F69+F77+F84</f>
        <v>36839.607400000001</v>
      </c>
      <c r="G85" s="56">
        <f>G69+G77+G84</f>
        <v>21745.607400000001</v>
      </c>
      <c r="H85" s="56">
        <f>H69+H77+H84</f>
        <v>6003</v>
      </c>
      <c r="I85" s="56">
        <f>I69+I77+I84</f>
        <v>21698.607400000001</v>
      </c>
      <c r="J85" s="1350">
        <f>SUM(J69,J77,J84)</f>
        <v>141595.337</v>
      </c>
      <c r="K85" s="58">
        <f>SUM(K69,K77,K84)</f>
        <v>1424902.4835000001</v>
      </c>
      <c r="L85" s="24">
        <f>J85-K85</f>
        <v>-1283307.1465</v>
      </c>
      <c r="M85" s="42">
        <f t="shared" si="28"/>
        <v>-0.90062805094409115</v>
      </c>
      <c r="N85" s="30"/>
    </row>
    <row r="86" spans="1:14">
      <c r="A86" s="17" t="s">
        <v>743</v>
      </c>
      <c r="B86" s="17"/>
      <c r="C86" s="21" t="s">
        <v>850</v>
      </c>
      <c r="D86" s="45" t="s">
        <v>851</v>
      </c>
      <c r="E86" s="5">
        <f>9/12</f>
        <v>0.75</v>
      </c>
      <c r="F86" s="24">
        <f>$E86*3</f>
        <v>2.25</v>
      </c>
      <c r="G86" s="24">
        <f>E86*3</f>
        <v>2.25</v>
      </c>
      <c r="H86" s="24">
        <f>E86*3</f>
        <v>2.25</v>
      </c>
      <c r="I86" s="24">
        <f>E86*3</f>
        <v>2.25</v>
      </c>
      <c r="J86" s="24">
        <f>F86+G86+H86+I86</f>
        <v>9</v>
      </c>
      <c r="K86" s="24">
        <f>'[22]2014预算稿 '!J85</f>
        <v>195338.52</v>
      </c>
      <c r="L86" s="24">
        <f t="shared" si="30"/>
        <v>-195329.52</v>
      </c>
      <c r="M86" s="25">
        <f t="shared" si="28"/>
        <v>-0.99995392613807044</v>
      </c>
      <c r="N86" s="50" t="s">
        <v>852</v>
      </c>
    </row>
    <row r="87" spans="1:14">
      <c r="A87" s="17"/>
      <c r="B87" s="17"/>
      <c r="C87" s="21"/>
      <c r="D87" s="22" t="s">
        <v>853</v>
      </c>
      <c r="E87" s="5">
        <f>17/12</f>
        <v>1.4166666666666667</v>
      </c>
      <c r="F87" s="24">
        <f>$E87*3</f>
        <v>4.25</v>
      </c>
      <c r="G87" s="24">
        <f>$E87*3</f>
        <v>4.25</v>
      </c>
      <c r="H87" s="24">
        <f>$E87*3</f>
        <v>4.25</v>
      </c>
      <c r="I87" s="24">
        <f>$E87*3</f>
        <v>4.25</v>
      </c>
      <c r="J87" s="24">
        <f>F87+G87+H87+I87</f>
        <v>17</v>
      </c>
      <c r="K87" s="24">
        <f>'[22]2014预算稿 '!J86</f>
        <v>23623</v>
      </c>
      <c r="L87" s="24">
        <f t="shared" si="30"/>
        <v>-23606</v>
      </c>
      <c r="M87" s="25">
        <f t="shared" si="28"/>
        <v>-0.9992803623587182</v>
      </c>
      <c r="N87" s="631"/>
    </row>
    <row r="88" spans="1:14">
      <c r="A88" s="17"/>
      <c r="B88" s="17"/>
      <c r="C88" s="21"/>
      <c r="D88" s="22" t="s">
        <v>854</v>
      </c>
      <c r="E88" s="5"/>
      <c r="F88" s="24"/>
      <c r="G88" s="24"/>
      <c r="H88" s="24"/>
      <c r="I88" s="24"/>
      <c r="J88" s="24">
        <f>F88+G88+H88+I88</f>
        <v>0</v>
      </c>
      <c r="K88" s="24">
        <f>'[22]2014预算稿 '!J87</f>
        <v>22920</v>
      </c>
      <c r="L88" s="24">
        <f>J88-K88</f>
        <v>-22920</v>
      </c>
      <c r="M88" s="25"/>
      <c r="N88" s="631" t="s">
        <v>855</v>
      </c>
    </row>
    <row r="89" spans="1:14">
      <c r="A89" s="17"/>
      <c r="B89" s="17"/>
      <c r="C89" s="21"/>
      <c r="D89" s="22" t="s">
        <v>856</v>
      </c>
      <c r="E89" s="5">
        <f>28/12</f>
        <v>2.3333333333333335</v>
      </c>
      <c r="F89" s="24">
        <f>$E89*3</f>
        <v>7</v>
      </c>
      <c r="G89" s="34">
        <f>$E89*1</f>
        <v>2.3333333333333335</v>
      </c>
      <c r="H89" s="24"/>
      <c r="I89" s="24"/>
      <c r="J89" s="24">
        <f>F89+G89+H89+I89</f>
        <v>9.3333333333333339</v>
      </c>
      <c r="K89" s="24">
        <f>'[22]2014预算稿 '!J89+'[22]2014预算稿 '!J88</f>
        <v>47246</v>
      </c>
      <c r="L89" s="24">
        <f t="shared" si="30"/>
        <v>-47236.666666666664</v>
      </c>
      <c r="M89" s="25">
        <f t="shared" si="28"/>
        <v>-0.99980245241219712</v>
      </c>
      <c r="N89" s="50" t="s">
        <v>857</v>
      </c>
    </row>
    <row r="90" spans="1:14" ht="15">
      <c r="A90" s="17"/>
      <c r="B90" s="17"/>
      <c r="C90" s="21"/>
      <c r="D90" s="45"/>
      <c r="E90" s="5"/>
      <c r="F90" s="56">
        <f t="shared" ref="F90:K90" si="31">SUM(F86:F89)</f>
        <v>13.5</v>
      </c>
      <c r="G90" s="56">
        <f t="shared" si="31"/>
        <v>8.8333333333333339</v>
      </c>
      <c r="H90" s="56">
        <f t="shared" si="31"/>
        <v>6.5</v>
      </c>
      <c r="I90" s="56">
        <f t="shared" si="31"/>
        <v>6.5</v>
      </c>
      <c r="J90" s="39">
        <f>SUM(J86:J89)</f>
        <v>35.333333333333336</v>
      </c>
      <c r="K90" s="58">
        <f t="shared" si="31"/>
        <v>289127.52</v>
      </c>
      <c r="L90" s="24">
        <f>J90-K90</f>
        <v>-289092.1866666667</v>
      </c>
      <c r="M90" s="42">
        <f t="shared" si="28"/>
        <v>-0.99987779325422455</v>
      </c>
      <c r="N90" s="59"/>
    </row>
    <row r="91" spans="1:14">
      <c r="A91" s="60" t="s">
        <v>743</v>
      </c>
      <c r="B91" s="60"/>
      <c r="C91" s="21" t="s">
        <v>858</v>
      </c>
      <c r="D91" s="61" t="s">
        <v>859</v>
      </c>
      <c r="E91" s="5">
        <v>17</v>
      </c>
      <c r="F91" s="24">
        <f t="shared" ref="F91:I92" si="32">$E91*3</f>
        <v>51</v>
      </c>
      <c r="G91" s="24">
        <f t="shared" si="32"/>
        <v>51</v>
      </c>
      <c r="H91" s="24">
        <f t="shared" si="32"/>
        <v>51</v>
      </c>
      <c r="I91" s="24">
        <f t="shared" si="32"/>
        <v>51</v>
      </c>
      <c r="J91" s="24">
        <f>F91+G91+H91+I91</f>
        <v>204</v>
      </c>
      <c r="K91" s="24">
        <f>'[22]2014预算稿 '!J91</f>
        <v>2305440</v>
      </c>
      <c r="L91" s="24">
        <f t="shared" si="30"/>
        <v>-2305236</v>
      </c>
      <c r="M91" s="25">
        <f t="shared" si="28"/>
        <v>-0.99991151363731001</v>
      </c>
      <c r="N91" s="631" t="s">
        <v>860</v>
      </c>
    </row>
    <row r="92" spans="1:14">
      <c r="A92" s="60"/>
      <c r="B92" s="62" t="s">
        <v>736</v>
      </c>
      <c r="C92" s="21"/>
      <c r="D92" s="63" t="s">
        <v>861</v>
      </c>
      <c r="E92" s="5">
        <v>26</v>
      </c>
      <c r="F92" s="24">
        <f t="shared" si="32"/>
        <v>78</v>
      </c>
      <c r="G92" s="24">
        <f t="shared" si="32"/>
        <v>78</v>
      </c>
      <c r="H92" s="24">
        <f t="shared" si="32"/>
        <v>78</v>
      </c>
      <c r="I92" s="24">
        <f t="shared" si="32"/>
        <v>78</v>
      </c>
      <c r="J92" s="24">
        <f>F92+G92+H92+I92</f>
        <v>312</v>
      </c>
      <c r="K92" s="24"/>
      <c r="L92" s="24"/>
      <c r="M92" s="25"/>
      <c r="N92" s="631"/>
    </row>
    <row r="93" spans="1:14" ht="15">
      <c r="A93" s="17"/>
      <c r="B93" s="17"/>
      <c r="C93" s="21"/>
      <c r="D93" s="45"/>
      <c r="F93" s="38">
        <f t="shared" ref="F93:K93" si="33">SUM(F91:F91)</f>
        <v>51</v>
      </c>
      <c r="G93" s="38">
        <f t="shared" si="33"/>
        <v>51</v>
      </c>
      <c r="H93" s="38">
        <f t="shared" si="33"/>
        <v>51</v>
      </c>
      <c r="I93" s="38">
        <f>SUM(I91:I91)</f>
        <v>51</v>
      </c>
      <c r="J93" s="1349">
        <f>SUM(J91:J92)</f>
        <v>516</v>
      </c>
      <c r="K93" s="40">
        <f t="shared" si="33"/>
        <v>2305440</v>
      </c>
      <c r="L93" s="24">
        <f>J93-K93</f>
        <v>-2304924</v>
      </c>
      <c r="M93" s="42">
        <f t="shared" si="28"/>
        <v>-0.99977618155319592</v>
      </c>
      <c r="N93" s="64"/>
    </row>
    <row r="94" spans="1:14">
      <c r="A94" s="60" t="s">
        <v>743</v>
      </c>
      <c r="B94" s="17"/>
      <c r="C94" s="21" t="s">
        <v>862</v>
      </c>
      <c r="D94" s="48" t="s">
        <v>863</v>
      </c>
      <c r="E94" s="5"/>
      <c r="F94" s="49">
        <f>SUM(F95:F101)</f>
        <v>1368</v>
      </c>
      <c r="G94" s="49">
        <f>SUM(G95:G101)</f>
        <v>1216</v>
      </c>
      <c r="H94" s="49">
        <f>SUM(H95:H101)</f>
        <v>1140</v>
      </c>
      <c r="I94" s="5">
        <f>SUM(I95:I101)</f>
        <v>1140</v>
      </c>
      <c r="J94" s="49">
        <f>SUM(F94:I94)</f>
        <v>4864</v>
      </c>
      <c r="K94" s="41">
        <f>'[22]2014预算稿 '!J94</f>
        <v>538671.24</v>
      </c>
      <c r="L94" s="24">
        <f>J94-K94</f>
        <v>-533807.24</v>
      </c>
      <c r="M94" s="25"/>
      <c r="N94" s="631"/>
    </row>
    <row r="95" spans="1:14">
      <c r="A95" s="17"/>
      <c r="B95" s="17"/>
      <c r="C95" s="21"/>
      <c r="D95" s="45" t="s">
        <v>864</v>
      </c>
      <c r="E95" s="5">
        <v>76</v>
      </c>
      <c r="F95" s="24">
        <f t="shared" ref="F95:I99" si="34">$E95*3</f>
        <v>228</v>
      </c>
      <c r="G95" s="24">
        <f t="shared" si="34"/>
        <v>228</v>
      </c>
      <c r="H95" s="24">
        <f t="shared" si="34"/>
        <v>228</v>
      </c>
      <c r="I95" s="24">
        <f t="shared" si="34"/>
        <v>228</v>
      </c>
      <c r="J95" s="24">
        <f t="shared" ref="J95:J104" si="35">F95+G95+H95+I95</f>
        <v>912</v>
      </c>
      <c r="K95" s="24">
        <f>'[22]2014预算稿 '!J95</f>
        <v>20688</v>
      </c>
      <c r="L95" s="24">
        <f t="shared" si="30"/>
        <v>-19776</v>
      </c>
      <c r="M95" s="25">
        <f t="shared" ref="M95:M107" si="36">(J95-K95)/K95</f>
        <v>-0.95591647331786544</v>
      </c>
      <c r="N95" s="632" t="s">
        <v>865</v>
      </c>
    </row>
    <row r="96" spans="1:14">
      <c r="A96" s="17"/>
      <c r="B96" s="17"/>
      <c r="C96" s="21"/>
      <c r="D96" s="45" t="s">
        <v>866</v>
      </c>
      <c r="E96" s="5">
        <v>76</v>
      </c>
      <c r="F96" s="24">
        <f t="shared" si="34"/>
        <v>228</v>
      </c>
      <c r="G96" s="24">
        <f t="shared" si="34"/>
        <v>228</v>
      </c>
      <c r="H96" s="24">
        <f t="shared" si="34"/>
        <v>228</v>
      </c>
      <c r="I96" s="24">
        <f t="shared" si="34"/>
        <v>228</v>
      </c>
      <c r="J96" s="24">
        <f t="shared" si="35"/>
        <v>912</v>
      </c>
      <c r="K96" s="24">
        <f>'[22]2014预算稿 '!J96</f>
        <v>366660</v>
      </c>
      <c r="L96" s="24">
        <f t="shared" si="30"/>
        <v>-365748</v>
      </c>
      <c r="M96" s="25">
        <f t="shared" si="36"/>
        <v>-0.99751268204876453</v>
      </c>
      <c r="N96" s="631" t="s">
        <v>867</v>
      </c>
    </row>
    <row r="97" spans="1:14">
      <c r="A97" s="17"/>
      <c r="B97" s="17"/>
      <c r="C97" s="21"/>
      <c r="D97" s="22" t="s">
        <v>868</v>
      </c>
      <c r="E97" s="5">
        <v>76</v>
      </c>
      <c r="F97" s="24">
        <f t="shared" si="34"/>
        <v>228</v>
      </c>
      <c r="G97" s="24">
        <f t="shared" si="34"/>
        <v>228</v>
      </c>
      <c r="H97" s="24">
        <f t="shared" si="34"/>
        <v>228</v>
      </c>
      <c r="I97" s="24">
        <f t="shared" si="34"/>
        <v>228</v>
      </c>
      <c r="J97" s="24">
        <f t="shared" si="35"/>
        <v>912</v>
      </c>
      <c r="K97" s="24">
        <f>'[22]2014预算稿 '!J97</f>
        <v>15960</v>
      </c>
      <c r="L97" s="24">
        <f t="shared" si="30"/>
        <v>-15048</v>
      </c>
      <c r="M97" s="25">
        <f t="shared" si="36"/>
        <v>-0.94285714285714284</v>
      </c>
      <c r="N97" s="631" t="s">
        <v>869</v>
      </c>
    </row>
    <row r="98" spans="1:14">
      <c r="A98" s="17"/>
      <c r="B98" s="17"/>
      <c r="C98" s="21"/>
      <c r="D98" s="22" t="s">
        <v>870</v>
      </c>
      <c r="E98" s="5">
        <v>76</v>
      </c>
      <c r="F98" s="24">
        <f t="shared" si="34"/>
        <v>228</v>
      </c>
      <c r="G98" s="24">
        <f t="shared" si="34"/>
        <v>228</v>
      </c>
      <c r="H98" s="24">
        <f t="shared" si="34"/>
        <v>228</v>
      </c>
      <c r="I98" s="24">
        <f t="shared" si="34"/>
        <v>228</v>
      </c>
      <c r="J98" s="24">
        <f t="shared" si="35"/>
        <v>912</v>
      </c>
      <c r="K98" s="24">
        <f>'[22]2014预算稿 '!J98+'[22]2014预算稿 '!J99</f>
        <v>78747.239999999991</v>
      </c>
      <c r="L98" s="24">
        <f t="shared" si="30"/>
        <v>-77835.239999999991</v>
      </c>
      <c r="M98" s="25">
        <f t="shared" si="36"/>
        <v>-0.98841864172001459</v>
      </c>
      <c r="N98" s="631" t="s">
        <v>871</v>
      </c>
    </row>
    <row r="99" spans="1:14">
      <c r="A99" s="17"/>
      <c r="B99" s="35" t="s">
        <v>736</v>
      </c>
      <c r="C99" s="21"/>
      <c r="D99" s="22" t="s">
        <v>872</v>
      </c>
      <c r="E99" s="5">
        <v>76</v>
      </c>
      <c r="F99" s="24">
        <f t="shared" si="34"/>
        <v>228</v>
      </c>
      <c r="G99" s="24">
        <f t="shared" si="34"/>
        <v>228</v>
      </c>
      <c r="H99" s="24">
        <f t="shared" si="34"/>
        <v>228</v>
      </c>
      <c r="I99" s="24">
        <f t="shared" si="34"/>
        <v>228</v>
      </c>
      <c r="J99" s="24">
        <f t="shared" si="35"/>
        <v>912</v>
      </c>
      <c r="K99" s="24"/>
      <c r="L99" s="24"/>
      <c r="M99" s="25"/>
      <c r="N99" s="631"/>
    </row>
    <row r="100" spans="1:14">
      <c r="A100" s="17"/>
      <c r="B100" s="17"/>
      <c r="C100" s="21"/>
      <c r="D100" s="22" t="s">
        <v>873</v>
      </c>
      <c r="E100" s="5">
        <v>0</v>
      </c>
      <c r="F100" s="24"/>
      <c r="G100" s="24"/>
      <c r="H100" s="24"/>
      <c r="I100" s="24"/>
      <c r="J100" s="24">
        <f t="shared" si="35"/>
        <v>0</v>
      </c>
      <c r="K100" s="24">
        <f>'[22]2014预算稿 '!J100</f>
        <v>27912</v>
      </c>
      <c r="L100" s="24">
        <f t="shared" si="30"/>
        <v>-27912</v>
      </c>
      <c r="M100" s="25">
        <f>(J100-K100)/K100</f>
        <v>-1</v>
      </c>
      <c r="N100" s="632" t="s">
        <v>874</v>
      </c>
    </row>
    <row r="101" spans="1:14">
      <c r="A101" s="17"/>
      <c r="B101" s="17"/>
      <c r="C101" s="21"/>
      <c r="D101" s="22" t="s">
        <v>875</v>
      </c>
      <c r="E101" s="5">
        <v>76</v>
      </c>
      <c r="F101" s="24">
        <f>$E101*3</f>
        <v>228</v>
      </c>
      <c r="G101" s="24">
        <f>$E101*1</f>
        <v>76</v>
      </c>
      <c r="H101" s="24">
        <v>0</v>
      </c>
      <c r="I101" s="24">
        <v>0</v>
      </c>
      <c r="J101" s="24">
        <f t="shared" si="35"/>
        <v>304</v>
      </c>
      <c r="K101" s="24">
        <f>'[22]2014预算稿 '!J101</f>
        <v>28704</v>
      </c>
      <c r="L101" s="24">
        <f t="shared" si="30"/>
        <v>-28400</v>
      </c>
      <c r="M101" s="25">
        <f>(J101-K101)/K101</f>
        <v>-0.9894091415830546</v>
      </c>
      <c r="N101" s="631" t="s">
        <v>876</v>
      </c>
    </row>
    <row r="102" spans="1:14" s="67" customFormat="1">
      <c r="A102" s="65"/>
      <c r="B102" s="65"/>
      <c r="C102" s="21"/>
      <c r="D102" s="46" t="s">
        <v>877</v>
      </c>
      <c r="E102" s="5"/>
      <c r="F102" s="5">
        <f>F103+F104</f>
        <v>15000</v>
      </c>
      <c r="G102" s="5">
        <f>G103+G104</f>
        <v>4840.0000000000009</v>
      </c>
      <c r="H102" s="49">
        <f>H103+H104</f>
        <v>0</v>
      </c>
      <c r="I102" s="5">
        <f>I103+I104</f>
        <v>4840.0000000000009</v>
      </c>
      <c r="J102" s="24">
        <f t="shared" si="35"/>
        <v>24680</v>
      </c>
      <c r="K102" s="49">
        <f>'[22]2014预算稿 '!J102</f>
        <v>13200</v>
      </c>
      <c r="L102" s="24">
        <f>J102-K102</f>
        <v>11480</v>
      </c>
      <c r="M102" s="25"/>
      <c r="N102" s="66"/>
    </row>
    <row r="103" spans="1:14" s="67" customFormat="1">
      <c r="A103" s="65"/>
      <c r="B103" s="65"/>
      <c r="C103" s="21"/>
      <c r="D103" s="22" t="s">
        <v>878</v>
      </c>
      <c r="E103" s="5">
        <v>0</v>
      </c>
      <c r="F103" s="24">
        <f>1000*15</f>
        <v>15000</v>
      </c>
      <c r="G103" s="24">
        <f>$E103*3</f>
        <v>0</v>
      </c>
      <c r="H103" s="24">
        <f>$E103*3</f>
        <v>0</v>
      </c>
      <c r="I103" s="24">
        <f>$E103*3</f>
        <v>0</v>
      </c>
      <c r="J103" s="24">
        <f t="shared" si="35"/>
        <v>15000</v>
      </c>
      <c r="K103" s="49">
        <f>'[22]2014预算稿 '!J103</f>
        <v>0</v>
      </c>
      <c r="L103" s="24">
        <f t="shared" si="30"/>
        <v>15000</v>
      </c>
      <c r="M103" s="25"/>
      <c r="N103" s="66"/>
    </row>
    <row r="104" spans="1:14" s="67" customFormat="1">
      <c r="A104" s="65"/>
      <c r="B104" s="65"/>
      <c r="C104" s="21"/>
      <c r="D104" s="22" t="s">
        <v>879</v>
      </c>
      <c r="E104" s="5"/>
      <c r="F104" s="24">
        <v>0</v>
      </c>
      <c r="G104" s="24">
        <f>'[22]部分费用明细（水电植物耗材茶歇）'!C198</f>
        <v>4840.0000000000009</v>
      </c>
      <c r="H104" s="24">
        <f>$E104*3</f>
        <v>0</v>
      </c>
      <c r="I104" s="24">
        <f>'[22]部分费用明细（水电植物耗材茶歇）'!E198</f>
        <v>4840.0000000000009</v>
      </c>
      <c r="J104" s="24">
        <f t="shared" si="35"/>
        <v>9680.0000000000018</v>
      </c>
      <c r="K104" s="49">
        <f>'[22]2014预算稿 '!J104</f>
        <v>13200</v>
      </c>
      <c r="L104" s="24">
        <f t="shared" si="30"/>
        <v>-3519.9999999999982</v>
      </c>
      <c r="M104" s="25">
        <f t="shared" si="36"/>
        <v>-0.26666666666666655</v>
      </c>
      <c r="N104" s="697" t="s">
        <v>880</v>
      </c>
    </row>
    <row r="105" spans="1:14" ht="15">
      <c r="A105" s="17"/>
      <c r="B105" s="17"/>
      <c r="C105" s="21"/>
      <c r="D105" s="45"/>
      <c r="E105" s="5"/>
      <c r="F105" s="38">
        <f t="shared" ref="F105:K105" si="37">F94+F102</f>
        <v>16368</v>
      </c>
      <c r="G105" s="38">
        <f t="shared" si="37"/>
        <v>6056.0000000000009</v>
      </c>
      <c r="H105" s="38">
        <f t="shared" si="37"/>
        <v>1140</v>
      </c>
      <c r="I105" s="38">
        <f t="shared" si="37"/>
        <v>5980.0000000000009</v>
      </c>
      <c r="J105" s="39">
        <f t="shared" si="37"/>
        <v>29544</v>
      </c>
      <c r="K105" s="39">
        <f t="shared" si="37"/>
        <v>551871.24</v>
      </c>
      <c r="L105" s="41">
        <f>J105-K105</f>
        <v>-522327.24</v>
      </c>
      <c r="M105" s="42">
        <f t="shared" si="36"/>
        <v>-0.94646577342932381</v>
      </c>
      <c r="N105" s="631"/>
    </row>
    <row r="106" spans="1:14">
      <c r="A106" s="17" t="s">
        <v>67</v>
      </c>
      <c r="B106" s="17"/>
      <c r="C106" s="21" t="s">
        <v>881</v>
      </c>
      <c r="D106" s="45" t="s">
        <v>882</v>
      </c>
      <c r="E106" s="5">
        <v>191</v>
      </c>
      <c r="F106" s="24">
        <f t="shared" ref="F106:I107" si="38">$E106*3</f>
        <v>573</v>
      </c>
      <c r="G106" s="24">
        <f t="shared" si="38"/>
        <v>573</v>
      </c>
      <c r="H106" s="24">
        <f t="shared" si="38"/>
        <v>573</v>
      </c>
      <c r="I106" s="24">
        <f t="shared" si="38"/>
        <v>573</v>
      </c>
      <c r="J106" s="24">
        <f>F106+G106+H106+I106</f>
        <v>2292</v>
      </c>
      <c r="K106" s="24">
        <f>'[22]2014预算稿 '!J106</f>
        <v>578739.88799999992</v>
      </c>
      <c r="L106" s="24">
        <f t="shared" si="30"/>
        <v>-576447.88799999992</v>
      </c>
      <c r="M106" s="25">
        <f t="shared" si="36"/>
        <v>-0.99603967162532958</v>
      </c>
      <c r="N106" s="68"/>
    </row>
    <row r="107" spans="1:14" s="72" customFormat="1">
      <c r="A107" s="69"/>
      <c r="B107" s="69"/>
      <c r="C107" s="70"/>
      <c r="D107" s="22" t="s">
        <v>883</v>
      </c>
      <c r="E107" s="5">
        <v>155</v>
      </c>
      <c r="F107" s="24">
        <f t="shared" si="38"/>
        <v>465</v>
      </c>
      <c r="G107" s="24">
        <f t="shared" si="38"/>
        <v>465</v>
      </c>
      <c r="H107" s="24">
        <f t="shared" si="38"/>
        <v>465</v>
      </c>
      <c r="I107" s="24">
        <f t="shared" si="38"/>
        <v>465</v>
      </c>
      <c r="J107" s="24">
        <f>F107+G107+H107+I107</f>
        <v>1860</v>
      </c>
      <c r="K107" s="24">
        <f>'[22]2014预算稿 '!J108+'[22]2014预算稿 '!J107</f>
        <v>66317</v>
      </c>
      <c r="L107" s="24">
        <f t="shared" si="30"/>
        <v>-64457</v>
      </c>
      <c r="M107" s="25">
        <f t="shared" si="36"/>
        <v>-0.97195289292338316</v>
      </c>
      <c r="N107" s="71" t="s">
        <v>884</v>
      </c>
    </row>
    <row r="108" spans="1:14" ht="38.25">
      <c r="A108" s="17"/>
      <c r="B108" s="17"/>
      <c r="C108" s="21"/>
      <c r="D108" s="45" t="s">
        <v>885</v>
      </c>
      <c r="E108" s="73">
        <f>10.9*(500/12)</f>
        <v>454.16666666666663</v>
      </c>
      <c r="F108" s="73">
        <f>$E108*3</f>
        <v>1362.5</v>
      </c>
      <c r="G108" s="33">
        <f>F108</f>
        <v>1362.5</v>
      </c>
      <c r="H108" s="73">
        <f>F108</f>
        <v>1362.5</v>
      </c>
      <c r="I108" s="73">
        <f>F108</f>
        <v>1362.5</v>
      </c>
      <c r="J108" s="24">
        <f>F108+G108+H108+I108</f>
        <v>5450</v>
      </c>
      <c r="K108" s="24">
        <f>'[22]2014预算稿 '!J109</f>
        <v>79100.000000000015</v>
      </c>
      <c r="L108" s="24">
        <f t="shared" si="30"/>
        <v>-73650.000000000015</v>
      </c>
      <c r="M108" s="25">
        <f>(J108-K108)/K108</f>
        <v>-0.9310998735777497</v>
      </c>
      <c r="N108" s="64" t="s">
        <v>886</v>
      </c>
    </row>
    <row r="109" spans="1:14" ht="15">
      <c r="A109" s="28"/>
      <c r="B109" s="28"/>
      <c r="C109" s="21"/>
      <c r="D109" s="74"/>
      <c r="E109" s="75"/>
      <c r="F109" s="75">
        <f t="shared" ref="F109:K109" si="39">SUM(F106:F108)</f>
        <v>2400.5</v>
      </c>
      <c r="G109" s="75">
        <f t="shared" si="39"/>
        <v>2400.5</v>
      </c>
      <c r="H109" s="75">
        <f t="shared" si="39"/>
        <v>2400.5</v>
      </c>
      <c r="I109" s="75">
        <f t="shared" si="39"/>
        <v>2400.5</v>
      </c>
      <c r="J109" s="76">
        <f>SUM(J106:J108)</f>
        <v>9602</v>
      </c>
      <c r="K109" s="76">
        <f t="shared" si="39"/>
        <v>724156.88799999992</v>
      </c>
      <c r="L109" s="24">
        <f>J109-K109</f>
        <v>-714554.88799999992</v>
      </c>
      <c r="M109" s="42">
        <f>(J109-K109)/K109</f>
        <v>-0.98674044235563496</v>
      </c>
      <c r="N109" s="30"/>
    </row>
    <row r="110" spans="1:14">
      <c r="A110" s="60" t="s">
        <v>743</v>
      </c>
      <c r="B110" s="17"/>
      <c r="C110" s="21" t="s">
        <v>887</v>
      </c>
      <c r="D110" s="22" t="s">
        <v>888</v>
      </c>
      <c r="J110" s="4"/>
      <c r="K110" s="4"/>
      <c r="L110" s="24">
        <f t="shared" si="30"/>
        <v>0</v>
      </c>
      <c r="M110" s="25"/>
      <c r="N110" s="64"/>
    </row>
    <row r="111" spans="1:14">
      <c r="A111" s="60"/>
      <c r="B111" s="17"/>
      <c r="C111" s="21"/>
      <c r="D111" s="77" t="s">
        <v>889</v>
      </c>
      <c r="E111" s="5">
        <v>174</v>
      </c>
      <c r="F111" s="73">
        <f>$E111*3</f>
        <v>522</v>
      </c>
      <c r="G111" s="73">
        <f>$E111*3</f>
        <v>522</v>
      </c>
      <c r="H111" s="73">
        <f>$E111*3</f>
        <v>522</v>
      </c>
      <c r="I111" s="73">
        <f>$E111*3</f>
        <v>522</v>
      </c>
      <c r="J111" s="5">
        <f>F111+G111+H111+I111</f>
        <v>2088</v>
      </c>
      <c r="K111" s="6">
        <f>'[22]2014预算稿 '!J113</f>
        <v>47314.079999999987</v>
      </c>
      <c r="L111" s="24">
        <f t="shared" si="30"/>
        <v>-45226.079999999987</v>
      </c>
      <c r="M111" s="25">
        <f>(J111-K111)/K111</f>
        <v>-0.95586937334510147</v>
      </c>
      <c r="N111" s="31" t="s">
        <v>890</v>
      </c>
    </row>
    <row r="112" spans="1:14" ht="15">
      <c r="A112" s="78"/>
      <c r="B112" s="78"/>
      <c r="C112" s="78"/>
      <c r="D112" s="22"/>
      <c r="E112" s="79"/>
      <c r="F112" s="79">
        <f t="shared" ref="F112:K112" si="40">SUM(F111:F111)</f>
        <v>522</v>
      </c>
      <c r="G112" s="79">
        <f t="shared" si="40"/>
        <v>522</v>
      </c>
      <c r="H112" s="79">
        <f t="shared" si="40"/>
        <v>522</v>
      </c>
      <c r="I112" s="79">
        <f t="shared" si="40"/>
        <v>522</v>
      </c>
      <c r="J112" s="80">
        <f t="shared" si="40"/>
        <v>2088</v>
      </c>
      <c r="K112" s="80">
        <f t="shared" si="40"/>
        <v>47314.079999999987</v>
      </c>
      <c r="L112" s="24">
        <f>J112-K112</f>
        <v>-45226.079999999987</v>
      </c>
      <c r="M112" s="42">
        <f>(J111-K112)/K112</f>
        <v>-0.95586937334510147</v>
      </c>
      <c r="N112" s="64"/>
    </row>
    <row r="113" spans="1:15" ht="24.75">
      <c r="A113" s="17" t="s">
        <v>73</v>
      </c>
      <c r="B113" s="17"/>
      <c r="C113" s="21" t="s">
        <v>891</v>
      </c>
      <c r="D113" s="46" t="s">
        <v>892</v>
      </c>
      <c r="E113" s="81"/>
      <c r="F113" s="81">
        <f>[22]装饰门禁电视空调维护2015!G16</f>
        <v>223965</v>
      </c>
      <c r="G113" s="81">
        <f>[22]装饰门禁电视空调维护2015!H16</f>
        <v>178491</v>
      </c>
      <c r="H113" s="81">
        <f>[22]装饰门禁电视空调维护2015!I16</f>
        <v>165454</v>
      </c>
      <c r="I113" s="81">
        <f>[22]装饰门禁电视空调维护2015!J16</f>
        <v>168424</v>
      </c>
      <c r="J113" s="47">
        <f>F113+G113+H113+I113</f>
        <v>736334</v>
      </c>
      <c r="K113" s="24">
        <f>'[22]2014预算稿 '!J115</f>
        <v>1134472.7625</v>
      </c>
      <c r="L113" s="24">
        <f t="shared" si="30"/>
        <v>-398138.76249999995</v>
      </c>
      <c r="M113" s="25">
        <f t="shared" ref="M113:M127" si="41">(J113-K113)/K113</f>
        <v>-0.35094607438845404</v>
      </c>
      <c r="N113" s="64" t="s">
        <v>893</v>
      </c>
    </row>
    <row r="114" spans="1:15">
      <c r="A114" s="17"/>
      <c r="B114" s="35" t="s">
        <v>736</v>
      </c>
      <c r="C114" s="21"/>
      <c r="D114" s="46" t="s">
        <v>894</v>
      </c>
      <c r="E114" s="81"/>
      <c r="F114" s="81">
        <f>[22]装饰门禁电视空调维护2015!G17</f>
        <v>74030</v>
      </c>
      <c r="G114" s="81">
        <f>[22]装饰门禁电视空调维护2015!H17</f>
        <v>99785</v>
      </c>
      <c r="H114" s="81">
        <f>[22]装饰门禁电视空调维护2015!I17</f>
        <v>99785</v>
      </c>
      <c r="I114" s="81">
        <f>[22]装饰门禁电视空调维护2015!J17</f>
        <v>99785</v>
      </c>
      <c r="J114" s="47">
        <f>F114+G114+H114+I114</f>
        <v>373385</v>
      </c>
      <c r="K114" s="24"/>
      <c r="L114" s="24"/>
      <c r="M114" s="25"/>
      <c r="N114" s="64"/>
    </row>
    <row r="115" spans="1:15">
      <c r="C115" s="21"/>
      <c r="D115" s="46" t="s">
        <v>895</v>
      </c>
      <c r="E115" s="81"/>
      <c r="F115" s="81">
        <f>[22]装饰门禁电视空调维护2015!G39</f>
        <v>57755.8</v>
      </c>
      <c r="G115" s="81">
        <f>[22]装饰门禁电视空调维护2015!H39</f>
        <v>1042775.2</v>
      </c>
      <c r="H115" s="81">
        <f>[22]装饰门禁电视空调维护2015!I39</f>
        <v>82955.8</v>
      </c>
      <c r="I115" s="81">
        <f>[22]装饰门禁电视空调维护2015!J39</f>
        <v>125166.20000000001</v>
      </c>
      <c r="J115" s="47">
        <f>F115+G115+H115+I115</f>
        <v>1308653</v>
      </c>
      <c r="K115" s="24">
        <f>'[22]2014预算稿 '!J116</f>
        <v>593731</v>
      </c>
      <c r="L115" s="24">
        <f t="shared" si="30"/>
        <v>714922</v>
      </c>
      <c r="M115" s="25">
        <f>(J115-K115)/K115</f>
        <v>1.2041176896608059</v>
      </c>
      <c r="N115" s="64" t="s">
        <v>896</v>
      </c>
    </row>
    <row r="116" spans="1:15">
      <c r="B116" s="82" t="s">
        <v>832</v>
      </c>
      <c r="C116" s="21"/>
      <c r="D116" s="46" t="s">
        <v>897</v>
      </c>
      <c r="E116" s="81"/>
      <c r="F116" s="81">
        <f>[22]装饰门禁电视空调维护2015!G40</f>
        <v>9936</v>
      </c>
      <c r="G116" s="81">
        <f>[22]装饰门禁电视空调维护2015!H40</f>
        <v>9936</v>
      </c>
      <c r="H116" s="81">
        <f>[22]装饰门禁电视空调维护2015!I40</f>
        <v>9936</v>
      </c>
      <c r="I116" s="81">
        <f>[22]装饰门禁电视空调维护2015!J40</f>
        <v>9936</v>
      </c>
      <c r="J116" s="47">
        <f>F116+G116+H116+I116</f>
        <v>39744</v>
      </c>
      <c r="K116" s="24"/>
      <c r="L116" s="24"/>
      <c r="M116" s="25"/>
      <c r="N116" s="64"/>
    </row>
    <row r="117" spans="1:15">
      <c r="C117" s="21"/>
      <c r="D117" s="45" t="s">
        <v>898</v>
      </c>
      <c r="E117" s="5"/>
      <c r="F117" s="81">
        <f>[22]装饰门禁电视空调维护2015!G43</f>
        <v>0</v>
      </c>
      <c r="G117" s="81">
        <f>[22]装饰门禁电视空调维护2015!H43</f>
        <v>3996</v>
      </c>
      <c r="H117" s="81">
        <f>[22]装饰门禁电视空调维护2015!I43</f>
        <v>77015</v>
      </c>
      <c r="I117" s="81">
        <f>[22]装饰门禁电视空调维护2015!J43</f>
        <v>3996</v>
      </c>
      <c r="J117" s="47">
        <f>F117+G117+H117+I117</f>
        <v>85007</v>
      </c>
      <c r="K117" s="24">
        <f>'[22]2014预算稿 '!J117</f>
        <v>101237</v>
      </c>
      <c r="L117" s="24">
        <f t="shared" si="30"/>
        <v>-16230</v>
      </c>
      <c r="M117" s="25">
        <f t="shared" si="41"/>
        <v>-0.16031688019202467</v>
      </c>
      <c r="N117" s="83" t="s">
        <v>899</v>
      </c>
    </row>
    <row r="118" spans="1:15" ht="15">
      <c r="A118" s="28"/>
      <c r="B118" s="28"/>
      <c r="C118" s="21"/>
      <c r="D118" s="45"/>
      <c r="E118" s="5"/>
      <c r="F118" s="75">
        <f>SUBTOTAL(9,F113:F117)</f>
        <v>365686.8</v>
      </c>
      <c r="G118" s="75">
        <f>SUBTOTAL(9,G113:G117)</f>
        <v>1334983.2</v>
      </c>
      <c r="H118" s="75">
        <f>SUBTOTAL(9,H113:H117)</f>
        <v>435145.8</v>
      </c>
      <c r="I118" s="75">
        <f>SUBTOTAL(9,I113:I117)</f>
        <v>407307.2</v>
      </c>
      <c r="J118" s="84">
        <f>SUBTOTAL(9,J113:J117)</f>
        <v>2543123</v>
      </c>
      <c r="K118" s="84">
        <f>SUM(K113:K117)</f>
        <v>1829440.7625</v>
      </c>
      <c r="L118" s="24">
        <f t="shared" si="30"/>
        <v>713682.23750000005</v>
      </c>
      <c r="M118" s="42">
        <f t="shared" si="41"/>
        <v>0.39010950894344693</v>
      </c>
      <c r="N118" s="71"/>
    </row>
    <row r="119" spans="1:15">
      <c r="A119" s="17" t="s">
        <v>67</v>
      </c>
      <c r="B119" s="17"/>
      <c r="C119" s="21" t="s">
        <v>900</v>
      </c>
      <c r="D119" s="45" t="s">
        <v>79</v>
      </c>
      <c r="E119" s="5">
        <f>[22]财产险!K8/12-E120</f>
        <v>39298.025000000009</v>
      </c>
      <c r="F119" s="24">
        <f>[22]财产险!K8*[22]财产险!I8/4-F120</f>
        <v>11701.109375000005</v>
      </c>
      <c r="G119" s="24">
        <f>[22]财产险!K8*[22]财产险!I8/4+[22]财产险!K8*[22]财产险!H8-G120</f>
        <v>436472.97187499999</v>
      </c>
      <c r="H119" s="24">
        <f>F119</f>
        <v>11701.109375000005</v>
      </c>
      <c r="I119" s="24">
        <f>F119</f>
        <v>11701.109375000005</v>
      </c>
      <c r="J119" s="6">
        <f>F119+G119+H119+I119</f>
        <v>471576.3</v>
      </c>
      <c r="K119" s="6">
        <f>'[22]2014预算稿 '!J119</f>
        <v>499203.78199999995</v>
      </c>
      <c r="L119" s="24">
        <f t="shared" si="30"/>
        <v>-27627.48199999996</v>
      </c>
      <c r="M119" s="25">
        <f t="shared" si="41"/>
        <v>-5.5343094335771607E-2</v>
      </c>
      <c r="N119" s="50" t="s">
        <v>80</v>
      </c>
    </row>
    <row r="120" spans="1:15">
      <c r="A120" s="17"/>
      <c r="B120" s="35" t="s">
        <v>832</v>
      </c>
      <c r="C120" s="21"/>
      <c r="D120" s="46" t="s">
        <v>901</v>
      </c>
      <c r="E120" s="5">
        <f>[22]财产险!K26/12</f>
        <v>577.01041666666663</v>
      </c>
      <c r="F120" s="24">
        <f>[22]财产险!K26*[22]财产险!I26/4</f>
        <v>117.3406250000002</v>
      </c>
      <c r="G120" s="24">
        <f>[22]财产险!K26*[22]财产险!I26/4+[22]财产险!K26*[22]财产险!H26</f>
        <v>6572.1031249999987</v>
      </c>
      <c r="H120" s="24">
        <f>[22]财产险!K26*[22]财产险!I26/4</f>
        <v>117.3406250000002</v>
      </c>
      <c r="I120" s="24">
        <f>[22]财产险!K26*[22]财产险!I26/4</f>
        <v>117.3406250000002</v>
      </c>
      <c r="J120" s="6">
        <f>F120+G120+H120+I120</f>
        <v>6924.1249999999982</v>
      </c>
      <c r="K120" s="24"/>
      <c r="L120" s="24"/>
      <c r="M120" s="25"/>
      <c r="N120" s="50"/>
    </row>
    <row r="121" spans="1:15" ht="15">
      <c r="A121" s="17"/>
      <c r="B121" s="17"/>
      <c r="C121" s="21"/>
      <c r="D121" s="45"/>
      <c r="E121" s="5"/>
      <c r="F121" s="75">
        <f>SUM(F119:F120)</f>
        <v>11818.450000000006</v>
      </c>
      <c r="G121" s="75">
        <f>SUM(G119:G120)</f>
        <v>443045.07500000001</v>
      </c>
      <c r="H121" s="75">
        <f>SUM(H119:H120)</f>
        <v>11818.450000000006</v>
      </c>
      <c r="I121" s="75">
        <f>SUM(I119:I120)</f>
        <v>11818.450000000006</v>
      </c>
      <c r="J121" s="76">
        <f>SUM(J119:J120)</f>
        <v>478500.42499999999</v>
      </c>
      <c r="K121" s="84">
        <f>'[22]2014预算稿 '!J120</f>
        <v>499203.78199999995</v>
      </c>
      <c r="L121" s="24">
        <f t="shared" si="30"/>
        <v>-20703.35699999996</v>
      </c>
      <c r="M121" s="42">
        <f t="shared" si="41"/>
        <v>-4.1472756710805456E-2</v>
      </c>
      <c r="N121" s="64"/>
    </row>
    <row r="122" spans="1:15" ht="13.5">
      <c r="A122" s="17" t="s">
        <v>67</v>
      </c>
      <c r="B122" s="17"/>
      <c r="C122" s="21" t="s">
        <v>902</v>
      </c>
      <c r="D122" s="22" t="s">
        <v>82</v>
      </c>
      <c r="E122" s="5"/>
      <c r="F122" s="5">
        <f>[22]Capex!$D$45-'[22]2015预算稿 '!$F$123</f>
        <v>4217470</v>
      </c>
      <c r="G122" s="5">
        <f>[22]Capex!$F$45-'[22]2015预算稿 '!$K$123</f>
        <v>5402180</v>
      </c>
      <c r="H122" s="5">
        <f>[22]Capex!$H$45-'[22]2015预算稿 '!$L$123</f>
        <v>4713550</v>
      </c>
      <c r="I122" s="5">
        <f>[22]Capex!$J$45-'[22]2015预算稿 '!$O$123</f>
        <v>4383500</v>
      </c>
      <c r="J122" s="6">
        <f>F122+G122+H122+I122</f>
        <v>18716700</v>
      </c>
      <c r="K122" s="24">
        <f>'[22]2014预算稿 '!J121</f>
        <v>34980638.799999997</v>
      </c>
      <c r="L122" s="24">
        <f t="shared" si="30"/>
        <v>-16263938.799999997</v>
      </c>
      <c r="M122" s="25">
        <f t="shared" si="41"/>
        <v>-0.46494116053706824</v>
      </c>
      <c r="N122" t="s">
        <v>83</v>
      </c>
    </row>
    <row r="123" spans="1:15" ht="13.5">
      <c r="A123" s="17"/>
      <c r="B123" s="35" t="s">
        <v>832</v>
      </c>
      <c r="C123" s="21"/>
      <c r="D123" s="29" t="s">
        <v>903</v>
      </c>
      <c r="E123" s="5"/>
      <c r="F123" s="24">
        <f>'[22]2015预算稿 '!$F$123</f>
        <v>1889190</v>
      </c>
      <c r="G123" s="24">
        <f>'[22]2015预算稿 '!$I$123</f>
        <v>2387262.5</v>
      </c>
      <c r="H123" s="24">
        <f>'[22]2015预算稿 '!$L$123</f>
        <v>2387262.5</v>
      </c>
      <c r="I123" s="24">
        <f>'[22]2015预算稿 '!$O$123</f>
        <v>2580835</v>
      </c>
      <c r="J123" s="6">
        <f>F123+G123+H123+I123</f>
        <v>9244550</v>
      </c>
      <c r="K123" s="24"/>
      <c r="L123" s="24"/>
      <c r="M123" s="25"/>
      <c r="N123"/>
    </row>
    <row r="124" spans="1:15" ht="13.5">
      <c r="A124" s="17" t="s">
        <v>73</v>
      </c>
      <c r="B124" s="28"/>
      <c r="C124" s="21"/>
      <c r="D124" s="46" t="s">
        <v>904</v>
      </c>
      <c r="E124" s="5"/>
      <c r="F124" s="5">
        <f>[22]Capex!D46</f>
        <v>102250</v>
      </c>
      <c r="G124" s="5">
        <f>[22]Capex!F46</f>
        <v>102250</v>
      </c>
      <c r="H124" s="5">
        <f>[22]Capex!H46</f>
        <v>102250</v>
      </c>
      <c r="I124" s="5">
        <f>[22]Capex!J46</f>
        <v>102250</v>
      </c>
      <c r="J124" s="6">
        <f>F124+G124+H124+I124</f>
        <v>409000</v>
      </c>
      <c r="K124" s="24">
        <f>'[22]2014预算稿 '!J122</f>
        <v>411400</v>
      </c>
      <c r="L124" s="24">
        <f t="shared" si="30"/>
        <v>-2400</v>
      </c>
      <c r="M124" s="25">
        <f t="shared" si="41"/>
        <v>-5.8337384540593099E-3</v>
      </c>
      <c r="N124" t="s">
        <v>86</v>
      </c>
    </row>
    <row r="125" spans="1:15" ht="15">
      <c r="A125" s="28"/>
      <c r="B125" s="28"/>
      <c r="C125" s="21"/>
      <c r="D125" s="45"/>
      <c r="E125" s="5"/>
      <c r="F125" s="56">
        <f t="shared" ref="F125:K125" si="42">SUM(F122:F124)</f>
        <v>6208910</v>
      </c>
      <c r="G125" s="56">
        <f t="shared" si="42"/>
        <v>7891692.5</v>
      </c>
      <c r="H125" s="56">
        <f t="shared" si="42"/>
        <v>7203062.5</v>
      </c>
      <c r="I125" s="56">
        <f t="shared" si="42"/>
        <v>7066585</v>
      </c>
      <c r="J125" s="85">
        <f t="shared" si="42"/>
        <v>28370250</v>
      </c>
      <c r="K125" s="85">
        <f t="shared" si="42"/>
        <v>35392038.799999997</v>
      </c>
      <c r="L125" s="24">
        <f t="shared" si="30"/>
        <v>-7021788.799999997</v>
      </c>
      <c r="M125" s="42">
        <f t="shared" si="41"/>
        <v>-0.19840023457478798</v>
      </c>
      <c r="N125" t="s">
        <v>87</v>
      </c>
    </row>
    <row r="126" spans="1:15" ht="13.5">
      <c r="A126" s="17" t="s">
        <v>905</v>
      </c>
      <c r="B126" s="17"/>
      <c r="C126" s="21" t="s">
        <v>906</v>
      </c>
      <c r="D126" s="45" t="s">
        <v>907</v>
      </c>
      <c r="E126" s="5"/>
      <c r="F126" s="73">
        <f>'[22]2015年公司车险及ES车辆养护'!B30</f>
        <v>60064.307800000002</v>
      </c>
      <c r="G126" s="73">
        <f>'[22]2015年公司车险及ES车辆养护'!C30</f>
        <v>75859.13</v>
      </c>
      <c r="H126" s="73">
        <f>'[22]2015年公司车险及ES车辆养护'!D30</f>
        <v>145464.334</v>
      </c>
      <c r="I126" s="73">
        <f>'[22]2015年公司车险及ES车辆养护'!E30</f>
        <v>45739.965900000003</v>
      </c>
      <c r="J126" s="86">
        <f>F126+G126+H126+I126</f>
        <v>327127.7377</v>
      </c>
      <c r="K126" s="24">
        <f>'[22]2014预算稿 '!J124</f>
        <v>367095.2169</v>
      </c>
      <c r="L126" s="24">
        <f t="shared" si="30"/>
        <v>-39967.479200000002</v>
      </c>
      <c r="M126" s="25">
        <f t="shared" si="41"/>
        <v>-0.10887496583995944</v>
      </c>
      <c r="N126" t="s">
        <v>908</v>
      </c>
      <c r="O126" s="87"/>
    </row>
    <row r="127" spans="1:15" ht="13.5">
      <c r="A127" s="17"/>
      <c r="B127" s="17"/>
      <c r="C127" s="21"/>
      <c r="D127" s="45" t="s">
        <v>909</v>
      </c>
      <c r="E127" s="5">
        <f>'[22]2015年公司车险及ES车辆养护'!G31</f>
        <v>9333.3333333333339</v>
      </c>
      <c r="F127" s="73">
        <f>$E127*3</f>
        <v>28000</v>
      </c>
      <c r="G127" s="73">
        <f>$E127*3</f>
        <v>28000</v>
      </c>
      <c r="H127" s="73">
        <f>$E127*3</f>
        <v>28000</v>
      </c>
      <c r="I127" s="73">
        <f>$E127*3</f>
        <v>28000</v>
      </c>
      <c r="J127" s="86">
        <f>F127+G127+H127+I127</f>
        <v>112000</v>
      </c>
      <c r="K127" s="24">
        <f>'[22]2014预算稿 '!J125</f>
        <v>154000</v>
      </c>
      <c r="L127" s="24">
        <f t="shared" si="30"/>
        <v>-42000</v>
      </c>
      <c r="M127" s="25">
        <f t="shared" si="41"/>
        <v>-0.27272727272727271</v>
      </c>
      <c r="N127" t="s">
        <v>910</v>
      </c>
      <c r="O127" s="87"/>
    </row>
    <row r="128" spans="1:15" ht="15">
      <c r="A128" s="17"/>
      <c r="B128" s="17"/>
      <c r="C128" s="21"/>
      <c r="D128" s="45"/>
      <c r="E128" s="5"/>
      <c r="F128" s="88">
        <f t="shared" ref="F128:K128" si="43">SUM(F126:F127)</f>
        <v>88064.30780000001</v>
      </c>
      <c r="G128" s="88">
        <f t="shared" si="43"/>
        <v>103859.13</v>
      </c>
      <c r="H128" s="88">
        <f t="shared" si="43"/>
        <v>173464.334</v>
      </c>
      <c r="I128" s="88">
        <f t="shared" si="43"/>
        <v>73739.96590000001</v>
      </c>
      <c r="J128" s="89">
        <f>SUM(J126:J127)</f>
        <v>439127.7377</v>
      </c>
      <c r="K128" s="89">
        <f t="shared" si="43"/>
        <v>521095.2169</v>
      </c>
      <c r="L128" s="24">
        <f>J128-K128</f>
        <v>-81967.479200000002</v>
      </c>
      <c r="M128" s="42">
        <f>(J128-K128)/K128</f>
        <v>-0.15729846780714138</v>
      </c>
      <c r="N128" s="30"/>
      <c r="O128" s="8"/>
    </row>
    <row r="129" spans="1:15">
      <c r="D129" s="22"/>
      <c r="L129" s="24">
        <f>J129-K129</f>
        <v>0</v>
      </c>
      <c r="N129" s="30"/>
    </row>
    <row r="130" spans="1:15">
      <c r="A130" s="90" t="s">
        <v>911</v>
      </c>
      <c r="C130" s="21" t="s">
        <v>912</v>
      </c>
      <c r="D130" s="91" t="s">
        <v>913</v>
      </c>
      <c r="E130" s="23"/>
      <c r="F130" s="5">
        <v>1</v>
      </c>
      <c r="G130" s="5">
        <v>1</v>
      </c>
      <c r="H130" s="5">
        <v>1</v>
      </c>
      <c r="I130" s="5">
        <v>1</v>
      </c>
      <c r="J130" s="86">
        <f>F130+G130+H130+I130</f>
        <v>4</v>
      </c>
      <c r="K130" s="6">
        <v>0</v>
      </c>
      <c r="L130" s="24">
        <f>J130-K130</f>
        <v>4</v>
      </c>
      <c r="N130" s="30"/>
    </row>
    <row r="131" spans="1:15" ht="15">
      <c r="A131" s="17"/>
      <c r="B131" s="17"/>
      <c r="C131" s="21"/>
      <c r="D131" s="74"/>
      <c r="E131" s="5"/>
      <c r="F131" s="88">
        <f>SUM(F130:F130)</f>
        <v>1</v>
      </c>
      <c r="G131" s="92">
        <f>SUM(G130:G130)</f>
        <v>1</v>
      </c>
      <c r="H131" s="92">
        <f>SUM(H130:H130)</f>
        <v>1</v>
      </c>
      <c r="I131" s="92">
        <f>SUM(I130:I130)</f>
        <v>1</v>
      </c>
      <c r="J131" s="89">
        <f>SUM(J130:J130)</f>
        <v>4</v>
      </c>
      <c r="K131" s="4">
        <v>0</v>
      </c>
      <c r="L131" s="24">
        <f>J131-K131</f>
        <v>4</v>
      </c>
      <c r="M131" s="25"/>
      <c r="N131" s="30"/>
      <c r="O131" s="8"/>
    </row>
    <row r="132" spans="1:15">
      <c r="D132" s="93" t="s">
        <v>914</v>
      </c>
      <c r="F132" s="94">
        <f>F22+F33+F44+F53+F60+F68+F85+F90+F93+F105+F109+F112+F118+F125+F128+F121+F131</f>
        <v>10494004.971628571</v>
      </c>
      <c r="G132" s="94">
        <f>G22+G33+G44+G53+G60+G68+G85+G90+G93+G105+G109+G112+G118+G125+G128+G121+G131</f>
        <v>13598418.882876189</v>
      </c>
      <c r="H132" s="94">
        <f>H22+H33+H44+H53+H60+H68+H85+H90+H93+H105+H109+H112+H118+H125+H128+H121+H131</f>
        <v>13001981.567092821</v>
      </c>
      <c r="I132" s="94">
        <f>I22+I33+I44+I53+I60+I68+I85+I90+I93+I105+I109+I112+I118+I125+I128+I121+I131</f>
        <v>11239372.0733</v>
      </c>
      <c r="J132" s="94">
        <f>J22+J33+J44+J53+J60+J68+J85+J90+J93+J105+J109+J112+J118+J125+J128+J121+J131</f>
        <v>48389398.009697579</v>
      </c>
      <c r="K132" s="94">
        <f>K22+K33+K44+K53+K60+K68+K85+K93+K105+K109+K112+K118+K125+K128+K121+K131+K90</f>
        <v>130802214.0882412</v>
      </c>
      <c r="L132" s="94">
        <f>L22+L33+L44+L53+L60+L68+L85+L93+L105+L109+L112+L118+L125+L128+L121+L131+O90+L90</f>
        <v>-82412816.078543618</v>
      </c>
      <c r="M132" s="25">
        <f>(J132-K132)/K132</f>
        <v>-0.63005673606523716</v>
      </c>
      <c r="N132" s="95">
        <f>J132-K134</f>
        <v>-85747048.078543633</v>
      </c>
    </row>
    <row r="133" spans="1:15">
      <c r="C133" s="96" t="s">
        <v>915</v>
      </c>
      <c r="D133" s="74"/>
      <c r="K133" s="6">
        <f>'[22]2014预算稿 '!J130</f>
        <v>3334232</v>
      </c>
      <c r="L133" s="97">
        <f>J132-K132</f>
        <v>-82412816.078543633</v>
      </c>
      <c r="M133" s="98" t="s">
        <v>916</v>
      </c>
      <c r="N133" s="30"/>
    </row>
    <row r="134" spans="1:15" s="53" customFormat="1">
      <c r="A134" s="51"/>
      <c r="D134" s="99"/>
      <c r="E134" s="100"/>
      <c r="F134" s="100"/>
      <c r="G134" s="100"/>
      <c r="H134" s="100"/>
      <c r="I134" s="100"/>
      <c r="J134" s="101"/>
      <c r="K134" s="100">
        <f>K132+K133</f>
        <v>134136446.0882412</v>
      </c>
      <c r="L134" s="100">
        <f>L132-L133</f>
        <v>0</v>
      </c>
      <c r="M134" s="25"/>
      <c r="N134" s="66"/>
    </row>
    <row r="135" spans="1:15">
      <c r="A135" s="17" t="s">
        <v>917</v>
      </c>
      <c r="B135" s="17"/>
      <c r="D135" s="45"/>
      <c r="E135" s="5"/>
      <c r="L135" s="101"/>
      <c r="N135" s="30"/>
    </row>
    <row r="136" spans="1:15" ht="15">
      <c r="A136" s="17"/>
      <c r="B136" s="17"/>
      <c r="E136" s="46"/>
      <c r="F136" s="92"/>
      <c r="G136" s="92"/>
      <c r="H136" s="92"/>
      <c r="I136" s="92"/>
      <c r="J136" s="92"/>
      <c r="K136" s="92"/>
    </row>
    <row r="137" spans="1:15" ht="15">
      <c r="D137" s="102" t="s">
        <v>918</v>
      </c>
      <c r="F137" s="57">
        <f>F18+F19+F20+F21+F30+F31+F32+F43+F52+F59+F67+F74+F83+F92+F99+F120+F123+F116+F114</f>
        <v>2415147.9922250002</v>
      </c>
      <c r="G137" s="57">
        <f>G18+G19+G20+G21+G30+G31+G32+G43+G52+G59+G67+G74+G83+G92+G99+G120+G123+G116+G114</f>
        <v>2945430.2547249999</v>
      </c>
      <c r="H137" s="57">
        <f>H18+H19+H20+H21+H30+H31+H32+H43+H52+H59+H67+H74+H83+H92+H99+H120+H123+H116+H114</f>
        <v>2920539.3206250002</v>
      </c>
      <c r="I137" s="57">
        <f>I18+I19+I20+I21+I30+I31+I32+I43+I52+I59+I67+I74+I83+I92+I99+I120+I123+I116+I114</f>
        <v>3132547.9922250002</v>
      </c>
      <c r="J137" s="57">
        <f>J18+J19+J20+J21+J30+J31+J32+J43+J52+J59+J67+J74+J83+J92+J99+J120+J123+J116+J114</f>
        <v>11413665.559799999</v>
      </c>
      <c r="K137" s="4"/>
      <c r="L137" s="4"/>
      <c r="M137" s="4"/>
      <c r="N137" s="4"/>
    </row>
    <row r="138" spans="1:15">
      <c r="D138" s="103"/>
      <c r="F138" s="4"/>
      <c r="G138" s="4"/>
      <c r="H138" s="4"/>
      <c r="I138" s="4"/>
      <c r="J138" s="4"/>
      <c r="K138" s="4"/>
      <c r="L138" s="4"/>
      <c r="M138" s="4"/>
      <c r="N138" s="4"/>
    </row>
    <row r="139" spans="1:15">
      <c r="D139" s="22"/>
      <c r="E139" s="5"/>
      <c r="F139" s="24"/>
      <c r="G139" s="24"/>
      <c r="H139" s="24"/>
      <c r="I139" s="24"/>
      <c r="J139" s="24"/>
      <c r="K139" s="24"/>
      <c r="L139" s="24"/>
      <c r="M139" s="25"/>
      <c r="N139" s="632"/>
    </row>
    <row r="140" spans="1:15">
      <c r="D140" s="104" t="s">
        <v>919</v>
      </c>
    </row>
    <row r="141" spans="1:15" ht="25.5">
      <c r="A141" s="90" t="s">
        <v>911</v>
      </c>
      <c r="C141" s="105" t="s">
        <v>920</v>
      </c>
      <c r="K141" s="106" t="s">
        <v>921</v>
      </c>
      <c r="L141" s="106"/>
    </row>
    <row r="142" spans="1:15">
      <c r="C142" s="107"/>
      <c r="D142" s="108" t="s">
        <v>922</v>
      </c>
      <c r="E142" s="5">
        <v>135</v>
      </c>
      <c r="F142" s="73">
        <f>131</f>
        <v>131</v>
      </c>
      <c r="G142" s="73">
        <f t="shared" ref="G142:I143" si="44">$E142*3</f>
        <v>405</v>
      </c>
      <c r="H142" s="73">
        <f t="shared" si="44"/>
        <v>405</v>
      </c>
      <c r="I142" s="73">
        <f t="shared" si="44"/>
        <v>405</v>
      </c>
      <c r="J142" s="5">
        <f t="shared" ref="J142:J156" si="45">F142+G142+H142+I142</f>
        <v>1346</v>
      </c>
      <c r="K142" s="6">
        <f>[22]武汉研发中心!B126</f>
        <v>412000</v>
      </c>
      <c r="L142" s="6">
        <f t="shared" ref="L142:L157" si="46">J142-K142</f>
        <v>-410654</v>
      </c>
      <c r="M142" s="25">
        <f t="shared" ref="M142:M156" si="47">(J142-K142)/K142</f>
        <v>-0.9967330097087379</v>
      </c>
      <c r="N142" s="8" t="s">
        <v>923</v>
      </c>
    </row>
    <row r="143" spans="1:15">
      <c r="A143" s="90"/>
      <c r="C143" s="107"/>
      <c r="D143" s="108" t="s">
        <v>924</v>
      </c>
      <c r="E143" s="5">
        <v>135</v>
      </c>
      <c r="F143" s="73">
        <f>$E143*3</f>
        <v>405</v>
      </c>
      <c r="G143" s="73">
        <f t="shared" si="44"/>
        <v>405</v>
      </c>
      <c r="H143" s="73">
        <f t="shared" si="44"/>
        <v>405</v>
      </c>
      <c r="I143" s="73">
        <f t="shared" si="44"/>
        <v>405</v>
      </c>
      <c r="J143" s="5">
        <f t="shared" si="45"/>
        <v>1620</v>
      </c>
      <c r="K143" s="6">
        <f>[22]武汉研发中心!B143</f>
        <v>64684</v>
      </c>
      <c r="L143" s="6">
        <f t="shared" si="46"/>
        <v>-63064</v>
      </c>
      <c r="M143" s="25">
        <f t="shared" si="47"/>
        <v>-0.97495516665636017</v>
      </c>
      <c r="N143" s="109" t="s">
        <v>666</v>
      </c>
    </row>
    <row r="144" spans="1:15">
      <c r="A144" s="90"/>
      <c r="C144" s="107"/>
      <c r="D144" s="3" t="s">
        <v>925</v>
      </c>
      <c r="E144" s="5">
        <v>135</v>
      </c>
      <c r="F144" s="73">
        <f t="shared" ref="F144:I148" si="48">$E144*3</f>
        <v>405</v>
      </c>
      <c r="G144" s="73">
        <f t="shared" si="48"/>
        <v>405</v>
      </c>
      <c r="H144" s="73">
        <f t="shared" si="48"/>
        <v>405</v>
      </c>
      <c r="I144" s="73">
        <f t="shared" si="48"/>
        <v>405</v>
      </c>
      <c r="J144" s="5">
        <f t="shared" si="45"/>
        <v>1620</v>
      </c>
      <c r="K144" s="6">
        <f>[22]武汉研发中心!B158</f>
        <v>29416</v>
      </c>
      <c r="L144" s="6">
        <f t="shared" si="46"/>
        <v>-27796</v>
      </c>
      <c r="M144" s="25">
        <f t="shared" si="47"/>
        <v>-0.94492793037802558</v>
      </c>
      <c r="N144" s="8" t="s">
        <v>926</v>
      </c>
    </row>
    <row r="145" spans="1:14">
      <c r="A145" s="90"/>
      <c r="C145" s="107"/>
      <c r="D145" s="108" t="s">
        <v>927</v>
      </c>
      <c r="E145" s="5">
        <v>135</v>
      </c>
      <c r="F145" s="73">
        <f t="shared" si="48"/>
        <v>405</v>
      </c>
      <c r="G145" s="73">
        <f t="shared" si="48"/>
        <v>405</v>
      </c>
      <c r="H145" s="73">
        <f t="shared" si="48"/>
        <v>405</v>
      </c>
      <c r="I145" s="73">
        <f t="shared" si="48"/>
        <v>405</v>
      </c>
      <c r="J145" s="5">
        <f t="shared" si="45"/>
        <v>1620</v>
      </c>
      <c r="K145" s="6">
        <f>[22]武汉研发中心!B171</f>
        <v>19610</v>
      </c>
      <c r="L145" s="6">
        <f t="shared" si="46"/>
        <v>-17990</v>
      </c>
      <c r="M145" s="25">
        <f t="shared" si="47"/>
        <v>-0.9173890872004079</v>
      </c>
      <c r="N145" s="8" t="s">
        <v>100</v>
      </c>
    </row>
    <row r="146" spans="1:14">
      <c r="C146" s="107"/>
      <c r="D146" s="108" t="s">
        <v>928</v>
      </c>
      <c r="E146" s="5">
        <v>135</v>
      </c>
      <c r="F146" s="73">
        <f t="shared" si="48"/>
        <v>405</v>
      </c>
      <c r="G146" s="73">
        <f t="shared" si="48"/>
        <v>405</v>
      </c>
      <c r="H146" s="73">
        <f t="shared" si="48"/>
        <v>405</v>
      </c>
      <c r="I146" s="73">
        <f t="shared" si="48"/>
        <v>405</v>
      </c>
      <c r="J146" s="5">
        <f t="shared" si="45"/>
        <v>1620</v>
      </c>
      <c r="K146" s="6">
        <f>[22]武汉研发中心!B4*2</f>
        <v>996</v>
      </c>
      <c r="L146" s="6">
        <f t="shared" si="46"/>
        <v>624</v>
      </c>
      <c r="M146" s="25">
        <f t="shared" si="47"/>
        <v>0.62650602409638556</v>
      </c>
      <c r="N146" s="109" t="s">
        <v>929</v>
      </c>
    </row>
    <row r="147" spans="1:14">
      <c r="C147" s="110"/>
      <c r="D147" s="108" t="s">
        <v>930</v>
      </c>
      <c r="E147" s="5">
        <v>135</v>
      </c>
      <c r="F147" s="73">
        <f>$E147*3</f>
        <v>405</v>
      </c>
      <c r="G147" s="73">
        <f t="shared" si="48"/>
        <v>405</v>
      </c>
      <c r="H147" s="73">
        <f t="shared" si="48"/>
        <v>405</v>
      </c>
      <c r="I147" s="73">
        <f t="shared" si="48"/>
        <v>405</v>
      </c>
      <c r="J147" s="5">
        <f t="shared" si="45"/>
        <v>1620</v>
      </c>
      <c r="K147" s="6">
        <f>[22]武汉研发中心!B25*12</f>
        <v>136284.42666666667</v>
      </c>
      <c r="L147" s="6">
        <f t="shared" si="46"/>
        <v>-134664.42666666667</v>
      </c>
      <c r="M147" s="25">
        <f t="shared" si="47"/>
        <v>-0.98811309524042468</v>
      </c>
      <c r="N147" s="8" t="s">
        <v>931</v>
      </c>
    </row>
    <row r="148" spans="1:14">
      <c r="C148" s="110"/>
      <c r="D148" s="108" t="s">
        <v>932</v>
      </c>
      <c r="E148" s="5">
        <v>135</v>
      </c>
      <c r="F148" s="73">
        <f>$E148*3</f>
        <v>405</v>
      </c>
      <c r="G148" s="73">
        <f t="shared" si="48"/>
        <v>405</v>
      </c>
      <c r="H148" s="73">
        <f t="shared" si="48"/>
        <v>405</v>
      </c>
      <c r="I148" s="73">
        <f t="shared" si="48"/>
        <v>405</v>
      </c>
      <c r="J148" s="5">
        <f t="shared" si="45"/>
        <v>1620</v>
      </c>
      <c r="K148" s="6">
        <f>[22]武汉研发中心!B218</f>
        <v>2000</v>
      </c>
      <c r="L148" s="6">
        <f t="shared" si="46"/>
        <v>-380</v>
      </c>
      <c r="M148" s="25">
        <f t="shared" si="47"/>
        <v>-0.19</v>
      </c>
      <c r="N148" s="8" t="s">
        <v>933</v>
      </c>
    </row>
    <row r="149" spans="1:14">
      <c r="C149" s="110"/>
      <c r="D149" s="108" t="s">
        <v>888</v>
      </c>
      <c r="E149" s="5">
        <v>135</v>
      </c>
      <c r="F149" s="73">
        <f t="shared" ref="F149:I156" si="49">$E149*3</f>
        <v>405</v>
      </c>
      <c r="G149" s="73">
        <f t="shared" si="49"/>
        <v>405</v>
      </c>
      <c r="H149" s="73">
        <f t="shared" si="49"/>
        <v>405</v>
      </c>
      <c r="I149" s="73">
        <f t="shared" si="49"/>
        <v>405</v>
      </c>
      <c r="J149" s="5">
        <f t="shared" si="45"/>
        <v>1620</v>
      </c>
      <c r="K149" s="6">
        <f>[22]武汉研发中心!B97*12</f>
        <v>436.36363636363637</v>
      </c>
      <c r="L149" s="6">
        <f t="shared" si="46"/>
        <v>1183.6363636363635</v>
      </c>
      <c r="M149" s="25">
        <f t="shared" si="47"/>
        <v>2.7124999999999995</v>
      </c>
    </row>
    <row r="150" spans="1:14">
      <c r="C150" s="110"/>
      <c r="D150" s="91" t="s">
        <v>934</v>
      </c>
      <c r="E150" s="5">
        <v>135</v>
      </c>
      <c r="F150" s="73">
        <f t="shared" si="49"/>
        <v>405</v>
      </c>
      <c r="G150" s="5">
        <f t="shared" si="49"/>
        <v>405</v>
      </c>
      <c r="H150" s="5">
        <f t="shared" si="49"/>
        <v>405</v>
      </c>
      <c r="I150" s="5">
        <f t="shared" si="49"/>
        <v>405</v>
      </c>
      <c r="J150" s="5">
        <f t="shared" si="45"/>
        <v>1620</v>
      </c>
      <c r="K150" s="6">
        <f>[22]武汉研发中心!B231</f>
        <v>24000</v>
      </c>
      <c r="L150" s="6">
        <f t="shared" si="46"/>
        <v>-22380</v>
      </c>
      <c r="M150" s="25">
        <f t="shared" si="47"/>
        <v>-0.9325</v>
      </c>
    </row>
    <row r="151" spans="1:14">
      <c r="D151" s="108" t="s">
        <v>935</v>
      </c>
      <c r="E151" s="5">
        <v>135</v>
      </c>
      <c r="F151" s="73">
        <f t="shared" si="49"/>
        <v>405</v>
      </c>
      <c r="G151" s="73">
        <f t="shared" si="49"/>
        <v>405</v>
      </c>
      <c r="H151" s="73">
        <f t="shared" si="49"/>
        <v>405</v>
      </c>
      <c r="I151" s="73">
        <f t="shared" si="49"/>
        <v>405</v>
      </c>
      <c r="J151" s="5">
        <f t="shared" si="45"/>
        <v>1620</v>
      </c>
      <c r="K151" s="6">
        <f>[22]武汉研发中心!B203</f>
        <v>47400</v>
      </c>
      <c r="L151" s="6">
        <f t="shared" si="46"/>
        <v>-45780</v>
      </c>
      <c r="M151" s="25">
        <f t="shared" si="47"/>
        <v>-0.96582278481012662</v>
      </c>
      <c r="N151" s="8" t="s">
        <v>107</v>
      </c>
    </row>
    <row r="152" spans="1:14">
      <c r="C152" s="110"/>
      <c r="D152" s="108" t="s">
        <v>936</v>
      </c>
      <c r="E152" s="5">
        <v>135</v>
      </c>
      <c r="F152" s="73">
        <f t="shared" si="49"/>
        <v>405</v>
      </c>
      <c r="G152" s="73">
        <f t="shared" si="49"/>
        <v>405</v>
      </c>
      <c r="H152" s="73">
        <f t="shared" si="49"/>
        <v>405</v>
      </c>
      <c r="I152" s="73">
        <f t="shared" si="49"/>
        <v>405</v>
      </c>
      <c r="J152" s="5">
        <f t="shared" si="45"/>
        <v>1620</v>
      </c>
      <c r="K152" s="6">
        <f>[22]武汉研发中心!B77*12</f>
        <v>654.5454545454545</v>
      </c>
      <c r="L152" s="6">
        <f t="shared" si="46"/>
        <v>965.4545454545455</v>
      </c>
      <c r="M152" s="25">
        <f t="shared" si="47"/>
        <v>1.4750000000000001</v>
      </c>
      <c r="N152" s="8" t="s">
        <v>937</v>
      </c>
    </row>
    <row r="153" spans="1:14">
      <c r="C153" s="110"/>
      <c r="D153" s="108" t="s">
        <v>938</v>
      </c>
      <c r="E153" s="5">
        <v>135</v>
      </c>
      <c r="F153" s="73">
        <f t="shared" si="49"/>
        <v>405</v>
      </c>
      <c r="G153" s="73">
        <f t="shared" si="49"/>
        <v>405</v>
      </c>
      <c r="H153" s="73">
        <f t="shared" si="49"/>
        <v>405</v>
      </c>
      <c r="I153" s="73">
        <f t="shared" si="49"/>
        <v>405</v>
      </c>
      <c r="J153" s="5">
        <f t="shared" si="45"/>
        <v>1620</v>
      </c>
      <c r="K153" s="6">
        <f>[22]武汉研发中心!B57*12</f>
        <v>11094.996000000003</v>
      </c>
      <c r="L153" s="6">
        <f t="shared" si="46"/>
        <v>-9474.9960000000028</v>
      </c>
      <c r="M153" s="25">
        <f t="shared" si="47"/>
        <v>-0.85398823036979921</v>
      </c>
    </row>
    <row r="154" spans="1:14">
      <c r="C154" s="110"/>
      <c r="D154" s="108" t="s">
        <v>939</v>
      </c>
      <c r="E154" s="5">
        <v>135</v>
      </c>
      <c r="F154" s="73">
        <f t="shared" si="49"/>
        <v>405</v>
      </c>
      <c r="G154" s="73">
        <f t="shared" si="49"/>
        <v>405</v>
      </c>
      <c r="H154" s="73">
        <f t="shared" si="49"/>
        <v>405</v>
      </c>
      <c r="I154" s="73">
        <f t="shared" si="49"/>
        <v>405</v>
      </c>
      <c r="J154" s="5">
        <f t="shared" si="45"/>
        <v>1620</v>
      </c>
      <c r="K154" s="6">
        <f>[22]武汉研发中心!B186</f>
        <v>26760</v>
      </c>
      <c r="L154" s="6">
        <f t="shared" si="46"/>
        <v>-25140</v>
      </c>
      <c r="M154" s="25">
        <f t="shared" si="47"/>
        <v>-0.9394618834080718</v>
      </c>
      <c r="N154" s="8" t="s">
        <v>111</v>
      </c>
    </row>
    <row r="155" spans="1:14">
      <c r="C155" s="110"/>
      <c r="D155" s="108" t="s">
        <v>940</v>
      </c>
      <c r="E155" s="5">
        <v>135</v>
      </c>
      <c r="F155" s="73">
        <f t="shared" si="49"/>
        <v>405</v>
      </c>
      <c r="G155" s="73">
        <f t="shared" si="49"/>
        <v>405</v>
      </c>
      <c r="H155" s="73">
        <f t="shared" si="49"/>
        <v>405</v>
      </c>
      <c r="I155" s="73">
        <f t="shared" si="49"/>
        <v>405</v>
      </c>
      <c r="J155" s="5">
        <f t="shared" si="45"/>
        <v>1620</v>
      </c>
      <c r="K155" s="6">
        <f>[22]武汉研发中心!B109</f>
        <v>2300</v>
      </c>
      <c r="L155" s="6">
        <f t="shared" si="46"/>
        <v>-680</v>
      </c>
      <c r="M155" s="25">
        <f t="shared" si="47"/>
        <v>-0.29565217391304349</v>
      </c>
      <c r="N155" s="111" t="s">
        <v>113</v>
      </c>
    </row>
    <row r="156" spans="1:14" ht="20.25" customHeight="1">
      <c r="C156" s="110"/>
      <c r="D156" s="108" t="s">
        <v>941</v>
      </c>
      <c r="E156" s="5">
        <v>135</v>
      </c>
      <c r="F156" s="73">
        <f t="shared" si="49"/>
        <v>405</v>
      </c>
      <c r="G156" s="73">
        <f t="shared" si="49"/>
        <v>405</v>
      </c>
      <c r="H156" s="73">
        <f t="shared" si="49"/>
        <v>405</v>
      </c>
      <c r="I156" s="73">
        <f t="shared" si="49"/>
        <v>405</v>
      </c>
      <c r="J156" s="5">
        <f t="shared" si="45"/>
        <v>1620</v>
      </c>
      <c r="K156" s="6">
        <f>[22]武汉研发中心!B35</f>
        <v>8100</v>
      </c>
      <c r="L156" s="6">
        <f t="shared" si="46"/>
        <v>-6480</v>
      </c>
      <c r="M156" s="25">
        <f t="shared" si="47"/>
        <v>-0.8</v>
      </c>
      <c r="N156" s="8" t="s">
        <v>942</v>
      </c>
    </row>
    <row r="157" spans="1:14" ht="15">
      <c r="F157" s="92">
        <f t="shared" ref="F157:K157" si="50">SUM(F142:F156)</f>
        <v>5801</v>
      </c>
      <c r="G157" s="92">
        <f t="shared" si="50"/>
        <v>6075</v>
      </c>
      <c r="H157" s="92">
        <f t="shared" si="50"/>
        <v>6075</v>
      </c>
      <c r="I157" s="92">
        <f t="shared" si="50"/>
        <v>6075</v>
      </c>
      <c r="J157" s="92">
        <f t="shared" si="50"/>
        <v>24026</v>
      </c>
      <c r="K157" s="112">
        <f t="shared" si="50"/>
        <v>785736.33175757574</v>
      </c>
      <c r="L157" s="113">
        <f t="shared" si="46"/>
        <v>-761710.33175757574</v>
      </c>
      <c r="M157" s="25">
        <f>(J157-K157)/K157</f>
        <v>-0.96942231251257349</v>
      </c>
    </row>
    <row r="158" spans="1:14">
      <c r="L158" s="6">
        <f>J157-K157</f>
        <v>-761710.33175757574</v>
      </c>
    </row>
    <row r="160" spans="1:14">
      <c r="D160" s="93" t="s">
        <v>943</v>
      </c>
      <c r="F160" s="94">
        <f>F132+F157</f>
        <v>10499805.971628571</v>
      </c>
      <c r="G160" s="94">
        <f>G132+G157</f>
        <v>13604493.882876189</v>
      </c>
      <c r="H160" s="94">
        <f>H132+H157</f>
        <v>13008056.567092821</v>
      </c>
      <c r="I160" s="94">
        <f>I132+I157</f>
        <v>11245447.0733</v>
      </c>
      <c r="J160" s="94">
        <f>J132+J157</f>
        <v>48413424.009697579</v>
      </c>
      <c r="K160" s="94">
        <f>K134+K157</f>
        <v>134922182.41999879</v>
      </c>
      <c r="L160" s="94"/>
      <c r="M160" s="25">
        <f>(J160-K160)/K160</f>
        <v>-0.64117520824713903</v>
      </c>
      <c r="N160" s="114">
        <f>J160-K160</f>
        <v>-86508758.410301208</v>
      </c>
    </row>
    <row r="161" spans="1:3">
      <c r="A161" s="115" t="s">
        <v>944</v>
      </c>
    </row>
    <row r="164" spans="1:3">
      <c r="C164" s="90" t="s">
        <v>945</v>
      </c>
    </row>
    <row r="165" spans="1:3">
      <c r="C165" s="90" t="s">
        <v>946</v>
      </c>
    </row>
  </sheetData>
  <mergeCells count="9">
    <mergeCell ref="N16:N17"/>
    <mergeCell ref="N18:N19"/>
    <mergeCell ref="N20:N21"/>
    <mergeCell ref="N14:N15"/>
    <mergeCell ref="K3:M3"/>
    <mergeCell ref="K4:K5"/>
    <mergeCell ref="L4:L5"/>
    <mergeCell ref="M4:M5"/>
    <mergeCell ref="N12:N13"/>
  </mergeCells>
  <phoneticPr fontId="5" type="noConversion"/>
  <printOptions horizontalCentered="1"/>
  <pageMargins left="0.23622047244094491" right="0.23622047244094491" top="0.43307086614173229" bottom="0.35433070866141736" header="0.31496062992125984" footer="0.15748031496062992"/>
  <pageSetup paperSize="8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showGridLines="0" zoomScale="90" zoomScaleNormal="90" workbookViewId="0">
      <pane xSplit="3" ySplit="2" topLeftCell="D17" activePane="bottomRight" state="frozen"/>
      <selection pane="topRight" activeCell="D1" sqref="D1"/>
      <selection pane="bottomLeft" activeCell="A7" sqref="A7"/>
      <selection pane="bottomRight" activeCell="D19" sqref="D19"/>
    </sheetView>
  </sheetViews>
  <sheetFormatPr defaultRowHeight="12.75"/>
  <cols>
    <col min="1" max="1" width="24.625" style="117" customWidth="1"/>
    <col min="2" max="2" width="12.625" style="117" customWidth="1"/>
    <col min="3" max="3" width="12.625" style="147" customWidth="1"/>
    <col min="4" max="4" width="12.625" style="117" customWidth="1"/>
    <col min="5" max="5" width="12.625" style="126" customWidth="1"/>
    <col min="6" max="8" width="12.625" style="122" customWidth="1"/>
    <col min="9" max="9" width="12.625" style="148" customWidth="1"/>
    <col min="10" max="12" width="12.625" style="126" customWidth="1"/>
    <col min="13" max="13" width="14.625" style="126" customWidth="1"/>
    <col min="14" max="253" width="9" style="117"/>
    <col min="254" max="254" width="29" style="117" customWidth="1"/>
    <col min="255" max="255" width="10.75" style="117" customWidth="1"/>
    <col min="256" max="256" width="14.25" style="117" customWidth="1"/>
    <col min="257" max="257" width="14.5" style="117" customWidth="1"/>
    <col min="258" max="258" width="14.375" style="117" customWidth="1"/>
    <col min="259" max="259" width="16.75" style="117" customWidth="1"/>
    <col min="260" max="260" width="12.875" style="117" customWidth="1"/>
    <col min="261" max="261" width="7.375" style="117" customWidth="1"/>
    <col min="262" max="262" width="11.25" style="117" customWidth="1"/>
    <col min="263" max="263" width="14.625" style="117" customWidth="1"/>
    <col min="264" max="264" width="19.75" style="117" customWidth="1"/>
    <col min="265" max="265" width="14.125" style="117" bestFit="1" customWidth="1"/>
    <col min="266" max="509" width="9" style="117"/>
    <col min="510" max="510" width="29" style="117" customWidth="1"/>
    <col min="511" max="511" width="10.75" style="117" customWidth="1"/>
    <col min="512" max="512" width="14.25" style="117" customWidth="1"/>
    <col min="513" max="513" width="14.5" style="117" customWidth="1"/>
    <col min="514" max="514" width="14.375" style="117" customWidth="1"/>
    <col min="515" max="515" width="16.75" style="117" customWidth="1"/>
    <col min="516" max="516" width="12.875" style="117" customWidth="1"/>
    <col min="517" max="517" width="7.375" style="117" customWidth="1"/>
    <col min="518" max="518" width="11.25" style="117" customWidth="1"/>
    <col min="519" max="519" width="14.625" style="117" customWidth="1"/>
    <col min="520" max="520" width="19.75" style="117" customWidth="1"/>
    <col min="521" max="521" width="14.125" style="117" bestFit="1" customWidth="1"/>
    <col min="522" max="765" width="9" style="117"/>
    <col min="766" max="766" width="29" style="117" customWidth="1"/>
    <col min="767" max="767" width="10.75" style="117" customWidth="1"/>
    <col min="768" max="768" width="14.25" style="117" customWidth="1"/>
    <col min="769" max="769" width="14.5" style="117" customWidth="1"/>
    <col min="770" max="770" width="14.375" style="117" customWidth="1"/>
    <col min="771" max="771" width="16.75" style="117" customWidth="1"/>
    <col min="772" max="772" width="12.875" style="117" customWidth="1"/>
    <col min="773" max="773" width="7.375" style="117" customWidth="1"/>
    <col min="774" max="774" width="11.25" style="117" customWidth="1"/>
    <col min="775" max="775" width="14.625" style="117" customWidth="1"/>
    <col min="776" max="776" width="19.75" style="117" customWidth="1"/>
    <col min="777" max="777" width="14.125" style="117" bestFit="1" customWidth="1"/>
    <col min="778" max="1021" width="9" style="117"/>
    <col min="1022" max="1022" width="29" style="117" customWidth="1"/>
    <col min="1023" max="1023" width="10.75" style="117" customWidth="1"/>
    <col min="1024" max="1024" width="14.25" style="117" customWidth="1"/>
    <col min="1025" max="1025" width="14.5" style="117" customWidth="1"/>
    <col min="1026" max="1026" width="14.375" style="117" customWidth="1"/>
    <col min="1027" max="1027" width="16.75" style="117" customWidth="1"/>
    <col min="1028" max="1028" width="12.875" style="117" customWidth="1"/>
    <col min="1029" max="1029" width="7.375" style="117" customWidth="1"/>
    <col min="1030" max="1030" width="11.25" style="117" customWidth="1"/>
    <col min="1031" max="1031" width="14.625" style="117" customWidth="1"/>
    <col min="1032" max="1032" width="19.75" style="117" customWidth="1"/>
    <col min="1033" max="1033" width="14.125" style="117" bestFit="1" customWidth="1"/>
    <col min="1034" max="1277" width="9" style="117"/>
    <col min="1278" max="1278" width="29" style="117" customWidth="1"/>
    <col min="1279" max="1279" width="10.75" style="117" customWidth="1"/>
    <col min="1280" max="1280" width="14.25" style="117" customWidth="1"/>
    <col min="1281" max="1281" width="14.5" style="117" customWidth="1"/>
    <col min="1282" max="1282" width="14.375" style="117" customWidth="1"/>
    <col min="1283" max="1283" width="16.75" style="117" customWidth="1"/>
    <col min="1284" max="1284" width="12.875" style="117" customWidth="1"/>
    <col min="1285" max="1285" width="7.375" style="117" customWidth="1"/>
    <col min="1286" max="1286" width="11.25" style="117" customWidth="1"/>
    <col min="1287" max="1287" width="14.625" style="117" customWidth="1"/>
    <col min="1288" max="1288" width="19.75" style="117" customWidth="1"/>
    <col min="1289" max="1289" width="14.125" style="117" bestFit="1" customWidth="1"/>
    <col min="1290" max="1533" width="9" style="117"/>
    <col min="1534" max="1534" width="29" style="117" customWidth="1"/>
    <col min="1535" max="1535" width="10.75" style="117" customWidth="1"/>
    <col min="1536" max="1536" width="14.25" style="117" customWidth="1"/>
    <col min="1537" max="1537" width="14.5" style="117" customWidth="1"/>
    <col min="1538" max="1538" width="14.375" style="117" customWidth="1"/>
    <col min="1539" max="1539" width="16.75" style="117" customWidth="1"/>
    <col min="1540" max="1540" width="12.875" style="117" customWidth="1"/>
    <col min="1541" max="1541" width="7.375" style="117" customWidth="1"/>
    <col min="1542" max="1542" width="11.25" style="117" customWidth="1"/>
    <col min="1543" max="1543" width="14.625" style="117" customWidth="1"/>
    <col min="1544" max="1544" width="19.75" style="117" customWidth="1"/>
    <col min="1545" max="1545" width="14.125" style="117" bestFit="1" customWidth="1"/>
    <col min="1546" max="1789" width="9" style="117"/>
    <col min="1790" max="1790" width="29" style="117" customWidth="1"/>
    <col min="1791" max="1791" width="10.75" style="117" customWidth="1"/>
    <col min="1792" max="1792" width="14.25" style="117" customWidth="1"/>
    <col min="1793" max="1793" width="14.5" style="117" customWidth="1"/>
    <col min="1794" max="1794" width="14.375" style="117" customWidth="1"/>
    <col min="1795" max="1795" width="16.75" style="117" customWidth="1"/>
    <col min="1796" max="1796" width="12.875" style="117" customWidth="1"/>
    <col min="1797" max="1797" width="7.375" style="117" customWidth="1"/>
    <col min="1798" max="1798" width="11.25" style="117" customWidth="1"/>
    <col min="1799" max="1799" width="14.625" style="117" customWidth="1"/>
    <col min="1800" max="1800" width="19.75" style="117" customWidth="1"/>
    <col min="1801" max="1801" width="14.125" style="117" bestFit="1" customWidth="1"/>
    <col min="1802" max="2045" width="9" style="117"/>
    <col min="2046" max="2046" width="29" style="117" customWidth="1"/>
    <col min="2047" max="2047" width="10.75" style="117" customWidth="1"/>
    <col min="2048" max="2048" width="14.25" style="117" customWidth="1"/>
    <col min="2049" max="2049" width="14.5" style="117" customWidth="1"/>
    <col min="2050" max="2050" width="14.375" style="117" customWidth="1"/>
    <col min="2051" max="2051" width="16.75" style="117" customWidth="1"/>
    <col min="2052" max="2052" width="12.875" style="117" customWidth="1"/>
    <col min="2053" max="2053" width="7.375" style="117" customWidth="1"/>
    <col min="2054" max="2054" width="11.25" style="117" customWidth="1"/>
    <col min="2055" max="2055" width="14.625" style="117" customWidth="1"/>
    <col min="2056" max="2056" width="19.75" style="117" customWidth="1"/>
    <col min="2057" max="2057" width="14.125" style="117" bestFit="1" customWidth="1"/>
    <col min="2058" max="2301" width="9" style="117"/>
    <col min="2302" max="2302" width="29" style="117" customWidth="1"/>
    <col min="2303" max="2303" width="10.75" style="117" customWidth="1"/>
    <col min="2304" max="2304" width="14.25" style="117" customWidth="1"/>
    <col min="2305" max="2305" width="14.5" style="117" customWidth="1"/>
    <col min="2306" max="2306" width="14.375" style="117" customWidth="1"/>
    <col min="2307" max="2307" width="16.75" style="117" customWidth="1"/>
    <col min="2308" max="2308" width="12.875" style="117" customWidth="1"/>
    <col min="2309" max="2309" width="7.375" style="117" customWidth="1"/>
    <col min="2310" max="2310" width="11.25" style="117" customWidth="1"/>
    <col min="2311" max="2311" width="14.625" style="117" customWidth="1"/>
    <col min="2312" max="2312" width="19.75" style="117" customWidth="1"/>
    <col min="2313" max="2313" width="14.125" style="117" bestFit="1" customWidth="1"/>
    <col min="2314" max="2557" width="9" style="117"/>
    <col min="2558" max="2558" width="29" style="117" customWidth="1"/>
    <col min="2559" max="2559" width="10.75" style="117" customWidth="1"/>
    <col min="2560" max="2560" width="14.25" style="117" customWidth="1"/>
    <col min="2561" max="2561" width="14.5" style="117" customWidth="1"/>
    <col min="2562" max="2562" width="14.375" style="117" customWidth="1"/>
    <col min="2563" max="2563" width="16.75" style="117" customWidth="1"/>
    <col min="2564" max="2564" width="12.875" style="117" customWidth="1"/>
    <col min="2565" max="2565" width="7.375" style="117" customWidth="1"/>
    <col min="2566" max="2566" width="11.25" style="117" customWidth="1"/>
    <col min="2567" max="2567" width="14.625" style="117" customWidth="1"/>
    <col min="2568" max="2568" width="19.75" style="117" customWidth="1"/>
    <col min="2569" max="2569" width="14.125" style="117" bestFit="1" customWidth="1"/>
    <col min="2570" max="2813" width="9" style="117"/>
    <col min="2814" max="2814" width="29" style="117" customWidth="1"/>
    <col min="2815" max="2815" width="10.75" style="117" customWidth="1"/>
    <col min="2816" max="2816" width="14.25" style="117" customWidth="1"/>
    <col min="2817" max="2817" width="14.5" style="117" customWidth="1"/>
    <col min="2818" max="2818" width="14.375" style="117" customWidth="1"/>
    <col min="2819" max="2819" width="16.75" style="117" customWidth="1"/>
    <col min="2820" max="2820" width="12.875" style="117" customWidth="1"/>
    <col min="2821" max="2821" width="7.375" style="117" customWidth="1"/>
    <col min="2822" max="2822" width="11.25" style="117" customWidth="1"/>
    <col min="2823" max="2823" width="14.625" style="117" customWidth="1"/>
    <col min="2824" max="2824" width="19.75" style="117" customWidth="1"/>
    <col min="2825" max="2825" width="14.125" style="117" bestFit="1" customWidth="1"/>
    <col min="2826" max="3069" width="9" style="117"/>
    <col min="3070" max="3070" width="29" style="117" customWidth="1"/>
    <col min="3071" max="3071" width="10.75" style="117" customWidth="1"/>
    <col min="3072" max="3072" width="14.25" style="117" customWidth="1"/>
    <col min="3073" max="3073" width="14.5" style="117" customWidth="1"/>
    <col min="3074" max="3074" width="14.375" style="117" customWidth="1"/>
    <col min="3075" max="3075" width="16.75" style="117" customWidth="1"/>
    <col min="3076" max="3076" width="12.875" style="117" customWidth="1"/>
    <col min="3077" max="3077" width="7.375" style="117" customWidth="1"/>
    <col min="3078" max="3078" width="11.25" style="117" customWidth="1"/>
    <col min="3079" max="3079" width="14.625" style="117" customWidth="1"/>
    <col min="3080" max="3080" width="19.75" style="117" customWidth="1"/>
    <col min="3081" max="3081" width="14.125" style="117" bestFit="1" customWidth="1"/>
    <col min="3082" max="3325" width="9" style="117"/>
    <col min="3326" max="3326" width="29" style="117" customWidth="1"/>
    <col min="3327" max="3327" width="10.75" style="117" customWidth="1"/>
    <col min="3328" max="3328" width="14.25" style="117" customWidth="1"/>
    <col min="3329" max="3329" width="14.5" style="117" customWidth="1"/>
    <col min="3330" max="3330" width="14.375" style="117" customWidth="1"/>
    <col min="3331" max="3331" width="16.75" style="117" customWidth="1"/>
    <col min="3332" max="3332" width="12.875" style="117" customWidth="1"/>
    <col min="3333" max="3333" width="7.375" style="117" customWidth="1"/>
    <col min="3334" max="3334" width="11.25" style="117" customWidth="1"/>
    <col min="3335" max="3335" width="14.625" style="117" customWidth="1"/>
    <col min="3336" max="3336" width="19.75" style="117" customWidth="1"/>
    <col min="3337" max="3337" width="14.125" style="117" bestFit="1" customWidth="1"/>
    <col min="3338" max="3581" width="9" style="117"/>
    <col min="3582" max="3582" width="29" style="117" customWidth="1"/>
    <col min="3583" max="3583" width="10.75" style="117" customWidth="1"/>
    <col min="3584" max="3584" width="14.25" style="117" customWidth="1"/>
    <col min="3585" max="3585" width="14.5" style="117" customWidth="1"/>
    <col min="3586" max="3586" width="14.375" style="117" customWidth="1"/>
    <col min="3587" max="3587" width="16.75" style="117" customWidth="1"/>
    <col min="3588" max="3588" width="12.875" style="117" customWidth="1"/>
    <col min="3589" max="3589" width="7.375" style="117" customWidth="1"/>
    <col min="3590" max="3590" width="11.25" style="117" customWidth="1"/>
    <col min="3591" max="3591" width="14.625" style="117" customWidth="1"/>
    <col min="3592" max="3592" width="19.75" style="117" customWidth="1"/>
    <col min="3593" max="3593" width="14.125" style="117" bestFit="1" customWidth="1"/>
    <col min="3594" max="3837" width="9" style="117"/>
    <col min="3838" max="3838" width="29" style="117" customWidth="1"/>
    <col min="3839" max="3839" width="10.75" style="117" customWidth="1"/>
    <col min="3840" max="3840" width="14.25" style="117" customWidth="1"/>
    <col min="3841" max="3841" width="14.5" style="117" customWidth="1"/>
    <col min="3842" max="3842" width="14.375" style="117" customWidth="1"/>
    <col min="3843" max="3843" width="16.75" style="117" customWidth="1"/>
    <col min="3844" max="3844" width="12.875" style="117" customWidth="1"/>
    <col min="3845" max="3845" width="7.375" style="117" customWidth="1"/>
    <col min="3846" max="3846" width="11.25" style="117" customWidth="1"/>
    <col min="3847" max="3847" width="14.625" style="117" customWidth="1"/>
    <col min="3848" max="3848" width="19.75" style="117" customWidth="1"/>
    <col min="3849" max="3849" width="14.125" style="117" bestFit="1" customWidth="1"/>
    <col min="3850" max="4093" width="9" style="117"/>
    <col min="4094" max="4094" width="29" style="117" customWidth="1"/>
    <col min="4095" max="4095" width="10.75" style="117" customWidth="1"/>
    <col min="4096" max="4096" width="14.25" style="117" customWidth="1"/>
    <col min="4097" max="4097" width="14.5" style="117" customWidth="1"/>
    <col min="4098" max="4098" width="14.375" style="117" customWidth="1"/>
    <col min="4099" max="4099" width="16.75" style="117" customWidth="1"/>
    <col min="4100" max="4100" width="12.875" style="117" customWidth="1"/>
    <col min="4101" max="4101" width="7.375" style="117" customWidth="1"/>
    <col min="4102" max="4102" width="11.25" style="117" customWidth="1"/>
    <col min="4103" max="4103" width="14.625" style="117" customWidth="1"/>
    <col min="4104" max="4104" width="19.75" style="117" customWidth="1"/>
    <col min="4105" max="4105" width="14.125" style="117" bestFit="1" customWidth="1"/>
    <col min="4106" max="4349" width="9" style="117"/>
    <col min="4350" max="4350" width="29" style="117" customWidth="1"/>
    <col min="4351" max="4351" width="10.75" style="117" customWidth="1"/>
    <col min="4352" max="4352" width="14.25" style="117" customWidth="1"/>
    <col min="4353" max="4353" width="14.5" style="117" customWidth="1"/>
    <col min="4354" max="4354" width="14.375" style="117" customWidth="1"/>
    <col min="4355" max="4355" width="16.75" style="117" customWidth="1"/>
    <col min="4356" max="4356" width="12.875" style="117" customWidth="1"/>
    <col min="4357" max="4357" width="7.375" style="117" customWidth="1"/>
    <col min="4358" max="4358" width="11.25" style="117" customWidth="1"/>
    <col min="4359" max="4359" width="14.625" style="117" customWidth="1"/>
    <col min="4360" max="4360" width="19.75" style="117" customWidth="1"/>
    <col min="4361" max="4361" width="14.125" style="117" bestFit="1" customWidth="1"/>
    <col min="4362" max="4605" width="9" style="117"/>
    <col min="4606" max="4606" width="29" style="117" customWidth="1"/>
    <col min="4607" max="4607" width="10.75" style="117" customWidth="1"/>
    <col min="4608" max="4608" width="14.25" style="117" customWidth="1"/>
    <col min="4609" max="4609" width="14.5" style="117" customWidth="1"/>
    <col min="4610" max="4610" width="14.375" style="117" customWidth="1"/>
    <col min="4611" max="4611" width="16.75" style="117" customWidth="1"/>
    <col min="4612" max="4612" width="12.875" style="117" customWidth="1"/>
    <col min="4613" max="4613" width="7.375" style="117" customWidth="1"/>
    <col min="4614" max="4614" width="11.25" style="117" customWidth="1"/>
    <col min="4615" max="4615" width="14.625" style="117" customWidth="1"/>
    <col min="4616" max="4616" width="19.75" style="117" customWidth="1"/>
    <col min="4617" max="4617" width="14.125" style="117" bestFit="1" customWidth="1"/>
    <col min="4618" max="4861" width="9" style="117"/>
    <col min="4862" max="4862" width="29" style="117" customWidth="1"/>
    <col min="4863" max="4863" width="10.75" style="117" customWidth="1"/>
    <col min="4864" max="4864" width="14.25" style="117" customWidth="1"/>
    <col min="4865" max="4865" width="14.5" style="117" customWidth="1"/>
    <col min="4866" max="4866" width="14.375" style="117" customWidth="1"/>
    <col min="4867" max="4867" width="16.75" style="117" customWidth="1"/>
    <col min="4868" max="4868" width="12.875" style="117" customWidth="1"/>
    <col min="4869" max="4869" width="7.375" style="117" customWidth="1"/>
    <col min="4870" max="4870" width="11.25" style="117" customWidth="1"/>
    <col min="4871" max="4871" width="14.625" style="117" customWidth="1"/>
    <col min="4872" max="4872" width="19.75" style="117" customWidth="1"/>
    <col min="4873" max="4873" width="14.125" style="117" bestFit="1" customWidth="1"/>
    <col min="4874" max="5117" width="9" style="117"/>
    <col min="5118" max="5118" width="29" style="117" customWidth="1"/>
    <col min="5119" max="5119" width="10.75" style="117" customWidth="1"/>
    <col min="5120" max="5120" width="14.25" style="117" customWidth="1"/>
    <col min="5121" max="5121" width="14.5" style="117" customWidth="1"/>
    <col min="5122" max="5122" width="14.375" style="117" customWidth="1"/>
    <col min="5123" max="5123" width="16.75" style="117" customWidth="1"/>
    <col min="5124" max="5124" width="12.875" style="117" customWidth="1"/>
    <col min="5125" max="5125" width="7.375" style="117" customWidth="1"/>
    <col min="5126" max="5126" width="11.25" style="117" customWidth="1"/>
    <col min="5127" max="5127" width="14.625" style="117" customWidth="1"/>
    <col min="5128" max="5128" width="19.75" style="117" customWidth="1"/>
    <col min="5129" max="5129" width="14.125" style="117" bestFit="1" customWidth="1"/>
    <col min="5130" max="5373" width="9" style="117"/>
    <col min="5374" max="5374" width="29" style="117" customWidth="1"/>
    <col min="5375" max="5375" width="10.75" style="117" customWidth="1"/>
    <col min="5376" max="5376" width="14.25" style="117" customWidth="1"/>
    <col min="5377" max="5377" width="14.5" style="117" customWidth="1"/>
    <col min="5378" max="5378" width="14.375" style="117" customWidth="1"/>
    <col min="5379" max="5379" width="16.75" style="117" customWidth="1"/>
    <col min="5380" max="5380" width="12.875" style="117" customWidth="1"/>
    <col min="5381" max="5381" width="7.375" style="117" customWidth="1"/>
    <col min="5382" max="5382" width="11.25" style="117" customWidth="1"/>
    <col min="5383" max="5383" width="14.625" style="117" customWidth="1"/>
    <col min="5384" max="5384" width="19.75" style="117" customWidth="1"/>
    <col min="5385" max="5385" width="14.125" style="117" bestFit="1" customWidth="1"/>
    <col min="5386" max="5629" width="9" style="117"/>
    <col min="5630" max="5630" width="29" style="117" customWidth="1"/>
    <col min="5631" max="5631" width="10.75" style="117" customWidth="1"/>
    <col min="5632" max="5632" width="14.25" style="117" customWidth="1"/>
    <col min="5633" max="5633" width="14.5" style="117" customWidth="1"/>
    <col min="5634" max="5634" width="14.375" style="117" customWidth="1"/>
    <col min="5635" max="5635" width="16.75" style="117" customWidth="1"/>
    <col min="5636" max="5636" width="12.875" style="117" customWidth="1"/>
    <col min="5637" max="5637" width="7.375" style="117" customWidth="1"/>
    <col min="5638" max="5638" width="11.25" style="117" customWidth="1"/>
    <col min="5639" max="5639" width="14.625" style="117" customWidth="1"/>
    <col min="5640" max="5640" width="19.75" style="117" customWidth="1"/>
    <col min="5641" max="5641" width="14.125" style="117" bestFit="1" customWidth="1"/>
    <col min="5642" max="5885" width="9" style="117"/>
    <col min="5886" max="5886" width="29" style="117" customWidth="1"/>
    <col min="5887" max="5887" width="10.75" style="117" customWidth="1"/>
    <col min="5888" max="5888" width="14.25" style="117" customWidth="1"/>
    <col min="5889" max="5889" width="14.5" style="117" customWidth="1"/>
    <col min="5890" max="5890" width="14.375" style="117" customWidth="1"/>
    <col min="5891" max="5891" width="16.75" style="117" customWidth="1"/>
    <col min="5892" max="5892" width="12.875" style="117" customWidth="1"/>
    <col min="5893" max="5893" width="7.375" style="117" customWidth="1"/>
    <col min="5894" max="5894" width="11.25" style="117" customWidth="1"/>
    <col min="5895" max="5895" width="14.625" style="117" customWidth="1"/>
    <col min="5896" max="5896" width="19.75" style="117" customWidth="1"/>
    <col min="5897" max="5897" width="14.125" style="117" bestFit="1" customWidth="1"/>
    <col min="5898" max="6141" width="9" style="117"/>
    <col min="6142" max="6142" width="29" style="117" customWidth="1"/>
    <col min="6143" max="6143" width="10.75" style="117" customWidth="1"/>
    <col min="6144" max="6144" width="14.25" style="117" customWidth="1"/>
    <col min="6145" max="6145" width="14.5" style="117" customWidth="1"/>
    <col min="6146" max="6146" width="14.375" style="117" customWidth="1"/>
    <col min="6147" max="6147" width="16.75" style="117" customWidth="1"/>
    <col min="6148" max="6148" width="12.875" style="117" customWidth="1"/>
    <col min="6149" max="6149" width="7.375" style="117" customWidth="1"/>
    <col min="6150" max="6150" width="11.25" style="117" customWidth="1"/>
    <col min="6151" max="6151" width="14.625" style="117" customWidth="1"/>
    <col min="6152" max="6152" width="19.75" style="117" customWidth="1"/>
    <col min="6153" max="6153" width="14.125" style="117" bestFit="1" customWidth="1"/>
    <col min="6154" max="6397" width="9" style="117"/>
    <col min="6398" max="6398" width="29" style="117" customWidth="1"/>
    <col min="6399" max="6399" width="10.75" style="117" customWidth="1"/>
    <col min="6400" max="6400" width="14.25" style="117" customWidth="1"/>
    <col min="6401" max="6401" width="14.5" style="117" customWidth="1"/>
    <col min="6402" max="6402" width="14.375" style="117" customWidth="1"/>
    <col min="6403" max="6403" width="16.75" style="117" customWidth="1"/>
    <col min="6404" max="6404" width="12.875" style="117" customWidth="1"/>
    <col min="6405" max="6405" width="7.375" style="117" customWidth="1"/>
    <col min="6406" max="6406" width="11.25" style="117" customWidth="1"/>
    <col min="6407" max="6407" width="14.625" style="117" customWidth="1"/>
    <col min="6408" max="6408" width="19.75" style="117" customWidth="1"/>
    <col min="6409" max="6409" width="14.125" style="117" bestFit="1" customWidth="1"/>
    <col min="6410" max="6653" width="9" style="117"/>
    <col min="6654" max="6654" width="29" style="117" customWidth="1"/>
    <col min="6655" max="6655" width="10.75" style="117" customWidth="1"/>
    <col min="6656" max="6656" width="14.25" style="117" customWidth="1"/>
    <col min="6657" max="6657" width="14.5" style="117" customWidth="1"/>
    <col min="6658" max="6658" width="14.375" style="117" customWidth="1"/>
    <col min="6659" max="6659" width="16.75" style="117" customWidth="1"/>
    <col min="6660" max="6660" width="12.875" style="117" customWidth="1"/>
    <col min="6661" max="6661" width="7.375" style="117" customWidth="1"/>
    <col min="6662" max="6662" width="11.25" style="117" customWidth="1"/>
    <col min="6663" max="6663" width="14.625" style="117" customWidth="1"/>
    <col min="6664" max="6664" width="19.75" style="117" customWidth="1"/>
    <col min="6665" max="6665" width="14.125" style="117" bestFit="1" customWidth="1"/>
    <col min="6666" max="6909" width="9" style="117"/>
    <col min="6910" max="6910" width="29" style="117" customWidth="1"/>
    <col min="6911" max="6911" width="10.75" style="117" customWidth="1"/>
    <col min="6912" max="6912" width="14.25" style="117" customWidth="1"/>
    <col min="6913" max="6913" width="14.5" style="117" customWidth="1"/>
    <col min="6914" max="6914" width="14.375" style="117" customWidth="1"/>
    <col min="6915" max="6915" width="16.75" style="117" customWidth="1"/>
    <col min="6916" max="6916" width="12.875" style="117" customWidth="1"/>
    <col min="6917" max="6917" width="7.375" style="117" customWidth="1"/>
    <col min="6918" max="6918" width="11.25" style="117" customWidth="1"/>
    <col min="6919" max="6919" width="14.625" style="117" customWidth="1"/>
    <col min="6920" max="6920" width="19.75" style="117" customWidth="1"/>
    <col min="6921" max="6921" width="14.125" style="117" bestFit="1" customWidth="1"/>
    <col min="6922" max="7165" width="9" style="117"/>
    <col min="7166" max="7166" width="29" style="117" customWidth="1"/>
    <col min="7167" max="7167" width="10.75" style="117" customWidth="1"/>
    <col min="7168" max="7168" width="14.25" style="117" customWidth="1"/>
    <col min="7169" max="7169" width="14.5" style="117" customWidth="1"/>
    <col min="7170" max="7170" width="14.375" style="117" customWidth="1"/>
    <col min="7171" max="7171" width="16.75" style="117" customWidth="1"/>
    <col min="7172" max="7172" width="12.875" style="117" customWidth="1"/>
    <col min="7173" max="7173" width="7.375" style="117" customWidth="1"/>
    <col min="7174" max="7174" width="11.25" style="117" customWidth="1"/>
    <col min="7175" max="7175" width="14.625" style="117" customWidth="1"/>
    <col min="7176" max="7176" width="19.75" style="117" customWidth="1"/>
    <col min="7177" max="7177" width="14.125" style="117" bestFit="1" customWidth="1"/>
    <col min="7178" max="7421" width="9" style="117"/>
    <col min="7422" max="7422" width="29" style="117" customWidth="1"/>
    <col min="7423" max="7423" width="10.75" style="117" customWidth="1"/>
    <col min="7424" max="7424" width="14.25" style="117" customWidth="1"/>
    <col min="7425" max="7425" width="14.5" style="117" customWidth="1"/>
    <col min="7426" max="7426" width="14.375" style="117" customWidth="1"/>
    <col min="7427" max="7427" width="16.75" style="117" customWidth="1"/>
    <col min="7428" max="7428" width="12.875" style="117" customWidth="1"/>
    <col min="7429" max="7429" width="7.375" style="117" customWidth="1"/>
    <col min="7430" max="7430" width="11.25" style="117" customWidth="1"/>
    <col min="7431" max="7431" width="14.625" style="117" customWidth="1"/>
    <col min="7432" max="7432" width="19.75" style="117" customWidth="1"/>
    <col min="7433" max="7433" width="14.125" style="117" bestFit="1" customWidth="1"/>
    <col min="7434" max="7677" width="9" style="117"/>
    <col min="7678" max="7678" width="29" style="117" customWidth="1"/>
    <col min="7679" max="7679" width="10.75" style="117" customWidth="1"/>
    <col min="7680" max="7680" width="14.25" style="117" customWidth="1"/>
    <col min="7681" max="7681" width="14.5" style="117" customWidth="1"/>
    <col min="7682" max="7682" width="14.375" style="117" customWidth="1"/>
    <col min="7683" max="7683" width="16.75" style="117" customWidth="1"/>
    <col min="7684" max="7684" width="12.875" style="117" customWidth="1"/>
    <col min="7685" max="7685" width="7.375" style="117" customWidth="1"/>
    <col min="7686" max="7686" width="11.25" style="117" customWidth="1"/>
    <col min="7687" max="7687" width="14.625" style="117" customWidth="1"/>
    <col min="7688" max="7688" width="19.75" style="117" customWidth="1"/>
    <col min="7689" max="7689" width="14.125" style="117" bestFit="1" customWidth="1"/>
    <col min="7690" max="7933" width="9" style="117"/>
    <col min="7934" max="7934" width="29" style="117" customWidth="1"/>
    <col min="7935" max="7935" width="10.75" style="117" customWidth="1"/>
    <col min="7936" max="7936" width="14.25" style="117" customWidth="1"/>
    <col min="7937" max="7937" width="14.5" style="117" customWidth="1"/>
    <col min="7938" max="7938" width="14.375" style="117" customWidth="1"/>
    <col min="7939" max="7939" width="16.75" style="117" customWidth="1"/>
    <col min="7940" max="7940" width="12.875" style="117" customWidth="1"/>
    <col min="7941" max="7941" width="7.375" style="117" customWidth="1"/>
    <col min="7942" max="7942" width="11.25" style="117" customWidth="1"/>
    <col min="7943" max="7943" width="14.625" style="117" customWidth="1"/>
    <col min="7944" max="7944" width="19.75" style="117" customWidth="1"/>
    <col min="7945" max="7945" width="14.125" style="117" bestFit="1" customWidth="1"/>
    <col min="7946" max="8189" width="9" style="117"/>
    <col min="8190" max="8190" width="29" style="117" customWidth="1"/>
    <col min="8191" max="8191" width="10.75" style="117" customWidth="1"/>
    <col min="8192" max="8192" width="14.25" style="117" customWidth="1"/>
    <col min="8193" max="8193" width="14.5" style="117" customWidth="1"/>
    <col min="8194" max="8194" width="14.375" style="117" customWidth="1"/>
    <col min="8195" max="8195" width="16.75" style="117" customWidth="1"/>
    <col min="8196" max="8196" width="12.875" style="117" customWidth="1"/>
    <col min="8197" max="8197" width="7.375" style="117" customWidth="1"/>
    <col min="8198" max="8198" width="11.25" style="117" customWidth="1"/>
    <col min="8199" max="8199" width="14.625" style="117" customWidth="1"/>
    <col min="8200" max="8200" width="19.75" style="117" customWidth="1"/>
    <col min="8201" max="8201" width="14.125" style="117" bestFit="1" customWidth="1"/>
    <col min="8202" max="8445" width="9" style="117"/>
    <col min="8446" max="8446" width="29" style="117" customWidth="1"/>
    <col min="8447" max="8447" width="10.75" style="117" customWidth="1"/>
    <col min="8448" max="8448" width="14.25" style="117" customWidth="1"/>
    <col min="8449" max="8449" width="14.5" style="117" customWidth="1"/>
    <col min="8450" max="8450" width="14.375" style="117" customWidth="1"/>
    <col min="8451" max="8451" width="16.75" style="117" customWidth="1"/>
    <col min="8452" max="8452" width="12.875" style="117" customWidth="1"/>
    <col min="8453" max="8453" width="7.375" style="117" customWidth="1"/>
    <col min="8454" max="8454" width="11.25" style="117" customWidth="1"/>
    <col min="8455" max="8455" width="14.625" style="117" customWidth="1"/>
    <col min="8456" max="8456" width="19.75" style="117" customWidth="1"/>
    <col min="8457" max="8457" width="14.125" style="117" bestFit="1" customWidth="1"/>
    <col min="8458" max="8701" width="9" style="117"/>
    <col min="8702" max="8702" width="29" style="117" customWidth="1"/>
    <col min="8703" max="8703" width="10.75" style="117" customWidth="1"/>
    <col min="8704" max="8704" width="14.25" style="117" customWidth="1"/>
    <col min="8705" max="8705" width="14.5" style="117" customWidth="1"/>
    <col min="8706" max="8706" width="14.375" style="117" customWidth="1"/>
    <col min="8707" max="8707" width="16.75" style="117" customWidth="1"/>
    <col min="8708" max="8708" width="12.875" style="117" customWidth="1"/>
    <col min="8709" max="8709" width="7.375" style="117" customWidth="1"/>
    <col min="8710" max="8710" width="11.25" style="117" customWidth="1"/>
    <col min="8711" max="8711" width="14.625" style="117" customWidth="1"/>
    <col min="8712" max="8712" width="19.75" style="117" customWidth="1"/>
    <col min="8713" max="8713" width="14.125" style="117" bestFit="1" customWidth="1"/>
    <col min="8714" max="8957" width="9" style="117"/>
    <col min="8958" max="8958" width="29" style="117" customWidth="1"/>
    <col min="8959" max="8959" width="10.75" style="117" customWidth="1"/>
    <col min="8960" max="8960" width="14.25" style="117" customWidth="1"/>
    <col min="8961" max="8961" width="14.5" style="117" customWidth="1"/>
    <col min="8962" max="8962" width="14.375" style="117" customWidth="1"/>
    <col min="8963" max="8963" width="16.75" style="117" customWidth="1"/>
    <col min="8964" max="8964" width="12.875" style="117" customWidth="1"/>
    <col min="8965" max="8965" width="7.375" style="117" customWidth="1"/>
    <col min="8966" max="8966" width="11.25" style="117" customWidth="1"/>
    <col min="8967" max="8967" width="14.625" style="117" customWidth="1"/>
    <col min="8968" max="8968" width="19.75" style="117" customWidth="1"/>
    <col min="8969" max="8969" width="14.125" style="117" bestFit="1" customWidth="1"/>
    <col min="8970" max="9213" width="9" style="117"/>
    <col min="9214" max="9214" width="29" style="117" customWidth="1"/>
    <col min="9215" max="9215" width="10.75" style="117" customWidth="1"/>
    <col min="9216" max="9216" width="14.25" style="117" customWidth="1"/>
    <col min="9217" max="9217" width="14.5" style="117" customWidth="1"/>
    <col min="9218" max="9218" width="14.375" style="117" customWidth="1"/>
    <col min="9219" max="9219" width="16.75" style="117" customWidth="1"/>
    <col min="9220" max="9220" width="12.875" style="117" customWidth="1"/>
    <col min="9221" max="9221" width="7.375" style="117" customWidth="1"/>
    <col min="9222" max="9222" width="11.25" style="117" customWidth="1"/>
    <col min="9223" max="9223" width="14.625" style="117" customWidth="1"/>
    <col min="9224" max="9224" width="19.75" style="117" customWidth="1"/>
    <col min="9225" max="9225" width="14.125" style="117" bestFit="1" customWidth="1"/>
    <col min="9226" max="9469" width="9" style="117"/>
    <col min="9470" max="9470" width="29" style="117" customWidth="1"/>
    <col min="9471" max="9471" width="10.75" style="117" customWidth="1"/>
    <col min="9472" max="9472" width="14.25" style="117" customWidth="1"/>
    <col min="9473" max="9473" width="14.5" style="117" customWidth="1"/>
    <col min="9474" max="9474" width="14.375" style="117" customWidth="1"/>
    <col min="9475" max="9475" width="16.75" style="117" customWidth="1"/>
    <col min="9476" max="9476" width="12.875" style="117" customWidth="1"/>
    <col min="9477" max="9477" width="7.375" style="117" customWidth="1"/>
    <col min="9478" max="9478" width="11.25" style="117" customWidth="1"/>
    <col min="9479" max="9479" width="14.625" style="117" customWidth="1"/>
    <col min="9480" max="9480" width="19.75" style="117" customWidth="1"/>
    <col min="9481" max="9481" width="14.125" style="117" bestFit="1" customWidth="1"/>
    <col min="9482" max="9725" width="9" style="117"/>
    <col min="9726" max="9726" width="29" style="117" customWidth="1"/>
    <col min="9727" max="9727" width="10.75" style="117" customWidth="1"/>
    <col min="9728" max="9728" width="14.25" style="117" customWidth="1"/>
    <col min="9729" max="9729" width="14.5" style="117" customWidth="1"/>
    <col min="9730" max="9730" width="14.375" style="117" customWidth="1"/>
    <col min="9731" max="9731" width="16.75" style="117" customWidth="1"/>
    <col min="9732" max="9732" width="12.875" style="117" customWidth="1"/>
    <col min="9733" max="9733" width="7.375" style="117" customWidth="1"/>
    <col min="9734" max="9734" width="11.25" style="117" customWidth="1"/>
    <col min="9735" max="9735" width="14.625" style="117" customWidth="1"/>
    <col min="9736" max="9736" width="19.75" style="117" customWidth="1"/>
    <col min="9737" max="9737" width="14.125" style="117" bestFit="1" customWidth="1"/>
    <col min="9738" max="9981" width="9" style="117"/>
    <col min="9982" max="9982" width="29" style="117" customWidth="1"/>
    <col min="9983" max="9983" width="10.75" style="117" customWidth="1"/>
    <col min="9984" max="9984" width="14.25" style="117" customWidth="1"/>
    <col min="9985" max="9985" width="14.5" style="117" customWidth="1"/>
    <col min="9986" max="9986" width="14.375" style="117" customWidth="1"/>
    <col min="9987" max="9987" width="16.75" style="117" customWidth="1"/>
    <col min="9988" max="9988" width="12.875" style="117" customWidth="1"/>
    <col min="9989" max="9989" width="7.375" style="117" customWidth="1"/>
    <col min="9990" max="9990" width="11.25" style="117" customWidth="1"/>
    <col min="9991" max="9991" width="14.625" style="117" customWidth="1"/>
    <col min="9992" max="9992" width="19.75" style="117" customWidth="1"/>
    <col min="9993" max="9993" width="14.125" style="117" bestFit="1" customWidth="1"/>
    <col min="9994" max="10237" width="9" style="117"/>
    <col min="10238" max="10238" width="29" style="117" customWidth="1"/>
    <col min="10239" max="10239" width="10.75" style="117" customWidth="1"/>
    <col min="10240" max="10240" width="14.25" style="117" customWidth="1"/>
    <col min="10241" max="10241" width="14.5" style="117" customWidth="1"/>
    <col min="10242" max="10242" width="14.375" style="117" customWidth="1"/>
    <col min="10243" max="10243" width="16.75" style="117" customWidth="1"/>
    <col min="10244" max="10244" width="12.875" style="117" customWidth="1"/>
    <col min="10245" max="10245" width="7.375" style="117" customWidth="1"/>
    <col min="10246" max="10246" width="11.25" style="117" customWidth="1"/>
    <col min="10247" max="10247" width="14.625" style="117" customWidth="1"/>
    <col min="10248" max="10248" width="19.75" style="117" customWidth="1"/>
    <col min="10249" max="10249" width="14.125" style="117" bestFit="1" customWidth="1"/>
    <col min="10250" max="10493" width="9" style="117"/>
    <col min="10494" max="10494" width="29" style="117" customWidth="1"/>
    <col min="10495" max="10495" width="10.75" style="117" customWidth="1"/>
    <col min="10496" max="10496" width="14.25" style="117" customWidth="1"/>
    <col min="10497" max="10497" width="14.5" style="117" customWidth="1"/>
    <col min="10498" max="10498" width="14.375" style="117" customWidth="1"/>
    <col min="10499" max="10499" width="16.75" style="117" customWidth="1"/>
    <col min="10500" max="10500" width="12.875" style="117" customWidth="1"/>
    <col min="10501" max="10501" width="7.375" style="117" customWidth="1"/>
    <col min="10502" max="10502" width="11.25" style="117" customWidth="1"/>
    <col min="10503" max="10503" width="14.625" style="117" customWidth="1"/>
    <col min="10504" max="10504" width="19.75" style="117" customWidth="1"/>
    <col min="10505" max="10505" width="14.125" style="117" bestFit="1" customWidth="1"/>
    <col min="10506" max="10749" width="9" style="117"/>
    <col min="10750" max="10750" width="29" style="117" customWidth="1"/>
    <col min="10751" max="10751" width="10.75" style="117" customWidth="1"/>
    <col min="10752" max="10752" width="14.25" style="117" customWidth="1"/>
    <col min="10753" max="10753" width="14.5" style="117" customWidth="1"/>
    <col min="10754" max="10754" width="14.375" style="117" customWidth="1"/>
    <col min="10755" max="10755" width="16.75" style="117" customWidth="1"/>
    <col min="10756" max="10756" width="12.875" style="117" customWidth="1"/>
    <col min="10757" max="10757" width="7.375" style="117" customWidth="1"/>
    <col min="10758" max="10758" width="11.25" style="117" customWidth="1"/>
    <col min="10759" max="10759" width="14.625" style="117" customWidth="1"/>
    <col min="10760" max="10760" width="19.75" style="117" customWidth="1"/>
    <col min="10761" max="10761" width="14.125" style="117" bestFit="1" customWidth="1"/>
    <col min="10762" max="11005" width="9" style="117"/>
    <col min="11006" max="11006" width="29" style="117" customWidth="1"/>
    <col min="11007" max="11007" width="10.75" style="117" customWidth="1"/>
    <col min="11008" max="11008" width="14.25" style="117" customWidth="1"/>
    <col min="11009" max="11009" width="14.5" style="117" customWidth="1"/>
    <col min="11010" max="11010" width="14.375" style="117" customWidth="1"/>
    <col min="11011" max="11011" width="16.75" style="117" customWidth="1"/>
    <col min="11012" max="11012" width="12.875" style="117" customWidth="1"/>
    <col min="11013" max="11013" width="7.375" style="117" customWidth="1"/>
    <col min="11014" max="11014" width="11.25" style="117" customWidth="1"/>
    <col min="11015" max="11015" width="14.625" style="117" customWidth="1"/>
    <col min="11016" max="11016" width="19.75" style="117" customWidth="1"/>
    <col min="11017" max="11017" width="14.125" style="117" bestFit="1" customWidth="1"/>
    <col min="11018" max="11261" width="9" style="117"/>
    <col min="11262" max="11262" width="29" style="117" customWidth="1"/>
    <col min="11263" max="11263" width="10.75" style="117" customWidth="1"/>
    <col min="11264" max="11264" width="14.25" style="117" customWidth="1"/>
    <col min="11265" max="11265" width="14.5" style="117" customWidth="1"/>
    <col min="11266" max="11266" width="14.375" style="117" customWidth="1"/>
    <col min="11267" max="11267" width="16.75" style="117" customWidth="1"/>
    <col min="11268" max="11268" width="12.875" style="117" customWidth="1"/>
    <col min="11269" max="11269" width="7.375" style="117" customWidth="1"/>
    <col min="11270" max="11270" width="11.25" style="117" customWidth="1"/>
    <col min="11271" max="11271" width="14.625" style="117" customWidth="1"/>
    <col min="11272" max="11272" width="19.75" style="117" customWidth="1"/>
    <col min="11273" max="11273" width="14.125" style="117" bestFit="1" customWidth="1"/>
    <col min="11274" max="11517" width="9" style="117"/>
    <col min="11518" max="11518" width="29" style="117" customWidth="1"/>
    <col min="11519" max="11519" width="10.75" style="117" customWidth="1"/>
    <col min="11520" max="11520" width="14.25" style="117" customWidth="1"/>
    <col min="11521" max="11521" width="14.5" style="117" customWidth="1"/>
    <col min="11522" max="11522" width="14.375" style="117" customWidth="1"/>
    <col min="11523" max="11523" width="16.75" style="117" customWidth="1"/>
    <col min="11524" max="11524" width="12.875" style="117" customWidth="1"/>
    <col min="11525" max="11525" width="7.375" style="117" customWidth="1"/>
    <col min="11526" max="11526" width="11.25" style="117" customWidth="1"/>
    <col min="11527" max="11527" width="14.625" style="117" customWidth="1"/>
    <col min="11528" max="11528" width="19.75" style="117" customWidth="1"/>
    <col min="11529" max="11529" width="14.125" style="117" bestFit="1" customWidth="1"/>
    <col min="11530" max="11773" width="9" style="117"/>
    <col min="11774" max="11774" width="29" style="117" customWidth="1"/>
    <col min="11775" max="11775" width="10.75" style="117" customWidth="1"/>
    <col min="11776" max="11776" width="14.25" style="117" customWidth="1"/>
    <col min="11777" max="11777" width="14.5" style="117" customWidth="1"/>
    <col min="11778" max="11778" width="14.375" style="117" customWidth="1"/>
    <col min="11779" max="11779" width="16.75" style="117" customWidth="1"/>
    <col min="11780" max="11780" width="12.875" style="117" customWidth="1"/>
    <col min="11781" max="11781" width="7.375" style="117" customWidth="1"/>
    <col min="11782" max="11782" width="11.25" style="117" customWidth="1"/>
    <col min="11783" max="11783" width="14.625" style="117" customWidth="1"/>
    <col min="11784" max="11784" width="19.75" style="117" customWidth="1"/>
    <col min="11785" max="11785" width="14.125" style="117" bestFit="1" customWidth="1"/>
    <col min="11786" max="12029" width="9" style="117"/>
    <col min="12030" max="12030" width="29" style="117" customWidth="1"/>
    <col min="12031" max="12031" width="10.75" style="117" customWidth="1"/>
    <col min="12032" max="12032" width="14.25" style="117" customWidth="1"/>
    <col min="12033" max="12033" width="14.5" style="117" customWidth="1"/>
    <col min="12034" max="12034" width="14.375" style="117" customWidth="1"/>
    <col min="12035" max="12035" width="16.75" style="117" customWidth="1"/>
    <col min="12036" max="12036" width="12.875" style="117" customWidth="1"/>
    <col min="12037" max="12037" width="7.375" style="117" customWidth="1"/>
    <col min="12038" max="12038" width="11.25" style="117" customWidth="1"/>
    <col min="12039" max="12039" width="14.625" style="117" customWidth="1"/>
    <col min="12040" max="12040" width="19.75" style="117" customWidth="1"/>
    <col min="12041" max="12041" width="14.125" style="117" bestFit="1" customWidth="1"/>
    <col min="12042" max="12285" width="9" style="117"/>
    <col min="12286" max="12286" width="29" style="117" customWidth="1"/>
    <col min="12287" max="12287" width="10.75" style="117" customWidth="1"/>
    <col min="12288" max="12288" width="14.25" style="117" customWidth="1"/>
    <col min="12289" max="12289" width="14.5" style="117" customWidth="1"/>
    <col min="12290" max="12290" width="14.375" style="117" customWidth="1"/>
    <col min="12291" max="12291" width="16.75" style="117" customWidth="1"/>
    <col min="12292" max="12292" width="12.875" style="117" customWidth="1"/>
    <col min="12293" max="12293" width="7.375" style="117" customWidth="1"/>
    <col min="12294" max="12294" width="11.25" style="117" customWidth="1"/>
    <col min="12295" max="12295" width="14.625" style="117" customWidth="1"/>
    <col min="12296" max="12296" width="19.75" style="117" customWidth="1"/>
    <col min="12297" max="12297" width="14.125" style="117" bestFit="1" customWidth="1"/>
    <col min="12298" max="12541" width="9" style="117"/>
    <col min="12542" max="12542" width="29" style="117" customWidth="1"/>
    <col min="12543" max="12543" width="10.75" style="117" customWidth="1"/>
    <col min="12544" max="12544" width="14.25" style="117" customWidth="1"/>
    <col min="12545" max="12545" width="14.5" style="117" customWidth="1"/>
    <col min="12546" max="12546" width="14.375" style="117" customWidth="1"/>
    <col min="12547" max="12547" width="16.75" style="117" customWidth="1"/>
    <col min="12548" max="12548" width="12.875" style="117" customWidth="1"/>
    <col min="12549" max="12549" width="7.375" style="117" customWidth="1"/>
    <col min="12550" max="12550" width="11.25" style="117" customWidth="1"/>
    <col min="12551" max="12551" width="14.625" style="117" customWidth="1"/>
    <col min="12552" max="12552" width="19.75" style="117" customWidth="1"/>
    <col min="12553" max="12553" width="14.125" style="117" bestFit="1" customWidth="1"/>
    <col min="12554" max="12797" width="9" style="117"/>
    <col min="12798" max="12798" width="29" style="117" customWidth="1"/>
    <col min="12799" max="12799" width="10.75" style="117" customWidth="1"/>
    <col min="12800" max="12800" width="14.25" style="117" customWidth="1"/>
    <col min="12801" max="12801" width="14.5" style="117" customWidth="1"/>
    <col min="12802" max="12802" width="14.375" style="117" customWidth="1"/>
    <col min="12803" max="12803" width="16.75" style="117" customWidth="1"/>
    <col min="12804" max="12804" width="12.875" style="117" customWidth="1"/>
    <col min="12805" max="12805" width="7.375" style="117" customWidth="1"/>
    <col min="12806" max="12806" width="11.25" style="117" customWidth="1"/>
    <col min="12807" max="12807" width="14.625" style="117" customWidth="1"/>
    <col min="12808" max="12808" width="19.75" style="117" customWidth="1"/>
    <col min="12809" max="12809" width="14.125" style="117" bestFit="1" customWidth="1"/>
    <col min="12810" max="13053" width="9" style="117"/>
    <col min="13054" max="13054" width="29" style="117" customWidth="1"/>
    <col min="13055" max="13055" width="10.75" style="117" customWidth="1"/>
    <col min="13056" max="13056" width="14.25" style="117" customWidth="1"/>
    <col min="13057" max="13057" width="14.5" style="117" customWidth="1"/>
    <col min="13058" max="13058" width="14.375" style="117" customWidth="1"/>
    <col min="13059" max="13059" width="16.75" style="117" customWidth="1"/>
    <col min="13060" max="13060" width="12.875" style="117" customWidth="1"/>
    <col min="13061" max="13061" width="7.375" style="117" customWidth="1"/>
    <col min="13062" max="13062" width="11.25" style="117" customWidth="1"/>
    <col min="13063" max="13063" width="14.625" style="117" customWidth="1"/>
    <col min="13064" max="13064" width="19.75" style="117" customWidth="1"/>
    <col min="13065" max="13065" width="14.125" style="117" bestFit="1" customWidth="1"/>
    <col min="13066" max="13309" width="9" style="117"/>
    <col min="13310" max="13310" width="29" style="117" customWidth="1"/>
    <col min="13311" max="13311" width="10.75" style="117" customWidth="1"/>
    <col min="13312" max="13312" width="14.25" style="117" customWidth="1"/>
    <col min="13313" max="13313" width="14.5" style="117" customWidth="1"/>
    <col min="13314" max="13314" width="14.375" style="117" customWidth="1"/>
    <col min="13315" max="13315" width="16.75" style="117" customWidth="1"/>
    <col min="13316" max="13316" width="12.875" style="117" customWidth="1"/>
    <col min="13317" max="13317" width="7.375" style="117" customWidth="1"/>
    <col min="13318" max="13318" width="11.25" style="117" customWidth="1"/>
    <col min="13319" max="13319" width="14.625" style="117" customWidth="1"/>
    <col min="13320" max="13320" width="19.75" style="117" customWidth="1"/>
    <col min="13321" max="13321" width="14.125" style="117" bestFit="1" customWidth="1"/>
    <col min="13322" max="13565" width="9" style="117"/>
    <col min="13566" max="13566" width="29" style="117" customWidth="1"/>
    <col min="13567" max="13567" width="10.75" style="117" customWidth="1"/>
    <col min="13568" max="13568" width="14.25" style="117" customWidth="1"/>
    <col min="13569" max="13569" width="14.5" style="117" customWidth="1"/>
    <col min="13570" max="13570" width="14.375" style="117" customWidth="1"/>
    <col min="13571" max="13571" width="16.75" style="117" customWidth="1"/>
    <col min="13572" max="13572" width="12.875" style="117" customWidth="1"/>
    <col min="13573" max="13573" width="7.375" style="117" customWidth="1"/>
    <col min="13574" max="13574" width="11.25" style="117" customWidth="1"/>
    <col min="13575" max="13575" width="14.625" style="117" customWidth="1"/>
    <col min="13576" max="13576" width="19.75" style="117" customWidth="1"/>
    <col min="13577" max="13577" width="14.125" style="117" bestFit="1" customWidth="1"/>
    <col min="13578" max="13821" width="9" style="117"/>
    <col min="13822" max="13822" width="29" style="117" customWidth="1"/>
    <col min="13823" max="13823" width="10.75" style="117" customWidth="1"/>
    <col min="13824" max="13824" width="14.25" style="117" customWidth="1"/>
    <col min="13825" max="13825" width="14.5" style="117" customWidth="1"/>
    <col min="13826" max="13826" width="14.375" style="117" customWidth="1"/>
    <col min="13827" max="13827" width="16.75" style="117" customWidth="1"/>
    <col min="13828" max="13828" width="12.875" style="117" customWidth="1"/>
    <col min="13829" max="13829" width="7.375" style="117" customWidth="1"/>
    <col min="13830" max="13830" width="11.25" style="117" customWidth="1"/>
    <col min="13831" max="13831" width="14.625" style="117" customWidth="1"/>
    <col min="13832" max="13832" width="19.75" style="117" customWidth="1"/>
    <col min="13833" max="13833" width="14.125" style="117" bestFit="1" customWidth="1"/>
    <col min="13834" max="14077" width="9" style="117"/>
    <col min="14078" max="14078" width="29" style="117" customWidth="1"/>
    <col min="14079" max="14079" width="10.75" style="117" customWidth="1"/>
    <col min="14080" max="14080" width="14.25" style="117" customWidth="1"/>
    <col min="14081" max="14081" width="14.5" style="117" customWidth="1"/>
    <col min="14082" max="14082" width="14.375" style="117" customWidth="1"/>
    <col min="14083" max="14083" width="16.75" style="117" customWidth="1"/>
    <col min="14084" max="14084" width="12.875" style="117" customWidth="1"/>
    <col min="14085" max="14085" width="7.375" style="117" customWidth="1"/>
    <col min="14086" max="14086" width="11.25" style="117" customWidth="1"/>
    <col min="14087" max="14087" width="14.625" style="117" customWidth="1"/>
    <col min="14088" max="14088" width="19.75" style="117" customWidth="1"/>
    <col min="14089" max="14089" width="14.125" style="117" bestFit="1" customWidth="1"/>
    <col min="14090" max="14333" width="9" style="117"/>
    <col min="14334" max="14334" width="29" style="117" customWidth="1"/>
    <col min="14335" max="14335" width="10.75" style="117" customWidth="1"/>
    <col min="14336" max="14336" width="14.25" style="117" customWidth="1"/>
    <col min="14337" max="14337" width="14.5" style="117" customWidth="1"/>
    <col min="14338" max="14338" width="14.375" style="117" customWidth="1"/>
    <col min="14339" max="14339" width="16.75" style="117" customWidth="1"/>
    <col min="14340" max="14340" width="12.875" style="117" customWidth="1"/>
    <col min="14341" max="14341" width="7.375" style="117" customWidth="1"/>
    <col min="14342" max="14342" width="11.25" style="117" customWidth="1"/>
    <col min="14343" max="14343" width="14.625" style="117" customWidth="1"/>
    <col min="14344" max="14344" width="19.75" style="117" customWidth="1"/>
    <col min="14345" max="14345" width="14.125" style="117" bestFit="1" customWidth="1"/>
    <col min="14346" max="14589" width="9" style="117"/>
    <col min="14590" max="14590" width="29" style="117" customWidth="1"/>
    <col min="14591" max="14591" width="10.75" style="117" customWidth="1"/>
    <col min="14592" max="14592" width="14.25" style="117" customWidth="1"/>
    <col min="14593" max="14593" width="14.5" style="117" customWidth="1"/>
    <col min="14594" max="14594" width="14.375" style="117" customWidth="1"/>
    <col min="14595" max="14595" width="16.75" style="117" customWidth="1"/>
    <col min="14596" max="14596" width="12.875" style="117" customWidth="1"/>
    <col min="14597" max="14597" width="7.375" style="117" customWidth="1"/>
    <col min="14598" max="14598" width="11.25" style="117" customWidth="1"/>
    <col min="14599" max="14599" width="14.625" style="117" customWidth="1"/>
    <col min="14600" max="14600" width="19.75" style="117" customWidth="1"/>
    <col min="14601" max="14601" width="14.125" style="117" bestFit="1" customWidth="1"/>
    <col min="14602" max="14845" width="9" style="117"/>
    <col min="14846" max="14846" width="29" style="117" customWidth="1"/>
    <col min="14847" max="14847" width="10.75" style="117" customWidth="1"/>
    <col min="14848" max="14848" width="14.25" style="117" customWidth="1"/>
    <col min="14849" max="14849" width="14.5" style="117" customWidth="1"/>
    <col min="14850" max="14850" width="14.375" style="117" customWidth="1"/>
    <col min="14851" max="14851" width="16.75" style="117" customWidth="1"/>
    <col min="14852" max="14852" width="12.875" style="117" customWidth="1"/>
    <col min="14853" max="14853" width="7.375" style="117" customWidth="1"/>
    <col min="14854" max="14854" width="11.25" style="117" customWidth="1"/>
    <col min="14855" max="14855" width="14.625" style="117" customWidth="1"/>
    <col min="14856" max="14856" width="19.75" style="117" customWidth="1"/>
    <col min="14857" max="14857" width="14.125" style="117" bestFit="1" customWidth="1"/>
    <col min="14858" max="15101" width="9" style="117"/>
    <col min="15102" max="15102" width="29" style="117" customWidth="1"/>
    <col min="15103" max="15103" width="10.75" style="117" customWidth="1"/>
    <col min="15104" max="15104" width="14.25" style="117" customWidth="1"/>
    <col min="15105" max="15105" width="14.5" style="117" customWidth="1"/>
    <col min="15106" max="15106" width="14.375" style="117" customWidth="1"/>
    <col min="15107" max="15107" width="16.75" style="117" customWidth="1"/>
    <col min="15108" max="15108" width="12.875" style="117" customWidth="1"/>
    <col min="15109" max="15109" width="7.375" style="117" customWidth="1"/>
    <col min="15110" max="15110" width="11.25" style="117" customWidth="1"/>
    <col min="15111" max="15111" width="14.625" style="117" customWidth="1"/>
    <col min="15112" max="15112" width="19.75" style="117" customWidth="1"/>
    <col min="15113" max="15113" width="14.125" style="117" bestFit="1" customWidth="1"/>
    <col min="15114" max="15357" width="9" style="117"/>
    <col min="15358" max="15358" width="29" style="117" customWidth="1"/>
    <col min="15359" max="15359" width="10.75" style="117" customWidth="1"/>
    <col min="15360" max="15360" width="14.25" style="117" customWidth="1"/>
    <col min="15361" max="15361" width="14.5" style="117" customWidth="1"/>
    <col min="15362" max="15362" width="14.375" style="117" customWidth="1"/>
    <col min="15363" max="15363" width="16.75" style="117" customWidth="1"/>
    <col min="15364" max="15364" width="12.875" style="117" customWidth="1"/>
    <col min="15365" max="15365" width="7.375" style="117" customWidth="1"/>
    <col min="15366" max="15366" width="11.25" style="117" customWidth="1"/>
    <col min="15367" max="15367" width="14.625" style="117" customWidth="1"/>
    <col min="15368" max="15368" width="19.75" style="117" customWidth="1"/>
    <col min="15369" max="15369" width="14.125" style="117" bestFit="1" customWidth="1"/>
    <col min="15370" max="15613" width="9" style="117"/>
    <col min="15614" max="15614" width="29" style="117" customWidth="1"/>
    <col min="15615" max="15615" width="10.75" style="117" customWidth="1"/>
    <col min="15616" max="15616" width="14.25" style="117" customWidth="1"/>
    <col min="15617" max="15617" width="14.5" style="117" customWidth="1"/>
    <col min="15618" max="15618" width="14.375" style="117" customWidth="1"/>
    <col min="15619" max="15619" width="16.75" style="117" customWidth="1"/>
    <col min="15620" max="15620" width="12.875" style="117" customWidth="1"/>
    <col min="15621" max="15621" width="7.375" style="117" customWidth="1"/>
    <col min="15622" max="15622" width="11.25" style="117" customWidth="1"/>
    <col min="15623" max="15623" width="14.625" style="117" customWidth="1"/>
    <col min="15624" max="15624" width="19.75" style="117" customWidth="1"/>
    <col min="15625" max="15625" width="14.125" style="117" bestFit="1" customWidth="1"/>
    <col min="15626" max="15869" width="9" style="117"/>
    <col min="15870" max="15870" width="29" style="117" customWidth="1"/>
    <col min="15871" max="15871" width="10.75" style="117" customWidth="1"/>
    <col min="15872" max="15872" width="14.25" style="117" customWidth="1"/>
    <col min="15873" max="15873" width="14.5" style="117" customWidth="1"/>
    <col min="15874" max="15874" width="14.375" style="117" customWidth="1"/>
    <col min="15875" max="15875" width="16.75" style="117" customWidth="1"/>
    <col min="15876" max="15876" width="12.875" style="117" customWidth="1"/>
    <col min="15877" max="15877" width="7.375" style="117" customWidth="1"/>
    <col min="15878" max="15878" width="11.25" style="117" customWidth="1"/>
    <col min="15879" max="15879" width="14.625" style="117" customWidth="1"/>
    <col min="15880" max="15880" width="19.75" style="117" customWidth="1"/>
    <col min="15881" max="15881" width="14.125" style="117" bestFit="1" customWidth="1"/>
    <col min="15882" max="16125" width="9" style="117"/>
    <col min="16126" max="16126" width="29" style="117" customWidth="1"/>
    <col min="16127" max="16127" width="10.75" style="117" customWidth="1"/>
    <col min="16128" max="16128" width="14.25" style="117" customWidth="1"/>
    <col min="16129" max="16129" width="14.5" style="117" customWidth="1"/>
    <col min="16130" max="16130" width="14.375" style="117" customWidth="1"/>
    <col min="16131" max="16131" width="16.75" style="117" customWidth="1"/>
    <col min="16132" max="16132" width="12.875" style="117" customWidth="1"/>
    <col min="16133" max="16133" width="7.375" style="117" customWidth="1"/>
    <col min="16134" max="16134" width="11.25" style="117" customWidth="1"/>
    <col min="16135" max="16135" width="14.625" style="117" customWidth="1"/>
    <col min="16136" max="16136" width="19.75" style="117" customWidth="1"/>
    <col min="16137" max="16137" width="14.125" style="117" bestFit="1" customWidth="1"/>
    <col min="16138" max="16384" width="9" style="117"/>
  </cols>
  <sheetData>
    <row r="1" spans="1:13" ht="15">
      <c r="A1" s="1438" t="s">
        <v>535</v>
      </c>
      <c r="B1" s="1438"/>
      <c r="C1" s="1438"/>
      <c r="D1" s="1438"/>
      <c r="E1" s="1438"/>
      <c r="F1" s="1438"/>
      <c r="G1" s="1438"/>
      <c r="H1" s="1438"/>
      <c r="I1" s="116"/>
      <c r="J1" s="116"/>
      <c r="K1" s="116"/>
      <c r="L1" s="116"/>
      <c r="M1" s="116"/>
    </row>
    <row r="2" spans="1:13" ht="15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7"/>
    </row>
    <row r="3" spans="1:13">
      <c r="A3" s="120"/>
      <c r="B3" s="121" t="s">
        <v>117</v>
      </c>
      <c r="C3" s="121" t="s">
        <v>118</v>
      </c>
      <c r="D3" s="121" t="s">
        <v>119</v>
      </c>
      <c r="E3" s="121" t="s">
        <v>120</v>
      </c>
      <c r="F3" s="121" t="s">
        <v>121</v>
      </c>
      <c r="G3" s="121"/>
      <c r="H3" s="121" t="s">
        <v>122</v>
      </c>
      <c r="I3" s="122"/>
      <c r="J3" s="122"/>
      <c r="K3" s="117"/>
      <c r="L3" s="117"/>
      <c r="M3" s="117"/>
    </row>
    <row r="4" spans="1:13">
      <c r="A4" s="123" t="s">
        <v>536</v>
      </c>
      <c r="B4" s="563">
        <v>22</v>
      </c>
      <c r="C4" s="497">
        <v>11</v>
      </c>
      <c r="D4" s="497">
        <v>11</v>
      </c>
      <c r="E4" s="497">
        <v>11</v>
      </c>
      <c r="F4" s="497">
        <v>11</v>
      </c>
      <c r="G4" s="124"/>
      <c r="H4" s="124">
        <f>SUM(B4:G4)</f>
        <v>66</v>
      </c>
      <c r="I4" s="126"/>
      <c r="K4" s="117"/>
      <c r="L4" s="117"/>
      <c r="M4" s="117"/>
    </row>
    <row r="5" spans="1:13" ht="13.5" customHeight="1">
      <c r="A5" s="123" t="s">
        <v>537</v>
      </c>
      <c r="B5" s="1439">
        <v>0</v>
      </c>
      <c r="C5" s="1440"/>
      <c r="D5" s="1440"/>
      <c r="E5" s="1440"/>
      <c r="F5" s="1440"/>
      <c r="G5" s="1440"/>
      <c r="H5" s="1446"/>
      <c r="I5" s="126"/>
      <c r="K5" s="117"/>
      <c r="L5" s="117"/>
      <c r="M5" s="117"/>
    </row>
    <row r="6" spans="1:13">
      <c r="A6" s="123" t="s">
        <v>538</v>
      </c>
      <c r="B6" s="124">
        <f>B4*(1+B5)</f>
        <v>22</v>
      </c>
      <c r="C6" s="533">
        <f>C4*(1+B5)</f>
        <v>11</v>
      </c>
      <c r="D6" s="124">
        <f>D4*(1+B5)</f>
        <v>11</v>
      </c>
      <c r="E6" s="124">
        <f>E4*(1+B5)</f>
        <v>11</v>
      </c>
      <c r="F6" s="124">
        <f>F4*(1+B5)</f>
        <v>11</v>
      </c>
      <c r="G6" s="124"/>
      <c r="H6" s="124">
        <f>H4*(1+B5)</f>
        <v>66</v>
      </c>
      <c r="I6" s="126"/>
      <c r="K6" s="117"/>
      <c r="L6" s="117"/>
      <c r="M6" s="117"/>
    </row>
    <row r="7" spans="1:13" ht="25.5" hidden="1">
      <c r="A7" s="123" t="s">
        <v>123</v>
      </c>
      <c r="B7" s="124">
        <f>B6-B9</f>
        <v>-2.2000000000000028</v>
      </c>
      <c r="C7" s="124">
        <f>C6-C9</f>
        <v>-1.1000000000000014</v>
      </c>
      <c r="D7" s="124">
        <f>D6-D9</f>
        <v>-1.1000000000000014</v>
      </c>
      <c r="E7" s="124">
        <f>E6-E9</f>
        <v>-544</v>
      </c>
      <c r="F7" s="124">
        <f>F6-F9</f>
        <v>-1.1000000000000014</v>
      </c>
      <c r="G7" s="124"/>
      <c r="H7" s="124">
        <f>G6-H9</f>
        <v>0</v>
      </c>
      <c r="I7" s="126"/>
      <c r="L7" s="117"/>
      <c r="M7" s="117"/>
    </row>
    <row r="8" spans="1:13" ht="13.5" hidden="1" customHeight="1">
      <c r="A8" s="123" t="s">
        <v>124</v>
      </c>
      <c r="B8" s="1439">
        <v>0.1</v>
      </c>
      <c r="C8" s="1440"/>
      <c r="D8" s="1440"/>
      <c r="E8" s="1440"/>
      <c r="F8" s="1440"/>
      <c r="G8" s="1440"/>
      <c r="H8" s="1440"/>
      <c r="I8" s="126"/>
      <c r="L8" s="117"/>
      <c r="M8" s="117"/>
    </row>
    <row r="9" spans="1:13" hidden="1">
      <c r="A9" s="123" t="s">
        <v>125</v>
      </c>
      <c r="B9" s="124">
        <f>B4*(1+B8)</f>
        <v>24.200000000000003</v>
      </c>
      <c r="C9" s="124">
        <f>C4*(1+B8)</f>
        <v>12.100000000000001</v>
      </c>
      <c r="D9" s="124">
        <f>D4*(1+B8)</f>
        <v>12.100000000000001</v>
      </c>
      <c r="E9" s="124">
        <v>555</v>
      </c>
      <c r="F9" s="124">
        <f>F4*(1+B8)</f>
        <v>12.100000000000001</v>
      </c>
      <c r="G9" s="124"/>
      <c r="H9" s="124">
        <f>G4*(1+B8)</f>
        <v>0</v>
      </c>
      <c r="I9" s="126"/>
      <c r="L9" s="117"/>
      <c r="M9" s="117"/>
    </row>
    <row r="10" spans="1:13" hidden="1">
      <c r="A10" s="123" t="s">
        <v>126</v>
      </c>
      <c r="B10" s="124">
        <f>B9-B4</f>
        <v>2.2000000000000028</v>
      </c>
      <c r="C10" s="124">
        <f>C9-C4</f>
        <v>1.1000000000000014</v>
      </c>
      <c r="D10" s="124">
        <f>D9-D4</f>
        <v>1.1000000000000014</v>
      </c>
      <c r="E10" s="124">
        <f>E9-E4</f>
        <v>544</v>
      </c>
      <c r="F10" s="124">
        <f>F9-F4</f>
        <v>1.1000000000000014</v>
      </c>
      <c r="G10" s="124"/>
      <c r="H10" s="124">
        <f>H9-G4</f>
        <v>0</v>
      </c>
      <c r="I10" s="126"/>
      <c r="L10" s="117"/>
      <c r="M10" s="117"/>
    </row>
    <row r="11" spans="1:13" s="8" customFormat="1">
      <c r="C11" s="127"/>
      <c r="D11" s="114"/>
      <c r="E11" s="114"/>
      <c r="F11" s="114"/>
      <c r="G11" s="114"/>
      <c r="H11" s="114">
        <f>H6-H4</f>
        <v>0</v>
      </c>
      <c r="I11" s="114"/>
      <c r="J11" s="114"/>
      <c r="K11" s="122"/>
      <c r="L11" s="122"/>
      <c r="M11" s="122"/>
    </row>
    <row r="12" spans="1:13" s="8" customFormat="1">
      <c r="C12" s="127"/>
      <c r="E12" s="122"/>
      <c r="F12" s="122"/>
      <c r="G12" s="122"/>
      <c r="H12" s="122"/>
      <c r="I12" s="122"/>
      <c r="J12" s="122"/>
      <c r="K12" s="122"/>
      <c r="L12" s="122"/>
      <c r="M12" s="122"/>
    </row>
    <row r="13" spans="1:13" s="8" customFormat="1">
      <c r="C13" s="127"/>
      <c r="E13" s="122"/>
      <c r="F13" s="122"/>
      <c r="G13" s="122"/>
      <c r="H13" s="122"/>
      <c r="I13" s="122"/>
      <c r="J13" s="122"/>
      <c r="K13" s="122"/>
      <c r="L13" s="122"/>
      <c r="M13" s="122"/>
    </row>
    <row r="14" spans="1:13" s="8" customFormat="1">
      <c r="A14" s="8" t="s">
        <v>539</v>
      </c>
      <c r="C14" s="127"/>
      <c r="E14" s="122"/>
      <c r="F14" s="135"/>
      <c r="G14" s="135"/>
      <c r="H14" s="135"/>
      <c r="I14" s="135"/>
      <c r="J14" s="122"/>
      <c r="K14" s="122"/>
      <c r="L14" s="122"/>
      <c r="M14" s="122"/>
    </row>
    <row r="15" spans="1:13" s="8" customFormat="1">
      <c r="A15" s="1435" t="s">
        <v>127</v>
      </c>
      <c r="B15" s="128" t="s">
        <v>128</v>
      </c>
      <c r="C15" s="129" t="s">
        <v>129</v>
      </c>
      <c r="D15" s="129" t="s">
        <v>130</v>
      </c>
      <c r="E15" s="995" t="s">
        <v>131</v>
      </c>
      <c r="F15" s="1437"/>
      <c r="G15" s="110"/>
      <c r="H15" s="991"/>
      <c r="I15" s="991"/>
      <c r="J15" s="122"/>
      <c r="K15" s="122"/>
      <c r="L15" s="122"/>
      <c r="M15" s="122"/>
    </row>
    <row r="16" spans="1:13" s="8" customFormat="1">
      <c r="A16" s="1436"/>
      <c r="B16" s="130" t="s">
        <v>132</v>
      </c>
      <c r="C16" s="131" t="s">
        <v>133</v>
      </c>
      <c r="D16" s="131" t="s">
        <v>134</v>
      </c>
      <c r="E16" s="995" t="s">
        <v>135</v>
      </c>
      <c r="F16" s="1437"/>
      <c r="G16" s="110"/>
      <c r="H16" s="991"/>
      <c r="I16" s="991"/>
      <c r="J16" s="122"/>
      <c r="K16" s="122"/>
      <c r="L16" s="122"/>
      <c r="M16" s="122"/>
    </row>
    <row r="17" spans="1:13" s="8" customFormat="1">
      <c r="A17" s="132" t="s">
        <v>136</v>
      </c>
      <c r="B17" s="496">
        <v>24</v>
      </c>
      <c r="C17" s="496">
        <v>20</v>
      </c>
      <c r="D17" s="497">
        <f>B17-C17</f>
        <v>4</v>
      </c>
      <c r="E17" s="498">
        <f>D17/B17</f>
        <v>0.16666666666666666</v>
      </c>
      <c r="F17" s="992"/>
      <c r="G17" s="993"/>
      <c r="H17" s="993"/>
      <c r="I17" s="994"/>
      <c r="J17" s="122"/>
      <c r="K17" s="122"/>
      <c r="L17" s="122"/>
      <c r="M17" s="122"/>
    </row>
    <row r="18" spans="1:13" s="8" customFormat="1">
      <c r="A18" s="134" t="s">
        <v>137</v>
      </c>
      <c r="B18" s="497">
        <v>3</v>
      </c>
      <c r="C18" s="497">
        <v>10</v>
      </c>
      <c r="D18" s="497">
        <f>B18-C18</f>
        <v>-7</v>
      </c>
      <c r="E18" s="498">
        <v>0.11</v>
      </c>
      <c r="F18" s="135"/>
      <c r="G18" s="135"/>
      <c r="H18" s="135"/>
      <c r="I18" s="135"/>
      <c r="J18" s="122"/>
      <c r="K18" s="122"/>
      <c r="L18" s="122"/>
      <c r="M18" s="122"/>
    </row>
    <row r="19" spans="1:13" s="8" customFormat="1">
      <c r="A19" s="134" t="s">
        <v>138</v>
      </c>
      <c r="B19" s="497">
        <v>44</v>
      </c>
      <c r="C19" s="497">
        <v>256</v>
      </c>
      <c r="D19" s="124">
        <f>B19-C19</f>
        <v>-212</v>
      </c>
      <c r="E19" s="133">
        <f>D19/B19</f>
        <v>-4.8181818181818183</v>
      </c>
      <c r="F19" s="135"/>
      <c r="G19" s="135"/>
      <c r="H19" s="135"/>
      <c r="I19" s="135"/>
      <c r="J19" s="122"/>
      <c r="K19" s="122"/>
      <c r="L19" s="122"/>
      <c r="M19" s="122"/>
    </row>
    <row r="20" spans="1:13" s="8" customFormat="1">
      <c r="A20" s="136" t="s">
        <v>139</v>
      </c>
      <c r="B20" s="497">
        <v>56</v>
      </c>
      <c r="C20" s="497">
        <v>463</v>
      </c>
      <c r="D20" s="125">
        <f>B20-C20</f>
        <v>-407</v>
      </c>
      <c r="E20" s="137">
        <f>D20/B20</f>
        <v>-7.2678571428571432</v>
      </c>
      <c r="F20" s="138"/>
      <c r="G20" s="122"/>
      <c r="H20" s="122"/>
      <c r="I20" s="122"/>
      <c r="J20" s="122"/>
      <c r="K20" s="122"/>
      <c r="L20" s="122"/>
      <c r="M20" s="122"/>
    </row>
    <row r="21" spans="1:13" s="8" customFormat="1">
      <c r="A21" s="134" t="s">
        <v>140</v>
      </c>
      <c r="B21" s="497">
        <v>14</v>
      </c>
      <c r="C21" s="497">
        <v>129</v>
      </c>
      <c r="D21" s="124">
        <f>B21-C21</f>
        <v>-115</v>
      </c>
      <c r="E21" s="133">
        <f>D21/B21</f>
        <v>-8.2142857142857135</v>
      </c>
      <c r="F21" s="1444" t="s">
        <v>1657</v>
      </c>
      <c r="G21" s="1445"/>
      <c r="H21" s="1445"/>
      <c r="I21" s="122"/>
      <c r="J21" s="122"/>
      <c r="K21" s="122"/>
      <c r="L21" s="122"/>
      <c r="M21" s="122"/>
    </row>
    <row r="22" spans="1:13" s="122" customFormat="1">
      <c r="A22" s="139" t="s">
        <v>141</v>
      </c>
      <c r="B22" s="124">
        <f>SUM(B17:B21)</f>
        <v>141</v>
      </c>
      <c r="C22" s="124">
        <f>SUM(C17:C21)</f>
        <v>878</v>
      </c>
      <c r="D22" s="124">
        <f>SUM(D17:D21)</f>
        <v>-737</v>
      </c>
      <c r="E22" s="140"/>
      <c r="F22" s="135"/>
    </row>
    <row r="23" spans="1:13" s="8" customFormat="1">
      <c r="C23" s="127"/>
      <c r="E23" s="122"/>
      <c r="F23" s="122"/>
      <c r="G23" s="122"/>
      <c r="H23" s="122"/>
      <c r="I23" s="122"/>
      <c r="J23" s="122"/>
      <c r="K23" s="122"/>
      <c r="L23" s="122"/>
      <c r="M23" s="122"/>
    </row>
    <row r="24" spans="1:13" s="8" customFormat="1" ht="12.75" customHeight="1">
      <c r="C24" s="127"/>
      <c r="E24" s="122"/>
      <c r="F24" s="122"/>
      <c r="G24" s="122"/>
      <c r="H24" s="122"/>
      <c r="I24" s="122"/>
      <c r="J24" s="122"/>
      <c r="K24" s="122"/>
      <c r="L24" s="122"/>
      <c r="M24" s="122"/>
    </row>
    <row r="25" spans="1:13" s="8" customFormat="1" ht="12.75" customHeight="1">
      <c r="C25" s="127"/>
      <c r="E25" s="122"/>
      <c r="F25" s="122"/>
      <c r="G25" s="122"/>
      <c r="H25" s="122"/>
      <c r="I25" s="122"/>
      <c r="J25" s="122"/>
      <c r="K25" s="122"/>
      <c r="L25" s="122"/>
      <c r="M25" s="122"/>
    </row>
    <row r="26" spans="1:13" s="8" customFormat="1" ht="12.75" hidden="1" customHeight="1">
      <c r="B26" s="1441" t="s">
        <v>142</v>
      </c>
      <c r="C26" s="1442"/>
      <c r="D26" s="1442"/>
      <c r="E26" s="1442"/>
      <c r="F26" s="1442"/>
      <c r="G26" s="1443"/>
      <c r="H26" s="1441" t="s">
        <v>142</v>
      </c>
      <c r="I26" s="1442"/>
      <c r="J26" s="1442"/>
      <c r="K26" s="1442"/>
      <c r="L26" s="1443"/>
      <c r="M26" s="122"/>
    </row>
    <row r="27" spans="1:13" s="8" customFormat="1" ht="12.75" hidden="1" customHeight="1">
      <c r="A27" s="139"/>
      <c r="B27" s="141" t="s">
        <v>117</v>
      </c>
      <c r="C27" s="120" t="s">
        <v>118</v>
      </c>
      <c r="D27" s="141" t="s">
        <v>119</v>
      </c>
      <c r="E27" s="121" t="s">
        <v>143</v>
      </c>
      <c r="F27" s="121" t="s">
        <v>144</v>
      </c>
      <c r="G27" s="121" t="s">
        <v>145</v>
      </c>
      <c r="H27" s="141" t="s">
        <v>117</v>
      </c>
      <c r="I27" s="141" t="s">
        <v>119</v>
      </c>
      <c r="J27" s="121" t="s">
        <v>143</v>
      </c>
      <c r="K27" s="121" t="s">
        <v>144</v>
      </c>
      <c r="L27" s="121" t="s">
        <v>145</v>
      </c>
      <c r="M27" s="122"/>
    </row>
    <row r="28" spans="1:13" s="8" customFormat="1" ht="12.75" hidden="1" customHeight="1">
      <c r="A28" s="139" t="s">
        <v>146</v>
      </c>
      <c r="B28" s="124">
        <v>5</v>
      </c>
      <c r="C28" s="124">
        <v>0</v>
      </c>
      <c r="D28" s="124">
        <v>0</v>
      </c>
      <c r="E28" s="124">
        <v>0</v>
      </c>
      <c r="F28" s="124">
        <v>0</v>
      </c>
      <c r="G28" s="124">
        <v>5</v>
      </c>
      <c r="H28" s="124">
        <v>5</v>
      </c>
      <c r="I28" s="124">
        <v>0</v>
      </c>
      <c r="J28" s="124">
        <v>0</v>
      </c>
      <c r="K28" s="124">
        <v>0</v>
      </c>
      <c r="L28" s="124">
        <v>5</v>
      </c>
      <c r="M28" s="122"/>
    </row>
    <row r="29" spans="1:13" s="8" customFormat="1" ht="12.75" hidden="1" customHeight="1">
      <c r="A29" s="139" t="s">
        <v>147</v>
      </c>
      <c r="B29" s="124">
        <v>82</v>
      </c>
      <c r="C29" s="124">
        <v>0</v>
      </c>
      <c r="D29" s="124">
        <v>5</v>
      </c>
      <c r="E29" s="124">
        <v>18</v>
      </c>
      <c r="F29" s="124">
        <v>5</v>
      </c>
      <c r="G29" s="124">
        <v>110</v>
      </c>
      <c r="H29" s="124">
        <v>74</v>
      </c>
      <c r="I29" s="124">
        <v>5</v>
      </c>
      <c r="J29" s="124">
        <v>18</v>
      </c>
      <c r="K29" s="124">
        <v>5</v>
      </c>
      <c r="L29" s="124">
        <v>102</v>
      </c>
      <c r="M29" s="122"/>
    </row>
    <row r="30" spans="1:13" s="8" customFormat="1" ht="12.75" hidden="1" customHeight="1">
      <c r="A30" s="139" t="s">
        <v>148</v>
      </c>
      <c r="B30" s="124">
        <v>13</v>
      </c>
      <c r="C30" s="124">
        <v>0</v>
      </c>
      <c r="D30" s="124">
        <v>0</v>
      </c>
      <c r="E30" s="124">
        <v>4</v>
      </c>
      <c r="F30" s="124">
        <v>0</v>
      </c>
      <c r="G30" s="124">
        <v>17</v>
      </c>
      <c r="H30" s="124">
        <v>8</v>
      </c>
      <c r="I30" s="124">
        <v>0</v>
      </c>
      <c r="J30" s="124">
        <v>4</v>
      </c>
      <c r="K30" s="124">
        <v>0</v>
      </c>
      <c r="L30" s="124">
        <v>12</v>
      </c>
      <c r="M30" s="122"/>
    </row>
    <row r="31" spans="1:13" s="8" customFormat="1" ht="12.75" hidden="1" customHeight="1">
      <c r="A31" s="139" t="s">
        <v>149</v>
      </c>
      <c r="B31" s="124">
        <v>0</v>
      </c>
      <c r="C31" s="124">
        <v>0</v>
      </c>
      <c r="D31" s="124">
        <v>0</v>
      </c>
      <c r="E31" s="124">
        <v>0</v>
      </c>
      <c r="F31" s="124">
        <v>0</v>
      </c>
      <c r="G31" s="124">
        <v>0</v>
      </c>
      <c r="H31" s="124">
        <v>0</v>
      </c>
      <c r="I31" s="124">
        <v>0</v>
      </c>
      <c r="J31" s="124">
        <v>0</v>
      </c>
      <c r="K31" s="124">
        <v>0</v>
      </c>
      <c r="L31" s="124">
        <v>0</v>
      </c>
      <c r="M31" s="122"/>
    </row>
    <row r="32" spans="1:13" s="8" customFormat="1" ht="12.75" hidden="1" customHeight="1">
      <c r="A32" s="139" t="s">
        <v>150</v>
      </c>
      <c r="B32" s="124">
        <v>9</v>
      </c>
      <c r="C32" s="124">
        <v>0</v>
      </c>
      <c r="D32" s="124">
        <v>0</v>
      </c>
      <c r="E32" s="124">
        <v>0</v>
      </c>
      <c r="F32" s="124">
        <v>0</v>
      </c>
      <c r="G32" s="124">
        <v>9</v>
      </c>
      <c r="H32" s="124">
        <v>8</v>
      </c>
      <c r="I32" s="124">
        <v>0</v>
      </c>
      <c r="J32" s="124">
        <v>0</v>
      </c>
      <c r="K32" s="124">
        <v>0</v>
      </c>
      <c r="L32" s="124">
        <v>8</v>
      </c>
      <c r="M32" s="122"/>
    </row>
    <row r="33" spans="1:13" s="8" customFormat="1" ht="12.75" hidden="1" customHeight="1">
      <c r="A33" s="139" t="s">
        <v>151</v>
      </c>
      <c r="B33" s="124">
        <v>47</v>
      </c>
      <c r="C33" s="124">
        <v>0</v>
      </c>
      <c r="D33" s="124">
        <v>5</v>
      </c>
      <c r="E33" s="124">
        <v>10</v>
      </c>
      <c r="F33" s="124">
        <v>2</v>
      </c>
      <c r="G33" s="124">
        <v>64</v>
      </c>
      <c r="H33" s="124">
        <v>55</v>
      </c>
      <c r="I33" s="124">
        <v>7</v>
      </c>
      <c r="J33" s="124">
        <v>13</v>
      </c>
      <c r="K33" s="124">
        <v>2</v>
      </c>
      <c r="L33" s="124">
        <v>77</v>
      </c>
      <c r="M33" s="122"/>
    </row>
    <row r="34" spans="1:13" s="8" customFormat="1" ht="12.75" hidden="1" customHeight="1">
      <c r="A34" s="139" t="s">
        <v>152</v>
      </c>
      <c r="B34" s="124">
        <v>45</v>
      </c>
      <c r="C34" s="124">
        <v>0</v>
      </c>
      <c r="D34" s="124">
        <v>0</v>
      </c>
      <c r="E34" s="124">
        <v>0</v>
      </c>
      <c r="F34" s="124">
        <v>0</v>
      </c>
      <c r="G34" s="124">
        <v>45</v>
      </c>
      <c r="H34" s="124">
        <v>51</v>
      </c>
      <c r="I34" s="124">
        <v>0</v>
      </c>
      <c r="J34" s="124">
        <v>0</v>
      </c>
      <c r="K34" s="124">
        <v>0</v>
      </c>
      <c r="L34" s="124">
        <v>51</v>
      </c>
      <c r="M34" s="122"/>
    </row>
    <row r="35" spans="1:13" s="8" customFormat="1" ht="12.75" hidden="1" customHeight="1">
      <c r="A35" s="139" t="s">
        <v>153</v>
      </c>
      <c r="B35" s="124">
        <v>6</v>
      </c>
      <c r="C35" s="124">
        <v>0</v>
      </c>
      <c r="D35" s="124">
        <v>0</v>
      </c>
      <c r="E35" s="124">
        <v>0</v>
      </c>
      <c r="F35" s="124">
        <v>0</v>
      </c>
      <c r="G35" s="124">
        <v>6</v>
      </c>
      <c r="H35" s="124">
        <v>6</v>
      </c>
      <c r="I35" s="124">
        <v>0</v>
      </c>
      <c r="J35" s="124">
        <v>0</v>
      </c>
      <c r="K35" s="124">
        <v>0</v>
      </c>
      <c r="L35" s="124">
        <v>6</v>
      </c>
      <c r="M35" s="122"/>
    </row>
    <row r="36" spans="1:13" s="8" customFormat="1" ht="12.75" hidden="1" customHeight="1">
      <c r="A36" s="139" t="s">
        <v>154</v>
      </c>
      <c r="B36" s="124">
        <v>5</v>
      </c>
      <c r="C36" s="124">
        <v>0</v>
      </c>
      <c r="D36" s="124">
        <v>0</v>
      </c>
      <c r="E36" s="124">
        <v>0</v>
      </c>
      <c r="F36" s="124">
        <v>0</v>
      </c>
      <c r="G36" s="124">
        <v>5</v>
      </c>
      <c r="H36" s="124">
        <v>4</v>
      </c>
      <c r="I36" s="124">
        <v>0</v>
      </c>
      <c r="J36" s="124">
        <v>0</v>
      </c>
      <c r="K36" s="124">
        <v>0</v>
      </c>
      <c r="L36" s="124">
        <v>4</v>
      </c>
      <c r="M36" s="122"/>
    </row>
    <row r="37" spans="1:13" s="8" customFormat="1" ht="12.75" hidden="1" customHeight="1">
      <c r="A37" s="139" t="s">
        <v>155</v>
      </c>
      <c r="B37" s="124">
        <v>35</v>
      </c>
      <c r="C37" s="124">
        <v>40</v>
      </c>
      <c r="D37" s="124">
        <v>0</v>
      </c>
      <c r="E37" s="124">
        <v>0</v>
      </c>
      <c r="F37" s="124">
        <v>0</v>
      </c>
      <c r="G37" s="124">
        <v>75</v>
      </c>
      <c r="H37" s="124">
        <v>40</v>
      </c>
      <c r="I37" s="124">
        <v>0</v>
      </c>
      <c r="J37" s="124">
        <v>0</v>
      </c>
      <c r="K37" s="124">
        <v>0</v>
      </c>
      <c r="L37" s="124">
        <v>80</v>
      </c>
      <c r="M37" s="122"/>
    </row>
    <row r="38" spans="1:13" s="8" customFormat="1" ht="12.75" hidden="1" customHeight="1">
      <c r="A38" s="139" t="s">
        <v>156</v>
      </c>
      <c r="B38" s="124">
        <v>31</v>
      </c>
      <c r="C38" s="124">
        <f>1+3</f>
        <v>4</v>
      </c>
      <c r="D38" s="124">
        <f>1+1</f>
        <v>2</v>
      </c>
      <c r="E38" s="124">
        <v>0</v>
      </c>
      <c r="F38" s="124">
        <f>1+2</f>
        <v>3</v>
      </c>
      <c r="G38" s="124">
        <v>40</v>
      </c>
      <c r="H38" s="124">
        <v>38</v>
      </c>
      <c r="I38" s="124">
        <f>1+1</f>
        <v>2</v>
      </c>
      <c r="J38" s="124">
        <v>0</v>
      </c>
      <c r="K38" s="124">
        <f>1+2</f>
        <v>3</v>
      </c>
      <c r="L38" s="124">
        <v>47</v>
      </c>
      <c r="M38" s="122"/>
    </row>
    <row r="39" spans="1:13" s="8" customFormat="1" ht="12.75" hidden="1" customHeight="1">
      <c r="A39" s="139" t="s">
        <v>157</v>
      </c>
      <c r="B39" s="124">
        <v>42</v>
      </c>
      <c r="C39" s="124">
        <f>1+59+12</f>
        <v>72</v>
      </c>
      <c r="D39" s="124">
        <v>1</v>
      </c>
      <c r="E39" s="124">
        <v>1</v>
      </c>
      <c r="F39" s="124">
        <v>1</v>
      </c>
      <c r="G39" s="124">
        <v>117</v>
      </c>
      <c r="H39" s="124">
        <v>40</v>
      </c>
      <c r="I39" s="124">
        <v>1</v>
      </c>
      <c r="J39" s="124">
        <v>1</v>
      </c>
      <c r="K39" s="124">
        <v>1</v>
      </c>
      <c r="L39" s="124">
        <v>116</v>
      </c>
      <c r="M39" s="122"/>
    </row>
    <row r="40" spans="1:13" s="8" customFormat="1" ht="12.75" hidden="1" customHeight="1">
      <c r="A40" s="139" t="s">
        <v>158</v>
      </c>
      <c r="B40" s="124">
        <v>533</v>
      </c>
      <c r="C40" s="124">
        <v>11</v>
      </c>
      <c r="D40" s="124">
        <v>0</v>
      </c>
      <c r="E40" s="124">
        <v>0</v>
      </c>
      <c r="F40" s="124">
        <v>0</v>
      </c>
      <c r="G40" s="124">
        <v>544</v>
      </c>
      <c r="H40" s="124">
        <v>601</v>
      </c>
      <c r="I40" s="124">
        <v>0</v>
      </c>
      <c r="J40" s="124">
        <v>0</v>
      </c>
      <c r="K40" s="124">
        <v>0</v>
      </c>
      <c r="L40" s="124">
        <v>612</v>
      </c>
      <c r="M40" s="122"/>
    </row>
    <row r="41" spans="1:13" s="8" customFormat="1" ht="12.75" hidden="1" customHeight="1">
      <c r="A41" s="139" t="s">
        <v>159</v>
      </c>
      <c r="B41" s="124">
        <v>0</v>
      </c>
      <c r="C41" s="124">
        <v>88</v>
      </c>
      <c r="D41" s="124">
        <v>0</v>
      </c>
      <c r="E41" s="124">
        <v>0</v>
      </c>
      <c r="F41" s="124">
        <v>0</v>
      </c>
      <c r="G41" s="124">
        <v>88</v>
      </c>
      <c r="H41" s="124">
        <v>0</v>
      </c>
      <c r="I41" s="124">
        <v>0</v>
      </c>
      <c r="J41" s="124">
        <v>0</v>
      </c>
      <c r="K41" s="124">
        <v>0</v>
      </c>
      <c r="L41" s="124">
        <v>90</v>
      </c>
      <c r="M41" s="122"/>
    </row>
    <row r="42" spans="1:13" s="8" customFormat="1" ht="12.75" hidden="1" customHeight="1">
      <c r="A42" s="139" t="s">
        <v>160</v>
      </c>
      <c r="B42" s="124">
        <v>158</v>
      </c>
      <c r="C42" s="124">
        <f>16+32+27</f>
        <v>75</v>
      </c>
      <c r="D42" s="124">
        <v>0</v>
      </c>
      <c r="E42" s="124">
        <v>0</v>
      </c>
      <c r="F42" s="124">
        <v>0</v>
      </c>
      <c r="G42" s="124">
        <v>233</v>
      </c>
      <c r="H42" s="124">
        <f>45+98+13+9</f>
        <v>165</v>
      </c>
      <c r="I42" s="124">
        <v>0</v>
      </c>
      <c r="J42" s="124">
        <v>0</v>
      </c>
      <c r="K42" s="124">
        <v>0</v>
      </c>
      <c r="L42" s="124">
        <v>240</v>
      </c>
      <c r="M42" s="122"/>
    </row>
    <row r="43" spans="1:13" s="8" customFormat="1" ht="12.75" hidden="1" customHeight="1">
      <c r="A43" s="139" t="s">
        <v>161</v>
      </c>
      <c r="B43" s="124">
        <v>149</v>
      </c>
      <c r="C43" s="124">
        <v>0</v>
      </c>
      <c r="D43" s="124">
        <v>0</v>
      </c>
      <c r="E43" s="124">
        <v>0</v>
      </c>
      <c r="F43" s="124">
        <v>0</v>
      </c>
      <c r="G43" s="124">
        <v>149</v>
      </c>
      <c r="H43" s="124">
        <v>186</v>
      </c>
      <c r="I43" s="124">
        <v>0</v>
      </c>
      <c r="J43" s="124">
        <v>0</v>
      </c>
      <c r="K43" s="124">
        <v>0</v>
      </c>
      <c r="L43" s="124">
        <v>186</v>
      </c>
      <c r="M43" s="122"/>
    </row>
    <row r="44" spans="1:13" s="8" customFormat="1" ht="12.75" hidden="1" customHeight="1">
      <c r="A44" s="139" t="s">
        <v>162</v>
      </c>
      <c r="B44" s="124">
        <v>71</v>
      </c>
      <c r="C44" s="124">
        <v>0</v>
      </c>
      <c r="D44" s="124">
        <v>0</v>
      </c>
      <c r="E44" s="124">
        <v>0</v>
      </c>
      <c r="F44" s="124">
        <v>0</v>
      </c>
      <c r="G44" s="124">
        <v>71</v>
      </c>
      <c r="H44" s="124">
        <v>72</v>
      </c>
      <c r="I44" s="124">
        <v>0</v>
      </c>
      <c r="J44" s="124">
        <v>0</v>
      </c>
      <c r="K44" s="124">
        <v>0</v>
      </c>
      <c r="L44" s="124">
        <v>72</v>
      </c>
      <c r="M44" s="122"/>
    </row>
    <row r="45" spans="1:13" s="8" customFormat="1" ht="12.75" hidden="1" customHeight="1">
      <c r="A45" s="139" t="s">
        <v>163</v>
      </c>
      <c r="B45" s="124">
        <v>0</v>
      </c>
      <c r="C45" s="124">
        <v>0</v>
      </c>
      <c r="D45" s="124">
        <v>0</v>
      </c>
      <c r="E45" s="124">
        <v>0</v>
      </c>
      <c r="F45" s="124">
        <v>257</v>
      </c>
      <c r="G45" s="124">
        <v>257</v>
      </c>
      <c r="H45" s="124">
        <v>0</v>
      </c>
      <c r="I45" s="124">
        <v>0</v>
      </c>
      <c r="J45" s="124">
        <v>0</v>
      </c>
      <c r="K45" s="124">
        <v>311</v>
      </c>
      <c r="L45" s="124">
        <f>351-40</f>
        <v>311</v>
      </c>
      <c r="M45" s="122"/>
    </row>
    <row r="46" spans="1:13" s="8" customFormat="1" ht="12.75" hidden="1" customHeight="1">
      <c r="A46" s="139" t="s">
        <v>164</v>
      </c>
      <c r="B46" s="124">
        <v>0</v>
      </c>
      <c r="C46" s="124">
        <v>0</v>
      </c>
      <c r="D46" s="124">
        <v>0</v>
      </c>
      <c r="E46" s="124">
        <v>0</v>
      </c>
      <c r="F46" s="124">
        <v>41</v>
      </c>
      <c r="G46" s="124">
        <v>41</v>
      </c>
      <c r="H46" s="124">
        <v>0</v>
      </c>
      <c r="I46" s="124">
        <v>0</v>
      </c>
      <c r="J46" s="124">
        <v>0</v>
      </c>
      <c r="K46" s="124">
        <v>45</v>
      </c>
      <c r="L46" s="124">
        <v>45</v>
      </c>
      <c r="M46" s="122"/>
    </row>
    <row r="47" spans="1:13" s="8" customFormat="1" ht="12.75" hidden="1" customHeight="1">
      <c r="A47" s="139" t="s">
        <v>165</v>
      </c>
      <c r="B47" s="124">
        <v>0</v>
      </c>
      <c r="C47" s="124">
        <v>0</v>
      </c>
      <c r="D47" s="124">
        <v>0</v>
      </c>
      <c r="E47" s="124">
        <v>0</v>
      </c>
      <c r="F47" s="124">
        <v>119</v>
      </c>
      <c r="G47" s="124">
        <v>119</v>
      </c>
      <c r="H47" s="124">
        <v>0</v>
      </c>
      <c r="I47" s="124">
        <v>0</v>
      </c>
      <c r="J47" s="124">
        <v>0</v>
      </c>
      <c r="K47" s="124">
        <v>115</v>
      </c>
      <c r="L47" s="124">
        <v>115</v>
      </c>
      <c r="M47" s="122"/>
    </row>
    <row r="48" spans="1:13" s="8" customFormat="1" ht="12.75" hidden="1" customHeight="1">
      <c r="A48" s="139" t="s">
        <v>166</v>
      </c>
      <c r="B48" s="124">
        <v>0</v>
      </c>
      <c r="C48" s="124">
        <v>0</v>
      </c>
      <c r="D48" s="124">
        <v>0</v>
      </c>
      <c r="E48" s="124">
        <v>0</v>
      </c>
      <c r="F48" s="124">
        <v>58</v>
      </c>
      <c r="G48" s="124">
        <v>58</v>
      </c>
      <c r="H48" s="124">
        <v>0</v>
      </c>
      <c r="I48" s="124">
        <v>0</v>
      </c>
      <c r="J48" s="124">
        <v>0</v>
      </c>
      <c r="K48" s="124">
        <v>100</v>
      </c>
      <c r="L48" s="124">
        <v>100</v>
      </c>
      <c r="M48" s="122"/>
    </row>
    <row r="49" spans="1:13" s="8" customFormat="1" ht="12.75" hidden="1" customHeight="1">
      <c r="A49" s="139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2"/>
    </row>
    <row r="50" spans="1:13" s="8" customFormat="1" ht="12.75" hidden="1" customHeight="1">
      <c r="A50" s="139" t="s">
        <v>167</v>
      </c>
      <c r="B50" s="124">
        <v>0</v>
      </c>
      <c r="C50" s="124">
        <v>0</v>
      </c>
      <c r="D50" s="124">
        <v>0</v>
      </c>
      <c r="E50" s="124">
        <v>591</v>
      </c>
      <c r="F50" s="124">
        <v>0</v>
      </c>
      <c r="G50" s="124">
        <v>591</v>
      </c>
      <c r="H50" s="124">
        <v>0</v>
      </c>
      <c r="I50" s="124">
        <v>0</v>
      </c>
      <c r="J50" s="142"/>
      <c r="K50" s="124">
        <v>0</v>
      </c>
      <c r="L50" s="142"/>
      <c r="M50" s="122"/>
    </row>
    <row r="51" spans="1:13" s="8" customFormat="1" ht="12.75" hidden="1" customHeight="1">
      <c r="A51" s="139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2"/>
    </row>
    <row r="52" spans="1:13" s="8" customFormat="1" ht="12.75" hidden="1" customHeight="1">
      <c r="A52" s="139" t="s">
        <v>168</v>
      </c>
      <c r="B52" s="124">
        <v>0</v>
      </c>
      <c r="C52" s="124">
        <v>137</v>
      </c>
      <c r="D52" s="124">
        <v>228</v>
      </c>
      <c r="E52" s="124">
        <v>0</v>
      </c>
      <c r="F52" s="124">
        <v>0</v>
      </c>
      <c r="G52" s="124">
        <v>365</v>
      </c>
      <c r="H52" s="124">
        <v>0</v>
      </c>
      <c r="I52" s="124">
        <v>311</v>
      </c>
      <c r="J52" s="124">
        <v>0</v>
      </c>
      <c r="K52" s="124">
        <v>0</v>
      </c>
      <c r="L52" s="124">
        <v>464</v>
      </c>
      <c r="M52" s="122"/>
    </row>
    <row r="53" spans="1:13" s="8" customFormat="1" ht="12.75" hidden="1" customHeight="1">
      <c r="A53" s="139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2"/>
    </row>
    <row r="54" spans="1:13" s="8" customFormat="1" ht="12.75" hidden="1" customHeight="1">
      <c r="A54" s="139" t="s">
        <v>169</v>
      </c>
      <c r="B54" s="124">
        <v>700</v>
      </c>
      <c r="C54" s="124">
        <v>0</v>
      </c>
      <c r="D54" s="124">
        <v>0</v>
      </c>
      <c r="E54" s="124">
        <v>0</v>
      </c>
      <c r="F54" s="124">
        <v>0</v>
      </c>
      <c r="G54" s="124">
        <v>700</v>
      </c>
      <c r="H54" s="124">
        <v>730</v>
      </c>
      <c r="I54" s="124">
        <v>0</v>
      </c>
      <c r="J54" s="124">
        <v>0</v>
      </c>
      <c r="K54" s="124">
        <v>0</v>
      </c>
      <c r="L54" s="124">
        <v>730</v>
      </c>
      <c r="M54" s="122"/>
    </row>
    <row r="55" spans="1:13" s="8" customFormat="1" ht="12.75" hidden="1" customHeight="1">
      <c r="A55" s="139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2"/>
    </row>
    <row r="56" spans="1:13" s="8" customFormat="1" ht="12.75" hidden="1" customHeight="1">
      <c r="A56" s="143"/>
      <c r="B56" s="144">
        <f>SUM(B28:B54)</f>
        <v>1931</v>
      </c>
      <c r="C56" s="144">
        <f>SUM(C28:C54)</f>
        <v>427</v>
      </c>
      <c r="D56" s="144">
        <f t="shared" ref="D56:L56" si="0">SUM(D28:D54)</f>
        <v>241</v>
      </c>
      <c r="E56" s="144">
        <f t="shared" si="0"/>
        <v>624</v>
      </c>
      <c r="F56" s="144">
        <f t="shared" si="0"/>
        <v>486</v>
      </c>
      <c r="G56" s="144">
        <f t="shared" si="0"/>
        <v>3709</v>
      </c>
      <c r="H56" s="144">
        <f t="shared" si="0"/>
        <v>2083</v>
      </c>
      <c r="I56" s="144">
        <f t="shared" si="0"/>
        <v>326</v>
      </c>
      <c r="J56" s="144">
        <f t="shared" si="0"/>
        <v>36</v>
      </c>
      <c r="K56" s="144">
        <f t="shared" si="0"/>
        <v>582</v>
      </c>
      <c r="L56" s="144">
        <f t="shared" si="0"/>
        <v>3473</v>
      </c>
      <c r="M56" s="122"/>
    </row>
    <row r="57" spans="1:13" s="8" customFormat="1" hidden="1">
      <c r="C57" s="127"/>
      <c r="E57" s="122"/>
      <c r="F57" s="122"/>
      <c r="G57" s="122"/>
      <c r="H57" s="122"/>
      <c r="I57" s="122"/>
      <c r="J57" s="122"/>
      <c r="K57" s="122"/>
      <c r="L57" s="122"/>
      <c r="M57" s="122"/>
    </row>
    <row r="58" spans="1:13" s="8" customFormat="1">
      <c r="A58" s="1434" t="s">
        <v>540</v>
      </c>
      <c r="B58" s="1434"/>
      <c r="C58" s="1434"/>
      <c r="D58" s="1434"/>
      <c r="E58" s="1434"/>
      <c r="F58" s="1434"/>
      <c r="G58" s="1434"/>
      <c r="H58" s="1434"/>
      <c r="I58" s="122"/>
      <c r="J58" s="122"/>
      <c r="K58" s="122"/>
      <c r="L58" s="122"/>
      <c r="M58" s="122"/>
    </row>
    <row r="59" spans="1:13" s="8" customFormat="1" ht="15">
      <c r="A59" s="145"/>
      <c r="B59" s="146"/>
      <c r="C59" s="146"/>
      <c r="D59" s="146"/>
      <c r="E59" s="146"/>
      <c r="F59" s="146"/>
      <c r="G59" s="146"/>
      <c r="H59" s="146"/>
      <c r="I59" s="122"/>
      <c r="J59" s="122"/>
      <c r="K59" s="122"/>
      <c r="L59" s="122"/>
      <c r="M59" s="122"/>
    </row>
    <row r="60" spans="1:13" s="8" customFormat="1">
      <c r="A60" s="8" t="s">
        <v>539</v>
      </c>
      <c r="C60" s="127"/>
      <c r="E60" s="122"/>
      <c r="F60" s="135"/>
      <c r="G60" s="135"/>
      <c r="H60" s="135"/>
      <c r="I60" s="122"/>
      <c r="J60" s="122"/>
      <c r="K60" s="122"/>
      <c r="L60" s="122"/>
      <c r="M60" s="122"/>
    </row>
    <row r="61" spans="1:13" s="8" customFormat="1">
      <c r="A61" s="1435" t="s">
        <v>127</v>
      </c>
      <c r="B61" s="128" t="s">
        <v>128</v>
      </c>
      <c r="C61" s="129" t="s">
        <v>129</v>
      </c>
      <c r="D61" s="129" t="s">
        <v>130</v>
      </c>
      <c r="E61" s="129" t="s">
        <v>131</v>
      </c>
      <c r="F61" s="1437"/>
      <c r="G61" s="110"/>
      <c r="H61" s="991"/>
      <c r="I61" s="122"/>
      <c r="J61" s="122"/>
      <c r="K61" s="122"/>
      <c r="L61" s="122"/>
      <c r="M61" s="122"/>
    </row>
    <row r="62" spans="1:13" s="8" customFormat="1">
      <c r="A62" s="1436"/>
      <c r="B62" s="130" t="s">
        <v>132</v>
      </c>
      <c r="C62" s="131" t="s">
        <v>133</v>
      </c>
      <c r="D62" s="990" t="s">
        <v>134</v>
      </c>
      <c r="E62" s="131" t="s">
        <v>135</v>
      </c>
      <c r="F62" s="1437"/>
      <c r="G62" s="110"/>
      <c r="H62" s="991"/>
      <c r="I62" s="122"/>
      <c r="J62" s="122"/>
      <c r="K62" s="122"/>
      <c r="L62" s="122"/>
      <c r="M62" s="122"/>
    </row>
    <row r="63" spans="1:13" s="8" customFormat="1">
      <c r="A63" s="136" t="s">
        <v>139</v>
      </c>
      <c r="B63" s="496">
        <v>3</v>
      </c>
      <c r="C63" s="496">
        <v>3</v>
      </c>
      <c r="D63" s="496">
        <f>B63-C63</f>
        <v>0</v>
      </c>
      <c r="E63" s="996">
        <f>D63/B63</f>
        <v>0</v>
      </c>
      <c r="F63" s="138"/>
      <c r="G63" s="135"/>
      <c r="H63" s="135"/>
      <c r="I63" s="122"/>
      <c r="J63" s="122"/>
      <c r="K63" s="122"/>
      <c r="L63" s="122"/>
      <c r="M63" s="122"/>
    </row>
    <row r="64" spans="1:13" s="8" customFormat="1">
      <c r="A64" s="134" t="s">
        <v>140</v>
      </c>
      <c r="B64" s="497">
        <v>3</v>
      </c>
      <c r="C64" s="496">
        <v>3</v>
      </c>
      <c r="D64" s="497">
        <f>B64-C64</f>
        <v>0</v>
      </c>
      <c r="E64" s="498">
        <f>D64/B64</f>
        <v>0</v>
      </c>
      <c r="F64" s="138"/>
      <c r="G64" s="135"/>
      <c r="H64" s="135"/>
      <c r="I64" s="122"/>
      <c r="J64" s="122"/>
      <c r="K64" s="122"/>
      <c r="L64" s="122"/>
      <c r="M64" s="122"/>
    </row>
    <row r="65" spans="1:13" s="8" customFormat="1">
      <c r="A65" s="139" t="s">
        <v>141</v>
      </c>
      <c r="B65" s="497">
        <f>SUM(B63:B64)</f>
        <v>6</v>
      </c>
      <c r="C65" s="497">
        <f>SUM(C63:C64)</f>
        <v>6</v>
      </c>
      <c r="D65" s="497">
        <f>SUM(D63:D64)</f>
        <v>0</v>
      </c>
      <c r="E65" s="498">
        <f>D65/B65</f>
        <v>0</v>
      </c>
      <c r="F65" s="135"/>
      <c r="G65" s="122"/>
      <c r="H65" s="122"/>
      <c r="I65" s="122"/>
      <c r="J65" s="122"/>
      <c r="K65" s="122"/>
      <c r="L65" s="122"/>
      <c r="M65" s="122"/>
    </row>
    <row r="66" spans="1:13" s="8" customFormat="1">
      <c r="C66" s="127"/>
      <c r="E66" s="122"/>
      <c r="F66" s="122"/>
      <c r="G66" s="122"/>
      <c r="H66" s="122"/>
      <c r="I66" s="122"/>
      <c r="J66" s="122"/>
      <c r="K66" s="122"/>
      <c r="L66" s="122"/>
      <c r="M66" s="122"/>
    </row>
    <row r="67" spans="1:13" s="8" customFormat="1">
      <c r="C67" s="127"/>
      <c r="E67" s="122"/>
      <c r="F67" s="122"/>
      <c r="G67" s="122"/>
      <c r="H67" s="122"/>
      <c r="I67" s="122"/>
      <c r="J67" s="122"/>
      <c r="K67" s="122"/>
      <c r="L67" s="122"/>
      <c r="M67" s="122"/>
    </row>
    <row r="68" spans="1:13" s="8" customFormat="1">
      <c r="C68" s="127"/>
      <c r="E68" s="122"/>
      <c r="F68" s="122"/>
      <c r="G68" s="122"/>
      <c r="H68" s="122"/>
      <c r="I68" s="122"/>
      <c r="J68" s="122"/>
      <c r="K68" s="122"/>
      <c r="L68" s="122"/>
      <c r="M68" s="122"/>
    </row>
    <row r="69" spans="1:13" s="8" customFormat="1">
      <c r="C69" s="127"/>
      <c r="E69" s="122"/>
      <c r="F69" s="122"/>
      <c r="G69" s="122"/>
      <c r="H69" s="122"/>
      <c r="I69" s="122"/>
      <c r="J69" s="122"/>
      <c r="K69" s="122"/>
      <c r="L69" s="122"/>
      <c r="M69" s="122"/>
    </row>
    <row r="70" spans="1:13" s="8" customFormat="1">
      <c r="C70" s="127"/>
      <c r="E70" s="122"/>
      <c r="F70" s="122"/>
      <c r="G70" s="122"/>
      <c r="H70" s="122"/>
      <c r="I70" s="122"/>
      <c r="J70" s="122"/>
      <c r="K70" s="122"/>
      <c r="L70" s="122"/>
      <c r="M70" s="122"/>
    </row>
    <row r="71" spans="1:13" s="8" customFormat="1">
      <c r="C71" s="127"/>
      <c r="E71" s="122"/>
      <c r="F71" s="122"/>
      <c r="G71" s="122"/>
      <c r="H71" s="122"/>
      <c r="I71" s="122"/>
      <c r="J71" s="122"/>
      <c r="K71" s="122"/>
      <c r="L71" s="122"/>
      <c r="M71" s="122"/>
    </row>
    <row r="72" spans="1:13" s="8" customFormat="1">
      <c r="C72" s="127"/>
      <c r="E72" s="122"/>
      <c r="F72" s="122"/>
      <c r="G72" s="122"/>
      <c r="H72" s="122"/>
      <c r="I72" s="122"/>
      <c r="J72" s="122"/>
      <c r="K72" s="122"/>
      <c r="L72" s="122"/>
      <c r="M72" s="122"/>
    </row>
    <row r="73" spans="1:13" s="8" customFormat="1">
      <c r="C73" s="127"/>
      <c r="E73" s="122"/>
      <c r="F73" s="122"/>
      <c r="G73" s="122"/>
      <c r="H73" s="122"/>
      <c r="I73" s="122"/>
      <c r="J73" s="122"/>
      <c r="K73" s="122"/>
      <c r="L73" s="122"/>
      <c r="M73" s="122"/>
    </row>
    <row r="74" spans="1:13" s="8" customFormat="1">
      <c r="C74" s="127"/>
      <c r="E74" s="122"/>
      <c r="F74" s="122"/>
      <c r="G74" s="122"/>
      <c r="H74" s="122"/>
      <c r="I74" s="122"/>
      <c r="J74" s="122"/>
      <c r="K74" s="122"/>
      <c r="L74" s="122"/>
      <c r="M74" s="122"/>
    </row>
    <row r="75" spans="1:13" s="8" customFormat="1">
      <c r="C75" s="127"/>
      <c r="E75" s="122"/>
      <c r="F75" s="122"/>
      <c r="G75" s="122"/>
      <c r="H75" s="122"/>
      <c r="I75" s="122"/>
      <c r="J75" s="122"/>
      <c r="K75" s="122"/>
      <c r="L75" s="122"/>
      <c r="M75" s="122"/>
    </row>
    <row r="76" spans="1:13" s="8" customFormat="1">
      <c r="C76" s="127"/>
      <c r="E76" s="122"/>
      <c r="F76" s="122"/>
      <c r="G76" s="122"/>
      <c r="H76" s="122"/>
      <c r="I76" s="122"/>
      <c r="J76" s="122"/>
      <c r="K76" s="122"/>
      <c r="L76" s="122"/>
      <c r="M76" s="122"/>
    </row>
    <row r="77" spans="1:13" s="8" customFormat="1">
      <c r="C77" s="127"/>
      <c r="E77" s="122"/>
      <c r="F77" s="122"/>
      <c r="G77" s="122"/>
      <c r="H77" s="122"/>
      <c r="I77" s="122"/>
      <c r="J77" s="122"/>
      <c r="K77" s="122"/>
      <c r="L77" s="122"/>
      <c r="M77" s="122"/>
    </row>
    <row r="78" spans="1:13" s="8" customFormat="1">
      <c r="C78" s="127"/>
      <c r="E78" s="122"/>
      <c r="F78" s="122"/>
      <c r="G78" s="122"/>
      <c r="H78" s="122"/>
      <c r="I78" s="122"/>
      <c r="J78" s="122"/>
      <c r="K78" s="122"/>
      <c r="L78" s="122"/>
      <c r="M78" s="122"/>
    </row>
    <row r="79" spans="1:13" s="8" customFormat="1">
      <c r="C79" s="127"/>
      <c r="E79" s="122"/>
      <c r="F79" s="122"/>
      <c r="G79" s="122"/>
      <c r="H79" s="122"/>
      <c r="I79" s="122"/>
      <c r="J79" s="122"/>
      <c r="K79" s="122"/>
      <c r="L79" s="122"/>
      <c r="M79" s="122"/>
    </row>
    <row r="80" spans="1:13" s="8" customFormat="1">
      <c r="C80" s="127"/>
      <c r="E80" s="122"/>
      <c r="F80" s="122"/>
      <c r="G80" s="122"/>
      <c r="H80" s="122"/>
      <c r="I80" s="122"/>
      <c r="J80" s="122"/>
      <c r="K80" s="122"/>
      <c r="L80" s="122"/>
      <c r="M80" s="122"/>
    </row>
    <row r="81" spans="3:13" s="8" customFormat="1">
      <c r="C81" s="127"/>
      <c r="E81" s="122"/>
      <c r="F81" s="122"/>
      <c r="G81" s="122"/>
      <c r="H81" s="122"/>
      <c r="I81" s="122"/>
      <c r="J81" s="122"/>
      <c r="K81" s="122"/>
      <c r="L81" s="122"/>
      <c r="M81" s="122"/>
    </row>
    <row r="82" spans="3:13" s="8" customFormat="1">
      <c r="C82" s="127"/>
      <c r="E82" s="122"/>
      <c r="F82" s="122"/>
      <c r="G82" s="122"/>
      <c r="H82" s="122"/>
      <c r="I82" s="122"/>
      <c r="J82" s="122"/>
      <c r="K82" s="122"/>
      <c r="L82" s="122"/>
      <c r="M82" s="122"/>
    </row>
    <row r="83" spans="3:13" s="8" customFormat="1">
      <c r="C83" s="127"/>
      <c r="E83" s="122"/>
      <c r="F83" s="122"/>
      <c r="G83" s="122"/>
      <c r="H83" s="122"/>
      <c r="I83" s="122"/>
      <c r="J83" s="122"/>
      <c r="K83" s="122"/>
      <c r="L83" s="122"/>
      <c r="M83" s="122"/>
    </row>
    <row r="84" spans="3:13" s="8" customFormat="1">
      <c r="C84" s="127"/>
      <c r="E84" s="122"/>
      <c r="F84" s="122"/>
      <c r="G84" s="122"/>
      <c r="H84" s="122"/>
      <c r="I84" s="122"/>
      <c r="J84" s="122"/>
      <c r="K84" s="122"/>
      <c r="L84" s="122"/>
      <c r="M84" s="122"/>
    </row>
    <row r="85" spans="3:13" s="8" customFormat="1">
      <c r="C85" s="127"/>
      <c r="E85" s="122"/>
      <c r="F85" s="122"/>
      <c r="G85" s="122"/>
      <c r="H85" s="122"/>
      <c r="I85" s="122"/>
      <c r="J85" s="122"/>
      <c r="K85" s="122"/>
      <c r="L85" s="122"/>
      <c r="M85" s="122"/>
    </row>
    <row r="86" spans="3:13" s="8" customFormat="1">
      <c r="C86" s="127"/>
      <c r="E86" s="122"/>
      <c r="F86" s="122"/>
      <c r="G86" s="122"/>
      <c r="H86" s="122"/>
      <c r="I86" s="122"/>
      <c r="J86" s="122"/>
      <c r="K86" s="122"/>
      <c r="L86" s="122"/>
      <c r="M86" s="122"/>
    </row>
    <row r="87" spans="3:13" s="8" customFormat="1">
      <c r="C87" s="127"/>
      <c r="E87" s="122"/>
      <c r="F87" s="122"/>
      <c r="G87" s="122"/>
      <c r="H87" s="122"/>
      <c r="I87" s="122"/>
      <c r="J87" s="122"/>
      <c r="K87" s="122"/>
      <c r="L87" s="122"/>
      <c r="M87" s="122"/>
    </row>
    <row r="88" spans="3:13" s="8" customFormat="1">
      <c r="C88" s="127"/>
      <c r="E88" s="122"/>
      <c r="F88" s="122"/>
      <c r="G88" s="122"/>
      <c r="H88" s="122"/>
      <c r="I88" s="122"/>
      <c r="J88" s="122"/>
      <c r="K88" s="122"/>
      <c r="L88" s="122"/>
      <c r="M88" s="122"/>
    </row>
    <row r="89" spans="3:13" s="8" customFormat="1">
      <c r="C89" s="127"/>
      <c r="E89" s="122"/>
      <c r="F89" s="122"/>
      <c r="G89" s="122"/>
      <c r="H89" s="122"/>
      <c r="I89" s="122"/>
      <c r="J89" s="122"/>
      <c r="K89" s="122"/>
      <c r="L89" s="122"/>
      <c r="M89" s="122"/>
    </row>
    <row r="90" spans="3:13" s="8" customFormat="1">
      <c r="C90" s="127"/>
      <c r="E90" s="122"/>
      <c r="F90" s="122"/>
      <c r="G90" s="122"/>
      <c r="H90" s="122"/>
      <c r="I90" s="122"/>
      <c r="J90" s="122"/>
      <c r="K90" s="122"/>
      <c r="L90" s="122"/>
      <c r="M90" s="122"/>
    </row>
    <row r="91" spans="3:13" s="8" customFormat="1">
      <c r="C91" s="127"/>
      <c r="E91" s="122"/>
      <c r="F91" s="122"/>
      <c r="G91" s="122"/>
      <c r="H91" s="122"/>
      <c r="I91" s="122"/>
      <c r="J91" s="122"/>
      <c r="K91" s="122"/>
      <c r="L91" s="122"/>
      <c r="M91" s="122"/>
    </row>
    <row r="92" spans="3:13" s="8" customFormat="1">
      <c r="C92" s="127"/>
      <c r="E92" s="122"/>
      <c r="F92" s="122"/>
      <c r="G92" s="122"/>
      <c r="H92" s="122"/>
      <c r="I92" s="122"/>
      <c r="J92" s="122"/>
      <c r="K92" s="122"/>
      <c r="L92" s="122"/>
      <c r="M92" s="122"/>
    </row>
    <row r="93" spans="3:13" s="8" customFormat="1">
      <c r="C93" s="127"/>
      <c r="E93" s="122"/>
      <c r="F93" s="122"/>
      <c r="G93" s="122"/>
      <c r="H93" s="122"/>
      <c r="I93" s="122"/>
      <c r="J93" s="122"/>
      <c r="K93" s="122"/>
      <c r="L93" s="122"/>
      <c r="M93" s="122"/>
    </row>
    <row r="94" spans="3:13" s="8" customFormat="1">
      <c r="C94" s="127"/>
      <c r="E94" s="122"/>
      <c r="F94" s="122"/>
      <c r="G94" s="122"/>
      <c r="H94" s="122"/>
      <c r="I94" s="122"/>
      <c r="J94" s="122"/>
      <c r="K94" s="122"/>
      <c r="L94" s="122"/>
      <c r="M94" s="122"/>
    </row>
    <row r="95" spans="3:13" s="8" customFormat="1">
      <c r="C95" s="127"/>
      <c r="E95" s="122"/>
      <c r="F95" s="122"/>
      <c r="G95" s="122"/>
      <c r="H95" s="122"/>
      <c r="I95" s="122"/>
      <c r="J95" s="122"/>
      <c r="K95" s="122"/>
      <c r="L95" s="122"/>
      <c r="M95" s="122"/>
    </row>
    <row r="96" spans="3:13" s="8" customFormat="1">
      <c r="C96" s="127"/>
      <c r="E96" s="122"/>
      <c r="F96" s="122"/>
      <c r="G96" s="122"/>
      <c r="H96" s="122"/>
      <c r="I96" s="122"/>
      <c r="J96" s="122"/>
      <c r="K96" s="122"/>
      <c r="L96" s="122"/>
      <c r="M96" s="122"/>
    </row>
    <row r="97" spans="3:13" s="8" customFormat="1">
      <c r="C97" s="127"/>
      <c r="E97" s="122"/>
      <c r="F97" s="122"/>
      <c r="G97" s="122"/>
      <c r="H97" s="122"/>
      <c r="I97" s="122"/>
      <c r="J97" s="122"/>
      <c r="K97" s="122"/>
      <c r="L97" s="122"/>
      <c r="M97" s="122"/>
    </row>
    <row r="98" spans="3:13" s="8" customFormat="1">
      <c r="C98" s="127"/>
      <c r="E98" s="122"/>
      <c r="F98" s="122"/>
      <c r="G98" s="122"/>
      <c r="H98" s="122"/>
      <c r="I98" s="122"/>
      <c r="J98" s="122"/>
      <c r="K98" s="122"/>
      <c r="L98" s="122"/>
      <c r="M98" s="122"/>
    </row>
    <row r="99" spans="3:13" s="8" customFormat="1">
      <c r="C99" s="127"/>
      <c r="E99" s="122"/>
      <c r="F99" s="122"/>
      <c r="G99" s="122"/>
      <c r="H99" s="122"/>
      <c r="I99" s="122"/>
      <c r="J99" s="122"/>
      <c r="K99" s="122"/>
      <c r="L99" s="122"/>
      <c r="M99" s="122"/>
    </row>
    <row r="100" spans="3:13" s="8" customFormat="1">
      <c r="C100" s="127"/>
      <c r="E100" s="122"/>
      <c r="F100" s="122"/>
      <c r="G100" s="122"/>
      <c r="H100" s="122"/>
      <c r="I100" s="122"/>
      <c r="J100" s="122"/>
      <c r="K100" s="122"/>
      <c r="L100" s="122"/>
      <c r="M100" s="122"/>
    </row>
    <row r="101" spans="3:13" s="8" customFormat="1">
      <c r="C101" s="127"/>
      <c r="E101" s="122"/>
      <c r="F101" s="122"/>
      <c r="G101" s="122"/>
      <c r="H101" s="122"/>
      <c r="I101" s="122"/>
      <c r="J101" s="122"/>
      <c r="K101" s="122"/>
      <c r="L101" s="122"/>
      <c r="M101" s="122"/>
    </row>
    <row r="102" spans="3:13" s="8" customFormat="1">
      <c r="C102" s="127"/>
      <c r="E102" s="122"/>
      <c r="F102" s="122"/>
      <c r="G102" s="122"/>
      <c r="H102" s="122"/>
      <c r="I102" s="122"/>
      <c r="J102" s="122"/>
      <c r="K102" s="122"/>
      <c r="L102" s="122"/>
      <c r="M102" s="122"/>
    </row>
    <row r="103" spans="3:13" s="8" customFormat="1">
      <c r="C103" s="127"/>
      <c r="E103" s="122"/>
      <c r="F103" s="122"/>
      <c r="G103" s="122"/>
      <c r="H103" s="122"/>
      <c r="I103" s="122"/>
      <c r="J103" s="122"/>
      <c r="K103" s="122"/>
      <c r="L103" s="122"/>
      <c r="M103" s="122"/>
    </row>
    <row r="104" spans="3:13" s="8" customFormat="1">
      <c r="C104" s="127"/>
      <c r="E104" s="122"/>
      <c r="F104" s="122"/>
      <c r="G104" s="122"/>
      <c r="H104" s="122"/>
      <c r="I104" s="122"/>
      <c r="J104" s="122"/>
      <c r="K104" s="122"/>
      <c r="L104" s="122"/>
      <c r="M104" s="122"/>
    </row>
    <row r="105" spans="3:13" s="8" customFormat="1">
      <c r="C105" s="127"/>
      <c r="E105" s="122"/>
      <c r="F105" s="122"/>
      <c r="G105" s="122"/>
      <c r="H105" s="122"/>
      <c r="I105" s="122"/>
      <c r="J105" s="122"/>
      <c r="K105" s="122"/>
      <c r="L105" s="122"/>
      <c r="M105" s="122"/>
    </row>
    <row r="106" spans="3:13" s="8" customFormat="1">
      <c r="C106" s="127"/>
      <c r="E106" s="122"/>
      <c r="F106" s="122"/>
      <c r="G106" s="122"/>
      <c r="H106" s="122"/>
      <c r="I106" s="122"/>
      <c r="J106" s="122"/>
      <c r="K106" s="122"/>
      <c r="L106" s="122"/>
      <c r="M106" s="122"/>
    </row>
    <row r="107" spans="3:13" s="8" customFormat="1">
      <c r="C107" s="127"/>
      <c r="E107" s="122"/>
      <c r="F107" s="122"/>
      <c r="G107" s="122"/>
      <c r="H107" s="122"/>
      <c r="I107" s="122"/>
      <c r="J107" s="122"/>
      <c r="K107" s="122"/>
      <c r="L107" s="122"/>
      <c r="M107" s="122"/>
    </row>
    <row r="108" spans="3:13" s="8" customFormat="1">
      <c r="C108" s="127"/>
      <c r="E108" s="122"/>
      <c r="F108" s="122"/>
      <c r="G108" s="122"/>
      <c r="H108" s="122"/>
      <c r="I108" s="122"/>
      <c r="J108" s="122"/>
      <c r="K108" s="122"/>
      <c r="L108" s="122"/>
      <c r="M108" s="122"/>
    </row>
    <row r="109" spans="3:13" s="8" customFormat="1">
      <c r="C109" s="127"/>
      <c r="E109" s="122"/>
      <c r="F109" s="122"/>
      <c r="G109" s="122"/>
      <c r="H109" s="122"/>
      <c r="I109" s="122"/>
      <c r="J109" s="122"/>
      <c r="K109" s="122"/>
      <c r="L109" s="122"/>
      <c r="M109" s="122"/>
    </row>
    <row r="110" spans="3:13" s="8" customFormat="1">
      <c r="C110" s="127"/>
      <c r="E110" s="122"/>
      <c r="F110" s="122"/>
      <c r="G110" s="122"/>
      <c r="H110" s="122"/>
      <c r="I110" s="122"/>
      <c r="J110" s="122"/>
      <c r="K110" s="122"/>
      <c r="L110" s="122"/>
      <c r="M110" s="122"/>
    </row>
    <row r="111" spans="3:13" s="8" customFormat="1">
      <c r="C111" s="127"/>
      <c r="E111" s="122"/>
      <c r="F111" s="122"/>
      <c r="G111" s="122"/>
      <c r="H111" s="122"/>
      <c r="I111" s="122"/>
      <c r="J111" s="122"/>
      <c r="K111" s="122"/>
      <c r="L111" s="122"/>
      <c r="M111" s="122"/>
    </row>
    <row r="112" spans="3:13" s="8" customFormat="1">
      <c r="C112" s="127"/>
      <c r="E112" s="122"/>
      <c r="F112" s="122"/>
      <c r="G112" s="122"/>
      <c r="H112" s="122"/>
      <c r="I112" s="122"/>
      <c r="J112" s="122"/>
      <c r="K112" s="122"/>
      <c r="L112" s="122"/>
      <c r="M112" s="122"/>
    </row>
    <row r="113" spans="3:13" s="8" customFormat="1">
      <c r="C113" s="127"/>
      <c r="E113" s="122"/>
      <c r="F113" s="122"/>
      <c r="G113" s="122"/>
      <c r="H113" s="122"/>
      <c r="I113" s="122"/>
      <c r="J113" s="122"/>
      <c r="K113" s="122"/>
      <c r="L113" s="122"/>
      <c r="M113" s="122"/>
    </row>
    <row r="114" spans="3:13" s="8" customFormat="1">
      <c r="C114" s="127"/>
      <c r="E114" s="122"/>
      <c r="F114" s="122"/>
      <c r="G114" s="122"/>
      <c r="H114" s="122"/>
      <c r="I114" s="122"/>
      <c r="J114" s="122"/>
      <c r="K114" s="122"/>
      <c r="L114" s="122"/>
      <c r="M114" s="122"/>
    </row>
    <row r="115" spans="3:13" s="8" customFormat="1">
      <c r="C115" s="127"/>
      <c r="E115" s="122"/>
      <c r="F115" s="122"/>
      <c r="G115" s="122"/>
      <c r="H115" s="122"/>
      <c r="I115" s="122"/>
      <c r="J115" s="122"/>
      <c r="K115" s="122"/>
      <c r="L115" s="122"/>
      <c r="M115" s="122"/>
    </row>
    <row r="116" spans="3:13" s="8" customFormat="1">
      <c r="C116" s="127"/>
      <c r="E116" s="122"/>
      <c r="F116" s="122"/>
      <c r="G116" s="122"/>
      <c r="H116" s="122"/>
      <c r="I116" s="122"/>
      <c r="J116" s="122"/>
      <c r="K116" s="122"/>
      <c r="L116" s="122"/>
      <c r="M116" s="122"/>
    </row>
    <row r="117" spans="3:13" s="8" customFormat="1">
      <c r="C117" s="127"/>
      <c r="E117" s="122"/>
      <c r="F117" s="122"/>
      <c r="G117" s="122"/>
      <c r="H117" s="122"/>
      <c r="I117" s="122"/>
      <c r="J117" s="122"/>
      <c r="K117" s="122"/>
      <c r="L117" s="122"/>
      <c r="M117" s="122"/>
    </row>
    <row r="118" spans="3:13" s="8" customFormat="1">
      <c r="C118" s="127"/>
      <c r="E118" s="122"/>
      <c r="F118" s="122"/>
      <c r="G118" s="122"/>
      <c r="H118" s="122"/>
      <c r="I118" s="122"/>
      <c r="J118" s="122"/>
      <c r="K118" s="122"/>
      <c r="L118" s="122"/>
      <c r="M118" s="122"/>
    </row>
    <row r="119" spans="3:13" s="8" customFormat="1">
      <c r="C119" s="127"/>
      <c r="E119" s="122"/>
      <c r="F119" s="122"/>
      <c r="G119" s="122"/>
      <c r="H119" s="122"/>
      <c r="I119" s="122"/>
      <c r="J119" s="122"/>
      <c r="K119" s="122"/>
      <c r="L119" s="122"/>
      <c r="M119" s="122"/>
    </row>
    <row r="120" spans="3:13" s="8" customFormat="1">
      <c r="C120" s="127"/>
      <c r="E120" s="122"/>
      <c r="F120" s="122"/>
      <c r="G120" s="122"/>
      <c r="H120" s="122"/>
      <c r="I120" s="122"/>
      <c r="J120" s="122"/>
      <c r="K120" s="122"/>
      <c r="L120" s="122"/>
      <c r="M120" s="122"/>
    </row>
    <row r="121" spans="3:13" s="8" customFormat="1">
      <c r="C121" s="127"/>
      <c r="E121" s="122"/>
      <c r="F121" s="122"/>
      <c r="G121" s="122"/>
      <c r="H121" s="122"/>
      <c r="I121" s="122"/>
      <c r="J121" s="122"/>
      <c r="K121" s="122"/>
      <c r="L121" s="122"/>
      <c r="M121" s="122"/>
    </row>
    <row r="122" spans="3:13" s="8" customFormat="1">
      <c r="C122" s="127"/>
      <c r="E122" s="122"/>
      <c r="F122" s="122"/>
      <c r="G122" s="122"/>
      <c r="H122" s="122"/>
      <c r="I122" s="122"/>
      <c r="J122" s="122"/>
      <c r="K122" s="122"/>
      <c r="L122" s="122"/>
      <c r="M122" s="122"/>
    </row>
    <row r="123" spans="3:13" s="8" customFormat="1">
      <c r="C123" s="127"/>
      <c r="E123" s="122"/>
      <c r="F123" s="122"/>
      <c r="G123" s="122"/>
      <c r="H123" s="122"/>
      <c r="I123" s="122"/>
      <c r="J123" s="122"/>
      <c r="K123" s="122"/>
      <c r="L123" s="122"/>
      <c r="M123" s="122"/>
    </row>
    <row r="124" spans="3:13" s="8" customFormat="1">
      <c r="C124" s="127"/>
      <c r="E124" s="122"/>
      <c r="F124" s="122"/>
      <c r="G124" s="122"/>
      <c r="H124" s="122"/>
      <c r="I124" s="122"/>
      <c r="J124" s="122"/>
      <c r="K124" s="122"/>
      <c r="L124" s="122"/>
      <c r="M124" s="122"/>
    </row>
    <row r="125" spans="3:13" s="8" customFormat="1">
      <c r="C125" s="127"/>
      <c r="E125" s="122"/>
      <c r="F125" s="122"/>
      <c r="G125" s="122"/>
      <c r="H125" s="122"/>
      <c r="I125" s="122"/>
      <c r="J125" s="122"/>
      <c r="K125" s="122"/>
      <c r="L125" s="122"/>
      <c r="M125" s="122"/>
    </row>
    <row r="126" spans="3:13" s="8" customFormat="1">
      <c r="C126" s="127"/>
      <c r="E126" s="122"/>
      <c r="F126" s="122"/>
      <c r="G126" s="122"/>
      <c r="H126" s="122"/>
      <c r="I126" s="122"/>
      <c r="J126" s="122"/>
      <c r="K126" s="122"/>
      <c r="L126" s="122"/>
      <c r="M126" s="122"/>
    </row>
    <row r="127" spans="3:13" s="8" customFormat="1">
      <c r="C127" s="127"/>
      <c r="E127" s="122"/>
      <c r="F127" s="122"/>
      <c r="G127" s="122"/>
      <c r="H127" s="122"/>
      <c r="I127" s="122"/>
      <c r="J127" s="122"/>
      <c r="K127" s="122"/>
      <c r="L127" s="122"/>
      <c r="M127" s="122"/>
    </row>
    <row r="128" spans="3:13" s="8" customFormat="1">
      <c r="C128" s="127"/>
      <c r="E128" s="122"/>
      <c r="F128" s="122"/>
      <c r="G128" s="122"/>
      <c r="H128" s="122"/>
      <c r="I128" s="122"/>
      <c r="J128" s="122"/>
      <c r="K128" s="122"/>
      <c r="L128" s="122"/>
      <c r="M128" s="122"/>
    </row>
    <row r="129" spans="3:13" s="8" customFormat="1">
      <c r="C129" s="127"/>
      <c r="E129" s="122"/>
      <c r="F129" s="122"/>
      <c r="G129" s="122"/>
      <c r="H129" s="122"/>
      <c r="I129" s="122"/>
      <c r="J129" s="122"/>
      <c r="K129" s="122"/>
      <c r="L129" s="122"/>
      <c r="M129" s="122"/>
    </row>
    <row r="130" spans="3:13" s="8" customFormat="1">
      <c r="C130" s="127"/>
      <c r="E130" s="122"/>
      <c r="F130" s="122"/>
      <c r="G130" s="122"/>
      <c r="H130" s="122"/>
      <c r="I130" s="122"/>
      <c r="J130" s="122"/>
      <c r="K130" s="122"/>
      <c r="L130" s="122"/>
      <c r="M130" s="122"/>
    </row>
    <row r="131" spans="3:13" s="8" customFormat="1">
      <c r="C131" s="127"/>
      <c r="E131" s="122"/>
      <c r="F131" s="122"/>
      <c r="G131" s="122"/>
      <c r="H131" s="122"/>
      <c r="I131" s="122"/>
      <c r="J131" s="122"/>
      <c r="K131" s="122"/>
      <c r="L131" s="122"/>
      <c r="M131" s="122"/>
    </row>
    <row r="132" spans="3:13" s="8" customFormat="1">
      <c r="C132" s="127"/>
      <c r="E132" s="122"/>
      <c r="F132" s="122"/>
      <c r="G132" s="122"/>
      <c r="H132" s="122"/>
      <c r="I132" s="122"/>
      <c r="J132" s="122"/>
      <c r="K132" s="122"/>
      <c r="L132" s="122"/>
      <c r="M132" s="122"/>
    </row>
    <row r="133" spans="3:13" s="8" customFormat="1">
      <c r="C133" s="127"/>
      <c r="E133" s="122"/>
      <c r="F133" s="122"/>
      <c r="G133" s="122"/>
      <c r="H133" s="122"/>
      <c r="I133" s="122"/>
      <c r="J133" s="122"/>
      <c r="K133" s="122"/>
      <c r="L133" s="122"/>
      <c r="M133" s="122"/>
    </row>
    <row r="134" spans="3:13" s="8" customFormat="1">
      <c r="C134" s="127"/>
      <c r="E134" s="122"/>
      <c r="F134" s="122"/>
      <c r="G134" s="122"/>
      <c r="H134" s="122"/>
      <c r="I134" s="122"/>
      <c r="J134" s="122"/>
      <c r="K134" s="122"/>
      <c r="L134" s="122"/>
      <c r="M134" s="122"/>
    </row>
    <row r="135" spans="3:13" s="8" customFormat="1">
      <c r="C135" s="127"/>
      <c r="E135" s="122"/>
      <c r="F135" s="122"/>
      <c r="G135" s="122"/>
      <c r="H135" s="122"/>
      <c r="I135" s="122"/>
      <c r="J135" s="122"/>
      <c r="K135" s="122"/>
      <c r="L135" s="122"/>
      <c r="M135" s="122"/>
    </row>
    <row r="136" spans="3:13" s="8" customFormat="1">
      <c r="C136" s="127"/>
      <c r="E136" s="122"/>
      <c r="F136" s="122"/>
      <c r="G136" s="122"/>
      <c r="H136" s="122"/>
      <c r="I136" s="122"/>
      <c r="J136" s="122"/>
      <c r="K136" s="122"/>
      <c r="L136" s="122"/>
      <c r="M136" s="122"/>
    </row>
    <row r="137" spans="3:13" s="8" customFormat="1">
      <c r="C137" s="127"/>
      <c r="E137" s="122"/>
      <c r="F137" s="122"/>
      <c r="G137" s="122"/>
      <c r="H137" s="122"/>
      <c r="I137" s="122"/>
      <c r="J137" s="122"/>
      <c r="K137" s="122"/>
      <c r="L137" s="122"/>
      <c r="M137" s="122"/>
    </row>
    <row r="138" spans="3:13" s="8" customFormat="1">
      <c r="C138" s="127"/>
      <c r="E138" s="122"/>
      <c r="F138" s="122"/>
      <c r="G138" s="122"/>
      <c r="H138" s="122"/>
      <c r="I138" s="122"/>
      <c r="J138" s="122"/>
      <c r="K138" s="122"/>
      <c r="L138" s="122"/>
      <c r="M138" s="122"/>
    </row>
    <row r="139" spans="3:13" s="8" customFormat="1">
      <c r="C139" s="127"/>
      <c r="E139" s="122"/>
      <c r="F139" s="122"/>
      <c r="G139" s="122"/>
      <c r="H139" s="122"/>
      <c r="I139" s="122"/>
      <c r="J139" s="122"/>
      <c r="K139" s="122"/>
      <c r="L139" s="122"/>
      <c r="M139" s="122"/>
    </row>
    <row r="140" spans="3:13" s="8" customFormat="1">
      <c r="C140" s="127"/>
      <c r="E140" s="122"/>
      <c r="F140" s="122"/>
      <c r="G140" s="122"/>
      <c r="H140" s="122"/>
      <c r="I140" s="122"/>
      <c r="J140" s="122"/>
      <c r="K140" s="122"/>
      <c r="L140" s="122"/>
      <c r="M140" s="122"/>
    </row>
    <row r="141" spans="3:13" s="8" customFormat="1">
      <c r="C141" s="127"/>
      <c r="E141" s="122"/>
      <c r="F141" s="122"/>
      <c r="G141" s="122"/>
      <c r="H141" s="122"/>
      <c r="I141" s="122"/>
      <c r="J141" s="122"/>
      <c r="K141" s="122"/>
      <c r="L141" s="122"/>
      <c r="M141" s="122"/>
    </row>
    <row r="142" spans="3:13" s="8" customFormat="1">
      <c r="C142" s="127"/>
      <c r="E142" s="122"/>
      <c r="F142" s="122"/>
      <c r="G142" s="122"/>
      <c r="H142" s="122"/>
      <c r="I142" s="122"/>
      <c r="J142" s="122"/>
      <c r="K142" s="122"/>
      <c r="L142" s="122"/>
      <c r="M142" s="122"/>
    </row>
    <row r="143" spans="3:13" s="8" customFormat="1">
      <c r="C143" s="127"/>
      <c r="E143" s="122"/>
      <c r="F143" s="122"/>
      <c r="G143" s="122"/>
      <c r="H143" s="122"/>
      <c r="I143" s="122"/>
      <c r="J143" s="122"/>
      <c r="K143" s="122"/>
      <c r="L143" s="122"/>
      <c r="M143" s="122"/>
    </row>
    <row r="144" spans="3:13" s="8" customFormat="1">
      <c r="C144" s="127"/>
      <c r="E144" s="122"/>
      <c r="F144" s="122"/>
      <c r="G144" s="122"/>
      <c r="H144" s="122"/>
      <c r="I144" s="122"/>
      <c r="J144" s="122"/>
      <c r="K144" s="122"/>
      <c r="L144" s="122"/>
      <c r="M144" s="122"/>
    </row>
    <row r="145" spans="3:13" s="8" customFormat="1">
      <c r="C145" s="127"/>
      <c r="E145" s="122"/>
      <c r="F145" s="122"/>
      <c r="G145" s="122"/>
      <c r="H145" s="122"/>
      <c r="I145" s="122"/>
      <c r="J145" s="122"/>
      <c r="K145" s="122"/>
      <c r="L145" s="122"/>
      <c r="M145" s="122"/>
    </row>
    <row r="146" spans="3:13" s="8" customFormat="1">
      <c r="C146" s="127"/>
      <c r="E146" s="122"/>
      <c r="F146" s="122"/>
      <c r="G146" s="122"/>
      <c r="H146" s="122"/>
      <c r="I146" s="122"/>
      <c r="J146" s="122"/>
      <c r="K146" s="122"/>
      <c r="L146" s="122"/>
      <c r="M146" s="122"/>
    </row>
    <row r="147" spans="3:13" s="8" customFormat="1">
      <c r="C147" s="127"/>
      <c r="E147" s="122"/>
      <c r="F147" s="122"/>
      <c r="G147" s="122"/>
      <c r="H147" s="122"/>
      <c r="I147" s="122"/>
      <c r="J147" s="122"/>
      <c r="K147" s="122"/>
      <c r="L147" s="122"/>
      <c r="M147" s="122"/>
    </row>
    <row r="148" spans="3:13" s="8" customFormat="1">
      <c r="C148" s="127"/>
      <c r="E148" s="122"/>
      <c r="F148" s="122"/>
      <c r="G148" s="122"/>
      <c r="H148" s="122"/>
      <c r="I148" s="122"/>
      <c r="J148" s="122"/>
      <c r="K148" s="122"/>
      <c r="L148" s="122"/>
      <c r="M148" s="122"/>
    </row>
  </sheetData>
  <mergeCells count="11">
    <mergeCell ref="A58:H58"/>
    <mergeCell ref="A61:A62"/>
    <mergeCell ref="F61:F62"/>
    <mergeCell ref="A1:H1"/>
    <mergeCell ref="B8:H8"/>
    <mergeCell ref="A15:A16"/>
    <mergeCell ref="F15:F16"/>
    <mergeCell ref="B26:G26"/>
    <mergeCell ref="H26:L26"/>
    <mergeCell ref="F21:H21"/>
    <mergeCell ref="B5:H5"/>
  </mergeCells>
  <phoneticPr fontId="5" type="noConversion"/>
  <printOptions horizontalCentered="1"/>
  <pageMargins left="0.23622047244094491" right="0.23622047244094491" top="0.74803149606299213" bottom="0.27559055118110237" header="0.31496062992125984" footer="0.15748031496062992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O19"/>
  <sheetViews>
    <sheetView showGridLines="0" zoomScaleNormal="100" workbookViewId="0">
      <selection activeCell="D21" sqref="D21"/>
    </sheetView>
  </sheetViews>
  <sheetFormatPr defaultRowHeight="12.75"/>
  <cols>
    <col min="1" max="1" width="5.5" style="153" customWidth="1"/>
    <col min="2" max="2" width="9" style="153"/>
    <col min="3" max="3" width="12" style="153" customWidth="1"/>
    <col min="4" max="4" width="14.375" style="153" customWidth="1"/>
    <col min="5" max="5" width="10.625" style="153" customWidth="1"/>
    <col min="6" max="6" width="10.625" style="154" customWidth="1"/>
    <col min="7" max="14" width="10.625" style="153" customWidth="1"/>
    <col min="15" max="15" width="60.375" style="153" customWidth="1"/>
    <col min="16" max="16384" width="9" style="153"/>
  </cols>
  <sheetData>
    <row r="1" spans="1:15">
      <c r="A1" s="152" t="s">
        <v>171</v>
      </c>
      <c r="B1" s="152"/>
      <c r="C1" s="152"/>
    </row>
    <row r="2" spans="1:15" ht="12.75" customHeight="1">
      <c r="A2" s="155"/>
      <c r="B2" s="155"/>
      <c r="C2" s="155"/>
      <c r="D2" s="155"/>
      <c r="E2" s="1447" t="s">
        <v>170</v>
      </c>
      <c r="F2" s="1448"/>
      <c r="G2" s="1448"/>
      <c r="H2" s="1448"/>
      <c r="I2" s="1448"/>
      <c r="J2" s="1448"/>
      <c r="K2" s="1449"/>
      <c r="L2" s="1450" t="s">
        <v>461</v>
      </c>
      <c r="M2" s="1450" t="s">
        <v>172</v>
      </c>
      <c r="N2" s="1450" t="s">
        <v>173</v>
      </c>
      <c r="O2" s="1450" t="s">
        <v>174</v>
      </c>
    </row>
    <row r="3" spans="1:15" ht="12.75" customHeight="1">
      <c r="A3" s="156" t="s">
        <v>175</v>
      </c>
      <c r="B3" s="156" t="s">
        <v>176</v>
      </c>
      <c r="C3" s="156" t="s">
        <v>177</v>
      </c>
      <c r="D3" s="156" t="s">
        <v>178</v>
      </c>
      <c r="E3" s="1450" t="s">
        <v>464</v>
      </c>
      <c r="F3" s="1455" t="s">
        <v>462</v>
      </c>
      <c r="G3" s="1455"/>
      <c r="H3" s="1450" t="s">
        <v>463</v>
      </c>
      <c r="I3" s="1450" t="s">
        <v>179</v>
      </c>
      <c r="J3" s="1450" t="s">
        <v>180</v>
      </c>
      <c r="K3" s="1450" t="s">
        <v>181</v>
      </c>
      <c r="L3" s="1451"/>
      <c r="M3" s="1451"/>
      <c r="N3" s="1453"/>
      <c r="O3" s="1453"/>
    </row>
    <row r="4" spans="1:15" ht="24.75" customHeight="1">
      <c r="A4" s="157"/>
      <c r="B4" s="157"/>
      <c r="C4" s="157"/>
      <c r="D4" s="157"/>
      <c r="E4" s="1454"/>
      <c r="F4" s="157" t="s">
        <v>182</v>
      </c>
      <c r="G4" s="153" t="s">
        <v>183</v>
      </c>
      <c r="H4" s="1454"/>
      <c r="I4" s="1454"/>
      <c r="J4" s="1454"/>
      <c r="K4" s="1454"/>
      <c r="L4" s="1452"/>
      <c r="M4" s="1452"/>
      <c r="N4" s="1454"/>
      <c r="O4" s="1454"/>
    </row>
    <row r="5" spans="1:15">
      <c r="A5" s="158">
        <v>1</v>
      </c>
      <c r="B5" s="475"/>
      <c r="C5" s="476" t="s">
        <v>465</v>
      </c>
      <c r="D5" s="476" t="s">
        <v>466</v>
      </c>
      <c r="E5" s="477">
        <v>5</v>
      </c>
      <c r="F5" s="479">
        <v>5</v>
      </c>
      <c r="G5" s="478">
        <f>F5/E5</f>
        <v>1</v>
      </c>
      <c r="H5" s="477">
        <f>E5+F5</f>
        <v>10</v>
      </c>
      <c r="I5" s="477">
        <v>0</v>
      </c>
      <c r="J5" s="477">
        <v>0</v>
      </c>
      <c r="K5" s="477">
        <f>H5+I5+J5</f>
        <v>10</v>
      </c>
      <c r="L5" s="477">
        <v>5</v>
      </c>
      <c r="M5" s="477">
        <v>5</v>
      </c>
      <c r="N5" s="477">
        <f>K5*12+L5+M5</f>
        <v>130</v>
      </c>
      <c r="O5" s="161"/>
    </row>
    <row r="6" spans="1:15">
      <c r="A6" s="158">
        <v>2</v>
      </c>
      <c r="B6" s="162"/>
      <c r="C6" s="474" t="s">
        <v>460</v>
      </c>
      <c r="D6" s="163" t="s">
        <v>184</v>
      </c>
      <c r="E6" s="159">
        <v>5</v>
      </c>
      <c r="F6" s="479">
        <v>5</v>
      </c>
      <c r="G6" s="160">
        <f>F6/E6</f>
        <v>1</v>
      </c>
      <c r="H6" s="159">
        <f>E6+F6</f>
        <v>10</v>
      </c>
      <c r="I6" s="159">
        <v>60</v>
      </c>
      <c r="J6" s="159">
        <v>11.21</v>
      </c>
      <c r="K6" s="159">
        <f>H6+I6+J6</f>
        <v>81.210000000000008</v>
      </c>
      <c r="L6" s="159">
        <v>5</v>
      </c>
      <c r="M6" s="159">
        <v>5</v>
      </c>
      <c r="N6" s="159">
        <f>K6*12+L6+M6</f>
        <v>984.5200000000001</v>
      </c>
      <c r="O6" s="480"/>
    </row>
    <row r="7" spans="1:15">
      <c r="A7" s="158">
        <v>3</v>
      </c>
      <c r="B7" s="164"/>
      <c r="C7" s="163" t="s">
        <v>185</v>
      </c>
      <c r="D7" s="163" t="s">
        <v>186</v>
      </c>
      <c r="E7" s="159">
        <v>5</v>
      </c>
      <c r="F7" s="479">
        <v>5</v>
      </c>
      <c r="G7" s="160">
        <f>F7/E7</f>
        <v>1</v>
      </c>
      <c r="H7" s="159">
        <f>E7+F7</f>
        <v>10</v>
      </c>
      <c r="I7" s="159">
        <v>60</v>
      </c>
      <c r="J7" s="159">
        <v>0</v>
      </c>
      <c r="K7" s="159">
        <f>H7+I7+J7</f>
        <v>70</v>
      </c>
      <c r="L7" s="159">
        <v>5</v>
      </c>
      <c r="M7" s="159">
        <v>5</v>
      </c>
      <c r="N7" s="159">
        <f>K7*12+L7+M7</f>
        <v>850</v>
      </c>
      <c r="O7" s="480"/>
    </row>
    <row r="8" spans="1:15">
      <c r="A8" s="158"/>
      <c r="B8" s="164" t="s">
        <v>187</v>
      </c>
      <c r="C8" s="165"/>
      <c r="D8" s="163"/>
      <c r="E8" s="159">
        <f>SUM(E5:E7)</f>
        <v>15</v>
      </c>
      <c r="F8" s="159">
        <f>SUM(F5:F7)</f>
        <v>15</v>
      </c>
      <c r="G8" s="160">
        <f>SUM(G5:G7)/4</f>
        <v>0.75</v>
      </c>
      <c r="H8" s="159">
        <f t="shared" ref="H8:M8" si="0">SUM(H5:H7)</f>
        <v>30</v>
      </c>
      <c r="I8" s="159">
        <f t="shared" si="0"/>
        <v>120</v>
      </c>
      <c r="J8" s="159">
        <f t="shared" si="0"/>
        <v>11.21</v>
      </c>
      <c r="K8" s="159">
        <f t="shared" si="0"/>
        <v>161.21</v>
      </c>
      <c r="L8" s="159">
        <f t="shared" si="0"/>
        <v>15</v>
      </c>
      <c r="M8" s="159">
        <f t="shared" si="0"/>
        <v>15</v>
      </c>
      <c r="N8" s="159">
        <f>SUM(N5:N7)</f>
        <v>1964.52</v>
      </c>
      <c r="O8" s="166"/>
    </row>
    <row r="9" spans="1:15">
      <c r="C9" s="167"/>
      <c r="D9" s="167"/>
      <c r="E9" s="167"/>
      <c r="F9" s="168"/>
      <c r="H9" s="169"/>
      <c r="I9" s="169"/>
      <c r="J9" s="169"/>
      <c r="K9" s="169"/>
      <c r="L9" s="169"/>
      <c r="M9" s="169"/>
      <c r="N9" s="169"/>
    </row>
    <row r="10" spans="1:15">
      <c r="C10" s="167"/>
      <c r="D10" s="167"/>
      <c r="E10" s="170"/>
      <c r="F10" s="168"/>
      <c r="G10" s="154"/>
      <c r="H10" s="168"/>
      <c r="I10" s="168"/>
      <c r="J10" s="168"/>
      <c r="K10" s="168"/>
      <c r="L10" s="169"/>
      <c r="M10" s="169"/>
      <c r="N10" s="169"/>
    </row>
    <row r="11" spans="1:15">
      <c r="A11" s="152" t="s">
        <v>188</v>
      </c>
      <c r="B11" s="152"/>
      <c r="C11" s="152"/>
      <c r="E11" s="154"/>
      <c r="G11" s="154"/>
      <c r="H11" s="154"/>
      <c r="I11" s="154"/>
      <c r="J11" s="154"/>
      <c r="K11" s="154"/>
    </row>
    <row r="12" spans="1:15" ht="12.75" customHeight="1">
      <c r="A12" s="155"/>
      <c r="B12" s="155"/>
      <c r="C12" s="155"/>
      <c r="D12" s="155"/>
      <c r="E12" s="1447" t="s">
        <v>170</v>
      </c>
      <c r="F12" s="1448"/>
      <c r="G12" s="1448"/>
      <c r="H12" s="1448"/>
      <c r="I12" s="1448"/>
      <c r="J12" s="1448"/>
      <c r="K12" s="1449"/>
      <c r="L12" s="1450" t="s">
        <v>461</v>
      </c>
      <c r="M12" s="1450" t="s">
        <v>172</v>
      </c>
      <c r="N12" s="1450" t="s">
        <v>173</v>
      </c>
      <c r="O12" s="1450" t="s">
        <v>174</v>
      </c>
    </row>
    <row r="13" spans="1:15" ht="12.75" customHeight="1">
      <c r="A13" s="156" t="s">
        <v>175</v>
      </c>
      <c r="B13" s="156" t="s">
        <v>176</v>
      </c>
      <c r="C13" s="156" t="s">
        <v>177</v>
      </c>
      <c r="D13" s="156" t="s">
        <v>178</v>
      </c>
      <c r="E13" s="1450" t="s">
        <v>464</v>
      </c>
      <c r="F13" s="1455" t="s">
        <v>462</v>
      </c>
      <c r="G13" s="1455"/>
      <c r="H13" s="1450" t="s">
        <v>463</v>
      </c>
      <c r="I13" s="1450" t="s">
        <v>179</v>
      </c>
      <c r="J13" s="1450" t="s">
        <v>180</v>
      </c>
      <c r="K13" s="1450" t="s">
        <v>181</v>
      </c>
      <c r="L13" s="1451"/>
      <c r="M13" s="1451"/>
      <c r="N13" s="1453"/>
      <c r="O13" s="1453"/>
    </row>
    <row r="14" spans="1:15" ht="24.75" customHeight="1">
      <c r="A14" s="156"/>
      <c r="B14" s="156"/>
      <c r="C14" s="156"/>
      <c r="D14" s="156"/>
      <c r="E14" s="1454"/>
      <c r="F14" s="157" t="s">
        <v>182</v>
      </c>
      <c r="G14" s="153" t="s">
        <v>183</v>
      </c>
      <c r="H14" s="1454"/>
      <c r="I14" s="1454"/>
      <c r="J14" s="1454"/>
      <c r="K14" s="1454"/>
      <c r="L14" s="1452"/>
      <c r="M14" s="1452"/>
      <c r="N14" s="1454"/>
      <c r="O14" s="1454"/>
    </row>
    <row r="15" spans="1:15">
      <c r="A15" s="158">
        <v>1</v>
      </c>
      <c r="B15" s="164"/>
      <c r="C15" s="163" t="s">
        <v>189</v>
      </c>
      <c r="D15" s="163" t="s">
        <v>190</v>
      </c>
      <c r="E15" s="159">
        <v>15</v>
      </c>
      <c r="F15" s="479">
        <v>5</v>
      </c>
      <c r="G15" s="160">
        <f>F15/E15</f>
        <v>0.33333333333333331</v>
      </c>
      <c r="H15" s="159">
        <f>E15+F15</f>
        <v>20</v>
      </c>
      <c r="I15" s="159">
        <v>5</v>
      </c>
      <c r="J15" s="159">
        <v>0</v>
      </c>
      <c r="K15" s="159">
        <f>H15+I15+J15</f>
        <v>25</v>
      </c>
      <c r="L15" s="159">
        <v>16</v>
      </c>
      <c r="M15" s="159">
        <v>5</v>
      </c>
      <c r="N15" s="159">
        <f>K15*12+L15+M15</f>
        <v>321</v>
      </c>
      <c r="O15" s="480"/>
    </row>
    <row r="16" spans="1:15">
      <c r="A16" s="171"/>
      <c r="B16" s="164" t="s">
        <v>187</v>
      </c>
      <c r="C16" s="171"/>
      <c r="D16" s="172"/>
      <c r="E16" s="159">
        <f>SUM(E15:E15)</f>
        <v>15</v>
      </c>
      <c r="F16" s="159">
        <f>SUM(F15:F15)</f>
        <v>5</v>
      </c>
      <c r="G16" s="172"/>
      <c r="H16" s="159">
        <f t="shared" ref="H16:N16" si="1">SUM(H15:H15)</f>
        <v>20</v>
      </c>
      <c r="I16" s="159">
        <f t="shared" si="1"/>
        <v>5</v>
      </c>
      <c r="J16" s="159">
        <f t="shared" si="1"/>
        <v>0</v>
      </c>
      <c r="K16" s="159">
        <f t="shared" si="1"/>
        <v>25</v>
      </c>
      <c r="L16" s="159">
        <f t="shared" si="1"/>
        <v>16</v>
      </c>
      <c r="M16" s="159">
        <f t="shared" si="1"/>
        <v>5</v>
      </c>
      <c r="N16" s="159">
        <f t="shared" si="1"/>
        <v>321</v>
      </c>
      <c r="O16" s="171"/>
    </row>
    <row r="17" spans="3:14">
      <c r="C17" s="167"/>
      <c r="D17" s="167"/>
      <c r="E17" s="167"/>
      <c r="F17" s="168"/>
      <c r="H17" s="169"/>
      <c r="I17" s="169"/>
      <c r="J17" s="169"/>
      <c r="K17" s="169"/>
      <c r="L17" s="169"/>
      <c r="M17" s="169"/>
      <c r="N17" s="169"/>
    </row>
    <row r="18" spans="3:14">
      <c r="C18" s="167"/>
      <c r="D18" s="167"/>
      <c r="E18" s="170"/>
      <c r="F18" s="168"/>
      <c r="G18" s="154"/>
      <c r="H18" s="168"/>
      <c r="I18" s="168"/>
      <c r="J18" s="168"/>
      <c r="K18" s="168"/>
      <c r="L18" s="169"/>
      <c r="M18" s="169"/>
      <c r="N18" s="169"/>
    </row>
    <row r="19" spans="3:14">
      <c r="C19" s="167"/>
      <c r="D19" s="167"/>
      <c r="E19" s="167"/>
      <c r="F19" s="168"/>
      <c r="H19" s="169"/>
      <c r="I19" s="169"/>
      <c r="J19" s="169"/>
      <c r="K19" s="169"/>
      <c r="L19" s="169"/>
      <c r="M19" s="169"/>
      <c r="N19" s="169"/>
    </row>
  </sheetData>
  <mergeCells count="22">
    <mergeCell ref="O12:O14"/>
    <mergeCell ref="E13:E14"/>
    <mergeCell ref="F13:G13"/>
    <mergeCell ref="H13:H14"/>
    <mergeCell ref="I13:I14"/>
    <mergeCell ref="E12:K12"/>
    <mergeCell ref="L12:L14"/>
    <mergeCell ref="M12:M14"/>
    <mergeCell ref="N12:N14"/>
    <mergeCell ref="J13:J14"/>
    <mergeCell ref="K13:K14"/>
    <mergeCell ref="E2:K2"/>
    <mergeCell ref="L2:L4"/>
    <mergeCell ref="M2:M4"/>
    <mergeCell ref="N2:N4"/>
    <mergeCell ref="O2:O4"/>
    <mergeCell ref="E3:E4"/>
    <mergeCell ref="F3:G3"/>
    <mergeCell ref="H3:H4"/>
    <mergeCell ref="I3:I4"/>
    <mergeCell ref="J3:J4"/>
    <mergeCell ref="K3:K4"/>
  </mergeCells>
  <phoneticPr fontId="5" type="noConversion"/>
  <printOptions horizontalCentered="1"/>
  <pageMargins left="0.23622047244094491" right="0.23622047244094491" top="0.47244094488188981" bottom="0.74803149606299213" header="0.31496062992125984" footer="0.31496062992125984"/>
  <pageSetup paperSize="9"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F55"/>
  <sheetViews>
    <sheetView showGridLines="0" topLeftCell="A31" zoomScale="90" zoomScaleNormal="90" workbookViewId="0">
      <selection activeCell="E10" sqref="E10"/>
    </sheetView>
  </sheetViews>
  <sheetFormatPr defaultRowHeight="12.75"/>
  <cols>
    <col min="1" max="1" width="24.375" style="152" customWidth="1"/>
    <col min="2" max="2" width="15" style="152" customWidth="1"/>
    <col min="3" max="3" width="10.375" style="173" customWidth="1"/>
    <col min="4" max="4" width="17.625" style="173" customWidth="1"/>
    <col min="5" max="5" width="81.5" style="173" customWidth="1"/>
    <col min="6" max="238" width="9" style="173"/>
    <col min="239" max="239" width="25.375" style="173" customWidth="1"/>
    <col min="240" max="241" width="9" style="173"/>
    <col min="242" max="242" width="7.375" style="173" customWidth="1"/>
    <col min="243" max="243" width="12.75" style="173" customWidth="1"/>
    <col min="244" max="244" width="13" style="173" customWidth="1"/>
    <col min="245" max="245" width="25.875" style="173" customWidth="1"/>
    <col min="246" max="494" width="9" style="173"/>
    <col min="495" max="495" width="25.375" style="173" customWidth="1"/>
    <col min="496" max="497" width="9" style="173"/>
    <col min="498" max="498" width="7.375" style="173" customWidth="1"/>
    <col min="499" max="499" width="12.75" style="173" customWidth="1"/>
    <col min="500" max="500" width="13" style="173" customWidth="1"/>
    <col min="501" max="501" width="25.875" style="173" customWidth="1"/>
    <col min="502" max="750" width="9" style="173"/>
    <col min="751" max="751" width="25.375" style="173" customWidth="1"/>
    <col min="752" max="753" width="9" style="173"/>
    <col min="754" max="754" width="7.375" style="173" customWidth="1"/>
    <col min="755" max="755" width="12.75" style="173" customWidth="1"/>
    <col min="756" max="756" width="13" style="173" customWidth="1"/>
    <col min="757" max="757" width="25.875" style="173" customWidth="1"/>
    <col min="758" max="1006" width="9" style="173"/>
    <col min="1007" max="1007" width="25.375" style="173" customWidth="1"/>
    <col min="1008" max="1009" width="9" style="173"/>
    <col min="1010" max="1010" width="7.375" style="173" customWidth="1"/>
    <col min="1011" max="1011" width="12.75" style="173" customWidth="1"/>
    <col min="1012" max="1012" width="13" style="173" customWidth="1"/>
    <col min="1013" max="1013" width="25.875" style="173" customWidth="1"/>
    <col min="1014" max="1262" width="9" style="173"/>
    <col min="1263" max="1263" width="25.375" style="173" customWidth="1"/>
    <col min="1264" max="1265" width="9" style="173"/>
    <col min="1266" max="1266" width="7.375" style="173" customWidth="1"/>
    <col min="1267" max="1267" width="12.75" style="173" customWidth="1"/>
    <col min="1268" max="1268" width="13" style="173" customWidth="1"/>
    <col min="1269" max="1269" width="25.875" style="173" customWidth="1"/>
    <col min="1270" max="1518" width="9" style="173"/>
    <col min="1519" max="1519" width="25.375" style="173" customWidth="1"/>
    <col min="1520" max="1521" width="9" style="173"/>
    <col min="1522" max="1522" width="7.375" style="173" customWidth="1"/>
    <col min="1523" max="1523" width="12.75" style="173" customWidth="1"/>
    <col min="1524" max="1524" width="13" style="173" customWidth="1"/>
    <col min="1525" max="1525" width="25.875" style="173" customWidth="1"/>
    <col min="1526" max="1774" width="9" style="173"/>
    <col min="1775" max="1775" width="25.375" style="173" customWidth="1"/>
    <col min="1776" max="1777" width="9" style="173"/>
    <col min="1778" max="1778" width="7.375" style="173" customWidth="1"/>
    <col min="1779" max="1779" width="12.75" style="173" customWidth="1"/>
    <col min="1780" max="1780" width="13" style="173" customWidth="1"/>
    <col min="1781" max="1781" width="25.875" style="173" customWidth="1"/>
    <col min="1782" max="2030" width="9" style="173"/>
    <col min="2031" max="2031" width="25.375" style="173" customWidth="1"/>
    <col min="2032" max="2033" width="9" style="173"/>
    <col min="2034" max="2034" width="7.375" style="173" customWidth="1"/>
    <col min="2035" max="2035" width="12.75" style="173" customWidth="1"/>
    <col min="2036" max="2036" width="13" style="173" customWidth="1"/>
    <col min="2037" max="2037" width="25.875" style="173" customWidth="1"/>
    <col min="2038" max="2286" width="9" style="173"/>
    <col min="2287" max="2287" width="25.375" style="173" customWidth="1"/>
    <col min="2288" max="2289" width="9" style="173"/>
    <col min="2290" max="2290" width="7.375" style="173" customWidth="1"/>
    <col min="2291" max="2291" width="12.75" style="173" customWidth="1"/>
    <col min="2292" max="2292" width="13" style="173" customWidth="1"/>
    <col min="2293" max="2293" width="25.875" style="173" customWidth="1"/>
    <col min="2294" max="2542" width="9" style="173"/>
    <col min="2543" max="2543" width="25.375" style="173" customWidth="1"/>
    <col min="2544" max="2545" width="9" style="173"/>
    <col min="2546" max="2546" width="7.375" style="173" customWidth="1"/>
    <col min="2547" max="2547" width="12.75" style="173" customWidth="1"/>
    <col min="2548" max="2548" width="13" style="173" customWidth="1"/>
    <col min="2549" max="2549" width="25.875" style="173" customWidth="1"/>
    <col min="2550" max="2798" width="9" style="173"/>
    <col min="2799" max="2799" width="25.375" style="173" customWidth="1"/>
    <col min="2800" max="2801" width="9" style="173"/>
    <col min="2802" max="2802" width="7.375" style="173" customWidth="1"/>
    <col min="2803" max="2803" width="12.75" style="173" customWidth="1"/>
    <col min="2804" max="2804" width="13" style="173" customWidth="1"/>
    <col min="2805" max="2805" width="25.875" style="173" customWidth="1"/>
    <col min="2806" max="3054" width="9" style="173"/>
    <col min="3055" max="3055" width="25.375" style="173" customWidth="1"/>
    <col min="3056" max="3057" width="9" style="173"/>
    <col min="3058" max="3058" width="7.375" style="173" customWidth="1"/>
    <col min="3059" max="3059" width="12.75" style="173" customWidth="1"/>
    <col min="3060" max="3060" width="13" style="173" customWidth="1"/>
    <col min="3061" max="3061" width="25.875" style="173" customWidth="1"/>
    <col min="3062" max="3310" width="9" style="173"/>
    <col min="3311" max="3311" width="25.375" style="173" customWidth="1"/>
    <col min="3312" max="3313" width="9" style="173"/>
    <col min="3314" max="3314" width="7.375" style="173" customWidth="1"/>
    <col min="3315" max="3315" width="12.75" style="173" customWidth="1"/>
    <col min="3316" max="3316" width="13" style="173" customWidth="1"/>
    <col min="3317" max="3317" width="25.875" style="173" customWidth="1"/>
    <col min="3318" max="3566" width="9" style="173"/>
    <col min="3567" max="3567" width="25.375" style="173" customWidth="1"/>
    <col min="3568" max="3569" width="9" style="173"/>
    <col min="3570" max="3570" width="7.375" style="173" customWidth="1"/>
    <col min="3571" max="3571" width="12.75" style="173" customWidth="1"/>
    <col min="3572" max="3572" width="13" style="173" customWidth="1"/>
    <col min="3573" max="3573" width="25.875" style="173" customWidth="1"/>
    <col min="3574" max="3822" width="9" style="173"/>
    <col min="3823" max="3823" width="25.375" style="173" customWidth="1"/>
    <col min="3824" max="3825" width="9" style="173"/>
    <col min="3826" max="3826" width="7.375" style="173" customWidth="1"/>
    <col min="3827" max="3827" width="12.75" style="173" customWidth="1"/>
    <col min="3828" max="3828" width="13" style="173" customWidth="1"/>
    <col min="3829" max="3829" width="25.875" style="173" customWidth="1"/>
    <col min="3830" max="4078" width="9" style="173"/>
    <col min="4079" max="4079" width="25.375" style="173" customWidth="1"/>
    <col min="4080" max="4081" width="9" style="173"/>
    <col min="4082" max="4082" width="7.375" style="173" customWidth="1"/>
    <col min="4083" max="4083" width="12.75" style="173" customWidth="1"/>
    <col min="4084" max="4084" width="13" style="173" customWidth="1"/>
    <col min="4085" max="4085" width="25.875" style="173" customWidth="1"/>
    <col min="4086" max="4334" width="9" style="173"/>
    <col min="4335" max="4335" width="25.375" style="173" customWidth="1"/>
    <col min="4336" max="4337" width="9" style="173"/>
    <col min="4338" max="4338" width="7.375" style="173" customWidth="1"/>
    <col min="4339" max="4339" width="12.75" style="173" customWidth="1"/>
    <col min="4340" max="4340" width="13" style="173" customWidth="1"/>
    <col min="4341" max="4341" width="25.875" style="173" customWidth="1"/>
    <col min="4342" max="4590" width="9" style="173"/>
    <col min="4591" max="4591" width="25.375" style="173" customWidth="1"/>
    <col min="4592" max="4593" width="9" style="173"/>
    <col min="4594" max="4594" width="7.375" style="173" customWidth="1"/>
    <col min="4595" max="4595" width="12.75" style="173" customWidth="1"/>
    <col min="4596" max="4596" width="13" style="173" customWidth="1"/>
    <col min="4597" max="4597" width="25.875" style="173" customWidth="1"/>
    <col min="4598" max="4846" width="9" style="173"/>
    <col min="4847" max="4847" width="25.375" style="173" customWidth="1"/>
    <col min="4848" max="4849" width="9" style="173"/>
    <col min="4850" max="4850" width="7.375" style="173" customWidth="1"/>
    <col min="4851" max="4851" width="12.75" style="173" customWidth="1"/>
    <col min="4852" max="4852" width="13" style="173" customWidth="1"/>
    <col min="4853" max="4853" width="25.875" style="173" customWidth="1"/>
    <col min="4854" max="5102" width="9" style="173"/>
    <col min="5103" max="5103" width="25.375" style="173" customWidth="1"/>
    <col min="5104" max="5105" width="9" style="173"/>
    <col min="5106" max="5106" width="7.375" style="173" customWidth="1"/>
    <col min="5107" max="5107" width="12.75" style="173" customWidth="1"/>
    <col min="5108" max="5108" width="13" style="173" customWidth="1"/>
    <col min="5109" max="5109" width="25.875" style="173" customWidth="1"/>
    <col min="5110" max="5358" width="9" style="173"/>
    <col min="5359" max="5359" width="25.375" style="173" customWidth="1"/>
    <col min="5360" max="5361" width="9" style="173"/>
    <col min="5362" max="5362" width="7.375" style="173" customWidth="1"/>
    <col min="5363" max="5363" width="12.75" style="173" customWidth="1"/>
    <col min="5364" max="5364" width="13" style="173" customWidth="1"/>
    <col min="5365" max="5365" width="25.875" style="173" customWidth="1"/>
    <col min="5366" max="5614" width="9" style="173"/>
    <col min="5615" max="5615" width="25.375" style="173" customWidth="1"/>
    <col min="5616" max="5617" width="9" style="173"/>
    <col min="5618" max="5618" width="7.375" style="173" customWidth="1"/>
    <col min="5619" max="5619" width="12.75" style="173" customWidth="1"/>
    <col min="5620" max="5620" width="13" style="173" customWidth="1"/>
    <col min="5621" max="5621" width="25.875" style="173" customWidth="1"/>
    <col min="5622" max="5870" width="9" style="173"/>
    <col min="5871" max="5871" width="25.375" style="173" customWidth="1"/>
    <col min="5872" max="5873" width="9" style="173"/>
    <col min="5874" max="5874" width="7.375" style="173" customWidth="1"/>
    <col min="5875" max="5875" width="12.75" style="173" customWidth="1"/>
    <col min="5876" max="5876" width="13" style="173" customWidth="1"/>
    <col min="5877" max="5877" width="25.875" style="173" customWidth="1"/>
    <col min="5878" max="6126" width="9" style="173"/>
    <col min="6127" max="6127" width="25.375" style="173" customWidth="1"/>
    <col min="6128" max="6129" width="9" style="173"/>
    <col min="6130" max="6130" width="7.375" style="173" customWidth="1"/>
    <col min="6131" max="6131" width="12.75" style="173" customWidth="1"/>
    <col min="6132" max="6132" width="13" style="173" customWidth="1"/>
    <col min="6133" max="6133" width="25.875" style="173" customWidth="1"/>
    <col min="6134" max="6382" width="9" style="173"/>
    <col min="6383" max="6383" width="25.375" style="173" customWidth="1"/>
    <col min="6384" max="6385" width="9" style="173"/>
    <col min="6386" max="6386" width="7.375" style="173" customWidth="1"/>
    <col min="6387" max="6387" width="12.75" style="173" customWidth="1"/>
    <col min="6388" max="6388" width="13" style="173" customWidth="1"/>
    <col min="6389" max="6389" width="25.875" style="173" customWidth="1"/>
    <col min="6390" max="6638" width="9" style="173"/>
    <col min="6639" max="6639" width="25.375" style="173" customWidth="1"/>
    <col min="6640" max="6641" width="9" style="173"/>
    <col min="6642" max="6642" width="7.375" style="173" customWidth="1"/>
    <col min="6643" max="6643" width="12.75" style="173" customWidth="1"/>
    <col min="6644" max="6644" width="13" style="173" customWidth="1"/>
    <col min="6645" max="6645" width="25.875" style="173" customWidth="1"/>
    <col min="6646" max="6894" width="9" style="173"/>
    <col min="6895" max="6895" width="25.375" style="173" customWidth="1"/>
    <col min="6896" max="6897" width="9" style="173"/>
    <col min="6898" max="6898" width="7.375" style="173" customWidth="1"/>
    <col min="6899" max="6899" width="12.75" style="173" customWidth="1"/>
    <col min="6900" max="6900" width="13" style="173" customWidth="1"/>
    <col min="6901" max="6901" width="25.875" style="173" customWidth="1"/>
    <col min="6902" max="7150" width="9" style="173"/>
    <col min="7151" max="7151" width="25.375" style="173" customWidth="1"/>
    <col min="7152" max="7153" width="9" style="173"/>
    <col min="7154" max="7154" width="7.375" style="173" customWidth="1"/>
    <col min="7155" max="7155" width="12.75" style="173" customWidth="1"/>
    <col min="7156" max="7156" width="13" style="173" customWidth="1"/>
    <col min="7157" max="7157" width="25.875" style="173" customWidth="1"/>
    <col min="7158" max="7406" width="9" style="173"/>
    <col min="7407" max="7407" width="25.375" style="173" customWidth="1"/>
    <col min="7408" max="7409" width="9" style="173"/>
    <col min="7410" max="7410" width="7.375" style="173" customWidth="1"/>
    <col min="7411" max="7411" width="12.75" style="173" customWidth="1"/>
    <col min="7412" max="7412" width="13" style="173" customWidth="1"/>
    <col min="7413" max="7413" width="25.875" style="173" customWidth="1"/>
    <col min="7414" max="7662" width="9" style="173"/>
    <col min="7663" max="7663" width="25.375" style="173" customWidth="1"/>
    <col min="7664" max="7665" width="9" style="173"/>
    <col min="7666" max="7666" width="7.375" style="173" customWidth="1"/>
    <col min="7667" max="7667" width="12.75" style="173" customWidth="1"/>
    <col min="7668" max="7668" width="13" style="173" customWidth="1"/>
    <col min="7669" max="7669" width="25.875" style="173" customWidth="1"/>
    <col min="7670" max="7918" width="9" style="173"/>
    <col min="7919" max="7919" width="25.375" style="173" customWidth="1"/>
    <col min="7920" max="7921" width="9" style="173"/>
    <col min="7922" max="7922" width="7.375" style="173" customWidth="1"/>
    <col min="7923" max="7923" width="12.75" style="173" customWidth="1"/>
    <col min="7924" max="7924" width="13" style="173" customWidth="1"/>
    <col min="7925" max="7925" width="25.875" style="173" customWidth="1"/>
    <col min="7926" max="8174" width="9" style="173"/>
    <col min="8175" max="8175" width="25.375" style="173" customWidth="1"/>
    <col min="8176" max="8177" width="9" style="173"/>
    <col min="8178" max="8178" width="7.375" style="173" customWidth="1"/>
    <col min="8179" max="8179" width="12.75" style="173" customWidth="1"/>
    <col min="8180" max="8180" width="13" style="173" customWidth="1"/>
    <col min="8181" max="8181" width="25.875" style="173" customWidth="1"/>
    <col min="8182" max="8430" width="9" style="173"/>
    <col min="8431" max="8431" width="25.375" style="173" customWidth="1"/>
    <col min="8432" max="8433" width="9" style="173"/>
    <col min="8434" max="8434" width="7.375" style="173" customWidth="1"/>
    <col min="8435" max="8435" width="12.75" style="173" customWidth="1"/>
    <col min="8436" max="8436" width="13" style="173" customWidth="1"/>
    <col min="8437" max="8437" width="25.875" style="173" customWidth="1"/>
    <col min="8438" max="8686" width="9" style="173"/>
    <col min="8687" max="8687" width="25.375" style="173" customWidth="1"/>
    <col min="8688" max="8689" width="9" style="173"/>
    <col min="8690" max="8690" width="7.375" style="173" customWidth="1"/>
    <col min="8691" max="8691" width="12.75" style="173" customWidth="1"/>
    <col min="8692" max="8692" width="13" style="173" customWidth="1"/>
    <col min="8693" max="8693" width="25.875" style="173" customWidth="1"/>
    <col min="8694" max="8942" width="9" style="173"/>
    <col min="8943" max="8943" width="25.375" style="173" customWidth="1"/>
    <col min="8944" max="8945" width="9" style="173"/>
    <col min="8946" max="8946" width="7.375" style="173" customWidth="1"/>
    <col min="8947" max="8947" width="12.75" style="173" customWidth="1"/>
    <col min="8948" max="8948" width="13" style="173" customWidth="1"/>
    <col min="8949" max="8949" width="25.875" style="173" customWidth="1"/>
    <col min="8950" max="9198" width="9" style="173"/>
    <col min="9199" max="9199" width="25.375" style="173" customWidth="1"/>
    <col min="9200" max="9201" width="9" style="173"/>
    <col min="9202" max="9202" width="7.375" style="173" customWidth="1"/>
    <col min="9203" max="9203" width="12.75" style="173" customWidth="1"/>
    <col min="9204" max="9204" width="13" style="173" customWidth="1"/>
    <col min="9205" max="9205" width="25.875" style="173" customWidth="1"/>
    <col min="9206" max="9454" width="9" style="173"/>
    <col min="9455" max="9455" width="25.375" style="173" customWidth="1"/>
    <col min="9456" max="9457" width="9" style="173"/>
    <col min="9458" max="9458" width="7.375" style="173" customWidth="1"/>
    <col min="9459" max="9459" width="12.75" style="173" customWidth="1"/>
    <col min="9460" max="9460" width="13" style="173" customWidth="1"/>
    <col min="9461" max="9461" width="25.875" style="173" customWidth="1"/>
    <col min="9462" max="9710" width="9" style="173"/>
    <col min="9711" max="9711" width="25.375" style="173" customWidth="1"/>
    <col min="9712" max="9713" width="9" style="173"/>
    <col min="9714" max="9714" width="7.375" style="173" customWidth="1"/>
    <col min="9715" max="9715" width="12.75" style="173" customWidth="1"/>
    <col min="9716" max="9716" width="13" style="173" customWidth="1"/>
    <col min="9717" max="9717" width="25.875" style="173" customWidth="1"/>
    <col min="9718" max="9966" width="9" style="173"/>
    <col min="9967" max="9967" width="25.375" style="173" customWidth="1"/>
    <col min="9968" max="9969" width="9" style="173"/>
    <col min="9970" max="9970" width="7.375" style="173" customWidth="1"/>
    <col min="9971" max="9971" width="12.75" style="173" customWidth="1"/>
    <col min="9972" max="9972" width="13" style="173" customWidth="1"/>
    <col min="9973" max="9973" width="25.875" style="173" customWidth="1"/>
    <col min="9974" max="10222" width="9" style="173"/>
    <col min="10223" max="10223" width="25.375" style="173" customWidth="1"/>
    <col min="10224" max="10225" width="9" style="173"/>
    <col min="10226" max="10226" width="7.375" style="173" customWidth="1"/>
    <col min="10227" max="10227" width="12.75" style="173" customWidth="1"/>
    <col min="10228" max="10228" width="13" style="173" customWidth="1"/>
    <col min="10229" max="10229" width="25.875" style="173" customWidth="1"/>
    <col min="10230" max="10478" width="9" style="173"/>
    <col min="10479" max="10479" width="25.375" style="173" customWidth="1"/>
    <col min="10480" max="10481" width="9" style="173"/>
    <col min="10482" max="10482" width="7.375" style="173" customWidth="1"/>
    <col min="10483" max="10483" width="12.75" style="173" customWidth="1"/>
    <col min="10484" max="10484" width="13" style="173" customWidth="1"/>
    <col min="10485" max="10485" width="25.875" style="173" customWidth="1"/>
    <col min="10486" max="10734" width="9" style="173"/>
    <col min="10735" max="10735" width="25.375" style="173" customWidth="1"/>
    <col min="10736" max="10737" width="9" style="173"/>
    <col min="10738" max="10738" width="7.375" style="173" customWidth="1"/>
    <col min="10739" max="10739" width="12.75" style="173" customWidth="1"/>
    <col min="10740" max="10740" width="13" style="173" customWidth="1"/>
    <col min="10741" max="10741" width="25.875" style="173" customWidth="1"/>
    <col min="10742" max="10990" width="9" style="173"/>
    <col min="10991" max="10991" width="25.375" style="173" customWidth="1"/>
    <col min="10992" max="10993" width="9" style="173"/>
    <col min="10994" max="10994" width="7.375" style="173" customWidth="1"/>
    <col min="10995" max="10995" width="12.75" style="173" customWidth="1"/>
    <col min="10996" max="10996" width="13" style="173" customWidth="1"/>
    <col min="10997" max="10997" width="25.875" style="173" customWidth="1"/>
    <col min="10998" max="11246" width="9" style="173"/>
    <col min="11247" max="11247" width="25.375" style="173" customWidth="1"/>
    <col min="11248" max="11249" width="9" style="173"/>
    <col min="11250" max="11250" width="7.375" style="173" customWidth="1"/>
    <col min="11251" max="11251" width="12.75" style="173" customWidth="1"/>
    <col min="11252" max="11252" width="13" style="173" customWidth="1"/>
    <col min="11253" max="11253" width="25.875" style="173" customWidth="1"/>
    <col min="11254" max="11502" width="9" style="173"/>
    <col min="11503" max="11503" width="25.375" style="173" customWidth="1"/>
    <col min="11504" max="11505" width="9" style="173"/>
    <col min="11506" max="11506" width="7.375" style="173" customWidth="1"/>
    <col min="11507" max="11507" width="12.75" style="173" customWidth="1"/>
    <col min="11508" max="11508" width="13" style="173" customWidth="1"/>
    <col min="11509" max="11509" width="25.875" style="173" customWidth="1"/>
    <col min="11510" max="11758" width="9" style="173"/>
    <col min="11759" max="11759" width="25.375" style="173" customWidth="1"/>
    <col min="11760" max="11761" width="9" style="173"/>
    <col min="11762" max="11762" width="7.375" style="173" customWidth="1"/>
    <col min="11763" max="11763" width="12.75" style="173" customWidth="1"/>
    <col min="11764" max="11764" width="13" style="173" customWidth="1"/>
    <col min="11765" max="11765" width="25.875" style="173" customWidth="1"/>
    <col min="11766" max="12014" width="9" style="173"/>
    <col min="12015" max="12015" width="25.375" style="173" customWidth="1"/>
    <col min="12016" max="12017" width="9" style="173"/>
    <col min="12018" max="12018" width="7.375" style="173" customWidth="1"/>
    <col min="12019" max="12019" width="12.75" style="173" customWidth="1"/>
    <col min="12020" max="12020" width="13" style="173" customWidth="1"/>
    <col min="12021" max="12021" width="25.875" style="173" customWidth="1"/>
    <col min="12022" max="12270" width="9" style="173"/>
    <col min="12271" max="12271" width="25.375" style="173" customWidth="1"/>
    <col min="12272" max="12273" width="9" style="173"/>
    <col min="12274" max="12274" width="7.375" style="173" customWidth="1"/>
    <col min="12275" max="12275" width="12.75" style="173" customWidth="1"/>
    <col min="12276" max="12276" width="13" style="173" customWidth="1"/>
    <col min="12277" max="12277" width="25.875" style="173" customWidth="1"/>
    <col min="12278" max="12526" width="9" style="173"/>
    <col min="12527" max="12527" width="25.375" style="173" customWidth="1"/>
    <col min="12528" max="12529" width="9" style="173"/>
    <col min="12530" max="12530" width="7.375" style="173" customWidth="1"/>
    <col min="12531" max="12531" width="12.75" style="173" customWidth="1"/>
    <col min="12532" max="12532" width="13" style="173" customWidth="1"/>
    <col min="12533" max="12533" width="25.875" style="173" customWidth="1"/>
    <col min="12534" max="12782" width="9" style="173"/>
    <col min="12783" max="12783" width="25.375" style="173" customWidth="1"/>
    <col min="12784" max="12785" width="9" style="173"/>
    <col min="12786" max="12786" width="7.375" style="173" customWidth="1"/>
    <col min="12787" max="12787" width="12.75" style="173" customWidth="1"/>
    <col min="12788" max="12788" width="13" style="173" customWidth="1"/>
    <col min="12789" max="12789" width="25.875" style="173" customWidth="1"/>
    <col min="12790" max="13038" width="9" style="173"/>
    <col min="13039" max="13039" width="25.375" style="173" customWidth="1"/>
    <col min="13040" max="13041" width="9" style="173"/>
    <col min="13042" max="13042" width="7.375" style="173" customWidth="1"/>
    <col min="13043" max="13043" width="12.75" style="173" customWidth="1"/>
    <col min="13044" max="13044" width="13" style="173" customWidth="1"/>
    <col min="13045" max="13045" width="25.875" style="173" customWidth="1"/>
    <col min="13046" max="13294" width="9" style="173"/>
    <col min="13295" max="13295" width="25.375" style="173" customWidth="1"/>
    <col min="13296" max="13297" width="9" style="173"/>
    <col min="13298" max="13298" width="7.375" style="173" customWidth="1"/>
    <col min="13299" max="13299" width="12.75" style="173" customWidth="1"/>
    <col min="13300" max="13300" width="13" style="173" customWidth="1"/>
    <col min="13301" max="13301" width="25.875" style="173" customWidth="1"/>
    <col min="13302" max="13550" width="9" style="173"/>
    <col min="13551" max="13551" width="25.375" style="173" customWidth="1"/>
    <col min="13552" max="13553" width="9" style="173"/>
    <col min="13554" max="13554" width="7.375" style="173" customWidth="1"/>
    <col min="13555" max="13555" width="12.75" style="173" customWidth="1"/>
    <col min="13556" max="13556" width="13" style="173" customWidth="1"/>
    <col min="13557" max="13557" width="25.875" style="173" customWidth="1"/>
    <col min="13558" max="13806" width="9" style="173"/>
    <col min="13807" max="13807" width="25.375" style="173" customWidth="1"/>
    <col min="13808" max="13809" width="9" style="173"/>
    <col min="13810" max="13810" width="7.375" style="173" customWidth="1"/>
    <col min="13811" max="13811" width="12.75" style="173" customWidth="1"/>
    <col min="13812" max="13812" width="13" style="173" customWidth="1"/>
    <col min="13813" max="13813" width="25.875" style="173" customWidth="1"/>
    <col min="13814" max="14062" width="9" style="173"/>
    <col min="14063" max="14063" width="25.375" style="173" customWidth="1"/>
    <col min="14064" max="14065" width="9" style="173"/>
    <col min="14066" max="14066" width="7.375" style="173" customWidth="1"/>
    <col min="14067" max="14067" width="12.75" style="173" customWidth="1"/>
    <col min="14068" max="14068" width="13" style="173" customWidth="1"/>
    <col min="14069" max="14069" width="25.875" style="173" customWidth="1"/>
    <col min="14070" max="14318" width="9" style="173"/>
    <col min="14319" max="14319" width="25.375" style="173" customWidth="1"/>
    <col min="14320" max="14321" width="9" style="173"/>
    <col min="14322" max="14322" width="7.375" style="173" customWidth="1"/>
    <col min="14323" max="14323" width="12.75" style="173" customWidth="1"/>
    <col min="14324" max="14324" width="13" style="173" customWidth="1"/>
    <col min="14325" max="14325" width="25.875" style="173" customWidth="1"/>
    <col min="14326" max="14574" width="9" style="173"/>
    <col min="14575" max="14575" width="25.375" style="173" customWidth="1"/>
    <col min="14576" max="14577" width="9" style="173"/>
    <col min="14578" max="14578" width="7.375" style="173" customWidth="1"/>
    <col min="14579" max="14579" width="12.75" style="173" customWidth="1"/>
    <col min="14580" max="14580" width="13" style="173" customWidth="1"/>
    <col min="14581" max="14581" width="25.875" style="173" customWidth="1"/>
    <col min="14582" max="14830" width="9" style="173"/>
    <col min="14831" max="14831" width="25.375" style="173" customWidth="1"/>
    <col min="14832" max="14833" width="9" style="173"/>
    <col min="14834" max="14834" width="7.375" style="173" customWidth="1"/>
    <col min="14835" max="14835" width="12.75" style="173" customWidth="1"/>
    <col min="14836" max="14836" width="13" style="173" customWidth="1"/>
    <col min="14837" max="14837" width="25.875" style="173" customWidth="1"/>
    <col min="14838" max="15086" width="9" style="173"/>
    <col min="15087" max="15087" width="25.375" style="173" customWidth="1"/>
    <col min="15088" max="15089" width="9" style="173"/>
    <col min="15090" max="15090" width="7.375" style="173" customWidth="1"/>
    <col min="15091" max="15091" width="12.75" style="173" customWidth="1"/>
    <col min="15092" max="15092" width="13" style="173" customWidth="1"/>
    <col min="15093" max="15093" width="25.875" style="173" customWidth="1"/>
    <col min="15094" max="15342" width="9" style="173"/>
    <col min="15343" max="15343" width="25.375" style="173" customWidth="1"/>
    <col min="15344" max="15345" width="9" style="173"/>
    <col min="15346" max="15346" width="7.375" style="173" customWidth="1"/>
    <col min="15347" max="15347" width="12.75" style="173" customWidth="1"/>
    <col min="15348" max="15348" width="13" style="173" customWidth="1"/>
    <col min="15349" max="15349" width="25.875" style="173" customWidth="1"/>
    <col min="15350" max="15598" width="9" style="173"/>
    <col min="15599" max="15599" width="25.375" style="173" customWidth="1"/>
    <col min="15600" max="15601" width="9" style="173"/>
    <col min="15602" max="15602" width="7.375" style="173" customWidth="1"/>
    <col min="15603" max="15603" width="12.75" style="173" customWidth="1"/>
    <col min="15604" max="15604" width="13" style="173" customWidth="1"/>
    <col min="15605" max="15605" width="25.875" style="173" customWidth="1"/>
    <col min="15606" max="15854" width="9" style="173"/>
    <col min="15855" max="15855" width="25.375" style="173" customWidth="1"/>
    <col min="15856" max="15857" width="9" style="173"/>
    <col min="15858" max="15858" width="7.375" style="173" customWidth="1"/>
    <col min="15859" max="15859" width="12.75" style="173" customWidth="1"/>
    <col min="15860" max="15860" width="13" style="173" customWidth="1"/>
    <col min="15861" max="15861" width="25.875" style="173" customWidth="1"/>
    <col min="15862" max="16110" width="9" style="173"/>
    <col min="16111" max="16111" width="25.375" style="173" customWidth="1"/>
    <col min="16112" max="16113" width="9" style="173"/>
    <col min="16114" max="16114" width="7.375" style="173" customWidth="1"/>
    <col min="16115" max="16115" width="12.75" style="173" customWidth="1"/>
    <col min="16116" max="16116" width="13" style="173" customWidth="1"/>
    <col min="16117" max="16117" width="25.875" style="173" customWidth="1"/>
    <col min="16118" max="16384" width="9" style="173"/>
  </cols>
  <sheetData>
    <row r="1" spans="1:6">
      <c r="A1" s="1457" t="s">
        <v>483</v>
      </c>
      <c r="B1" s="1457"/>
      <c r="C1" s="1457"/>
      <c r="D1" s="1457"/>
      <c r="E1" s="1457"/>
    </row>
    <row r="2" spans="1:6">
      <c r="A2" s="173"/>
      <c r="B2" s="173"/>
    </row>
    <row r="3" spans="1:6">
      <c r="A3" s="174" t="s">
        <v>191</v>
      </c>
      <c r="B3" s="174" t="s">
        <v>192</v>
      </c>
      <c r="C3" s="174" t="s">
        <v>193</v>
      </c>
      <c r="D3" s="174" t="s">
        <v>194</v>
      </c>
      <c r="E3" s="174" t="s">
        <v>195</v>
      </c>
      <c r="F3" s="175"/>
    </row>
    <row r="4" spans="1:6" s="180" customFormat="1">
      <c r="A4" s="181" t="s">
        <v>196</v>
      </c>
      <c r="B4" s="486">
        <v>5</v>
      </c>
      <c r="C4" s="182">
        <v>29</v>
      </c>
      <c r="D4" s="177">
        <f>B4*C4</f>
        <v>145</v>
      </c>
      <c r="E4" s="179"/>
    </row>
    <row r="5" spans="1:6" s="180" customFormat="1">
      <c r="A5" s="181" t="s">
        <v>197</v>
      </c>
      <c r="B5" s="487">
        <v>5</v>
      </c>
      <c r="C5" s="488">
        <v>12</v>
      </c>
      <c r="D5" s="177">
        <f>B5*C5</f>
        <v>60</v>
      </c>
      <c r="E5" s="485" t="s">
        <v>485</v>
      </c>
    </row>
    <row r="6" spans="1:6" s="180" customFormat="1">
      <c r="A6" s="176" t="s">
        <v>198</v>
      </c>
      <c r="B6" s="487">
        <v>5</v>
      </c>
      <c r="C6" s="178">
        <v>4</v>
      </c>
      <c r="D6" s="177">
        <f>B6*C6</f>
        <v>20</v>
      </c>
      <c r="E6" s="485"/>
    </row>
    <row r="7" spans="1:6" s="180" customFormat="1">
      <c r="A7" s="176" t="s">
        <v>199</v>
      </c>
      <c r="B7" s="487">
        <v>5</v>
      </c>
      <c r="C7" s="178">
        <v>1</v>
      </c>
      <c r="D7" s="177">
        <f>B7*C7</f>
        <v>5</v>
      </c>
      <c r="E7" s="179" t="s">
        <v>200</v>
      </c>
    </row>
    <row r="8" spans="1:6" s="180" customFormat="1">
      <c r="A8" s="176" t="s">
        <v>201</v>
      </c>
      <c r="B8" s="487">
        <v>5</v>
      </c>
      <c r="C8" s="178">
        <v>1</v>
      </c>
      <c r="D8" s="177">
        <f>B8*C8</f>
        <v>5</v>
      </c>
      <c r="E8" s="179" t="s">
        <v>202</v>
      </c>
    </row>
    <row r="9" spans="1:6" s="180" customFormat="1">
      <c r="A9" s="183" t="s">
        <v>203</v>
      </c>
      <c r="B9" s="184"/>
      <c r="C9" s="185"/>
      <c r="D9" s="184">
        <f>SUM(D4:D8)*5.9%</f>
        <v>13.865</v>
      </c>
      <c r="E9" s="186"/>
    </row>
    <row r="10" spans="1:6" s="180" customFormat="1">
      <c r="A10" s="176" t="s">
        <v>484</v>
      </c>
      <c r="B10" s="187">
        <v>1</v>
      </c>
      <c r="C10" s="178">
        <v>2</v>
      </c>
      <c r="D10" s="487">
        <f>B10*C10*3*5.9%</f>
        <v>0.35400000000000004</v>
      </c>
      <c r="E10" s="485" t="s">
        <v>1633</v>
      </c>
    </row>
    <row r="11" spans="1:6" s="180" customFormat="1">
      <c r="B11" s="188"/>
      <c r="C11" s="188"/>
      <c r="D11" s="188"/>
      <c r="E11" s="189"/>
    </row>
    <row r="12" spans="1:6" s="180" customFormat="1">
      <c r="B12" s="188"/>
      <c r="C12" s="188"/>
      <c r="D12" s="188"/>
      <c r="E12" s="189"/>
    </row>
    <row r="13" spans="1:6">
      <c r="A13" s="1457" t="s">
        <v>479</v>
      </c>
      <c r="B13" s="1457"/>
      <c r="C13" s="1457"/>
      <c r="D13" s="1457"/>
      <c r="E13" s="1457"/>
    </row>
    <row r="14" spans="1:6">
      <c r="A14" s="173"/>
      <c r="B14" s="173"/>
    </row>
    <row r="15" spans="1:6">
      <c r="A15" s="174" t="s">
        <v>191</v>
      </c>
      <c r="B15" s="174" t="s">
        <v>192</v>
      </c>
      <c r="C15" s="174" t="s">
        <v>193</v>
      </c>
      <c r="D15" s="174" t="s">
        <v>194</v>
      </c>
      <c r="E15" s="174" t="s">
        <v>195</v>
      </c>
    </row>
    <row r="16" spans="1:6" s="180" customFormat="1">
      <c r="A16" s="176" t="s">
        <v>204</v>
      </c>
      <c r="B16" s="487">
        <v>5</v>
      </c>
      <c r="C16" s="178">
        <v>4</v>
      </c>
      <c r="D16" s="177">
        <f>B16*C16</f>
        <v>20</v>
      </c>
      <c r="E16" s="485"/>
    </row>
    <row r="17" spans="1:5" s="180" customFormat="1">
      <c r="A17" s="176" t="s">
        <v>205</v>
      </c>
      <c r="B17" s="487">
        <v>5</v>
      </c>
      <c r="C17" s="178">
        <v>1</v>
      </c>
      <c r="D17" s="177">
        <f>B17*C17</f>
        <v>5</v>
      </c>
      <c r="E17" s="485"/>
    </row>
    <row r="18" spans="1:5" s="180" customFormat="1">
      <c r="A18" s="192" t="s">
        <v>203</v>
      </c>
      <c r="B18" s="187"/>
      <c r="C18" s="178"/>
      <c r="D18" s="177">
        <f>SUM(D16:D17)</f>
        <v>25</v>
      </c>
      <c r="E18" s="179"/>
    </row>
    <row r="19" spans="1:5" s="180" customFormat="1">
      <c r="A19" s="176" t="s">
        <v>206</v>
      </c>
      <c r="B19" s="187">
        <v>1</v>
      </c>
      <c r="C19" s="178">
        <v>2</v>
      </c>
      <c r="D19" s="177">
        <f>B19*C19*3</f>
        <v>6</v>
      </c>
      <c r="E19" s="179"/>
    </row>
    <row r="20" spans="1:5" s="180" customFormat="1">
      <c r="B20" s="190"/>
      <c r="C20" s="191"/>
      <c r="D20" s="188"/>
      <c r="E20" s="189"/>
    </row>
    <row r="21" spans="1:5">
      <c r="B21" s="173"/>
      <c r="D21" s="188"/>
      <c r="E21" s="194"/>
    </row>
    <row r="22" spans="1:5">
      <c r="A22" s="1457" t="s">
        <v>480</v>
      </c>
      <c r="B22" s="1457"/>
      <c r="C22" s="1457"/>
      <c r="D22" s="1457"/>
      <c r="E22" s="1457"/>
    </row>
    <row r="23" spans="1:5">
      <c r="A23" s="173"/>
      <c r="B23" s="173"/>
    </row>
    <row r="24" spans="1:5">
      <c r="A24" s="174" t="s">
        <v>191</v>
      </c>
      <c r="B24" s="174" t="s">
        <v>192</v>
      </c>
      <c r="C24" s="174" t="s">
        <v>193</v>
      </c>
      <c r="D24" s="174" t="s">
        <v>194</v>
      </c>
      <c r="E24" s="174" t="s">
        <v>195</v>
      </c>
    </row>
    <row r="25" spans="1:5">
      <c r="A25" s="176" t="s">
        <v>207</v>
      </c>
      <c r="B25" s="487">
        <v>5</v>
      </c>
      <c r="C25" s="178">
        <v>3</v>
      </c>
      <c r="D25" s="177">
        <f>B25*C25</f>
        <v>15</v>
      </c>
      <c r="E25" s="485"/>
    </row>
    <row r="26" spans="1:5">
      <c r="A26" s="176" t="s">
        <v>208</v>
      </c>
      <c r="B26" s="487">
        <v>5</v>
      </c>
      <c r="C26" s="178">
        <v>2</v>
      </c>
      <c r="D26" s="177">
        <f>B26*C26</f>
        <v>10</v>
      </c>
      <c r="E26" s="485"/>
    </row>
    <row r="27" spans="1:5">
      <c r="A27" s="507" t="s">
        <v>494</v>
      </c>
      <c r="B27" s="490">
        <v>5</v>
      </c>
      <c r="C27" s="508">
        <v>1</v>
      </c>
      <c r="D27" s="487">
        <f>B27*C27</f>
        <v>5</v>
      </c>
      <c r="E27" s="509"/>
    </row>
    <row r="28" spans="1:5">
      <c r="A28" s="192" t="s">
        <v>203</v>
      </c>
      <c r="B28" s="187"/>
      <c r="C28" s="178"/>
      <c r="D28" s="487">
        <f>SUM(D25:D26)*38%+D27*50%</f>
        <v>12</v>
      </c>
      <c r="E28" s="489"/>
    </row>
    <row r="29" spans="1:5">
      <c r="A29" s="176" t="s">
        <v>209</v>
      </c>
      <c r="B29" s="187">
        <v>1</v>
      </c>
      <c r="C29" s="178">
        <v>2</v>
      </c>
      <c r="D29" s="487">
        <f>B29*C29*3*38%</f>
        <v>2.2800000000000002</v>
      </c>
      <c r="E29" s="179"/>
    </row>
    <row r="30" spans="1:5">
      <c r="B30" s="173"/>
      <c r="D30" s="188"/>
    </row>
    <row r="31" spans="1:5">
      <c r="B31" s="173"/>
      <c r="D31" s="188"/>
    </row>
    <row r="32" spans="1:5">
      <c r="A32" s="1456" t="s">
        <v>481</v>
      </c>
      <c r="B32" s="1456"/>
      <c r="C32" s="1456"/>
      <c r="D32" s="1456"/>
      <c r="E32" s="1456"/>
    </row>
    <row r="33" spans="1:5">
      <c r="A33" s="173"/>
      <c r="B33" s="173"/>
    </row>
    <row r="34" spans="1:5">
      <c r="A34" s="174" t="s">
        <v>191</v>
      </c>
      <c r="B34" s="174" t="s">
        <v>192</v>
      </c>
      <c r="C34" s="174" t="s">
        <v>193</v>
      </c>
      <c r="D34" s="174" t="s">
        <v>194</v>
      </c>
      <c r="E34" s="174" t="s">
        <v>195</v>
      </c>
    </row>
    <row r="35" spans="1:5" s="180" customFormat="1">
      <c r="A35" s="176" t="s">
        <v>210</v>
      </c>
      <c r="B35" s="487">
        <v>5</v>
      </c>
      <c r="C35" s="178">
        <v>2</v>
      </c>
      <c r="D35" s="177">
        <f>B35*C35</f>
        <v>10</v>
      </c>
      <c r="E35" s="179"/>
    </row>
    <row r="36" spans="1:5" s="180" customFormat="1">
      <c r="A36" s="176" t="s">
        <v>211</v>
      </c>
      <c r="B36" s="487">
        <v>5</v>
      </c>
      <c r="C36" s="178">
        <v>3</v>
      </c>
      <c r="D36" s="177">
        <f>B36*C36</f>
        <v>15</v>
      </c>
      <c r="E36" s="179"/>
    </row>
    <row r="37" spans="1:5" s="180" customFormat="1">
      <c r="A37" s="181" t="s">
        <v>212</v>
      </c>
      <c r="B37" s="487">
        <v>5</v>
      </c>
      <c r="C37" s="178">
        <v>4</v>
      </c>
      <c r="D37" s="177">
        <f>B37*C37</f>
        <v>20</v>
      </c>
      <c r="E37" s="179"/>
    </row>
    <row r="38" spans="1:5" s="180" customFormat="1">
      <c r="A38" s="195" t="s">
        <v>213</v>
      </c>
      <c r="B38" s="490">
        <v>5</v>
      </c>
      <c r="C38" s="178">
        <v>2</v>
      </c>
      <c r="D38" s="177">
        <f>B38*C38</f>
        <v>10</v>
      </c>
      <c r="E38" s="179"/>
    </row>
    <row r="39" spans="1:5" s="180" customFormat="1">
      <c r="A39" s="183" t="s">
        <v>203</v>
      </c>
      <c r="B39" s="184"/>
      <c r="C39" s="185"/>
      <c r="D39" s="184">
        <f>SUM(D35:D38)</f>
        <v>55</v>
      </c>
      <c r="E39" s="186"/>
    </row>
    <row r="40" spans="1:5" s="180" customFormat="1">
      <c r="A40" s="176" t="s">
        <v>214</v>
      </c>
      <c r="B40" s="187">
        <v>1</v>
      </c>
      <c r="C40" s="178">
        <v>2</v>
      </c>
      <c r="D40" s="177">
        <f>B40*C40*3</f>
        <v>6</v>
      </c>
      <c r="E40" s="179"/>
    </row>
    <row r="41" spans="1:5" s="180" customFormat="1">
      <c r="A41" s="176" t="s">
        <v>215</v>
      </c>
      <c r="B41" s="187">
        <v>1</v>
      </c>
      <c r="C41" s="178">
        <v>2</v>
      </c>
      <c r="D41" s="177">
        <f>B41*C41*3</f>
        <v>6</v>
      </c>
      <c r="E41" s="179"/>
    </row>
    <row r="42" spans="1:5" s="180" customFormat="1">
      <c r="A42" s="183" t="s">
        <v>216</v>
      </c>
      <c r="B42" s="184"/>
      <c r="C42" s="185">
        <f>SUM(C40:C41)</f>
        <v>4</v>
      </c>
      <c r="D42" s="184">
        <f>SUM(D40:D41)</f>
        <v>12</v>
      </c>
      <c r="E42" s="186"/>
    </row>
    <row r="44" spans="1:5">
      <c r="A44" s="1456" t="s">
        <v>482</v>
      </c>
      <c r="B44" s="1456"/>
      <c r="C44" s="1456"/>
      <c r="D44" s="1456"/>
      <c r="E44" s="1456"/>
    </row>
    <row r="45" spans="1:5">
      <c r="A45" s="173"/>
      <c r="B45" s="173"/>
    </row>
    <row r="46" spans="1:5">
      <c r="A46" s="174" t="s">
        <v>191</v>
      </c>
      <c r="B46" s="174" t="s">
        <v>192</v>
      </c>
      <c r="C46" s="174" t="s">
        <v>193</v>
      </c>
      <c r="D46" s="174" t="s">
        <v>194</v>
      </c>
      <c r="E46" s="174" t="s">
        <v>195</v>
      </c>
    </row>
    <row r="47" spans="1:5">
      <c r="A47" s="176" t="s">
        <v>207</v>
      </c>
      <c r="B47" s="487">
        <v>5</v>
      </c>
      <c r="C47" s="178">
        <v>3</v>
      </c>
      <c r="D47" s="177">
        <f>B47*C47</f>
        <v>15</v>
      </c>
      <c r="E47" s="485"/>
    </row>
    <row r="48" spans="1:5">
      <c r="A48" s="176" t="s">
        <v>208</v>
      </c>
      <c r="B48" s="487">
        <v>5</v>
      </c>
      <c r="C48" s="178">
        <v>2</v>
      </c>
      <c r="D48" s="177">
        <f>B48*C48</f>
        <v>10</v>
      </c>
      <c r="E48" s="485"/>
    </row>
    <row r="49" spans="1:5">
      <c r="A49" s="507" t="s">
        <v>494</v>
      </c>
      <c r="B49" s="490">
        <v>5</v>
      </c>
      <c r="C49" s="508">
        <v>1</v>
      </c>
      <c r="D49" s="487">
        <f>B49*C49</f>
        <v>5</v>
      </c>
      <c r="E49" s="509"/>
    </row>
    <row r="50" spans="1:5">
      <c r="A50" s="183" t="s">
        <v>203</v>
      </c>
      <c r="B50" s="184"/>
      <c r="C50" s="185"/>
      <c r="D50" s="491">
        <f>SUM(D47:D48)*62%+D49*50%</f>
        <v>18</v>
      </c>
      <c r="E50" s="492"/>
    </row>
    <row r="51" spans="1:5">
      <c r="A51" s="176" t="s">
        <v>209</v>
      </c>
      <c r="B51" s="187">
        <v>1</v>
      </c>
      <c r="C51" s="178">
        <f>1512*76%</f>
        <v>1149.1200000000001</v>
      </c>
      <c r="D51" s="487">
        <f>B51*C51*3*62%</f>
        <v>2137.3632000000002</v>
      </c>
      <c r="E51" s="485"/>
    </row>
    <row r="53" spans="1:5">
      <c r="C53" s="196" t="s">
        <v>217</v>
      </c>
      <c r="D53" s="175">
        <f>D39+D50</f>
        <v>73</v>
      </c>
    </row>
    <row r="54" spans="1:5">
      <c r="C54" s="196" t="s">
        <v>218</v>
      </c>
      <c r="D54" s="175">
        <f>D42+D51</f>
        <v>2149.3632000000002</v>
      </c>
    </row>
    <row r="55" spans="1:5">
      <c r="A55" s="197" t="s">
        <v>219</v>
      </c>
    </row>
  </sheetData>
  <mergeCells count="5">
    <mergeCell ref="A32:E32"/>
    <mergeCell ref="A44:E44"/>
    <mergeCell ref="A1:E1"/>
    <mergeCell ref="A13:E13"/>
    <mergeCell ref="A22:E22"/>
  </mergeCells>
  <phoneticPr fontId="5" type="noConversion"/>
  <printOptions horizontalCentered="1"/>
  <pageMargins left="0.31496062992125984" right="0.31496062992125984" top="0.39370078740157483" bottom="0.43307086614173229" header="0.31496062992125984" footer="0.31496062992125984"/>
  <pageSetup paperSize="9"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I65"/>
  <sheetViews>
    <sheetView showGridLines="0" topLeftCell="A52" zoomScale="90" zoomScaleNormal="90" workbookViewId="0">
      <selection activeCell="G68" sqref="G68"/>
    </sheetView>
  </sheetViews>
  <sheetFormatPr defaultRowHeight="12.75"/>
  <cols>
    <col min="1" max="1" width="12.75" style="199" customWidth="1"/>
    <col min="2" max="2" width="31" style="167" customWidth="1"/>
    <col min="3" max="3" width="10.125" style="167" customWidth="1"/>
    <col min="4" max="5" width="10.125" style="199" customWidth="1"/>
    <col min="6" max="6" width="14.625" style="199" customWidth="1"/>
    <col min="7" max="7" width="19.25" style="199" customWidth="1"/>
    <col min="8" max="8" width="17.5" style="199" customWidth="1"/>
    <col min="9" max="248" width="9" style="199"/>
    <col min="249" max="249" width="25.375" style="199" customWidth="1"/>
    <col min="250" max="251" width="9" style="199"/>
    <col min="252" max="252" width="7.375" style="199" customWidth="1"/>
    <col min="253" max="253" width="12.75" style="199" customWidth="1"/>
    <col min="254" max="254" width="13" style="199" customWidth="1"/>
    <col min="255" max="255" width="25.875" style="199" customWidth="1"/>
    <col min="256" max="504" width="9" style="199"/>
    <col min="505" max="505" width="25.375" style="199" customWidth="1"/>
    <col min="506" max="507" width="9" style="199"/>
    <col min="508" max="508" width="7.375" style="199" customWidth="1"/>
    <col min="509" max="509" width="12.75" style="199" customWidth="1"/>
    <col min="510" max="510" width="13" style="199" customWidth="1"/>
    <col min="511" max="511" width="25.875" style="199" customWidth="1"/>
    <col min="512" max="760" width="9" style="199"/>
    <col min="761" max="761" width="25.375" style="199" customWidth="1"/>
    <col min="762" max="763" width="9" style="199"/>
    <col min="764" max="764" width="7.375" style="199" customWidth="1"/>
    <col min="765" max="765" width="12.75" style="199" customWidth="1"/>
    <col min="766" max="766" width="13" style="199" customWidth="1"/>
    <col min="767" max="767" width="25.875" style="199" customWidth="1"/>
    <col min="768" max="1016" width="9" style="199"/>
    <col min="1017" max="1017" width="25.375" style="199" customWidth="1"/>
    <col min="1018" max="1019" width="9" style="199"/>
    <col min="1020" max="1020" width="7.375" style="199" customWidth="1"/>
    <col min="1021" max="1021" width="12.75" style="199" customWidth="1"/>
    <col min="1022" max="1022" width="13" style="199" customWidth="1"/>
    <col min="1023" max="1023" width="25.875" style="199" customWidth="1"/>
    <col min="1024" max="1272" width="9" style="199"/>
    <col min="1273" max="1273" width="25.375" style="199" customWidth="1"/>
    <col min="1274" max="1275" width="9" style="199"/>
    <col min="1276" max="1276" width="7.375" style="199" customWidth="1"/>
    <col min="1277" max="1277" width="12.75" style="199" customWidth="1"/>
    <col min="1278" max="1278" width="13" style="199" customWidth="1"/>
    <col min="1279" max="1279" width="25.875" style="199" customWidth="1"/>
    <col min="1280" max="1528" width="9" style="199"/>
    <col min="1529" max="1529" width="25.375" style="199" customWidth="1"/>
    <col min="1530" max="1531" width="9" style="199"/>
    <col min="1532" max="1532" width="7.375" style="199" customWidth="1"/>
    <col min="1533" max="1533" width="12.75" style="199" customWidth="1"/>
    <col min="1534" max="1534" width="13" style="199" customWidth="1"/>
    <col min="1535" max="1535" width="25.875" style="199" customWidth="1"/>
    <col min="1536" max="1784" width="9" style="199"/>
    <col min="1785" max="1785" width="25.375" style="199" customWidth="1"/>
    <col min="1786" max="1787" width="9" style="199"/>
    <col min="1788" max="1788" width="7.375" style="199" customWidth="1"/>
    <col min="1789" max="1789" width="12.75" style="199" customWidth="1"/>
    <col min="1790" max="1790" width="13" style="199" customWidth="1"/>
    <col min="1791" max="1791" width="25.875" style="199" customWidth="1"/>
    <col min="1792" max="2040" width="9" style="199"/>
    <col min="2041" max="2041" width="25.375" style="199" customWidth="1"/>
    <col min="2042" max="2043" width="9" style="199"/>
    <col min="2044" max="2044" width="7.375" style="199" customWidth="1"/>
    <col min="2045" max="2045" width="12.75" style="199" customWidth="1"/>
    <col min="2046" max="2046" width="13" style="199" customWidth="1"/>
    <col min="2047" max="2047" width="25.875" style="199" customWidth="1"/>
    <col min="2048" max="2296" width="9" style="199"/>
    <col min="2297" max="2297" width="25.375" style="199" customWidth="1"/>
    <col min="2298" max="2299" width="9" style="199"/>
    <col min="2300" max="2300" width="7.375" style="199" customWidth="1"/>
    <col min="2301" max="2301" width="12.75" style="199" customWidth="1"/>
    <col min="2302" max="2302" width="13" style="199" customWidth="1"/>
    <col min="2303" max="2303" width="25.875" style="199" customWidth="1"/>
    <col min="2304" max="2552" width="9" style="199"/>
    <col min="2553" max="2553" width="25.375" style="199" customWidth="1"/>
    <col min="2554" max="2555" width="9" style="199"/>
    <col min="2556" max="2556" width="7.375" style="199" customWidth="1"/>
    <col min="2557" max="2557" width="12.75" style="199" customWidth="1"/>
    <col min="2558" max="2558" width="13" style="199" customWidth="1"/>
    <col min="2559" max="2559" width="25.875" style="199" customWidth="1"/>
    <col min="2560" max="2808" width="9" style="199"/>
    <col min="2809" max="2809" width="25.375" style="199" customWidth="1"/>
    <col min="2810" max="2811" width="9" style="199"/>
    <col min="2812" max="2812" width="7.375" style="199" customWidth="1"/>
    <col min="2813" max="2813" width="12.75" style="199" customWidth="1"/>
    <col min="2814" max="2814" width="13" style="199" customWidth="1"/>
    <col min="2815" max="2815" width="25.875" style="199" customWidth="1"/>
    <col min="2816" max="3064" width="9" style="199"/>
    <col min="3065" max="3065" width="25.375" style="199" customWidth="1"/>
    <col min="3066" max="3067" width="9" style="199"/>
    <col min="3068" max="3068" width="7.375" style="199" customWidth="1"/>
    <col min="3069" max="3069" width="12.75" style="199" customWidth="1"/>
    <col min="3070" max="3070" width="13" style="199" customWidth="1"/>
    <col min="3071" max="3071" width="25.875" style="199" customWidth="1"/>
    <col min="3072" max="3320" width="9" style="199"/>
    <col min="3321" max="3321" width="25.375" style="199" customWidth="1"/>
    <col min="3322" max="3323" width="9" style="199"/>
    <col min="3324" max="3324" width="7.375" style="199" customWidth="1"/>
    <col min="3325" max="3325" width="12.75" style="199" customWidth="1"/>
    <col min="3326" max="3326" width="13" style="199" customWidth="1"/>
    <col min="3327" max="3327" width="25.875" style="199" customWidth="1"/>
    <col min="3328" max="3576" width="9" style="199"/>
    <col min="3577" max="3577" width="25.375" style="199" customWidth="1"/>
    <col min="3578" max="3579" width="9" style="199"/>
    <col min="3580" max="3580" width="7.375" style="199" customWidth="1"/>
    <col min="3581" max="3581" width="12.75" style="199" customWidth="1"/>
    <col min="3582" max="3582" width="13" style="199" customWidth="1"/>
    <col min="3583" max="3583" width="25.875" style="199" customWidth="1"/>
    <col min="3584" max="3832" width="9" style="199"/>
    <col min="3833" max="3833" width="25.375" style="199" customWidth="1"/>
    <col min="3834" max="3835" width="9" style="199"/>
    <col min="3836" max="3836" width="7.375" style="199" customWidth="1"/>
    <col min="3837" max="3837" width="12.75" style="199" customWidth="1"/>
    <col min="3838" max="3838" width="13" style="199" customWidth="1"/>
    <col min="3839" max="3839" width="25.875" style="199" customWidth="1"/>
    <col min="3840" max="4088" width="9" style="199"/>
    <col min="4089" max="4089" width="25.375" style="199" customWidth="1"/>
    <col min="4090" max="4091" width="9" style="199"/>
    <col min="4092" max="4092" width="7.375" style="199" customWidth="1"/>
    <col min="4093" max="4093" width="12.75" style="199" customWidth="1"/>
    <col min="4094" max="4094" width="13" style="199" customWidth="1"/>
    <col min="4095" max="4095" width="25.875" style="199" customWidth="1"/>
    <col min="4096" max="4344" width="9" style="199"/>
    <col min="4345" max="4345" width="25.375" style="199" customWidth="1"/>
    <col min="4346" max="4347" width="9" style="199"/>
    <col min="4348" max="4348" width="7.375" style="199" customWidth="1"/>
    <col min="4349" max="4349" width="12.75" style="199" customWidth="1"/>
    <col min="4350" max="4350" width="13" style="199" customWidth="1"/>
    <col min="4351" max="4351" width="25.875" style="199" customWidth="1"/>
    <col min="4352" max="4600" width="9" style="199"/>
    <col min="4601" max="4601" width="25.375" style="199" customWidth="1"/>
    <col min="4602" max="4603" width="9" style="199"/>
    <col min="4604" max="4604" width="7.375" style="199" customWidth="1"/>
    <col min="4605" max="4605" width="12.75" style="199" customWidth="1"/>
    <col min="4606" max="4606" width="13" style="199" customWidth="1"/>
    <col min="4607" max="4607" width="25.875" style="199" customWidth="1"/>
    <col min="4608" max="4856" width="9" style="199"/>
    <col min="4857" max="4857" width="25.375" style="199" customWidth="1"/>
    <col min="4858" max="4859" width="9" style="199"/>
    <col min="4860" max="4860" width="7.375" style="199" customWidth="1"/>
    <col min="4861" max="4861" width="12.75" style="199" customWidth="1"/>
    <col min="4862" max="4862" width="13" style="199" customWidth="1"/>
    <col min="4863" max="4863" width="25.875" style="199" customWidth="1"/>
    <col min="4864" max="5112" width="9" style="199"/>
    <col min="5113" max="5113" width="25.375" style="199" customWidth="1"/>
    <col min="5114" max="5115" width="9" style="199"/>
    <col min="5116" max="5116" width="7.375" style="199" customWidth="1"/>
    <col min="5117" max="5117" width="12.75" style="199" customWidth="1"/>
    <col min="5118" max="5118" width="13" style="199" customWidth="1"/>
    <col min="5119" max="5119" width="25.875" style="199" customWidth="1"/>
    <col min="5120" max="5368" width="9" style="199"/>
    <col min="5369" max="5369" width="25.375" style="199" customWidth="1"/>
    <col min="5370" max="5371" width="9" style="199"/>
    <col min="5372" max="5372" width="7.375" style="199" customWidth="1"/>
    <col min="5373" max="5373" width="12.75" style="199" customWidth="1"/>
    <col min="5374" max="5374" width="13" style="199" customWidth="1"/>
    <col min="5375" max="5375" width="25.875" style="199" customWidth="1"/>
    <col min="5376" max="5624" width="9" style="199"/>
    <col min="5625" max="5625" width="25.375" style="199" customWidth="1"/>
    <col min="5626" max="5627" width="9" style="199"/>
    <col min="5628" max="5628" width="7.375" style="199" customWidth="1"/>
    <col min="5629" max="5629" width="12.75" style="199" customWidth="1"/>
    <col min="5630" max="5630" width="13" style="199" customWidth="1"/>
    <col min="5631" max="5631" width="25.875" style="199" customWidth="1"/>
    <col min="5632" max="5880" width="9" style="199"/>
    <col min="5881" max="5881" width="25.375" style="199" customWidth="1"/>
    <col min="5882" max="5883" width="9" style="199"/>
    <col min="5884" max="5884" width="7.375" style="199" customWidth="1"/>
    <col min="5885" max="5885" width="12.75" style="199" customWidth="1"/>
    <col min="5886" max="5886" width="13" style="199" customWidth="1"/>
    <col min="5887" max="5887" width="25.875" style="199" customWidth="1"/>
    <col min="5888" max="6136" width="9" style="199"/>
    <col min="6137" max="6137" width="25.375" style="199" customWidth="1"/>
    <col min="6138" max="6139" width="9" style="199"/>
    <col min="6140" max="6140" width="7.375" style="199" customWidth="1"/>
    <col min="6141" max="6141" width="12.75" style="199" customWidth="1"/>
    <col min="6142" max="6142" width="13" style="199" customWidth="1"/>
    <col min="6143" max="6143" width="25.875" style="199" customWidth="1"/>
    <col min="6144" max="6392" width="9" style="199"/>
    <col min="6393" max="6393" width="25.375" style="199" customWidth="1"/>
    <col min="6394" max="6395" width="9" style="199"/>
    <col min="6396" max="6396" width="7.375" style="199" customWidth="1"/>
    <col min="6397" max="6397" width="12.75" style="199" customWidth="1"/>
    <col min="6398" max="6398" width="13" style="199" customWidth="1"/>
    <col min="6399" max="6399" width="25.875" style="199" customWidth="1"/>
    <col min="6400" max="6648" width="9" style="199"/>
    <col min="6649" max="6649" width="25.375" style="199" customWidth="1"/>
    <col min="6650" max="6651" width="9" style="199"/>
    <col min="6652" max="6652" width="7.375" style="199" customWidth="1"/>
    <col min="6653" max="6653" width="12.75" style="199" customWidth="1"/>
    <col min="6654" max="6654" width="13" style="199" customWidth="1"/>
    <col min="6655" max="6655" width="25.875" style="199" customWidth="1"/>
    <col min="6656" max="6904" width="9" style="199"/>
    <col min="6905" max="6905" width="25.375" style="199" customWidth="1"/>
    <col min="6906" max="6907" width="9" style="199"/>
    <col min="6908" max="6908" width="7.375" style="199" customWidth="1"/>
    <col min="6909" max="6909" width="12.75" style="199" customWidth="1"/>
    <col min="6910" max="6910" width="13" style="199" customWidth="1"/>
    <col min="6911" max="6911" width="25.875" style="199" customWidth="1"/>
    <col min="6912" max="7160" width="9" style="199"/>
    <col min="7161" max="7161" width="25.375" style="199" customWidth="1"/>
    <col min="7162" max="7163" width="9" style="199"/>
    <col min="7164" max="7164" width="7.375" style="199" customWidth="1"/>
    <col min="7165" max="7165" width="12.75" style="199" customWidth="1"/>
    <col min="7166" max="7166" width="13" style="199" customWidth="1"/>
    <col min="7167" max="7167" width="25.875" style="199" customWidth="1"/>
    <col min="7168" max="7416" width="9" style="199"/>
    <col min="7417" max="7417" width="25.375" style="199" customWidth="1"/>
    <col min="7418" max="7419" width="9" style="199"/>
    <col min="7420" max="7420" width="7.375" style="199" customWidth="1"/>
    <col min="7421" max="7421" width="12.75" style="199" customWidth="1"/>
    <col min="7422" max="7422" width="13" style="199" customWidth="1"/>
    <col min="7423" max="7423" width="25.875" style="199" customWidth="1"/>
    <col min="7424" max="7672" width="9" style="199"/>
    <col min="7673" max="7673" width="25.375" style="199" customWidth="1"/>
    <col min="7674" max="7675" width="9" style="199"/>
    <col min="7676" max="7676" width="7.375" style="199" customWidth="1"/>
    <col min="7677" max="7677" width="12.75" style="199" customWidth="1"/>
    <col min="7678" max="7678" width="13" style="199" customWidth="1"/>
    <col min="7679" max="7679" width="25.875" style="199" customWidth="1"/>
    <col min="7680" max="7928" width="9" style="199"/>
    <col min="7929" max="7929" width="25.375" style="199" customWidth="1"/>
    <col min="7930" max="7931" width="9" style="199"/>
    <col min="7932" max="7932" width="7.375" style="199" customWidth="1"/>
    <col min="7933" max="7933" width="12.75" style="199" customWidth="1"/>
    <col min="7934" max="7934" width="13" style="199" customWidth="1"/>
    <col min="7935" max="7935" width="25.875" style="199" customWidth="1"/>
    <col min="7936" max="8184" width="9" style="199"/>
    <col min="8185" max="8185" width="25.375" style="199" customWidth="1"/>
    <col min="8186" max="8187" width="9" style="199"/>
    <col min="8188" max="8188" width="7.375" style="199" customWidth="1"/>
    <col min="8189" max="8189" width="12.75" style="199" customWidth="1"/>
    <col min="8190" max="8190" width="13" style="199" customWidth="1"/>
    <col min="8191" max="8191" width="25.875" style="199" customWidth="1"/>
    <col min="8192" max="8440" width="9" style="199"/>
    <col min="8441" max="8441" width="25.375" style="199" customWidth="1"/>
    <col min="8442" max="8443" width="9" style="199"/>
    <col min="8444" max="8444" width="7.375" style="199" customWidth="1"/>
    <col min="8445" max="8445" width="12.75" style="199" customWidth="1"/>
    <col min="8446" max="8446" width="13" style="199" customWidth="1"/>
    <col min="8447" max="8447" width="25.875" style="199" customWidth="1"/>
    <col min="8448" max="8696" width="9" style="199"/>
    <col min="8697" max="8697" width="25.375" style="199" customWidth="1"/>
    <col min="8698" max="8699" width="9" style="199"/>
    <col min="8700" max="8700" width="7.375" style="199" customWidth="1"/>
    <col min="8701" max="8701" width="12.75" style="199" customWidth="1"/>
    <col min="8702" max="8702" width="13" style="199" customWidth="1"/>
    <col min="8703" max="8703" width="25.875" style="199" customWidth="1"/>
    <col min="8704" max="8952" width="9" style="199"/>
    <col min="8953" max="8953" width="25.375" style="199" customWidth="1"/>
    <col min="8954" max="8955" width="9" style="199"/>
    <col min="8956" max="8956" width="7.375" style="199" customWidth="1"/>
    <col min="8957" max="8957" width="12.75" style="199" customWidth="1"/>
    <col min="8958" max="8958" width="13" style="199" customWidth="1"/>
    <col min="8959" max="8959" width="25.875" style="199" customWidth="1"/>
    <col min="8960" max="9208" width="9" style="199"/>
    <col min="9209" max="9209" width="25.375" style="199" customWidth="1"/>
    <col min="9210" max="9211" width="9" style="199"/>
    <col min="9212" max="9212" width="7.375" style="199" customWidth="1"/>
    <col min="9213" max="9213" width="12.75" style="199" customWidth="1"/>
    <col min="9214" max="9214" width="13" style="199" customWidth="1"/>
    <col min="9215" max="9215" width="25.875" style="199" customWidth="1"/>
    <col min="9216" max="9464" width="9" style="199"/>
    <col min="9465" max="9465" width="25.375" style="199" customWidth="1"/>
    <col min="9466" max="9467" width="9" style="199"/>
    <col min="9468" max="9468" width="7.375" style="199" customWidth="1"/>
    <col min="9469" max="9469" width="12.75" style="199" customWidth="1"/>
    <col min="9470" max="9470" width="13" style="199" customWidth="1"/>
    <col min="9471" max="9471" width="25.875" style="199" customWidth="1"/>
    <col min="9472" max="9720" width="9" style="199"/>
    <col min="9721" max="9721" width="25.375" style="199" customWidth="1"/>
    <col min="9722" max="9723" width="9" style="199"/>
    <col min="9724" max="9724" width="7.375" style="199" customWidth="1"/>
    <col min="9725" max="9725" width="12.75" style="199" customWidth="1"/>
    <col min="9726" max="9726" width="13" style="199" customWidth="1"/>
    <col min="9727" max="9727" width="25.875" style="199" customWidth="1"/>
    <col min="9728" max="9976" width="9" style="199"/>
    <col min="9977" max="9977" width="25.375" style="199" customWidth="1"/>
    <col min="9978" max="9979" width="9" style="199"/>
    <col min="9980" max="9980" width="7.375" style="199" customWidth="1"/>
    <col min="9981" max="9981" width="12.75" style="199" customWidth="1"/>
    <col min="9982" max="9982" width="13" style="199" customWidth="1"/>
    <col min="9983" max="9983" width="25.875" style="199" customWidth="1"/>
    <col min="9984" max="10232" width="9" style="199"/>
    <col min="10233" max="10233" width="25.375" style="199" customWidth="1"/>
    <col min="10234" max="10235" width="9" style="199"/>
    <col min="10236" max="10236" width="7.375" style="199" customWidth="1"/>
    <col min="10237" max="10237" width="12.75" style="199" customWidth="1"/>
    <col min="10238" max="10238" width="13" style="199" customWidth="1"/>
    <col min="10239" max="10239" width="25.875" style="199" customWidth="1"/>
    <col min="10240" max="10488" width="9" style="199"/>
    <col min="10489" max="10489" width="25.375" style="199" customWidth="1"/>
    <col min="10490" max="10491" width="9" style="199"/>
    <col min="10492" max="10492" width="7.375" style="199" customWidth="1"/>
    <col min="10493" max="10493" width="12.75" style="199" customWidth="1"/>
    <col min="10494" max="10494" width="13" style="199" customWidth="1"/>
    <col min="10495" max="10495" width="25.875" style="199" customWidth="1"/>
    <col min="10496" max="10744" width="9" style="199"/>
    <col min="10745" max="10745" width="25.375" style="199" customWidth="1"/>
    <col min="10746" max="10747" width="9" style="199"/>
    <col min="10748" max="10748" width="7.375" style="199" customWidth="1"/>
    <col min="10749" max="10749" width="12.75" style="199" customWidth="1"/>
    <col min="10750" max="10750" width="13" style="199" customWidth="1"/>
    <col min="10751" max="10751" width="25.875" style="199" customWidth="1"/>
    <col min="10752" max="11000" width="9" style="199"/>
    <col min="11001" max="11001" width="25.375" style="199" customWidth="1"/>
    <col min="11002" max="11003" width="9" style="199"/>
    <col min="11004" max="11004" width="7.375" style="199" customWidth="1"/>
    <col min="11005" max="11005" width="12.75" style="199" customWidth="1"/>
    <col min="11006" max="11006" width="13" style="199" customWidth="1"/>
    <col min="11007" max="11007" width="25.875" style="199" customWidth="1"/>
    <col min="11008" max="11256" width="9" style="199"/>
    <col min="11257" max="11257" width="25.375" style="199" customWidth="1"/>
    <col min="11258" max="11259" width="9" style="199"/>
    <col min="11260" max="11260" width="7.375" style="199" customWidth="1"/>
    <col min="11261" max="11261" width="12.75" style="199" customWidth="1"/>
    <col min="11262" max="11262" width="13" style="199" customWidth="1"/>
    <col min="11263" max="11263" width="25.875" style="199" customWidth="1"/>
    <col min="11264" max="11512" width="9" style="199"/>
    <col min="11513" max="11513" width="25.375" style="199" customWidth="1"/>
    <col min="11514" max="11515" width="9" style="199"/>
    <col min="11516" max="11516" width="7.375" style="199" customWidth="1"/>
    <col min="11517" max="11517" width="12.75" style="199" customWidth="1"/>
    <col min="11518" max="11518" width="13" style="199" customWidth="1"/>
    <col min="11519" max="11519" width="25.875" style="199" customWidth="1"/>
    <col min="11520" max="11768" width="9" style="199"/>
    <col min="11769" max="11769" width="25.375" style="199" customWidth="1"/>
    <col min="11770" max="11771" width="9" style="199"/>
    <col min="11772" max="11772" width="7.375" style="199" customWidth="1"/>
    <col min="11773" max="11773" width="12.75" style="199" customWidth="1"/>
    <col min="11774" max="11774" width="13" style="199" customWidth="1"/>
    <col min="11775" max="11775" width="25.875" style="199" customWidth="1"/>
    <col min="11776" max="12024" width="9" style="199"/>
    <col min="12025" max="12025" width="25.375" style="199" customWidth="1"/>
    <col min="12026" max="12027" width="9" style="199"/>
    <col min="12028" max="12028" width="7.375" style="199" customWidth="1"/>
    <col min="12029" max="12029" width="12.75" style="199" customWidth="1"/>
    <col min="12030" max="12030" width="13" style="199" customWidth="1"/>
    <col min="12031" max="12031" width="25.875" style="199" customWidth="1"/>
    <col min="12032" max="12280" width="9" style="199"/>
    <col min="12281" max="12281" width="25.375" style="199" customWidth="1"/>
    <col min="12282" max="12283" width="9" style="199"/>
    <col min="12284" max="12284" width="7.375" style="199" customWidth="1"/>
    <col min="12285" max="12285" width="12.75" style="199" customWidth="1"/>
    <col min="12286" max="12286" width="13" style="199" customWidth="1"/>
    <col min="12287" max="12287" width="25.875" style="199" customWidth="1"/>
    <col min="12288" max="12536" width="9" style="199"/>
    <col min="12537" max="12537" width="25.375" style="199" customWidth="1"/>
    <col min="12538" max="12539" width="9" style="199"/>
    <col min="12540" max="12540" width="7.375" style="199" customWidth="1"/>
    <col min="12541" max="12541" width="12.75" style="199" customWidth="1"/>
    <col min="12542" max="12542" width="13" style="199" customWidth="1"/>
    <col min="12543" max="12543" width="25.875" style="199" customWidth="1"/>
    <col min="12544" max="12792" width="9" style="199"/>
    <col min="12793" max="12793" width="25.375" style="199" customWidth="1"/>
    <col min="12794" max="12795" width="9" style="199"/>
    <col min="12796" max="12796" width="7.375" style="199" customWidth="1"/>
    <col min="12797" max="12797" width="12.75" style="199" customWidth="1"/>
    <col min="12798" max="12798" width="13" style="199" customWidth="1"/>
    <col min="12799" max="12799" width="25.875" style="199" customWidth="1"/>
    <col min="12800" max="13048" width="9" style="199"/>
    <col min="13049" max="13049" width="25.375" style="199" customWidth="1"/>
    <col min="13050" max="13051" width="9" style="199"/>
    <col min="13052" max="13052" width="7.375" style="199" customWidth="1"/>
    <col min="13053" max="13053" width="12.75" style="199" customWidth="1"/>
    <col min="13054" max="13054" width="13" style="199" customWidth="1"/>
    <col min="13055" max="13055" width="25.875" style="199" customWidth="1"/>
    <col min="13056" max="13304" width="9" style="199"/>
    <col min="13305" max="13305" width="25.375" style="199" customWidth="1"/>
    <col min="13306" max="13307" width="9" style="199"/>
    <col min="13308" max="13308" width="7.375" style="199" customWidth="1"/>
    <col min="13309" max="13309" width="12.75" style="199" customWidth="1"/>
    <col min="13310" max="13310" width="13" style="199" customWidth="1"/>
    <col min="13311" max="13311" width="25.875" style="199" customWidth="1"/>
    <col min="13312" max="13560" width="9" style="199"/>
    <col min="13561" max="13561" width="25.375" style="199" customWidth="1"/>
    <col min="13562" max="13563" width="9" style="199"/>
    <col min="13564" max="13564" width="7.375" style="199" customWidth="1"/>
    <col min="13565" max="13565" width="12.75" style="199" customWidth="1"/>
    <col min="13566" max="13566" width="13" style="199" customWidth="1"/>
    <col min="13567" max="13567" width="25.875" style="199" customWidth="1"/>
    <col min="13568" max="13816" width="9" style="199"/>
    <col min="13817" max="13817" width="25.375" style="199" customWidth="1"/>
    <col min="13818" max="13819" width="9" style="199"/>
    <col min="13820" max="13820" width="7.375" style="199" customWidth="1"/>
    <col min="13821" max="13821" width="12.75" style="199" customWidth="1"/>
    <col min="13822" max="13822" width="13" style="199" customWidth="1"/>
    <col min="13823" max="13823" width="25.875" style="199" customWidth="1"/>
    <col min="13824" max="14072" width="9" style="199"/>
    <col min="14073" max="14073" width="25.375" style="199" customWidth="1"/>
    <col min="14074" max="14075" width="9" style="199"/>
    <col min="14076" max="14076" width="7.375" style="199" customWidth="1"/>
    <col min="14077" max="14077" width="12.75" style="199" customWidth="1"/>
    <col min="14078" max="14078" width="13" style="199" customWidth="1"/>
    <col min="14079" max="14079" width="25.875" style="199" customWidth="1"/>
    <col min="14080" max="14328" width="9" style="199"/>
    <col min="14329" max="14329" width="25.375" style="199" customWidth="1"/>
    <col min="14330" max="14331" width="9" style="199"/>
    <col min="14332" max="14332" width="7.375" style="199" customWidth="1"/>
    <col min="14333" max="14333" width="12.75" style="199" customWidth="1"/>
    <col min="14334" max="14334" width="13" style="199" customWidth="1"/>
    <col min="14335" max="14335" width="25.875" style="199" customWidth="1"/>
    <col min="14336" max="14584" width="9" style="199"/>
    <col min="14585" max="14585" width="25.375" style="199" customWidth="1"/>
    <col min="14586" max="14587" width="9" style="199"/>
    <col min="14588" max="14588" width="7.375" style="199" customWidth="1"/>
    <col min="14589" max="14589" width="12.75" style="199" customWidth="1"/>
    <col min="14590" max="14590" width="13" style="199" customWidth="1"/>
    <col min="14591" max="14591" width="25.875" style="199" customWidth="1"/>
    <col min="14592" max="14840" width="9" style="199"/>
    <col min="14841" max="14841" width="25.375" style="199" customWidth="1"/>
    <col min="14842" max="14843" width="9" style="199"/>
    <col min="14844" max="14844" width="7.375" style="199" customWidth="1"/>
    <col min="14845" max="14845" width="12.75" style="199" customWidth="1"/>
    <col min="14846" max="14846" width="13" style="199" customWidth="1"/>
    <col min="14847" max="14847" width="25.875" style="199" customWidth="1"/>
    <col min="14848" max="15096" width="9" style="199"/>
    <col min="15097" max="15097" width="25.375" style="199" customWidth="1"/>
    <col min="15098" max="15099" width="9" style="199"/>
    <col min="15100" max="15100" width="7.375" style="199" customWidth="1"/>
    <col min="15101" max="15101" width="12.75" style="199" customWidth="1"/>
    <col min="15102" max="15102" width="13" style="199" customWidth="1"/>
    <col min="15103" max="15103" width="25.875" style="199" customWidth="1"/>
    <col min="15104" max="15352" width="9" style="199"/>
    <col min="15353" max="15353" width="25.375" style="199" customWidth="1"/>
    <col min="15354" max="15355" width="9" style="199"/>
    <col min="15356" max="15356" width="7.375" style="199" customWidth="1"/>
    <col min="15357" max="15357" width="12.75" style="199" customWidth="1"/>
    <col min="15358" max="15358" width="13" style="199" customWidth="1"/>
    <col min="15359" max="15359" width="25.875" style="199" customWidth="1"/>
    <col min="15360" max="15608" width="9" style="199"/>
    <col min="15609" max="15609" width="25.375" style="199" customWidth="1"/>
    <col min="15610" max="15611" width="9" style="199"/>
    <col min="15612" max="15612" width="7.375" style="199" customWidth="1"/>
    <col min="15613" max="15613" width="12.75" style="199" customWidth="1"/>
    <col min="15614" max="15614" width="13" style="199" customWidth="1"/>
    <col min="15615" max="15615" width="25.875" style="199" customWidth="1"/>
    <col min="15616" max="15864" width="9" style="199"/>
    <col min="15865" max="15865" width="25.375" style="199" customWidth="1"/>
    <col min="15866" max="15867" width="9" style="199"/>
    <col min="15868" max="15868" width="7.375" style="199" customWidth="1"/>
    <col min="15869" max="15869" width="12.75" style="199" customWidth="1"/>
    <col min="15870" max="15870" width="13" style="199" customWidth="1"/>
    <col min="15871" max="15871" width="25.875" style="199" customWidth="1"/>
    <col min="15872" max="16120" width="9" style="199"/>
    <col min="16121" max="16121" width="25.375" style="199" customWidth="1"/>
    <col min="16122" max="16123" width="9" style="199"/>
    <col min="16124" max="16124" width="7.375" style="199" customWidth="1"/>
    <col min="16125" max="16125" width="12.75" style="199" customWidth="1"/>
    <col min="16126" max="16126" width="13" style="199" customWidth="1"/>
    <col min="16127" max="16127" width="25.875" style="199" customWidth="1"/>
    <col min="16128" max="16384" width="9" style="199"/>
  </cols>
  <sheetData>
    <row r="1" spans="1:9">
      <c r="A1" s="1458" t="s">
        <v>473</v>
      </c>
      <c r="B1" s="1458"/>
      <c r="C1" s="1458"/>
      <c r="D1" s="1458"/>
      <c r="E1" s="1458"/>
      <c r="F1" s="1458"/>
      <c r="G1" s="1458"/>
      <c r="H1" s="1458"/>
      <c r="I1" s="198"/>
    </row>
    <row r="2" spans="1:9">
      <c r="A2" s="200"/>
      <c r="B2" s="198"/>
      <c r="C2" s="198"/>
      <c r="D2" s="198"/>
      <c r="E2" s="198"/>
      <c r="F2" s="198"/>
      <c r="G2" s="198"/>
      <c r="H2" s="198"/>
      <c r="I2" s="198"/>
    </row>
    <row r="3" spans="1:9" ht="12.75" customHeight="1">
      <c r="A3" s="1459" t="s">
        <v>220</v>
      </c>
      <c r="B3" s="1459" t="s">
        <v>221</v>
      </c>
      <c r="C3" s="1459" t="s">
        <v>222</v>
      </c>
      <c r="D3" s="1462" t="s">
        <v>223</v>
      </c>
      <c r="E3" s="1463"/>
      <c r="F3" s="1459" t="s">
        <v>224</v>
      </c>
      <c r="G3" s="1459" t="s">
        <v>225</v>
      </c>
      <c r="H3" s="1459" t="s">
        <v>226</v>
      </c>
      <c r="I3" s="198"/>
    </row>
    <row r="4" spans="1:9">
      <c r="A4" s="1460"/>
      <c r="B4" s="1460"/>
      <c r="C4" s="1460"/>
      <c r="D4" s="201" t="s">
        <v>227</v>
      </c>
      <c r="E4" s="201" t="s">
        <v>228</v>
      </c>
      <c r="F4" s="1460"/>
      <c r="G4" s="1460"/>
      <c r="H4" s="1460"/>
      <c r="I4" s="198"/>
    </row>
    <row r="5" spans="1:9">
      <c r="A5" s="1461"/>
      <c r="B5" s="1461"/>
      <c r="C5" s="202" t="s">
        <v>132</v>
      </c>
      <c r="D5" s="202" t="s">
        <v>133</v>
      </c>
      <c r="E5" s="202" t="s">
        <v>229</v>
      </c>
      <c r="F5" s="202" t="s">
        <v>230</v>
      </c>
      <c r="G5" s="203" t="s">
        <v>231</v>
      </c>
      <c r="H5" s="202" t="s">
        <v>232</v>
      </c>
      <c r="I5" s="198"/>
    </row>
    <row r="6" spans="1:9">
      <c r="A6" s="204" t="s">
        <v>233</v>
      </c>
      <c r="B6" s="482" t="s">
        <v>468</v>
      </c>
      <c r="C6" s="206">
        <v>7</v>
      </c>
      <c r="D6" s="207">
        <v>24</v>
      </c>
      <c r="E6" s="207">
        <v>6</v>
      </c>
      <c r="F6" s="532">
        <v>30</v>
      </c>
      <c r="G6" s="208">
        <v>5</v>
      </c>
      <c r="H6" s="208">
        <f>F6*G6</f>
        <v>150</v>
      </c>
      <c r="I6" s="198"/>
    </row>
    <row r="7" spans="1:9">
      <c r="A7" s="204" t="s">
        <v>234</v>
      </c>
      <c r="B7" s="482" t="s">
        <v>469</v>
      </c>
      <c r="C7" s="206">
        <v>1</v>
      </c>
      <c r="D7" s="210">
        <v>24</v>
      </c>
      <c r="E7" s="210">
        <v>6</v>
      </c>
      <c r="F7" s="210">
        <f>C7*D7/E7</f>
        <v>4</v>
      </c>
      <c r="G7" s="208">
        <v>5</v>
      </c>
      <c r="H7" s="211">
        <f>F7*G7</f>
        <v>20</v>
      </c>
      <c r="I7" s="198"/>
    </row>
    <row r="8" spans="1:9">
      <c r="A8" s="204" t="s">
        <v>235</v>
      </c>
      <c r="B8" s="483" t="s">
        <v>470</v>
      </c>
      <c r="C8" s="206">
        <v>2</v>
      </c>
      <c r="D8" s="212">
        <v>12</v>
      </c>
      <c r="E8" s="212">
        <v>6</v>
      </c>
      <c r="F8" s="212">
        <f>C8*D8/E8</f>
        <v>4</v>
      </c>
      <c r="G8" s="208">
        <v>5</v>
      </c>
      <c r="H8" s="211">
        <f>F8*G8</f>
        <v>20</v>
      </c>
      <c r="I8" s="198"/>
    </row>
    <row r="9" spans="1:9">
      <c r="A9" s="204" t="s">
        <v>236</v>
      </c>
      <c r="B9" s="482" t="s">
        <v>471</v>
      </c>
      <c r="C9" s="206">
        <v>1</v>
      </c>
      <c r="D9" s="212">
        <v>24</v>
      </c>
      <c r="E9" s="210">
        <v>8</v>
      </c>
      <c r="F9" s="210">
        <f>C9*D9/E9</f>
        <v>3</v>
      </c>
      <c r="G9" s="208">
        <v>5</v>
      </c>
      <c r="H9" s="211">
        <f>F9*G9</f>
        <v>15</v>
      </c>
      <c r="I9" s="198"/>
    </row>
    <row r="10" spans="1:9">
      <c r="A10" s="213" t="s">
        <v>237</v>
      </c>
      <c r="B10" s="214"/>
      <c r="C10" s="215"/>
      <c r="D10" s="216"/>
      <c r="E10" s="216"/>
      <c r="F10" s="215">
        <f>SUM(F6:F9)</f>
        <v>41</v>
      </c>
      <c r="G10" s="217"/>
      <c r="H10" s="217">
        <f>SUM(H6:H9)*5.9%</f>
        <v>12.095000000000001</v>
      </c>
      <c r="I10" s="481" t="s">
        <v>467</v>
      </c>
    </row>
    <row r="11" spans="1:9">
      <c r="A11" s="218" t="s">
        <v>238</v>
      </c>
      <c r="B11" s="219"/>
      <c r="C11" s="220"/>
      <c r="D11" s="210"/>
      <c r="E11" s="210"/>
      <c r="F11" s="220">
        <v>2</v>
      </c>
      <c r="G11" s="211">
        <v>5</v>
      </c>
      <c r="H11" s="211">
        <f>F11*G11</f>
        <v>10</v>
      </c>
      <c r="I11" s="198"/>
    </row>
    <row r="12" spans="1:9">
      <c r="A12" s="213" t="s">
        <v>239</v>
      </c>
      <c r="B12" s="221"/>
      <c r="C12" s="215"/>
      <c r="D12" s="216"/>
      <c r="E12" s="216"/>
      <c r="F12" s="215"/>
      <c r="G12" s="217"/>
      <c r="H12" s="217">
        <f>SUM(H10:H11)</f>
        <v>22.094999999999999</v>
      </c>
      <c r="I12" s="198"/>
    </row>
    <row r="13" spans="1:9">
      <c r="A13" s="200"/>
      <c r="B13" s="198"/>
      <c r="C13" s="198"/>
      <c r="D13" s="198"/>
      <c r="E13" s="198"/>
      <c r="F13" s="198"/>
      <c r="G13" s="198"/>
      <c r="H13" s="209"/>
      <c r="I13" s="198"/>
    </row>
    <row r="14" spans="1:9">
      <c r="A14" s="222"/>
      <c r="B14" s="199"/>
      <c r="C14" s="199"/>
    </row>
    <row r="15" spans="1:9">
      <c r="A15" s="1464" t="s">
        <v>474</v>
      </c>
      <c r="B15" s="1464"/>
      <c r="C15" s="1464"/>
      <c r="D15" s="1464"/>
      <c r="E15" s="1464"/>
      <c r="F15" s="1464"/>
      <c r="G15" s="1464"/>
      <c r="H15" s="1464"/>
    </row>
    <row r="16" spans="1:9">
      <c r="A16" s="223"/>
      <c r="B16" s="223"/>
      <c r="C16" s="223"/>
      <c r="D16" s="223"/>
      <c r="E16" s="223"/>
      <c r="F16" s="223"/>
      <c r="G16" s="223"/>
      <c r="H16" s="223"/>
    </row>
    <row r="17" spans="1:8" ht="28.5" customHeight="1">
      <c r="A17" s="1465"/>
      <c r="B17" s="1465" t="s">
        <v>240</v>
      </c>
      <c r="C17" s="1465" t="s">
        <v>222</v>
      </c>
      <c r="D17" s="1468" t="s">
        <v>223</v>
      </c>
      <c r="E17" s="1469"/>
      <c r="F17" s="1465" t="s">
        <v>224</v>
      </c>
      <c r="G17" s="1465" t="s">
        <v>225</v>
      </c>
      <c r="H17" s="1465" t="s">
        <v>226</v>
      </c>
    </row>
    <row r="18" spans="1:8">
      <c r="A18" s="1466"/>
      <c r="B18" s="1466"/>
      <c r="C18" s="1466"/>
      <c r="D18" s="224" t="s">
        <v>227</v>
      </c>
      <c r="E18" s="224" t="s">
        <v>228</v>
      </c>
      <c r="F18" s="1466"/>
      <c r="G18" s="1466"/>
      <c r="H18" s="1466"/>
    </row>
    <row r="19" spans="1:8">
      <c r="A19" s="1467"/>
      <c r="B19" s="1467"/>
      <c r="C19" s="225" t="s">
        <v>132</v>
      </c>
      <c r="D19" s="225" t="s">
        <v>133</v>
      </c>
      <c r="E19" s="225" t="s">
        <v>229</v>
      </c>
      <c r="F19" s="225" t="s">
        <v>230</v>
      </c>
      <c r="G19" s="226" t="s">
        <v>231</v>
      </c>
      <c r="H19" s="225" t="s">
        <v>232</v>
      </c>
    </row>
    <row r="20" spans="1:8">
      <c r="A20" s="227" t="s">
        <v>233</v>
      </c>
      <c r="B20" s="228" t="s">
        <v>241</v>
      </c>
      <c r="C20" s="229">
        <v>1</v>
      </c>
      <c r="D20" s="230">
        <v>24</v>
      </c>
      <c r="E20" s="230">
        <v>6</v>
      </c>
      <c r="F20" s="230">
        <f>C20*D20/E20</f>
        <v>4</v>
      </c>
      <c r="G20" s="231">
        <v>5</v>
      </c>
      <c r="H20" s="231">
        <f>F20*G20</f>
        <v>20</v>
      </c>
    </row>
    <row r="21" spans="1:8">
      <c r="A21" s="227" t="s">
        <v>242</v>
      </c>
      <c r="B21" s="228" t="s">
        <v>243</v>
      </c>
      <c r="C21" s="229">
        <v>1</v>
      </c>
      <c r="D21" s="230">
        <v>24</v>
      </c>
      <c r="E21" s="230">
        <v>6</v>
      </c>
      <c r="F21" s="230">
        <f>C21*D21/E21</f>
        <v>4</v>
      </c>
      <c r="G21" s="231">
        <v>5</v>
      </c>
      <c r="H21" s="231">
        <f>F21*G21</f>
        <v>20</v>
      </c>
    </row>
    <row r="22" spans="1:8">
      <c r="A22" s="227" t="s">
        <v>244</v>
      </c>
      <c r="B22" s="228" t="s">
        <v>245</v>
      </c>
      <c r="C22" s="229">
        <v>1</v>
      </c>
      <c r="D22" s="230">
        <v>6</v>
      </c>
      <c r="E22" s="230">
        <v>6</v>
      </c>
      <c r="F22" s="230">
        <f>C22*D22/E22</f>
        <v>1</v>
      </c>
      <c r="G22" s="231">
        <v>5</v>
      </c>
      <c r="H22" s="231">
        <f>F22*G22</f>
        <v>5</v>
      </c>
    </row>
    <row r="23" spans="1:8">
      <c r="A23" s="232" t="s">
        <v>237</v>
      </c>
      <c r="B23" s="233"/>
      <c r="C23" s="234"/>
      <c r="D23" s="235"/>
      <c r="E23" s="235"/>
      <c r="F23" s="234">
        <f>SUM(F20:F22)</f>
        <v>9</v>
      </c>
      <c r="G23" s="236"/>
      <c r="H23" s="236">
        <f>SUM(H20:H22)</f>
        <v>45</v>
      </c>
    </row>
    <row r="24" spans="1:8">
      <c r="A24" s="237" t="s">
        <v>238</v>
      </c>
      <c r="B24" s="238"/>
      <c r="C24" s="239"/>
      <c r="D24" s="240"/>
      <c r="E24" s="240"/>
      <c r="F24" s="239">
        <v>1</v>
      </c>
      <c r="G24" s="241">
        <v>5</v>
      </c>
      <c r="H24" s="241">
        <f>G24*F24</f>
        <v>5</v>
      </c>
    </row>
    <row r="25" spans="1:8">
      <c r="A25" s="232" t="s">
        <v>239</v>
      </c>
      <c r="B25" s="242"/>
      <c r="C25" s="234"/>
      <c r="D25" s="235"/>
      <c r="E25" s="235"/>
      <c r="F25" s="234"/>
      <c r="G25" s="236"/>
      <c r="H25" s="236">
        <f>SUM(H23:H24)</f>
        <v>50</v>
      </c>
    </row>
    <row r="26" spans="1:8">
      <c r="A26" s="222"/>
      <c r="B26" s="199"/>
      <c r="C26" s="199"/>
    </row>
    <row r="27" spans="1:8" ht="12.75" customHeight="1"/>
    <row r="28" spans="1:8">
      <c r="A28" s="1458" t="s">
        <v>472</v>
      </c>
      <c r="B28" s="1458"/>
      <c r="C28" s="1458"/>
      <c r="D28" s="1458"/>
      <c r="E28" s="1458"/>
      <c r="F28" s="1458"/>
      <c r="G28" s="1458"/>
      <c r="H28" s="1458"/>
    </row>
    <row r="29" spans="1:8">
      <c r="A29" s="243"/>
      <c r="B29" s="243"/>
      <c r="C29" s="243"/>
      <c r="D29" s="243"/>
      <c r="E29" s="243"/>
      <c r="F29" s="243"/>
      <c r="G29" s="243"/>
      <c r="H29" s="243"/>
    </row>
    <row r="30" spans="1:8" ht="12.75" customHeight="1">
      <c r="A30" s="1459"/>
      <c r="B30" s="1459" t="s">
        <v>240</v>
      </c>
      <c r="C30" s="1459" t="s">
        <v>222</v>
      </c>
      <c r="D30" s="1462" t="s">
        <v>223</v>
      </c>
      <c r="E30" s="1463"/>
      <c r="F30" s="1459" t="s">
        <v>224</v>
      </c>
      <c r="G30" s="1459" t="s">
        <v>225</v>
      </c>
      <c r="H30" s="1459" t="s">
        <v>226</v>
      </c>
    </row>
    <row r="31" spans="1:8">
      <c r="A31" s="1460"/>
      <c r="B31" s="1460"/>
      <c r="C31" s="1460"/>
      <c r="D31" s="201" t="s">
        <v>227</v>
      </c>
      <c r="E31" s="201" t="s">
        <v>228</v>
      </c>
      <c r="F31" s="1460"/>
      <c r="G31" s="1460"/>
      <c r="H31" s="1460"/>
    </row>
    <row r="32" spans="1:8">
      <c r="A32" s="1461"/>
      <c r="B32" s="1461"/>
      <c r="C32" s="202" t="s">
        <v>132</v>
      </c>
      <c r="D32" s="202" t="s">
        <v>133</v>
      </c>
      <c r="E32" s="202" t="s">
        <v>229</v>
      </c>
      <c r="F32" s="202" t="s">
        <v>230</v>
      </c>
      <c r="G32" s="203" t="s">
        <v>231</v>
      </c>
      <c r="H32" s="202" t="s">
        <v>232</v>
      </c>
    </row>
    <row r="33" spans="1:9">
      <c r="A33" s="204" t="s">
        <v>233</v>
      </c>
      <c r="B33" s="205" t="s">
        <v>241</v>
      </c>
      <c r="C33" s="206">
        <v>1</v>
      </c>
      <c r="D33" s="207">
        <v>24</v>
      </c>
      <c r="E33" s="207">
        <v>6</v>
      </c>
      <c r="F33" s="207">
        <f>C33*D33/E33</f>
        <v>4</v>
      </c>
      <c r="G33" s="208">
        <v>5</v>
      </c>
      <c r="H33" s="208">
        <f>F33*G33</f>
        <v>20</v>
      </c>
    </row>
    <row r="34" spans="1:9">
      <c r="A34" s="204" t="s">
        <v>242</v>
      </c>
      <c r="B34" s="205" t="s">
        <v>243</v>
      </c>
      <c r="C34" s="206">
        <v>1</v>
      </c>
      <c r="D34" s="207">
        <v>24</v>
      </c>
      <c r="E34" s="207">
        <v>6</v>
      </c>
      <c r="F34" s="207">
        <f>C34*D34/E34</f>
        <v>4</v>
      </c>
      <c r="G34" s="208">
        <v>5</v>
      </c>
      <c r="H34" s="208">
        <f>F34*G34</f>
        <v>20</v>
      </c>
    </row>
    <row r="35" spans="1:9">
      <c r="A35" s="213" t="s">
        <v>237</v>
      </c>
      <c r="B35" s="214"/>
      <c r="C35" s="215"/>
      <c r="D35" s="216"/>
      <c r="E35" s="216"/>
      <c r="F35" s="215">
        <f>SUM(F33:F34)</f>
        <v>8</v>
      </c>
      <c r="G35" s="217"/>
      <c r="H35" s="217">
        <f>SUM(H33:H34)*38%</f>
        <v>15.2</v>
      </c>
    </row>
    <row r="36" spans="1:9">
      <c r="A36" s="218" t="s">
        <v>238</v>
      </c>
      <c r="B36" s="219"/>
      <c r="C36" s="220"/>
      <c r="D36" s="210"/>
      <c r="E36" s="210"/>
      <c r="F36" s="220">
        <v>1</v>
      </c>
      <c r="G36" s="211">
        <v>5</v>
      </c>
      <c r="H36" s="211">
        <f>G36*F36</f>
        <v>5</v>
      </c>
    </row>
    <row r="37" spans="1:9">
      <c r="A37" s="213" t="s">
        <v>239</v>
      </c>
      <c r="B37" s="221"/>
      <c r="C37" s="215"/>
      <c r="D37" s="216"/>
      <c r="E37" s="216"/>
      <c r="F37" s="215"/>
      <c r="G37" s="217"/>
      <c r="H37" s="510">
        <f>SUM(H35:H36)</f>
        <v>20.2</v>
      </c>
      <c r="I37" s="484" t="s">
        <v>477</v>
      </c>
    </row>
    <row r="42" spans="1:9">
      <c r="A42" s="1470" t="s">
        <v>475</v>
      </c>
      <c r="B42" s="1470"/>
      <c r="C42" s="1470"/>
      <c r="D42" s="1470"/>
      <c r="E42" s="1470"/>
      <c r="F42" s="1470"/>
      <c r="G42" s="1470"/>
      <c r="H42" s="1470"/>
    </row>
    <row r="43" spans="1:9">
      <c r="A43" s="200"/>
      <c r="B43" s="198"/>
      <c r="C43" s="198"/>
      <c r="D43" s="198"/>
      <c r="E43" s="198"/>
      <c r="F43" s="198"/>
      <c r="G43" s="198"/>
      <c r="H43" s="198"/>
    </row>
    <row r="44" spans="1:9" ht="12.75" customHeight="1">
      <c r="A44" s="1459"/>
      <c r="B44" s="1459" t="s">
        <v>240</v>
      </c>
      <c r="C44" s="1459" t="s">
        <v>222</v>
      </c>
      <c r="D44" s="1462" t="s">
        <v>223</v>
      </c>
      <c r="E44" s="1463"/>
      <c r="F44" s="1459" t="s">
        <v>224</v>
      </c>
      <c r="G44" s="1459" t="s">
        <v>225</v>
      </c>
      <c r="H44" s="1459" t="s">
        <v>226</v>
      </c>
    </row>
    <row r="45" spans="1:9">
      <c r="A45" s="1460"/>
      <c r="B45" s="1460"/>
      <c r="C45" s="1460"/>
      <c r="D45" s="201" t="s">
        <v>227</v>
      </c>
      <c r="E45" s="201" t="s">
        <v>228</v>
      </c>
      <c r="F45" s="1460"/>
      <c r="G45" s="1460"/>
      <c r="H45" s="1460"/>
    </row>
    <row r="46" spans="1:9">
      <c r="A46" s="1461"/>
      <c r="B46" s="1461"/>
      <c r="C46" s="202" t="s">
        <v>132</v>
      </c>
      <c r="D46" s="202" t="s">
        <v>133</v>
      </c>
      <c r="E46" s="202" t="s">
        <v>229</v>
      </c>
      <c r="F46" s="202" t="s">
        <v>230</v>
      </c>
      <c r="G46" s="203" t="s">
        <v>231</v>
      </c>
      <c r="H46" s="202" t="s">
        <v>232</v>
      </c>
    </row>
    <row r="47" spans="1:9">
      <c r="A47" s="204" t="s">
        <v>246</v>
      </c>
      <c r="B47" s="205" t="s">
        <v>241</v>
      </c>
      <c r="C47" s="206">
        <v>2</v>
      </c>
      <c r="D47" s="207">
        <v>24</v>
      </c>
      <c r="E47" s="207">
        <v>6</v>
      </c>
      <c r="F47" s="586">
        <v>4</v>
      </c>
      <c r="G47" s="208">
        <v>5</v>
      </c>
      <c r="H47" s="208">
        <f>F47*G47</f>
        <v>20</v>
      </c>
    </row>
    <row r="48" spans="1:9">
      <c r="A48" s="204" t="s">
        <v>247</v>
      </c>
      <c r="B48" s="205" t="s">
        <v>248</v>
      </c>
      <c r="C48" s="206">
        <v>2</v>
      </c>
      <c r="D48" s="207">
        <v>24</v>
      </c>
      <c r="E48" s="207">
        <v>6</v>
      </c>
      <c r="F48" s="586">
        <v>4</v>
      </c>
      <c r="G48" s="208">
        <v>5</v>
      </c>
      <c r="H48" s="208">
        <f>F48*G48</f>
        <v>20</v>
      </c>
    </row>
    <row r="49" spans="1:9">
      <c r="A49" s="204" t="s">
        <v>242</v>
      </c>
      <c r="B49" s="205" t="s">
        <v>249</v>
      </c>
      <c r="C49" s="206">
        <v>1</v>
      </c>
      <c r="D49" s="210">
        <v>12</v>
      </c>
      <c r="E49" s="210">
        <v>6</v>
      </c>
      <c r="F49" s="240">
        <v>4</v>
      </c>
      <c r="G49" s="208">
        <v>5</v>
      </c>
      <c r="H49" s="211">
        <f>F49*G49</f>
        <v>20</v>
      </c>
    </row>
    <row r="50" spans="1:9">
      <c r="A50" s="218" t="s">
        <v>237</v>
      </c>
      <c r="B50" s="204"/>
      <c r="C50" s="206"/>
      <c r="D50" s="210"/>
      <c r="E50" s="210"/>
      <c r="F50" s="220">
        <f>SUM(F47:F49)</f>
        <v>12</v>
      </c>
      <c r="G50" s="211"/>
      <c r="H50" s="211">
        <f>SUM(H47:H49)</f>
        <v>60</v>
      </c>
    </row>
    <row r="51" spans="1:9">
      <c r="A51" s="218" t="s">
        <v>238</v>
      </c>
      <c r="B51" s="219"/>
      <c r="C51" s="220"/>
      <c r="D51" s="210"/>
      <c r="E51" s="210"/>
      <c r="F51" s="220">
        <v>2</v>
      </c>
      <c r="G51" s="211">
        <v>5</v>
      </c>
      <c r="H51" s="211">
        <f>F51*G51</f>
        <v>10</v>
      </c>
    </row>
    <row r="52" spans="1:9">
      <c r="A52" s="218" t="s">
        <v>239</v>
      </c>
      <c r="B52" s="244"/>
      <c r="C52" s="220"/>
      <c r="D52" s="210"/>
      <c r="E52" s="210"/>
      <c r="F52" s="220"/>
      <c r="G52" s="211"/>
      <c r="H52" s="245">
        <f>SUM(H50:H51)</f>
        <v>70</v>
      </c>
      <c r="I52" s="199" t="s">
        <v>476</v>
      </c>
    </row>
    <row r="56" spans="1:9">
      <c r="A56" s="1471" t="s">
        <v>478</v>
      </c>
      <c r="B56" s="1471"/>
      <c r="C56" s="1471"/>
      <c r="D56" s="1471"/>
      <c r="E56" s="1471"/>
      <c r="F56" s="1471"/>
      <c r="G56" s="1471"/>
      <c r="H56" s="1471"/>
    </row>
    <row r="57" spans="1:9">
      <c r="A57" s="243"/>
      <c r="B57" s="243"/>
      <c r="C57" s="243"/>
      <c r="D57" s="243"/>
      <c r="E57" s="243"/>
      <c r="F57" s="243"/>
      <c r="G57" s="243"/>
      <c r="H57" s="243"/>
    </row>
    <row r="58" spans="1:9" ht="12.75" customHeight="1">
      <c r="A58" s="1459"/>
      <c r="B58" s="1459" t="s">
        <v>240</v>
      </c>
      <c r="C58" s="1459" t="s">
        <v>222</v>
      </c>
      <c r="D58" s="1462" t="s">
        <v>223</v>
      </c>
      <c r="E58" s="1463"/>
      <c r="F58" s="1459" t="s">
        <v>224</v>
      </c>
      <c r="G58" s="1459" t="s">
        <v>225</v>
      </c>
      <c r="H58" s="1459" t="s">
        <v>226</v>
      </c>
    </row>
    <row r="59" spans="1:9">
      <c r="A59" s="1460"/>
      <c r="B59" s="1460"/>
      <c r="C59" s="1460"/>
      <c r="D59" s="201" t="s">
        <v>227</v>
      </c>
      <c r="E59" s="201" t="s">
        <v>228</v>
      </c>
      <c r="F59" s="1460"/>
      <c r="G59" s="1460"/>
      <c r="H59" s="1460"/>
    </row>
    <row r="60" spans="1:9">
      <c r="A60" s="1461"/>
      <c r="B60" s="1461"/>
      <c r="C60" s="202" t="s">
        <v>132</v>
      </c>
      <c r="D60" s="202" t="s">
        <v>133</v>
      </c>
      <c r="E60" s="202" t="s">
        <v>229</v>
      </c>
      <c r="F60" s="202" t="s">
        <v>230</v>
      </c>
      <c r="G60" s="203" t="s">
        <v>231</v>
      </c>
      <c r="H60" s="202" t="s">
        <v>232</v>
      </c>
    </row>
    <row r="61" spans="1:9">
      <c r="A61" s="204" t="s">
        <v>233</v>
      </c>
      <c r="B61" s="205" t="s">
        <v>241</v>
      </c>
      <c r="C61" s="206">
        <v>1</v>
      </c>
      <c r="D61" s="207">
        <v>24</v>
      </c>
      <c r="E61" s="207">
        <v>6</v>
      </c>
      <c r="F61" s="207">
        <f>C61*D61/E61</f>
        <v>4</v>
      </c>
      <c r="G61" s="208">
        <v>5</v>
      </c>
      <c r="H61" s="208">
        <f>F61*G61</f>
        <v>20</v>
      </c>
    </row>
    <row r="62" spans="1:9">
      <c r="A62" s="204" t="s">
        <v>242</v>
      </c>
      <c r="B62" s="205" t="s">
        <v>243</v>
      </c>
      <c r="C62" s="206">
        <v>1</v>
      </c>
      <c r="D62" s="207">
        <v>24</v>
      </c>
      <c r="E62" s="207">
        <v>6</v>
      </c>
      <c r="F62" s="207">
        <f>C62*D62/E62</f>
        <v>4</v>
      </c>
      <c r="G62" s="208">
        <v>5</v>
      </c>
      <c r="H62" s="208">
        <f>F62*G62</f>
        <v>20</v>
      </c>
    </row>
    <row r="63" spans="1:9">
      <c r="A63" s="213" t="s">
        <v>237</v>
      </c>
      <c r="B63" s="214"/>
      <c r="C63" s="215"/>
      <c r="D63" s="216"/>
      <c r="E63" s="216"/>
      <c r="F63" s="215">
        <f>SUM(F61:F62)</f>
        <v>8</v>
      </c>
      <c r="G63" s="217"/>
      <c r="H63" s="217">
        <f>SUM(H61:H62)*62%</f>
        <v>24.8</v>
      </c>
    </row>
    <row r="64" spans="1:9">
      <c r="A64" s="218" t="s">
        <v>238</v>
      </c>
      <c r="B64" s="219"/>
      <c r="C64" s="220"/>
      <c r="D64" s="210"/>
      <c r="E64" s="210"/>
      <c r="F64" s="220">
        <v>1</v>
      </c>
      <c r="G64" s="211">
        <v>5</v>
      </c>
      <c r="H64" s="211">
        <f>G64*F64</f>
        <v>5</v>
      </c>
    </row>
    <row r="65" spans="1:9">
      <c r="A65" s="213" t="s">
        <v>239</v>
      </c>
      <c r="B65" s="221"/>
      <c r="C65" s="215"/>
      <c r="D65" s="216"/>
      <c r="E65" s="216"/>
      <c r="F65" s="215"/>
      <c r="G65" s="217"/>
      <c r="H65" s="510">
        <f>SUM(H63:H64)</f>
        <v>29.8</v>
      </c>
      <c r="I65" s="484" t="s">
        <v>477</v>
      </c>
    </row>
  </sheetData>
  <mergeCells count="40">
    <mergeCell ref="A56:H56"/>
    <mergeCell ref="A58:A60"/>
    <mergeCell ref="B58:B60"/>
    <mergeCell ref="C58:C59"/>
    <mergeCell ref="D58:E58"/>
    <mergeCell ref="F58:F59"/>
    <mergeCell ref="G58:G59"/>
    <mergeCell ref="H58:H59"/>
    <mergeCell ref="A42:H42"/>
    <mergeCell ref="A44:A46"/>
    <mergeCell ref="B44:B46"/>
    <mergeCell ref="C44:C45"/>
    <mergeCell ref="D44:E44"/>
    <mergeCell ref="F44:F45"/>
    <mergeCell ref="G44:G45"/>
    <mergeCell ref="H44:H45"/>
    <mergeCell ref="A28:H28"/>
    <mergeCell ref="A30:A32"/>
    <mergeCell ref="B30:B32"/>
    <mergeCell ref="C30:C31"/>
    <mergeCell ref="D30:E30"/>
    <mergeCell ref="F30:F31"/>
    <mergeCell ref="G30:G31"/>
    <mergeCell ref="H30:H31"/>
    <mergeCell ref="A15:H15"/>
    <mergeCell ref="A17:A19"/>
    <mergeCell ref="B17:B19"/>
    <mergeCell ref="C17:C18"/>
    <mergeCell ref="D17:E17"/>
    <mergeCell ref="F17:F18"/>
    <mergeCell ref="G17:G18"/>
    <mergeCell ref="H17:H18"/>
    <mergeCell ref="A1:H1"/>
    <mergeCell ref="A3:A5"/>
    <mergeCell ref="B3:B5"/>
    <mergeCell ref="C3:C4"/>
    <mergeCell ref="D3:E3"/>
    <mergeCell ref="F3:F4"/>
    <mergeCell ref="G3:G4"/>
    <mergeCell ref="H3:H4"/>
  </mergeCells>
  <phoneticPr fontId="5" type="noConversion"/>
  <printOptions horizontalCentered="1"/>
  <pageMargins left="0.31496062992125984" right="0.31496062992125984" top="0.39370078740157483" bottom="0.43307086614173229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AS202"/>
  <sheetViews>
    <sheetView showGridLines="0" topLeftCell="A50" zoomScale="98" zoomScaleNormal="98" workbookViewId="0">
      <selection activeCell="C9" sqref="C9"/>
    </sheetView>
  </sheetViews>
  <sheetFormatPr defaultRowHeight="12.75"/>
  <cols>
    <col min="1" max="1" width="2.375" style="248" customWidth="1"/>
    <col min="2" max="2" width="25.125" style="275" customWidth="1"/>
    <col min="3" max="3" width="17.5" style="275" customWidth="1"/>
    <col min="4" max="7" width="17.5" style="248" customWidth="1"/>
    <col min="8" max="8" width="19.125" style="248" customWidth="1"/>
    <col min="9" max="25" width="17.5" style="248" customWidth="1"/>
    <col min="26" max="44" width="21.875" style="248" customWidth="1"/>
    <col min="45" max="16384" width="9" style="248"/>
  </cols>
  <sheetData>
    <row r="1" spans="2:17">
      <c r="B1" s="246" t="s">
        <v>250</v>
      </c>
      <c r="C1" s="247"/>
      <c r="E1" s="249"/>
    </row>
    <row r="2" spans="2:17">
      <c r="B2" s="248" t="s">
        <v>506</v>
      </c>
      <c r="C2" s="247"/>
      <c r="D2" s="250"/>
      <c r="E2" s="251"/>
    </row>
    <row r="3" spans="2:17" s="252" customFormat="1" ht="13.5" customHeight="1">
      <c r="B3" s="1472" t="s">
        <v>251</v>
      </c>
      <c r="C3" s="1474" t="s">
        <v>252</v>
      </c>
      <c r="D3" s="1475"/>
      <c r="E3" s="1476"/>
      <c r="F3" s="1477" t="s">
        <v>253</v>
      </c>
      <c r="G3" s="1478"/>
      <c r="H3" s="1479"/>
      <c r="I3" s="1480" t="s">
        <v>498</v>
      </c>
      <c r="J3" s="1481"/>
      <c r="K3" s="1482"/>
      <c r="L3" s="1530" t="s">
        <v>588</v>
      </c>
      <c r="M3" s="1531"/>
      <c r="N3" s="1532"/>
      <c r="O3" s="1530" t="s">
        <v>584</v>
      </c>
      <c r="P3" s="1531"/>
      <c r="Q3" s="1532"/>
    </row>
    <row r="4" spans="2:17" s="252" customFormat="1">
      <c r="B4" s="1473"/>
      <c r="C4" s="253" t="s">
        <v>254</v>
      </c>
      <c r="D4" s="254" t="s">
        <v>255</v>
      </c>
      <c r="E4" s="255" t="s">
        <v>256</v>
      </c>
      <c r="F4" s="513" t="s">
        <v>495</v>
      </c>
      <c r="G4" s="514" t="s">
        <v>496</v>
      </c>
      <c r="H4" s="515" t="s">
        <v>497</v>
      </c>
      <c r="I4" s="253" t="s">
        <v>254</v>
      </c>
      <c r="J4" s="254" t="s">
        <v>255</v>
      </c>
      <c r="K4" s="256" t="s">
        <v>256</v>
      </c>
      <c r="L4" s="253" t="s">
        <v>585</v>
      </c>
      <c r="M4" s="254" t="s">
        <v>586</v>
      </c>
      <c r="N4" s="256" t="s">
        <v>587</v>
      </c>
      <c r="O4" s="253" t="s">
        <v>585</v>
      </c>
      <c r="P4" s="254" t="s">
        <v>586</v>
      </c>
      <c r="Q4" s="256" t="s">
        <v>587</v>
      </c>
    </row>
    <row r="5" spans="2:17" s="252" customFormat="1" ht="13.5" customHeight="1">
      <c r="B5" s="257" t="s">
        <v>257</v>
      </c>
      <c r="C5" s="529">
        <v>20</v>
      </c>
      <c r="D5" s="1489">
        <v>0.95099999999999996</v>
      </c>
      <c r="E5" s="530">
        <f>C5*D5</f>
        <v>19.02</v>
      </c>
      <c r="F5" s="511">
        <v>21</v>
      </c>
      <c r="G5" s="1483">
        <v>1.26</v>
      </c>
      <c r="H5" s="512">
        <f>F5*G5</f>
        <v>26.46</v>
      </c>
      <c r="I5" s="511">
        <v>11</v>
      </c>
      <c r="J5" s="1486">
        <v>1.26</v>
      </c>
      <c r="K5" s="530">
        <f>I5*J5</f>
        <v>13.86</v>
      </c>
      <c r="L5" s="511">
        <v>33</v>
      </c>
      <c r="M5" s="1486">
        <v>1.26</v>
      </c>
      <c r="N5" s="592">
        <f>L5*M5</f>
        <v>41.58</v>
      </c>
      <c r="O5" s="529">
        <v>200</v>
      </c>
      <c r="P5" s="1486">
        <v>1.26</v>
      </c>
      <c r="Q5" s="530">
        <f>O5*P5</f>
        <v>252</v>
      </c>
    </row>
    <row r="6" spans="2:17" s="252" customFormat="1">
      <c r="B6" s="257" t="s">
        <v>258</v>
      </c>
      <c r="C6" s="529">
        <v>30</v>
      </c>
      <c r="D6" s="1490"/>
      <c r="E6" s="530">
        <f>C6*D5</f>
        <v>28.529999999999998</v>
      </c>
      <c r="F6" s="511">
        <v>21</v>
      </c>
      <c r="G6" s="1484"/>
      <c r="H6" s="512">
        <f>F6*G5</f>
        <v>26.46</v>
      </c>
      <c r="I6" s="511">
        <v>111</v>
      </c>
      <c r="J6" s="1487"/>
      <c r="K6" s="530">
        <f>I6*J5</f>
        <v>139.86000000000001</v>
      </c>
      <c r="L6" s="511">
        <v>33</v>
      </c>
      <c r="M6" s="1487"/>
      <c r="N6" s="593">
        <f>L6*M5</f>
        <v>41.58</v>
      </c>
      <c r="O6" s="529">
        <v>234</v>
      </c>
      <c r="P6" s="1487"/>
      <c r="Q6" s="530">
        <f>O6*P5</f>
        <v>294.83999999999997</v>
      </c>
    </row>
    <row r="7" spans="2:17" s="252" customFormat="1">
      <c r="B7" s="257" t="s">
        <v>259</v>
      </c>
      <c r="C7" s="529">
        <v>40</v>
      </c>
      <c r="D7" s="1490"/>
      <c r="E7" s="530">
        <f>C7*D5</f>
        <v>38.04</v>
      </c>
      <c r="F7" s="511">
        <v>22</v>
      </c>
      <c r="G7" s="1484"/>
      <c r="H7" s="512">
        <f>F7*G5</f>
        <v>27.72</v>
      </c>
      <c r="I7" s="511">
        <v>111</v>
      </c>
      <c r="J7" s="1487"/>
      <c r="K7" s="530">
        <f>I7*J5</f>
        <v>139.86000000000001</v>
      </c>
      <c r="L7" s="511">
        <v>322</v>
      </c>
      <c r="M7" s="1487"/>
      <c r="N7" s="593">
        <f>L7*M5</f>
        <v>405.72</v>
      </c>
      <c r="O7" s="529">
        <v>4443</v>
      </c>
      <c r="P7" s="1487"/>
      <c r="Q7" s="530">
        <f>O7*P5</f>
        <v>5598.18</v>
      </c>
    </row>
    <row r="8" spans="2:17" s="252" customFormat="1">
      <c r="B8" s="257" t="s">
        <v>260</v>
      </c>
      <c r="C8" s="529">
        <v>300</v>
      </c>
      <c r="D8" s="1490"/>
      <c r="E8" s="530">
        <f>C8*D5</f>
        <v>285.3</v>
      </c>
      <c r="F8" s="511">
        <v>22</v>
      </c>
      <c r="G8" s="1484"/>
      <c r="H8" s="512">
        <f>F8*G5</f>
        <v>27.72</v>
      </c>
      <c r="I8" s="511">
        <v>2222</v>
      </c>
      <c r="J8" s="1487"/>
      <c r="K8" s="530">
        <f>I8*J5</f>
        <v>2799.72</v>
      </c>
      <c r="L8" s="511">
        <v>444</v>
      </c>
      <c r="M8" s="1487"/>
      <c r="N8" s="593">
        <f>L8*M5</f>
        <v>559.44000000000005</v>
      </c>
      <c r="O8" s="529">
        <v>332</v>
      </c>
      <c r="P8" s="1487"/>
      <c r="Q8" s="530">
        <f>O8*P5</f>
        <v>418.32</v>
      </c>
    </row>
    <row r="9" spans="2:17" s="252" customFormat="1">
      <c r="B9" s="257" t="s">
        <v>261</v>
      </c>
      <c r="C9" s="529">
        <v>222</v>
      </c>
      <c r="D9" s="1490"/>
      <c r="E9" s="530">
        <f>C9*D5</f>
        <v>211.12199999999999</v>
      </c>
      <c r="F9" s="511">
        <v>34</v>
      </c>
      <c r="G9" s="1484"/>
      <c r="H9" s="512">
        <f>F9*G5</f>
        <v>42.84</v>
      </c>
      <c r="I9" s="511">
        <v>222</v>
      </c>
      <c r="J9" s="1487"/>
      <c r="K9" s="530">
        <f>I9*J5</f>
        <v>279.72000000000003</v>
      </c>
      <c r="L9" s="511">
        <v>333</v>
      </c>
      <c r="M9" s="1487"/>
      <c r="N9" s="593">
        <f>L9*M5</f>
        <v>419.58</v>
      </c>
      <c r="O9" s="529">
        <v>242</v>
      </c>
      <c r="P9" s="1487"/>
      <c r="Q9" s="530">
        <f>O9*P5</f>
        <v>304.92</v>
      </c>
    </row>
    <row r="10" spans="2:17" s="252" customFormat="1">
      <c r="B10" s="257" t="s">
        <v>262</v>
      </c>
      <c r="C10" s="529">
        <v>222</v>
      </c>
      <c r="D10" s="1490"/>
      <c r="E10" s="530">
        <f>C10*D5</f>
        <v>211.12199999999999</v>
      </c>
      <c r="F10" s="511">
        <v>222</v>
      </c>
      <c r="G10" s="1484"/>
      <c r="H10" s="512">
        <f>F10*G5</f>
        <v>279.72000000000003</v>
      </c>
      <c r="I10" s="511">
        <v>333</v>
      </c>
      <c r="J10" s="1487"/>
      <c r="K10" s="530">
        <f>I10*J5</f>
        <v>419.58</v>
      </c>
      <c r="L10" s="511">
        <v>34</v>
      </c>
      <c r="M10" s="1487"/>
      <c r="N10" s="593">
        <f>L10*M5</f>
        <v>42.84</v>
      </c>
      <c r="O10" s="529">
        <v>556</v>
      </c>
      <c r="P10" s="1487"/>
      <c r="Q10" s="530">
        <f>O10*P5</f>
        <v>700.56000000000006</v>
      </c>
    </row>
    <row r="11" spans="2:17" s="252" customFormat="1">
      <c r="B11" s="257" t="s">
        <v>263</v>
      </c>
      <c r="C11" s="529">
        <v>555</v>
      </c>
      <c r="D11" s="1490"/>
      <c r="E11" s="530">
        <f>C11*D5</f>
        <v>527.80499999999995</v>
      </c>
      <c r="F11" s="511">
        <v>555</v>
      </c>
      <c r="G11" s="1484"/>
      <c r="H11" s="512">
        <f>F11*G5</f>
        <v>699.3</v>
      </c>
      <c r="I11" s="511">
        <v>555</v>
      </c>
      <c r="J11" s="1487"/>
      <c r="K11" s="530">
        <f>I11*J5</f>
        <v>699.3</v>
      </c>
      <c r="L11" s="511">
        <v>344</v>
      </c>
      <c r="M11" s="1487"/>
      <c r="N11" s="593">
        <f>L11*M5</f>
        <v>433.44</v>
      </c>
      <c r="O11" s="529">
        <v>5454</v>
      </c>
      <c r="P11" s="1487"/>
      <c r="Q11" s="530">
        <f>O11*P5</f>
        <v>6872.04</v>
      </c>
    </row>
    <row r="12" spans="2:17" s="252" customFormat="1">
      <c r="B12" s="257" t="s">
        <v>264</v>
      </c>
      <c r="C12" s="529">
        <v>555</v>
      </c>
      <c r="D12" s="1490"/>
      <c r="E12" s="530">
        <f>C12*D5</f>
        <v>527.80499999999995</v>
      </c>
      <c r="F12" s="511">
        <v>1111</v>
      </c>
      <c r="G12" s="1484"/>
      <c r="H12" s="512">
        <f>F12*G5</f>
        <v>1399.86</v>
      </c>
      <c r="I12" s="511">
        <v>555</v>
      </c>
      <c r="J12" s="1487"/>
      <c r="K12" s="530">
        <f>I12*J5</f>
        <v>699.3</v>
      </c>
      <c r="L12" s="511">
        <v>11</v>
      </c>
      <c r="M12" s="1487"/>
      <c r="N12" s="593">
        <f>L12*M5</f>
        <v>13.86</v>
      </c>
      <c r="O12" s="529">
        <v>4567</v>
      </c>
      <c r="P12" s="1487"/>
      <c r="Q12" s="530">
        <f>O12*P5</f>
        <v>5754.42</v>
      </c>
    </row>
    <row r="13" spans="2:17" s="252" customFormat="1">
      <c r="B13" s="257" t="s">
        <v>265</v>
      </c>
      <c r="C13" s="529">
        <v>555</v>
      </c>
      <c r="D13" s="1490"/>
      <c r="E13" s="530">
        <f>C13*D5</f>
        <v>527.80499999999995</v>
      </c>
      <c r="F13" s="511">
        <v>111</v>
      </c>
      <c r="G13" s="1484"/>
      <c r="H13" s="512">
        <f>F13*G5</f>
        <v>139.86000000000001</v>
      </c>
      <c r="I13" s="511">
        <v>222</v>
      </c>
      <c r="J13" s="1487"/>
      <c r="K13" s="530">
        <f>I13*J5</f>
        <v>279.72000000000003</v>
      </c>
      <c r="L13" s="511">
        <v>44</v>
      </c>
      <c r="M13" s="1487"/>
      <c r="N13" s="593">
        <f>L13*M5</f>
        <v>55.44</v>
      </c>
      <c r="O13" s="529">
        <v>4654</v>
      </c>
      <c r="P13" s="1487"/>
      <c r="Q13" s="530">
        <f>O13*P5</f>
        <v>5864.04</v>
      </c>
    </row>
    <row r="14" spans="2:17" s="252" customFormat="1">
      <c r="B14" s="257" t="s">
        <v>422</v>
      </c>
      <c r="C14" s="529">
        <v>5555</v>
      </c>
      <c r="D14" s="1491"/>
      <c r="E14" s="530">
        <f>C14*D5</f>
        <v>5282.8049999999994</v>
      </c>
      <c r="F14" s="511">
        <v>111</v>
      </c>
      <c r="G14" s="1485"/>
      <c r="H14" s="512">
        <f>F14*G5</f>
        <v>139.86000000000001</v>
      </c>
      <c r="I14" s="511">
        <v>4554</v>
      </c>
      <c r="J14" s="1488"/>
      <c r="K14" s="530">
        <f>I14*J5</f>
        <v>5738.04</v>
      </c>
      <c r="L14" s="511">
        <v>66</v>
      </c>
      <c r="M14" s="1488"/>
      <c r="N14" s="593">
        <f>L14*M5</f>
        <v>83.16</v>
      </c>
      <c r="O14" s="529">
        <v>2263</v>
      </c>
      <c r="P14" s="1488"/>
      <c r="Q14" s="594">
        <f>O14*P5</f>
        <v>2851.38</v>
      </c>
    </row>
    <row r="15" spans="2:17" s="252" customFormat="1">
      <c r="B15" s="261" t="s">
        <v>266</v>
      </c>
      <c r="C15" s="262">
        <f>SUM(C5:C14)</f>
        <v>8054</v>
      </c>
      <c r="D15" s="263"/>
      <c r="E15" s="264">
        <f>SUM(E5:E14)</f>
        <v>7659.3539999999994</v>
      </c>
      <c r="F15" s="262">
        <f>SUM(F5:F14)</f>
        <v>2230</v>
      </c>
      <c r="G15" s="263"/>
      <c r="H15" s="264">
        <f>SUM(H5:H14)</f>
        <v>2809.8</v>
      </c>
      <c r="I15" s="538">
        <f>SUM(I5:I14)*0.38</f>
        <v>3380.48</v>
      </c>
      <c r="J15" s="539"/>
      <c r="K15" s="540">
        <f>SUM(K5:K14)*0.38</f>
        <v>4259.4047999999993</v>
      </c>
      <c r="L15" s="538">
        <f>SUM(L5:L14)*0.62</f>
        <v>1031.68</v>
      </c>
      <c r="M15" s="539"/>
      <c r="N15" s="540">
        <f>SUM(N5:N14)*0.62</f>
        <v>1299.9168</v>
      </c>
      <c r="O15" s="538">
        <f>SUM(O5:O14)</f>
        <v>22945</v>
      </c>
      <c r="P15" s="539"/>
      <c r="Q15" s="540">
        <f>SUM(Q5:Q14)</f>
        <v>28910.7</v>
      </c>
    </row>
    <row r="16" spans="2:17" s="252" customFormat="1">
      <c r="B16" s="265" t="s">
        <v>267</v>
      </c>
      <c r="C16" s="266">
        <f>C15/10</f>
        <v>805.4</v>
      </c>
      <c r="D16" s="267"/>
      <c r="E16" s="259">
        <f>E15/10</f>
        <v>765.93539999999996</v>
      </c>
      <c r="F16" s="258">
        <f>F15/10</f>
        <v>223</v>
      </c>
      <c r="G16" s="267"/>
      <c r="H16" s="259">
        <f>H15/10</f>
        <v>280.98</v>
      </c>
      <c r="I16" s="529">
        <f>I15/10</f>
        <v>338.048</v>
      </c>
      <c r="J16" s="541"/>
      <c r="K16" s="530">
        <f>K15/10</f>
        <v>425.94047999999992</v>
      </c>
      <c r="L16" s="529">
        <f>L15/10</f>
        <v>103.16800000000001</v>
      </c>
      <c r="M16" s="541"/>
      <c r="N16" s="530">
        <f>N15/10</f>
        <v>129.99168</v>
      </c>
      <c r="O16" s="529">
        <f>O15/9</f>
        <v>2549.4444444444443</v>
      </c>
      <c r="P16" s="541"/>
      <c r="Q16" s="530">
        <f>Q15/10</f>
        <v>2891.07</v>
      </c>
    </row>
    <row r="17" spans="1:19" s="252" customFormat="1">
      <c r="B17" s="265" t="s">
        <v>514</v>
      </c>
      <c r="C17" s="1492">
        <f>[22]基础数据!E18</f>
        <v>0.11</v>
      </c>
      <c r="D17" s="1493"/>
      <c r="E17" s="1493"/>
      <c r="F17" s="1492">
        <f>基础数据!E19</f>
        <v>-4.8181818181818183</v>
      </c>
      <c r="G17" s="1493"/>
      <c r="H17" s="1494"/>
      <c r="I17" s="1492">
        <f>基础数据!E21</f>
        <v>-8.2142857142857135</v>
      </c>
      <c r="J17" s="1493"/>
      <c r="K17" s="1494"/>
      <c r="L17" s="1509">
        <f>基础数据!E64</f>
        <v>0</v>
      </c>
      <c r="M17" s="1533"/>
      <c r="N17" s="1510"/>
      <c r="O17" s="1509">
        <f>基础数据!E63</f>
        <v>0</v>
      </c>
      <c r="P17" s="1533"/>
      <c r="Q17" s="1510"/>
    </row>
    <row r="18" spans="1:19" s="252" customFormat="1">
      <c r="B18" s="268" t="s">
        <v>516</v>
      </c>
      <c r="C18" s="269">
        <f>ROUND(C16*(1+C17),0)</f>
        <v>894</v>
      </c>
      <c r="D18" s="564">
        <v>0.95099999999999996</v>
      </c>
      <c r="E18" s="271">
        <f>ROUND(C18*D18,0)</f>
        <v>850</v>
      </c>
      <c r="F18" s="269">
        <f>ROUND(F16*(1+F17),0)</f>
        <v>-851</v>
      </c>
      <c r="G18" s="270">
        <v>1.26</v>
      </c>
      <c r="H18" s="271">
        <f>ROUND(F18*G18,0)</f>
        <v>-1072</v>
      </c>
      <c r="I18" s="269">
        <f>ROUND(I16*(1+I17),0)</f>
        <v>-2439</v>
      </c>
      <c r="J18" s="270">
        <f>J5</f>
        <v>1.26</v>
      </c>
      <c r="K18" s="270">
        <f>ROUND(I18*J18,0)</f>
        <v>-3073</v>
      </c>
      <c r="L18" s="548">
        <f>ROUND(L16*(1+L17),0)</f>
        <v>103</v>
      </c>
      <c r="M18" s="549">
        <f>M5</f>
        <v>1.26</v>
      </c>
      <c r="N18" s="550">
        <f>ROUND(L18*M18,0)</f>
        <v>130</v>
      </c>
      <c r="O18" s="548">
        <f>ROUND(O16*(1+O17),0)</f>
        <v>2549</v>
      </c>
      <c r="P18" s="549">
        <f>P5</f>
        <v>1.26</v>
      </c>
      <c r="Q18" s="550">
        <f>ROUND(O18*P18,0)</f>
        <v>3212</v>
      </c>
    </row>
    <row r="19" spans="1:19" s="252" customFormat="1">
      <c r="A19" s="272"/>
      <c r="B19" s="273"/>
      <c r="D19" s="274"/>
      <c r="I19" s="149"/>
      <c r="J19" s="149"/>
    </row>
    <row r="20" spans="1:19" s="252" customFormat="1">
      <c r="A20" s="272"/>
      <c r="B20" s="273"/>
      <c r="D20" s="274"/>
    </row>
    <row r="21" spans="1:19" s="252" customFormat="1">
      <c r="A21" s="272"/>
      <c r="B21" s="273"/>
      <c r="D21" s="274"/>
    </row>
    <row r="22" spans="1:19">
      <c r="B22" s="246" t="s">
        <v>268</v>
      </c>
      <c r="F22" s="276"/>
    </row>
    <row r="23" spans="1:19">
      <c r="B23" s="277" t="s">
        <v>502</v>
      </c>
      <c r="D23" s="278"/>
      <c r="E23" s="279"/>
      <c r="F23" s="276"/>
    </row>
    <row r="24" spans="1:19" s="252" customFormat="1" ht="13.5" customHeight="1">
      <c r="B24" s="1472" t="s">
        <v>251</v>
      </c>
      <c r="C24" s="280" t="s">
        <v>269</v>
      </c>
      <c r="D24" s="1495" t="s">
        <v>252</v>
      </c>
      <c r="E24" s="1479"/>
      <c r="F24" s="1477" t="s">
        <v>253</v>
      </c>
      <c r="G24" s="1479"/>
      <c r="H24" s="1495" t="s">
        <v>136</v>
      </c>
      <c r="I24" s="1498"/>
      <c r="J24" s="1498"/>
      <c r="K24" s="1498"/>
      <c r="L24" s="1498"/>
      <c r="M24" s="281"/>
      <c r="N24" s="1499" t="s">
        <v>507</v>
      </c>
      <c r="O24" s="1476"/>
      <c r="P24" s="1496" t="s">
        <v>508</v>
      </c>
      <c r="Q24" s="1497"/>
      <c r="R24" s="1496" t="s">
        <v>270</v>
      </c>
      <c r="S24" s="1497"/>
    </row>
    <row r="25" spans="1:19" s="252" customFormat="1">
      <c r="B25" s="1473"/>
      <c r="C25" s="282" t="s">
        <v>272</v>
      </c>
      <c r="D25" s="283" t="s">
        <v>273</v>
      </c>
      <c r="E25" s="255" t="s">
        <v>274</v>
      </c>
      <c r="F25" s="283" t="s">
        <v>273</v>
      </c>
      <c r="G25" s="255" t="s">
        <v>274</v>
      </c>
      <c r="H25" s="283" t="s">
        <v>275</v>
      </c>
      <c r="I25" s="284" t="s">
        <v>274</v>
      </c>
      <c r="J25" s="285" t="s">
        <v>276</v>
      </c>
      <c r="K25" s="284" t="s">
        <v>274</v>
      </c>
      <c r="L25" s="286" t="s">
        <v>277</v>
      </c>
      <c r="M25" s="255" t="s">
        <v>278</v>
      </c>
      <c r="N25" s="283" t="s">
        <v>273</v>
      </c>
      <c r="O25" s="255" t="s">
        <v>274</v>
      </c>
      <c r="P25" s="283" t="s">
        <v>273</v>
      </c>
      <c r="Q25" s="255" t="s">
        <v>274</v>
      </c>
      <c r="R25" s="283" t="s">
        <v>273</v>
      </c>
      <c r="S25" s="255" t="s">
        <v>274</v>
      </c>
    </row>
    <row r="26" spans="1:19" s="252" customFormat="1">
      <c r="B26" s="257" t="s">
        <v>257</v>
      </c>
      <c r="C26" s="287">
        <v>5</v>
      </c>
      <c r="D26" s="525">
        <v>4</v>
      </c>
      <c r="E26" s="493">
        <f>C26*D26</f>
        <v>20</v>
      </c>
      <c r="F26" s="516">
        <v>44</v>
      </c>
      <c r="G26" s="493">
        <f>F26*C26</f>
        <v>220</v>
      </c>
      <c r="H26" s="525">
        <v>2121</v>
      </c>
      <c r="I26" s="534">
        <f>H26*C26</f>
        <v>10605</v>
      </c>
      <c r="J26" s="536">
        <v>82</v>
      </c>
      <c r="K26" s="534">
        <f>J26*C31</f>
        <v>410</v>
      </c>
      <c r="L26" s="536">
        <f>H26+J26</f>
        <v>2203</v>
      </c>
      <c r="M26" s="493">
        <f>I26+K26</f>
        <v>11015</v>
      </c>
      <c r="N26" s="516">
        <v>342</v>
      </c>
      <c r="O26" s="493">
        <f>N26*C26</f>
        <v>1710</v>
      </c>
      <c r="P26" s="516">
        <v>342</v>
      </c>
      <c r="Q26" s="493">
        <f>P26*E26</f>
        <v>6840</v>
      </c>
      <c r="R26" s="525">
        <v>55</v>
      </c>
      <c r="S26" s="493">
        <f>R26*C26</f>
        <v>275</v>
      </c>
    </row>
    <row r="27" spans="1:19" s="252" customFormat="1">
      <c r="B27" s="257" t="s">
        <v>258</v>
      </c>
      <c r="C27" s="289"/>
      <c r="D27" s="525">
        <v>4</v>
      </c>
      <c r="E27" s="493">
        <f>C26*D27</f>
        <v>20</v>
      </c>
      <c r="F27" s="516">
        <v>208</v>
      </c>
      <c r="G27" s="493">
        <f>F27*C26</f>
        <v>1040</v>
      </c>
      <c r="H27" s="525">
        <v>2112</v>
      </c>
      <c r="I27" s="534">
        <f>H27*C26</f>
        <v>10560</v>
      </c>
      <c r="J27" s="536">
        <v>56</v>
      </c>
      <c r="K27" s="534">
        <f>32*C32+24*20</f>
        <v>640</v>
      </c>
      <c r="L27" s="536">
        <f t="shared" ref="L27:M34" si="0">H27+J27</f>
        <v>2168</v>
      </c>
      <c r="M27" s="493">
        <f t="shared" si="0"/>
        <v>11200</v>
      </c>
      <c r="N27" s="516">
        <v>237</v>
      </c>
      <c r="O27" s="493">
        <f>N27*C26</f>
        <v>1185</v>
      </c>
      <c r="P27" s="516">
        <v>237</v>
      </c>
      <c r="Q27" s="493">
        <f>P27*E26</f>
        <v>4740</v>
      </c>
      <c r="R27" s="525">
        <v>55</v>
      </c>
      <c r="S27" s="493">
        <f>R27*C26</f>
        <v>275</v>
      </c>
    </row>
    <row r="28" spans="1:19" s="252" customFormat="1">
      <c r="B28" s="257" t="s">
        <v>259</v>
      </c>
      <c r="C28" s="289"/>
      <c r="D28" s="525">
        <v>5</v>
      </c>
      <c r="E28" s="493">
        <f>C26*D28</f>
        <v>25</v>
      </c>
      <c r="F28" s="516">
        <v>4</v>
      </c>
      <c r="G28" s="493">
        <f>F28*C26</f>
        <v>20</v>
      </c>
      <c r="H28" s="525">
        <v>311</v>
      </c>
      <c r="I28" s="534">
        <f>H28*C26</f>
        <v>1555</v>
      </c>
      <c r="J28" s="536">
        <v>40</v>
      </c>
      <c r="K28" s="534">
        <f>J28*C32</f>
        <v>200</v>
      </c>
      <c r="L28" s="536">
        <f t="shared" si="0"/>
        <v>351</v>
      </c>
      <c r="M28" s="493">
        <f t="shared" si="0"/>
        <v>1755</v>
      </c>
      <c r="N28" s="516">
        <v>346</v>
      </c>
      <c r="O28" s="493">
        <f>N28*C26</f>
        <v>1730</v>
      </c>
      <c r="P28" s="516">
        <v>346</v>
      </c>
      <c r="Q28" s="493">
        <f>P28*E26</f>
        <v>6920</v>
      </c>
      <c r="R28" s="525">
        <v>554</v>
      </c>
      <c r="S28" s="493">
        <f>R28*C26</f>
        <v>2770</v>
      </c>
    </row>
    <row r="29" spans="1:19" s="252" customFormat="1">
      <c r="B29" s="257" t="s">
        <v>260</v>
      </c>
      <c r="C29" s="289"/>
      <c r="D29" s="525">
        <v>5</v>
      </c>
      <c r="E29" s="493">
        <f>C26*D29</f>
        <v>25</v>
      </c>
      <c r="F29" s="516">
        <v>44</v>
      </c>
      <c r="G29" s="493">
        <f>F29*C26</f>
        <v>220</v>
      </c>
      <c r="H29" s="525">
        <v>11</v>
      </c>
      <c r="I29" s="534">
        <f>H29*C26</f>
        <v>55</v>
      </c>
      <c r="J29" s="536">
        <v>40</v>
      </c>
      <c r="K29" s="534">
        <f>J29*C32</f>
        <v>200</v>
      </c>
      <c r="L29" s="536">
        <f t="shared" si="0"/>
        <v>51</v>
      </c>
      <c r="M29" s="493">
        <f t="shared" si="0"/>
        <v>255</v>
      </c>
      <c r="N29" s="516">
        <v>282</v>
      </c>
      <c r="O29" s="493">
        <f>N29*C26</f>
        <v>1410</v>
      </c>
      <c r="P29" s="516">
        <v>282</v>
      </c>
      <c r="Q29" s="493">
        <f>P29*E26</f>
        <v>5640</v>
      </c>
      <c r="R29" s="525">
        <v>444</v>
      </c>
      <c r="S29" s="493">
        <f>R29*C26</f>
        <v>2220</v>
      </c>
    </row>
    <row r="30" spans="1:19" s="252" customFormat="1">
      <c r="B30" s="257" t="s">
        <v>261</v>
      </c>
      <c r="C30" s="290"/>
      <c r="D30" s="525">
        <v>6</v>
      </c>
      <c r="E30" s="493">
        <f>C26*D30</f>
        <v>30</v>
      </c>
      <c r="F30" s="516">
        <v>4</v>
      </c>
      <c r="G30" s="493">
        <f>F30*C26</f>
        <v>20</v>
      </c>
      <c r="H30" s="525">
        <v>211</v>
      </c>
      <c r="I30" s="534">
        <f>H30*C26</f>
        <v>1055</v>
      </c>
      <c r="J30" s="536">
        <v>40</v>
      </c>
      <c r="K30" s="534">
        <f>J30*C32</f>
        <v>200</v>
      </c>
      <c r="L30" s="536">
        <f t="shared" si="0"/>
        <v>251</v>
      </c>
      <c r="M30" s="493">
        <f t="shared" si="0"/>
        <v>1255</v>
      </c>
      <c r="N30" s="516">
        <v>330</v>
      </c>
      <c r="O30" s="493">
        <f>N30*C26</f>
        <v>1650</v>
      </c>
      <c r="P30" s="516">
        <v>330</v>
      </c>
      <c r="Q30" s="493">
        <f>P30*E26</f>
        <v>6600</v>
      </c>
      <c r="R30" s="525">
        <v>455</v>
      </c>
      <c r="S30" s="493">
        <f>R30*C26</f>
        <v>2275</v>
      </c>
    </row>
    <row r="31" spans="1:19" s="252" customFormat="1">
      <c r="B31" s="257" t="s">
        <v>262</v>
      </c>
      <c r="C31" s="287">
        <v>5</v>
      </c>
      <c r="D31" s="525">
        <v>4</v>
      </c>
      <c r="E31" s="493">
        <f>C26*D31</f>
        <v>20</v>
      </c>
      <c r="F31" s="516">
        <v>186</v>
      </c>
      <c r="G31" s="493">
        <f>F31*C26</f>
        <v>930</v>
      </c>
      <c r="H31" s="525">
        <v>11</v>
      </c>
      <c r="I31" s="534">
        <f>H31*C26</f>
        <v>55</v>
      </c>
      <c r="J31" s="536">
        <v>50</v>
      </c>
      <c r="K31" s="534">
        <f>J31*C32</f>
        <v>250</v>
      </c>
      <c r="L31" s="536">
        <f t="shared" si="0"/>
        <v>61</v>
      </c>
      <c r="M31" s="493">
        <f t="shared" si="0"/>
        <v>305</v>
      </c>
      <c r="N31" s="516">
        <v>314</v>
      </c>
      <c r="O31" s="493">
        <f>N31*C26</f>
        <v>1570</v>
      </c>
      <c r="P31" s="516">
        <v>314</v>
      </c>
      <c r="Q31" s="493">
        <f>P31*E26</f>
        <v>6280</v>
      </c>
      <c r="R31" s="525">
        <v>459</v>
      </c>
      <c r="S31" s="493">
        <f>R31*C26</f>
        <v>2295</v>
      </c>
    </row>
    <row r="32" spans="1:19" s="252" customFormat="1">
      <c r="B32" s="257" t="s">
        <v>263</v>
      </c>
      <c r="C32" s="260">
        <v>5</v>
      </c>
      <c r="D32" s="525">
        <v>23</v>
      </c>
      <c r="E32" s="493">
        <f>C26*D32</f>
        <v>115</v>
      </c>
      <c r="F32" s="516">
        <v>2</v>
      </c>
      <c r="G32" s="493">
        <f>F32*C26</f>
        <v>10</v>
      </c>
      <c r="H32" s="525">
        <v>11</v>
      </c>
      <c r="I32" s="534">
        <f>H32*C26</f>
        <v>55</v>
      </c>
      <c r="J32" s="536">
        <v>50</v>
      </c>
      <c r="K32" s="534">
        <f>J32*C32</f>
        <v>250</v>
      </c>
      <c r="L32" s="536">
        <f t="shared" si="0"/>
        <v>61</v>
      </c>
      <c r="M32" s="493">
        <f t="shared" si="0"/>
        <v>305</v>
      </c>
      <c r="N32" s="516">
        <v>337</v>
      </c>
      <c r="O32" s="493">
        <f>N32*C26</f>
        <v>1685</v>
      </c>
      <c r="P32" s="516">
        <v>337</v>
      </c>
      <c r="Q32" s="493">
        <f>P32*E26</f>
        <v>6740</v>
      </c>
      <c r="R32" s="525">
        <v>332</v>
      </c>
      <c r="S32" s="493">
        <f>R32*C26</f>
        <v>1660</v>
      </c>
    </row>
    <row r="33" spans="1:19" s="252" customFormat="1">
      <c r="B33" s="257" t="s">
        <v>264</v>
      </c>
      <c r="C33" s="289"/>
      <c r="D33" s="525">
        <v>22</v>
      </c>
      <c r="E33" s="493">
        <f>D33*C26</f>
        <v>110</v>
      </c>
      <c r="F33" s="516">
        <v>33</v>
      </c>
      <c r="G33" s="493">
        <f>F33*C26</f>
        <v>165</v>
      </c>
      <c r="H33" s="525">
        <v>2121</v>
      </c>
      <c r="I33" s="534">
        <f>H33*C26</f>
        <v>10605</v>
      </c>
      <c r="J33" s="536">
        <v>50</v>
      </c>
      <c r="K33" s="534">
        <f>J33*C32</f>
        <v>250</v>
      </c>
      <c r="L33" s="536">
        <f t="shared" si="0"/>
        <v>2171</v>
      </c>
      <c r="M33" s="493">
        <f t="shared" si="0"/>
        <v>10855</v>
      </c>
      <c r="N33" s="516">
        <v>332</v>
      </c>
      <c r="O33" s="493">
        <f>N33*C26</f>
        <v>1660</v>
      </c>
      <c r="P33" s="516">
        <v>332</v>
      </c>
      <c r="Q33" s="493">
        <f>P33*E26</f>
        <v>6640</v>
      </c>
      <c r="R33" s="525">
        <v>232</v>
      </c>
      <c r="S33" s="493">
        <f>R33*C26</f>
        <v>1160</v>
      </c>
    </row>
    <row r="34" spans="1:19" s="252" customFormat="1">
      <c r="B34" s="257" t="s">
        <v>265</v>
      </c>
      <c r="C34" s="290"/>
      <c r="D34" s="525">
        <v>44</v>
      </c>
      <c r="E34" s="493">
        <f>D34*C26</f>
        <v>220</v>
      </c>
      <c r="F34" s="516">
        <v>200</v>
      </c>
      <c r="G34" s="493">
        <f>F34*C26</f>
        <v>1000</v>
      </c>
      <c r="H34" s="525">
        <v>111</v>
      </c>
      <c r="I34" s="534">
        <f>H34*C26</f>
        <v>555</v>
      </c>
      <c r="J34" s="536">
        <v>40</v>
      </c>
      <c r="K34" s="534">
        <f>J34*C32</f>
        <v>200</v>
      </c>
      <c r="L34" s="536">
        <f t="shared" si="0"/>
        <v>151</v>
      </c>
      <c r="M34" s="493">
        <f t="shared" si="0"/>
        <v>755</v>
      </c>
      <c r="N34" s="516">
        <v>287</v>
      </c>
      <c r="O34" s="493">
        <f>N34*C26</f>
        <v>1435</v>
      </c>
      <c r="P34" s="516">
        <v>287</v>
      </c>
      <c r="Q34" s="493">
        <f>P34*E26</f>
        <v>5740</v>
      </c>
      <c r="R34" s="525">
        <v>443</v>
      </c>
      <c r="S34" s="493">
        <f>R34*C26</f>
        <v>2215</v>
      </c>
    </row>
    <row r="35" spans="1:19" s="252" customFormat="1">
      <c r="B35" s="257" t="s">
        <v>422</v>
      </c>
      <c r="C35" s="517"/>
      <c r="D35" s="525">
        <v>33</v>
      </c>
      <c r="E35" s="493">
        <f>D35*C26</f>
        <v>165</v>
      </c>
      <c r="F35" s="516">
        <v>200</v>
      </c>
      <c r="G35" s="493">
        <f>F35*C26</f>
        <v>1000</v>
      </c>
      <c r="H35" s="525">
        <v>11</v>
      </c>
      <c r="I35" s="534">
        <f>H35*C26</f>
        <v>55</v>
      </c>
      <c r="J35" s="536">
        <v>30</v>
      </c>
      <c r="K35" s="534">
        <f>J35*C32</f>
        <v>150</v>
      </c>
      <c r="L35" s="536">
        <f>H35+J35</f>
        <v>41</v>
      </c>
      <c r="M35" s="493">
        <f>I35+K35</f>
        <v>205</v>
      </c>
      <c r="N35" s="516">
        <v>265</v>
      </c>
      <c r="O35" s="493">
        <f>N35*C26</f>
        <v>1325</v>
      </c>
      <c r="P35" s="516">
        <v>265</v>
      </c>
      <c r="Q35" s="493">
        <f>P35*E26</f>
        <v>5300</v>
      </c>
      <c r="R35" s="525">
        <v>229</v>
      </c>
      <c r="S35" s="493">
        <f>R35*C26</f>
        <v>1145</v>
      </c>
    </row>
    <row r="36" spans="1:19" s="252" customFormat="1">
      <c r="B36" s="291" t="s">
        <v>266</v>
      </c>
      <c r="C36" s="292"/>
      <c r="D36" s="524">
        <f>SUM(D26:D35)</f>
        <v>150</v>
      </c>
      <c r="E36" s="495">
        <f>SUM(E26:E35)</f>
        <v>750</v>
      </c>
      <c r="F36" s="524">
        <f>SUM(F26:F35)</f>
        <v>925</v>
      </c>
      <c r="G36" s="495">
        <f>SUM(G26:G35)</f>
        <v>4625</v>
      </c>
      <c r="H36" s="524">
        <f>SUM(H26:H34)</f>
        <v>7020</v>
      </c>
      <c r="I36" s="535">
        <f>SUM(I26:I34)</f>
        <v>35100</v>
      </c>
      <c r="J36" s="537">
        <f>SUM(J26:J35)</f>
        <v>478</v>
      </c>
      <c r="K36" s="535">
        <f>SUM(K26:K35)</f>
        <v>2750</v>
      </c>
      <c r="L36" s="537">
        <f>SUM(L26:L35)</f>
        <v>7509</v>
      </c>
      <c r="M36" s="495">
        <f>SUM(M26:M35)</f>
        <v>37905</v>
      </c>
      <c r="N36" s="524">
        <f>SUM(N26:N35)*0.38</f>
        <v>1167.3600000000001</v>
      </c>
      <c r="O36" s="495">
        <f>SUM(O26:O35)*0.38</f>
        <v>5836.8</v>
      </c>
      <c r="P36" s="524">
        <f>SUM(P26:P35)*0.62</f>
        <v>1904.6399999999999</v>
      </c>
      <c r="Q36" s="495">
        <f>SUM(Q26:Q35)*0.68</f>
        <v>41779.200000000004</v>
      </c>
      <c r="R36" s="524">
        <f>SUM(R26:R35)</f>
        <v>3258</v>
      </c>
      <c r="S36" s="495">
        <f>SUM(S26:S35)</f>
        <v>16290</v>
      </c>
    </row>
    <row r="37" spans="1:19" s="252" customFormat="1">
      <c r="B37" s="265" t="s">
        <v>279</v>
      </c>
      <c r="C37" s="259"/>
      <c r="D37" s="531">
        <f>D36/10</f>
        <v>15</v>
      </c>
      <c r="E37" s="493">
        <f>E36/10</f>
        <v>75</v>
      </c>
      <c r="F37" s="525">
        <f>F36/10</f>
        <v>92.5</v>
      </c>
      <c r="G37" s="493">
        <f>G36/10</f>
        <v>462.5</v>
      </c>
      <c r="H37" s="525">
        <f t="shared" ref="H37:M37" si="1">H36/9</f>
        <v>780</v>
      </c>
      <c r="I37" s="534">
        <f t="shared" si="1"/>
        <v>3900</v>
      </c>
      <c r="J37" s="536">
        <f>J36/10</f>
        <v>47.8</v>
      </c>
      <c r="K37" s="534">
        <f>K36/10</f>
        <v>275</v>
      </c>
      <c r="L37" s="536">
        <f t="shared" si="1"/>
        <v>834.33333333333337</v>
      </c>
      <c r="M37" s="493">
        <f t="shared" si="1"/>
        <v>4211.666666666667</v>
      </c>
      <c r="N37" s="525">
        <f>N36/10</f>
        <v>116.73600000000002</v>
      </c>
      <c r="O37" s="493">
        <f>O36/10</f>
        <v>583.68000000000006</v>
      </c>
      <c r="P37" s="525">
        <f>P36/6</f>
        <v>317.44</v>
      </c>
      <c r="Q37" s="493">
        <f>Q36/6</f>
        <v>6963.2000000000007</v>
      </c>
      <c r="R37" s="525">
        <f>R36/10</f>
        <v>325.8</v>
      </c>
      <c r="S37" s="493">
        <f>S36/10</f>
        <v>1629</v>
      </c>
    </row>
    <row r="38" spans="1:19" s="252" customFormat="1">
      <c r="B38" s="265" t="s">
        <v>499</v>
      </c>
      <c r="C38" s="259">
        <v>5</v>
      </c>
      <c r="D38" s="1502"/>
      <c r="E38" s="1503"/>
      <c r="F38" s="1504"/>
      <c r="G38" s="1505"/>
      <c r="H38" s="1504"/>
      <c r="I38" s="1508"/>
      <c r="J38" s="1508"/>
      <c r="K38" s="1508"/>
      <c r="L38" s="1508"/>
      <c r="M38" s="1505"/>
      <c r="N38" s="1504"/>
      <c r="O38" s="1505"/>
      <c r="P38" s="1500"/>
      <c r="Q38" s="1501"/>
      <c r="R38" s="1504"/>
      <c r="S38" s="1505"/>
    </row>
    <row r="39" spans="1:19" s="252" customFormat="1">
      <c r="B39" s="265" t="s">
        <v>500</v>
      </c>
      <c r="C39" s="259"/>
      <c r="D39" s="1509">
        <f>基础数据!E18</f>
        <v>0.11</v>
      </c>
      <c r="E39" s="1510"/>
      <c r="F39" s="1492">
        <f>基础数据!E19</f>
        <v>-4.8181818181818183</v>
      </c>
      <c r="G39" s="1494"/>
      <c r="H39" s="1492">
        <f>基础数据!E17</f>
        <v>0.16666666666666666</v>
      </c>
      <c r="I39" s="1493"/>
      <c r="J39" s="1493"/>
      <c r="K39" s="1493"/>
      <c r="L39" s="1493"/>
      <c r="M39" s="1494"/>
      <c r="N39" s="1492">
        <f>基础数据!E21</f>
        <v>-8.2142857142857135</v>
      </c>
      <c r="O39" s="1494"/>
      <c r="P39" s="1506">
        <f>基础数据!E64</f>
        <v>0</v>
      </c>
      <c r="Q39" s="1507"/>
      <c r="R39" s="1492">
        <f>基础数据!E63</f>
        <v>0</v>
      </c>
      <c r="S39" s="1494"/>
    </row>
    <row r="40" spans="1:19" s="252" customFormat="1">
      <c r="B40" s="268" t="s">
        <v>501</v>
      </c>
      <c r="C40" s="293"/>
      <c r="D40" s="526">
        <f>ROUND(D37*(1+D39),0)</f>
        <v>17</v>
      </c>
      <c r="E40" s="494">
        <f>ROUND(D40*C38,0)</f>
        <v>85</v>
      </c>
      <c r="F40" s="526">
        <f>ROUND(F37*(1+F39),0)</f>
        <v>-353</v>
      </c>
      <c r="G40" s="494">
        <f>ROUND(F40*C38,0)</f>
        <v>-1765</v>
      </c>
      <c r="H40" s="294">
        <f>ROUND(H37*(1+H39),0)</f>
        <v>910</v>
      </c>
      <c r="I40" s="295">
        <f>H40*C38</f>
        <v>4550</v>
      </c>
      <c r="J40" s="294">
        <f>ROUND(J37*1,0)</f>
        <v>48</v>
      </c>
      <c r="K40" s="295">
        <f>J40*C31</f>
        <v>240</v>
      </c>
      <c r="L40" s="294">
        <f>H40+J40</f>
        <v>958</v>
      </c>
      <c r="M40" s="295">
        <f>I40+K40</f>
        <v>4790</v>
      </c>
      <c r="N40" s="526">
        <f>ROUND(N37*(1+N39),0)</f>
        <v>-842</v>
      </c>
      <c r="O40" s="494">
        <f>ROUND(N40*C38,0)</f>
        <v>-4210</v>
      </c>
      <c r="P40" s="294">
        <f>ROUND(P37*(1+P39),0)</f>
        <v>317</v>
      </c>
      <c r="Q40" s="295">
        <f>ROUND(P40*C26,0)*76%</f>
        <v>1204.5999999999999</v>
      </c>
      <c r="R40" s="294">
        <f>ROUND(R37*(1+R39),0)</f>
        <v>326</v>
      </c>
      <c r="S40" s="295">
        <f>ROUND(R40*C38,0)</f>
        <v>1630</v>
      </c>
    </row>
    <row r="41" spans="1:19" s="252" customFormat="1" ht="38.25">
      <c r="B41" s="296"/>
      <c r="C41" s="297" t="s">
        <v>541</v>
      </c>
      <c r="D41" s="298"/>
      <c r="E41" s="297"/>
    </row>
    <row r="42" spans="1:19" s="252" customFormat="1">
      <c r="A42" s="272"/>
      <c r="B42" s="273"/>
      <c r="D42" s="274"/>
    </row>
    <row r="43" spans="1:19">
      <c r="B43" s="299" t="s">
        <v>280</v>
      </c>
    </row>
    <row r="44" spans="1:19">
      <c r="B44" s="300" t="s">
        <v>486</v>
      </c>
      <c r="C44" s="279"/>
    </row>
    <row r="45" spans="1:19" s="252" customFormat="1" ht="13.5" customHeight="1">
      <c r="B45" s="1472" t="s">
        <v>251</v>
      </c>
      <c r="C45" s="301" t="s">
        <v>252</v>
      </c>
      <c r="D45" s="302" t="s">
        <v>271</v>
      </c>
      <c r="E45" s="302" t="s">
        <v>253</v>
      </c>
      <c r="F45" s="304" t="s">
        <v>282</v>
      </c>
      <c r="G45" s="595" t="s">
        <v>283</v>
      </c>
      <c r="H45" s="308" t="s">
        <v>281</v>
      </c>
    </row>
    <row r="46" spans="1:19" s="252" customFormat="1">
      <c r="B46" s="1473"/>
      <c r="C46" s="305" t="s">
        <v>274</v>
      </c>
      <c r="D46" s="255" t="s">
        <v>274</v>
      </c>
      <c r="E46" s="255" t="s">
        <v>274</v>
      </c>
      <c r="F46" s="306" t="s">
        <v>274</v>
      </c>
      <c r="G46" s="310" t="s">
        <v>274</v>
      </c>
      <c r="H46" s="310" t="s">
        <v>274</v>
      </c>
    </row>
    <row r="47" spans="1:19" s="252" customFormat="1">
      <c r="B47" s="257" t="s">
        <v>257</v>
      </c>
      <c r="C47" s="493">
        <v>100</v>
      </c>
      <c r="D47" s="493">
        <v>200</v>
      </c>
      <c r="E47" s="493">
        <v>300</v>
      </c>
      <c r="F47" s="493">
        <v>400</v>
      </c>
      <c r="G47" s="493">
        <v>100</v>
      </c>
      <c r="H47" s="493">
        <v>222</v>
      </c>
    </row>
    <row r="48" spans="1:19" s="252" customFormat="1">
      <c r="B48" s="257" t="s">
        <v>258</v>
      </c>
      <c r="C48" s="493">
        <v>100</v>
      </c>
      <c r="D48" s="493">
        <v>200</v>
      </c>
      <c r="E48" s="493">
        <v>300</v>
      </c>
      <c r="F48" s="493">
        <v>400</v>
      </c>
      <c r="G48" s="493">
        <v>100</v>
      </c>
      <c r="H48" s="493">
        <v>222</v>
      </c>
    </row>
    <row r="49" spans="2:8" s="252" customFormat="1">
      <c r="B49" s="257" t="s">
        <v>259</v>
      </c>
      <c r="C49" s="493">
        <v>100</v>
      </c>
      <c r="D49" s="493">
        <v>200</v>
      </c>
      <c r="E49" s="493">
        <v>300</v>
      </c>
      <c r="F49" s="493">
        <v>400</v>
      </c>
      <c r="G49" s="493">
        <v>100</v>
      </c>
      <c r="H49" s="493">
        <v>222</v>
      </c>
    </row>
    <row r="50" spans="2:8" s="252" customFormat="1">
      <c r="B50" s="257" t="s">
        <v>260</v>
      </c>
      <c r="C50" s="493">
        <v>100</v>
      </c>
      <c r="D50" s="493">
        <v>200</v>
      </c>
      <c r="E50" s="493">
        <v>300</v>
      </c>
      <c r="F50" s="493">
        <v>400</v>
      </c>
      <c r="G50" s="493">
        <v>100</v>
      </c>
      <c r="H50" s="493">
        <v>222</v>
      </c>
    </row>
    <row r="51" spans="2:8" s="252" customFormat="1">
      <c r="B51" s="257" t="s">
        <v>261</v>
      </c>
      <c r="C51" s="493">
        <v>100</v>
      </c>
      <c r="D51" s="493">
        <v>200</v>
      </c>
      <c r="E51" s="493">
        <v>300</v>
      </c>
      <c r="F51" s="493">
        <v>400</v>
      </c>
      <c r="G51" s="493">
        <v>100</v>
      </c>
      <c r="H51" s="493">
        <v>222</v>
      </c>
    </row>
    <row r="52" spans="2:8" s="252" customFormat="1">
      <c r="B52" s="257" t="s">
        <v>262</v>
      </c>
      <c r="C52" s="493">
        <v>100</v>
      </c>
      <c r="D52" s="493">
        <v>200</v>
      </c>
      <c r="E52" s="493">
        <v>300</v>
      </c>
      <c r="F52" s="493">
        <v>400</v>
      </c>
      <c r="G52" s="493">
        <v>100</v>
      </c>
      <c r="H52" s="493">
        <v>222</v>
      </c>
    </row>
    <row r="53" spans="2:8" s="252" customFormat="1">
      <c r="B53" s="257" t="s">
        <v>263</v>
      </c>
      <c r="C53" s="493">
        <v>100</v>
      </c>
      <c r="D53" s="493">
        <v>200</v>
      </c>
      <c r="E53" s="493">
        <v>300</v>
      </c>
      <c r="F53" s="493">
        <v>400</v>
      </c>
      <c r="G53" s="493">
        <v>100</v>
      </c>
      <c r="H53" s="493">
        <v>222</v>
      </c>
    </row>
    <row r="54" spans="2:8" s="252" customFormat="1">
      <c r="B54" s="257" t="s">
        <v>264</v>
      </c>
      <c r="C54" s="493">
        <v>100</v>
      </c>
      <c r="D54" s="493">
        <v>200</v>
      </c>
      <c r="E54" s="493">
        <v>300</v>
      </c>
      <c r="F54" s="493">
        <v>400</v>
      </c>
      <c r="G54" s="493">
        <v>100</v>
      </c>
      <c r="H54" s="493">
        <v>222</v>
      </c>
    </row>
    <row r="55" spans="2:8" s="252" customFormat="1">
      <c r="B55" s="257" t="s">
        <v>265</v>
      </c>
      <c r="C55" s="493">
        <v>100</v>
      </c>
      <c r="D55" s="493">
        <v>200</v>
      </c>
      <c r="E55" s="493">
        <v>300</v>
      </c>
      <c r="F55" s="493">
        <v>400</v>
      </c>
      <c r="G55" s="493">
        <v>100</v>
      </c>
      <c r="H55" s="493">
        <v>222</v>
      </c>
    </row>
    <row r="56" spans="2:8" s="252" customFormat="1">
      <c r="B56" s="257" t="s">
        <v>422</v>
      </c>
      <c r="C56" s="493">
        <v>100</v>
      </c>
      <c r="D56" s="493">
        <v>200</v>
      </c>
      <c r="E56" s="493">
        <v>300</v>
      </c>
      <c r="F56" s="493">
        <v>400</v>
      </c>
      <c r="G56" s="493">
        <v>100</v>
      </c>
      <c r="H56" s="493">
        <v>222</v>
      </c>
    </row>
    <row r="57" spans="2:8" s="252" customFormat="1">
      <c r="B57" s="291" t="s">
        <v>266</v>
      </c>
      <c r="C57" s="495">
        <f t="shared" ref="C57:H57" si="2">SUM(C47:C56)</f>
        <v>1000</v>
      </c>
      <c r="D57" s="495">
        <f t="shared" si="2"/>
        <v>2000</v>
      </c>
      <c r="E57" s="495">
        <f t="shared" si="2"/>
        <v>3000</v>
      </c>
      <c r="F57" s="495">
        <f t="shared" si="2"/>
        <v>4000</v>
      </c>
      <c r="G57" s="495">
        <f t="shared" si="2"/>
        <v>1000</v>
      </c>
      <c r="H57" s="495">
        <f t="shared" si="2"/>
        <v>2220</v>
      </c>
    </row>
    <row r="58" spans="2:8" s="252" customFormat="1">
      <c r="B58" s="265" t="s">
        <v>284</v>
      </c>
      <c r="C58" s="493">
        <f t="shared" ref="C58:H58" si="3">C57/10</f>
        <v>100</v>
      </c>
      <c r="D58" s="493">
        <f t="shared" si="3"/>
        <v>200</v>
      </c>
      <c r="E58" s="493">
        <f t="shared" si="3"/>
        <v>300</v>
      </c>
      <c r="F58" s="493">
        <f t="shared" si="3"/>
        <v>400</v>
      </c>
      <c r="G58" s="493">
        <f t="shared" si="3"/>
        <v>100</v>
      </c>
      <c r="H58" s="493">
        <f t="shared" si="3"/>
        <v>222</v>
      </c>
    </row>
    <row r="59" spans="2:8" s="252" customFormat="1">
      <c r="B59" s="265" t="s">
        <v>488</v>
      </c>
      <c r="C59" s="1517">
        <v>0</v>
      </c>
      <c r="D59" s="1518"/>
      <c r="E59" s="1518"/>
      <c r="F59" s="1518"/>
      <c r="G59" s="1518"/>
      <c r="H59" s="1519"/>
    </row>
    <row r="60" spans="2:8" s="252" customFormat="1">
      <c r="B60" s="268" t="s">
        <v>487</v>
      </c>
      <c r="C60" s="494">
        <f>C58*(1+C59)</f>
        <v>100</v>
      </c>
      <c r="D60" s="494">
        <f>D58*(1+C59)</f>
        <v>200</v>
      </c>
      <c r="E60" s="494">
        <f>E58*(1+C59)</f>
        <v>300</v>
      </c>
      <c r="F60" s="494">
        <f>F58*(1+D59)</f>
        <v>400</v>
      </c>
      <c r="G60" s="494">
        <f>G58*(1+E59)</f>
        <v>100</v>
      </c>
      <c r="H60" s="494">
        <f>H58*(1+C59)</f>
        <v>222</v>
      </c>
    </row>
    <row r="62" spans="2:8">
      <c r="B62" s="246" t="s">
        <v>285</v>
      </c>
      <c r="D62" s="307"/>
    </row>
    <row r="63" spans="2:8">
      <c r="B63" s="277" t="s">
        <v>503</v>
      </c>
    </row>
    <row r="64" spans="2:8" s="252" customFormat="1" ht="13.5" customHeight="1">
      <c r="B64" s="1472" t="s">
        <v>251</v>
      </c>
      <c r="C64" s="309" t="s">
        <v>136</v>
      </c>
      <c r="D64" s="302" t="s">
        <v>253</v>
      </c>
      <c r="E64" s="308" t="s">
        <v>286</v>
      </c>
      <c r="F64" s="595" t="s">
        <v>287</v>
      </c>
    </row>
    <row r="65" spans="2:6" s="252" customFormat="1">
      <c r="B65" s="1473"/>
      <c r="C65" s="255" t="s">
        <v>274</v>
      </c>
      <c r="D65" s="255" t="s">
        <v>274</v>
      </c>
      <c r="E65" s="310" t="s">
        <v>274</v>
      </c>
      <c r="F65" s="310" t="s">
        <v>288</v>
      </c>
    </row>
    <row r="66" spans="2:6" s="252" customFormat="1">
      <c r="B66" s="257" t="s">
        <v>257</v>
      </c>
      <c r="C66" s="493">
        <v>190</v>
      </c>
      <c r="D66" s="493">
        <v>170</v>
      </c>
      <c r="E66" s="493">
        <v>111</v>
      </c>
      <c r="F66" s="493">
        <v>5</v>
      </c>
    </row>
    <row r="67" spans="2:6" s="252" customFormat="1">
      <c r="B67" s="257" t="s">
        <v>258</v>
      </c>
      <c r="C67" s="493">
        <v>190</v>
      </c>
      <c r="D67" s="493">
        <v>170</v>
      </c>
      <c r="E67" s="493">
        <v>111</v>
      </c>
      <c r="F67" s="493">
        <v>5</v>
      </c>
    </row>
    <row r="68" spans="2:6" s="252" customFormat="1">
      <c r="B68" s="257" t="s">
        <v>259</v>
      </c>
      <c r="C68" s="493">
        <v>190</v>
      </c>
      <c r="D68" s="493">
        <v>170</v>
      </c>
      <c r="E68" s="493">
        <v>111</v>
      </c>
      <c r="F68" s="493">
        <v>5</v>
      </c>
    </row>
    <row r="69" spans="2:6" s="252" customFormat="1">
      <c r="B69" s="257" t="s">
        <v>260</v>
      </c>
      <c r="C69" s="493">
        <v>190</v>
      </c>
      <c r="D69" s="493">
        <v>170</v>
      </c>
      <c r="E69" s="493">
        <v>111</v>
      </c>
      <c r="F69" s="493">
        <v>5</v>
      </c>
    </row>
    <row r="70" spans="2:6" s="252" customFormat="1">
      <c r="B70" s="257" t="s">
        <v>261</v>
      </c>
      <c r="C70" s="493">
        <v>190</v>
      </c>
      <c r="D70" s="493">
        <v>170</v>
      </c>
      <c r="E70" s="493">
        <v>111</v>
      </c>
      <c r="F70" s="493">
        <v>5</v>
      </c>
    </row>
    <row r="71" spans="2:6" s="252" customFormat="1">
      <c r="B71" s="257" t="s">
        <v>262</v>
      </c>
      <c r="C71" s="493">
        <v>190</v>
      </c>
      <c r="D71" s="493">
        <v>170</v>
      </c>
      <c r="E71" s="493">
        <v>111</v>
      </c>
      <c r="F71" s="493">
        <v>5</v>
      </c>
    </row>
    <row r="72" spans="2:6" s="252" customFormat="1">
      <c r="B72" s="257" t="s">
        <v>263</v>
      </c>
      <c r="C72" s="493">
        <v>190</v>
      </c>
      <c r="D72" s="493">
        <v>170</v>
      </c>
      <c r="E72" s="493">
        <v>111</v>
      </c>
      <c r="F72" s="493">
        <v>5</v>
      </c>
    </row>
    <row r="73" spans="2:6" s="252" customFormat="1">
      <c r="B73" s="257" t="s">
        <v>264</v>
      </c>
      <c r="C73" s="493">
        <v>190</v>
      </c>
      <c r="D73" s="493">
        <v>170</v>
      </c>
      <c r="E73" s="493">
        <v>111</v>
      </c>
      <c r="F73" s="493">
        <v>5</v>
      </c>
    </row>
    <row r="74" spans="2:6" s="252" customFormat="1">
      <c r="B74" s="257" t="s">
        <v>265</v>
      </c>
      <c r="C74" s="493">
        <v>190</v>
      </c>
      <c r="D74" s="493">
        <v>170</v>
      </c>
      <c r="E74" s="493">
        <v>111</v>
      </c>
      <c r="F74" s="493">
        <v>5</v>
      </c>
    </row>
    <row r="75" spans="2:6" s="252" customFormat="1">
      <c r="B75" s="311" t="s">
        <v>289</v>
      </c>
      <c r="C75" s="493">
        <v>190</v>
      </c>
      <c r="D75" s="493">
        <v>170</v>
      </c>
      <c r="E75" s="493">
        <v>111</v>
      </c>
      <c r="F75" s="493">
        <v>5</v>
      </c>
    </row>
    <row r="76" spans="2:6" s="252" customFormat="1">
      <c r="B76" s="291" t="s">
        <v>266</v>
      </c>
      <c r="C76" s="495">
        <f>SUM(C66:C75)</f>
        <v>1900</v>
      </c>
      <c r="D76" s="495">
        <f>SUM(D66:D75)</f>
        <v>1700</v>
      </c>
      <c r="E76" s="495">
        <f>SUM(E66:E75)</f>
        <v>1110</v>
      </c>
      <c r="F76" s="495">
        <f>SUM(F66:F75)</f>
        <v>50</v>
      </c>
    </row>
    <row r="77" spans="2:6" s="252" customFormat="1">
      <c r="B77" s="265" t="s">
        <v>284</v>
      </c>
      <c r="C77" s="493">
        <f>C76/10</f>
        <v>190</v>
      </c>
      <c r="D77" s="493">
        <f>D76/10</f>
        <v>170</v>
      </c>
      <c r="E77" s="493">
        <f>E76/10</f>
        <v>111</v>
      </c>
      <c r="F77" s="493">
        <f>F76/10</f>
        <v>5</v>
      </c>
    </row>
    <row r="78" spans="2:6" s="252" customFormat="1">
      <c r="B78" s="265" t="s">
        <v>500</v>
      </c>
      <c r="C78" s="312">
        <f>基础数据!E17</f>
        <v>0.16666666666666666</v>
      </c>
      <c r="D78" s="312">
        <f>基础数据!E19</f>
        <v>-4.8181818181818183</v>
      </c>
      <c r="E78" s="312">
        <f>基础数据!E21</f>
        <v>-8.2142857142857135</v>
      </c>
      <c r="F78" s="591">
        <f>基础数据!E65</f>
        <v>0</v>
      </c>
    </row>
    <row r="79" spans="2:6" s="252" customFormat="1">
      <c r="B79" s="265" t="s">
        <v>542</v>
      </c>
      <c r="C79" s="1492">
        <v>0.05</v>
      </c>
      <c r="D79" s="1493"/>
      <c r="E79" s="1493"/>
      <c r="F79" s="1494"/>
    </row>
    <row r="80" spans="2:6" s="252" customFormat="1">
      <c r="B80" s="268" t="s">
        <v>487</v>
      </c>
      <c r="C80" s="494">
        <f>ROUND(C77*(1+C78),0)*(1+C79)</f>
        <v>233.10000000000002</v>
      </c>
      <c r="D80" s="494">
        <f>ROUND(D77*(1+D78),0)*(1.2+C79)</f>
        <v>-811.25</v>
      </c>
      <c r="E80" s="494">
        <f>ROUND(E77*(1+E78),0)*(1+C79)</f>
        <v>-841.05000000000007</v>
      </c>
      <c r="F80" s="494">
        <f>ROUND(F77*(1+F78),0)*(1+D79)</f>
        <v>5</v>
      </c>
    </row>
    <row r="81" spans="1:45">
      <c r="C81" s="248"/>
      <c r="E81" s="527" t="s">
        <v>543</v>
      </c>
      <c r="H81" s="252"/>
    </row>
    <row r="82" spans="1:45" s="252" customFormat="1">
      <c r="B82" s="313"/>
      <c r="C82" s="314"/>
      <c r="D82" s="314"/>
      <c r="E82" s="314"/>
      <c r="F82" s="314"/>
      <c r="G82" s="314"/>
      <c r="H82" s="314"/>
    </row>
    <row r="83" spans="1:45" hidden="1">
      <c r="C83" s="248"/>
    </row>
    <row r="84" spans="1:45" hidden="1">
      <c r="B84" s="246" t="s">
        <v>290</v>
      </c>
      <c r="C84" s="248"/>
    </row>
    <row r="85" spans="1:45" s="315" customFormat="1" hidden="1">
      <c r="B85" s="316"/>
      <c r="C85" s="317"/>
      <c r="D85" s="317"/>
      <c r="E85" s="317"/>
      <c r="F85" s="317"/>
      <c r="G85" s="317"/>
      <c r="H85" s="317"/>
      <c r="I85" s="317"/>
    </row>
    <row r="86" spans="1:45" s="252" customFormat="1" hidden="1">
      <c r="B86" s="277" t="s">
        <v>291</v>
      </c>
    </row>
    <row r="87" spans="1:45" s="149" customFormat="1" hidden="1">
      <c r="B87" s="318" t="s">
        <v>292</v>
      </c>
      <c r="C87" s="318" t="s">
        <v>293</v>
      </c>
      <c r="D87" s="319" t="s">
        <v>294</v>
      </c>
      <c r="E87" s="319" t="s">
        <v>295</v>
      </c>
      <c r="F87" s="318" t="s">
        <v>296</v>
      </c>
      <c r="G87" s="318" t="s">
        <v>297</v>
      </c>
      <c r="H87" s="318" t="s">
        <v>298</v>
      </c>
      <c r="I87" s="318" t="s">
        <v>299</v>
      </c>
      <c r="J87" s="320" t="s">
        <v>122</v>
      </c>
    </row>
    <row r="88" spans="1:45" s="149" customFormat="1" hidden="1">
      <c r="B88" s="321" t="s">
        <v>269</v>
      </c>
      <c r="C88" s="322">
        <v>8</v>
      </c>
      <c r="D88" s="322">
        <v>11</v>
      </c>
      <c r="E88" s="322">
        <v>18</v>
      </c>
      <c r="F88" s="323">
        <v>65</v>
      </c>
      <c r="G88" s="322">
        <v>30</v>
      </c>
      <c r="H88" s="322">
        <v>1.5</v>
      </c>
      <c r="I88" s="322">
        <v>10</v>
      </c>
      <c r="J88" s="322"/>
    </row>
    <row r="89" spans="1:45" s="149" customFormat="1" hidden="1">
      <c r="B89" s="321" t="s">
        <v>300</v>
      </c>
      <c r="C89" s="1511">
        <f>[26]基础数据!D21</f>
        <v>82</v>
      </c>
      <c r="D89" s="1512"/>
      <c r="E89" s="324">
        <v>12</v>
      </c>
      <c r="F89" s="1511">
        <v>10</v>
      </c>
      <c r="G89" s="1512"/>
      <c r="H89" s="325">
        <v>10</v>
      </c>
      <c r="I89" s="324">
        <v>20</v>
      </c>
      <c r="J89" s="326"/>
    </row>
    <row r="90" spans="1:45" s="252" customFormat="1" hidden="1">
      <c r="B90" s="327" t="s">
        <v>301</v>
      </c>
      <c r="C90" s="328">
        <f>C88*C89</f>
        <v>656</v>
      </c>
      <c r="D90" s="328">
        <f>D88*C89</f>
        <v>902</v>
      </c>
      <c r="E90" s="328">
        <f>E88*E89</f>
        <v>216</v>
      </c>
      <c r="F90" s="328">
        <f>F88*F89</f>
        <v>650</v>
      </c>
      <c r="G90" s="328">
        <f>G88*F89</f>
        <v>300</v>
      </c>
      <c r="H90" s="328">
        <f>H88*H89</f>
        <v>15</v>
      </c>
      <c r="I90" s="328">
        <f>I88*I89</f>
        <v>200</v>
      </c>
      <c r="J90" s="328">
        <f>SUM(C90:I90)</f>
        <v>2939</v>
      </c>
    </row>
    <row r="91" spans="1:45" s="116" customFormat="1" ht="15.75" hidden="1">
      <c r="A91" s="329"/>
      <c r="B91" s="277" t="s">
        <v>302</v>
      </c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30"/>
      <c r="T91" s="329"/>
      <c r="U91" s="329"/>
      <c r="V91" s="329"/>
      <c r="W91" s="329"/>
      <c r="X91" s="329"/>
      <c r="Y91" s="329"/>
      <c r="Z91" s="329"/>
      <c r="AA91" s="329"/>
      <c r="AB91" s="329"/>
      <c r="AC91" s="329"/>
      <c r="AD91" s="329"/>
      <c r="AE91" s="329"/>
      <c r="AF91" s="329"/>
      <c r="AG91" s="330"/>
      <c r="AH91" s="330"/>
      <c r="AI91" s="330"/>
      <c r="AJ91" s="330"/>
      <c r="AK91" s="329"/>
      <c r="AL91" s="329"/>
      <c r="AM91" s="329"/>
      <c r="AN91" s="329"/>
      <c r="AO91" s="330"/>
      <c r="AP91" s="330"/>
      <c r="AQ91" s="330"/>
      <c r="AR91" s="330"/>
      <c r="AS91" s="330"/>
    </row>
    <row r="92" spans="1:45" s="149" customFormat="1" ht="13.5" hidden="1" customHeight="1">
      <c r="B92" s="1513" t="s">
        <v>303</v>
      </c>
      <c r="C92" s="1515" t="s">
        <v>304</v>
      </c>
      <c r="D92" s="1515"/>
      <c r="E92" s="1515"/>
      <c r="F92" s="1515"/>
      <c r="G92" s="1515"/>
      <c r="H92" s="1515"/>
      <c r="I92" s="1515"/>
      <c r="J92" s="1516"/>
      <c r="K92" s="1516"/>
      <c r="L92" s="1516"/>
      <c r="M92" s="1516"/>
      <c r="N92" s="1516"/>
      <c r="O92" s="1516"/>
      <c r="P92" s="1516"/>
      <c r="Q92" s="1516"/>
      <c r="R92" s="1516"/>
      <c r="S92" s="1516"/>
      <c r="T92" s="1516"/>
      <c r="U92" s="1516"/>
      <c r="V92" s="1516"/>
      <c r="W92" s="1516"/>
      <c r="X92" s="1516"/>
      <c r="Y92" s="1516"/>
      <c r="Z92" s="1516"/>
      <c r="AA92" s="1516"/>
      <c r="AB92" s="1516"/>
      <c r="AC92" s="1516"/>
      <c r="AD92" s="1516"/>
      <c r="AE92" s="1516"/>
      <c r="AF92" s="1516"/>
      <c r="AG92" s="1516"/>
      <c r="AH92" s="1516"/>
      <c r="AI92" s="1516"/>
      <c r="AJ92" s="1516"/>
      <c r="AK92" s="1516"/>
      <c r="AL92" s="1516"/>
      <c r="AM92" s="1516"/>
    </row>
    <row r="93" spans="1:45" s="149" customFormat="1" hidden="1">
      <c r="B93" s="1514"/>
      <c r="C93" s="320" t="s">
        <v>305</v>
      </c>
      <c r="D93" s="320" t="s">
        <v>293</v>
      </c>
      <c r="E93" s="320" t="s">
        <v>306</v>
      </c>
      <c r="F93" s="331" t="s">
        <v>307</v>
      </c>
      <c r="G93" s="320" t="s">
        <v>308</v>
      </c>
      <c r="H93" s="320" t="s">
        <v>309</v>
      </c>
      <c r="I93" s="331" t="s">
        <v>310</v>
      </c>
      <c r="J93" s="332"/>
      <c r="K93" s="332"/>
      <c r="L93" s="332"/>
      <c r="M93" s="333"/>
      <c r="N93" s="332"/>
      <c r="O93" s="332"/>
      <c r="P93" s="333"/>
      <c r="Q93" s="332"/>
      <c r="R93" s="332"/>
      <c r="S93" s="332"/>
      <c r="T93" s="333"/>
      <c r="U93" s="332"/>
      <c r="V93" s="332"/>
      <c r="W93" s="332"/>
      <c r="X93" s="332"/>
      <c r="Y93" s="333"/>
      <c r="Z93" s="332"/>
      <c r="AA93" s="332"/>
      <c r="AB93" s="332"/>
      <c r="AC93" s="333"/>
      <c r="AD93" s="332"/>
      <c r="AE93" s="332"/>
      <c r="AF93" s="333"/>
      <c r="AG93" s="332"/>
      <c r="AH93" s="332"/>
      <c r="AI93" s="332"/>
      <c r="AJ93" s="333"/>
      <c r="AK93" s="332"/>
      <c r="AL93" s="332"/>
      <c r="AM93" s="333"/>
    </row>
    <row r="94" spans="1:45" s="315" customFormat="1" hidden="1">
      <c r="B94" s="334" t="s">
        <v>311</v>
      </c>
      <c r="C94" s="335">
        <f>4800/12</f>
        <v>400</v>
      </c>
      <c r="D94" s="335">
        <f>12504/12</f>
        <v>1042</v>
      </c>
      <c r="E94" s="335">
        <f>18390/12</f>
        <v>1532.5</v>
      </c>
      <c r="F94" s="335">
        <f>4400/12</f>
        <v>366.66666666666669</v>
      </c>
      <c r="G94" s="335">
        <f>11000/12</f>
        <v>916.66666666666663</v>
      </c>
      <c r="H94" s="335">
        <v>200</v>
      </c>
      <c r="I94" s="335">
        <v>200</v>
      </c>
      <c r="J94" s="336"/>
      <c r="K94" s="336"/>
      <c r="L94" s="336"/>
      <c r="M94" s="336"/>
      <c r="N94" s="336"/>
      <c r="O94" s="336"/>
      <c r="P94" s="336"/>
      <c r="Q94" s="336"/>
      <c r="R94" s="336"/>
      <c r="S94" s="336"/>
      <c r="T94" s="336"/>
      <c r="U94" s="336"/>
      <c r="V94" s="336"/>
      <c r="W94" s="336"/>
      <c r="X94" s="336"/>
      <c r="Y94" s="336"/>
      <c r="Z94" s="336"/>
      <c r="AA94" s="336"/>
      <c r="AB94" s="336"/>
      <c r="AC94" s="336"/>
      <c r="AD94" s="336"/>
      <c r="AE94" s="336"/>
      <c r="AF94" s="336"/>
      <c r="AG94" s="336"/>
      <c r="AH94" s="336"/>
      <c r="AI94" s="336"/>
      <c r="AJ94" s="336"/>
      <c r="AK94" s="336"/>
      <c r="AL94" s="336"/>
      <c r="AM94" s="336"/>
    </row>
    <row r="95" spans="1:45" s="252" customFormat="1" ht="15" hidden="1">
      <c r="B95" s="337" t="s">
        <v>312</v>
      </c>
      <c r="C95" s="338">
        <v>0.34</v>
      </c>
      <c r="D95" s="1520">
        <v>0</v>
      </c>
      <c r="E95" s="1520"/>
      <c r="F95" s="1520"/>
      <c r="G95" s="1520"/>
      <c r="H95" s="1520"/>
      <c r="I95" s="1520"/>
      <c r="J95" s="339"/>
      <c r="K95" s="1521"/>
      <c r="L95" s="1521"/>
      <c r="M95" s="1521"/>
      <c r="N95" s="1521"/>
      <c r="O95" s="1521"/>
      <c r="P95" s="1521"/>
      <c r="Q95" s="339"/>
      <c r="R95" s="1521"/>
      <c r="S95" s="1521"/>
      <c r="T95" s="1521"/>
      <c r="U95" s="1521"/>
      <c r="V95" s="1521"/>
      <c r="W95" s="1521"/>
      <c r="X95" s="1521"/>
      <c r="Y95" s="1521"/>
      <c r="Z95" s="339"/>
      <c r="AA95" s="1521"/>
      <c r="AB95" s="1521"/>
      <c r="AC95" s="1521"/>
      <c r="AD95" s="1521"/>
      <c r="AE95" s="1521"/>
      <c r="AF95" s="1521"/>
      <c r="AG95" s="339"/>
      <c r="AH95" s="1521"/>
      <c r="AI95" s="1521"/>
      <c r="AJ95" s="1521"/>
      <c r="AK95" s="1521"/>
      <c r="AL95" s="1521"/>
      <c r="AM95" s="1521"/>
    </row>
    <row r="96" spans="1:45" s="149" customFormat="1" hidden="1">
      <c r="B96" s="327" t="s">
        <v>313</v>
      </c>
      <c r="C96" s="1522">
        <f>C94*(1+C95)+SUM(D94:I94)</f>
        <v>4793.833333333333</v>
      </c>
      <c r="D96" s="1523"/>
      <c r="E96" s="1523"/>
      <c r="F96" s="1523"/>
      <c r="G96" s="1523"/>
      <c r="H96" s="1523"/>
      <c r="I96" s="1524"/>
      <c r="J96" s="1525"/>
      <c r="K96" s="1525"/>
      <c r="L96" s="1525"/>
      <c r="M96" s="1525"/>
      <c r="N96" s="1525"/>
      <c r="O96" s="1525"/>
      <c r="P96" s="1525"/>
      <c r="Q96" s="1525"/>
      <c r="R96" s="1525"/>
      <c r="S96" s="1525"/>
      <c r="T96" s="1525"/>
      <c r="U96" s="1525"/>
      <c r="V96" s="1525"/>
      <c r="W96" s="1525"/>
      <c r="X96" s="1525"/>
      <c r="Y96" s="1525"/>
      <c r="Z96" s="1525"/>
      <c r="AA96" s="1525"/>
      <c r="AB96" s="1525"/>
      <c r="AC96" s="1525"/>
      <c r="AD96" s="1525"/>
      <c r="AE96" s="1525"/>
      <c r="AF96" s="1525"/>
      <c r="AG96" s="1525"/>
      <c r="AH96" s="1525"/>
      <c r="AI96" s="1525"/>
      <c r="AJ96" s="1525"/>
      <c r="AK96" s="1525"/>
      <c r="AL96" s="1525"/>
      <c r="AM96" s="1525"/>
    </row>
    <row r="97" spans="1:45" s="116" customFormat="1" ht="15.75" hidden="1">
      <c r="A97" s="329"/>
      <c r="B97" s="329"/>
      <c r="C97" s="329"/>
      <c r="D97" s="329"/>
      <c r="E97" s="329"/>
      <c r="F97" s="329"/>
      <c r="G97" s="329"/>
      <c r="H97" s="329"/>
      <c r="I97" s="329"/>
      <c r="J97" s="329"/>
      <c r="K97" s="329"/>
      <c r="L97" s="329"/>
      <c r="M97" s="330"/>
      <c r="T97" s="329"/>
      <c r="U97" s="329"/>
      <c r="V97" s="329"/>
      <c r="W97" s="329"/>
      <c r="X97" s="329"/>
      <c r="Y97" s="329"/>
      <c r="Z97" s="329"/>
      <c r="AA97" s="329"/>
      <c r="AB97" s="329"/>
      <c r="AC97" s="329"/>
      <c r="AD97" s="329"/>
      <c r="AE97" s="329"/>
      <c r="AF97" s="329"/>
      <c r="AG97" s="330"/>
      <c r="AH97" s="330"/>
      <c r="AI97" s="330"/>
      <c r="AJ97" s="330"/>
      <c r="AK97" s="329"/>
      <c r="AL97" s="329"/>
      <c r="AM97" s="329"/>
      <c r="AN97" s="329"/>
      <c r="AO97" s="330"/>
      <c r="AP97" s="330"/>
      <c r="AQ97" s="330"/>
      <c r="AR97" s="330"/>
      <c r="AS97" s="330"/>
    </row>
    <row r="98" spans="1:45" s="116" customFormat="1" ht="15.75" hidden="1">
      <c r="A98" s="329"/>
      <c r="B98" s="329"/>
      <c r="C98" s="329"/>
      <c r="D98" s="329"/>
      <c r="E98" s="329"/>
      <c r="F98" s="329"/>
      <c r="G98" s="329"/>
      <c r="H98" s="329"/>
      <c r="I98" s="329"/>
      <c r="J98" s="329"/>
      <c r="K98" s="329"/>
      <c r="L98" s="329"/>
      <c r="M98" s="330"/>
      <c r="T98" s="329"/>
      <c r="U98" s="340"/>
      <c r="V98" s="340"/>
      <c r="W98" s="340"/>
      <c r="X98" s="329"/>
      <c r="Y98" s="329"/>
      <c r="Z98" s="329"/>
      <c r="AA98" s="329"/>
      <c r="AB98" s="329"/>
      <c r="AC98" s="329"/>
      <c r="AD98" s="329"/>
      <c r="AE98" s="329"/>
      <c r="AF98" s="329"/>
      <c r="AG98" s="330"/>
      <c r="AH98" s="330"/>
      <c r="AI98" s="330"/>
      <c r="AJ98" s="330"/>
      <c r="AK98" s="330"/>
    </row>
    <row r="99" spans="1:45" s="116" customFormat="1" ht="15.75" hidden="1">
      <c r="A99" s="329"/>
      <c r="B99" s="341" t="s">
        <v>314</v>
      </c>
      <c r="C99" s="341"/>
      <c r="D99" s="341"/>
      <c r="E99" s="341"/>
      <c r="F99" s="329"/>
      <c r="G99" s="329"/>
      <c r="H99" s="329"/>
      <c r="I99" s="329"/>
      <c r="J99" s="329"/>
      <c r="K99" s="329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30"/>
      <c r="Y99" s="330"/>
      <c r="Z99" s="330"/>
      <c r="AA99" s="330"/>
      <c r="AB99" s="330"/>
      <c r="AC99" s="330"/>
    </row>
    <row r="100" spans="1:45" s="116" customFormat="1" ht="15.75" hidden="1">
      <c r="A100" s="329"/>
      <c r="B100" s="342" t="s">
        <v>315</v>
      </c>
      <c r="C100" s="343"/>
      <c r="D100" s="343"/>
      <c r="E100" s="343"/>
      <c r="F100" s="329"/>
      <c r="G100" s="329"/>
      <c r="H100" s="329"/>
      <c r="I100" s="329"/>
      <c r="J100" s="329"/>
      <c r="K100" s="329"/>
      <c r="L100" s="329"/>
      <c r="M100" s="329"/>
      <c r="N100" s="329"/>
      <c r="O100" s="329"/>
      <c r="P100" s="329"/>
      <c r="Q100" s="329"/>
      <c r="R100" s="329"/>
      <c r="S100" s="329"/>
      <c r="T100" s="329"/>
      <c r="U100" s="329"/>
      <c r="V100" s="329"/>
      <c r="W100" s="329"/>
      <c r="X100" s="330"/>
      <c r="Y100" s="330"/>
      <c r="Z100" s="330"/>
      <c r="AA100" s="330"/>
      <c r="AB100" s="330"/>
      <c r="AC100" s="330"/>
    </row>
    <row r="101" spans="1:45" s="116" customFormat="1" ht="15.75" hidden="1">
      <c r="A101" s="329"/>
      <c r="B101" s="344" t="s">
        <v>316</v>
      </c>
      <c r="C101" s="344" t="s">
        <v>317</v>
      </c>
      <c r="D101" s="329"/>
      <c r="E101" s="329"/>
      <c r="F101" s="329"/>
      <c r="G101" s="329"/>
      <c r="H101" s="329"/>
      <c r="I101" s="329"/>
      <c r="J101" s="329"/>
      <c r="K101" s="329"/>
      <c r="L101" s="329"/>
      <c r="M101" s="329"/>
      <c r="N101" s="329"/>
      <c r="O101" s="329"/>
      <c r="P101" s="329"/>
      <c r="Q101" s="329"/>
      <c r="R101" s="329"/>
      <c r="S101" s="330"/>
      <c r="T101" s="330"/>
      <c r="U101" s="330"/>
      <c r="V101" s="330"/>
      <c r="W101" s="330"/>
      <c r="X101" s="330"/>
      <c r="Y101" s="330"/>
      <c r="Z101" s="330"/>
    </row>
    <row r="102" spans="1:45" s="116" customFormat="1" ht="15" hidden="1">
      <c r="B102" s="344">
        <v>1</v>
      </c>
      <c r="C102" s="345">
        <v>0</v>
      </c>
    </row>
    <row r="103" spans="1:45" s="116" customFormat="1" ht="15" hidden="1">
      <c r="B103" s="344">
        <v>2</v>
      </c>
      <c r="C103" s="345">
        <v>0</v>
      </c>
    </row>
    <row r="104" spans="1:45" s="116" customFormat="1" ht="15" hidden="1">
      <c r="B104" s="344">
        <v>3</v>
      </c>
      <c r="C104" s="345">
        <v>7155</v>
      </c>
    </row>
    <row r="105" spans="1:45" s="116" customFormat="1" ht="15" hidden="1">
      <c r="B105" s="344">
        <v>4</v>
      </c>
      <c r="C105" s="345">
        <v>0</v>
      </c>
    </row>
    <row r="106" spans="1:45" s="116" customFormat="1" ht="15" hidden="1">
      <c r="B106" s="344">
        <v>5</v>
      </c>
      <c r="C106" s="345">
        <v>0</v>
      </c>
    </row>
    <row r="107" spans="1:45" s="116" customFormat="1" ht="15" hidden="1">
      <c r="B107" s="344">
        <v>6</v>
      </c>
      <c r="C107" s="345">
        <v>7780</v>
      </c>
    </row>
    <row r="108" spans="1:45" s="116" customFormat="1" ht="15" hidden="1">
      <c r="B108" s="346" t="s">
        <v>266</v>
      </c>
      <c r="C108" s="347">
        <f>SUM(C102:C107)</f>
        <v>14935</v>
      </c>
    </row>
    <row r="109" spans="1:45" s="116" customFormat="1" ht="15" hidden="1">
      <c r="B109" s="348" t="s">
        <v>284</v>
      </c>
      <c r="C109" s="345">
        <f>C108/6</f>
        <v>2489.1666666666665</v>
      </c>
    </row>
    <row r="110" spans="1:45" s="116" customFormat="1" ht="15" hidden="1">
      <c r="B110" s="348" t="s">
        <v>318</v>
      </c>
      <c r="C110" s="312">
        <f>[27]基础数据!B6</f>
        <v>0.2</v>
      </c>
    </row>
    <row r="111" spans="1:45" s="116" customFormat="1" ht="15" hidden="1">
      <c r="B111" s="348" t="s">
        <v>319</v>
      </c>
      <c r="C111" s="312">
        <v>0.1</v>
      </c>
    </row>
    <row r="112" spans="1:45" s="116" customFormat="1" ht="15" hidden="1">
      <c r="B112" s="348" t="s">
        <v>320</v>
      </c>
      <c r="C112" s="312">
        <v>0.2</v>
      </c>
    </row>
    <row r="113" spans="2:10" s="116" customFormat="1" ht="15" hidden="1">
      <c r="B113" s="150" t="s">
        <v>321</v>
      </c>
      <c r="C113" s="349">
        <f>C109*(1+C110)*(1+C112)*(1+C111)</f>
        <v>3942.8399999999992</v>
      </c>
    </row>
    <row r="114" spans="2:10" s="116" customFormat="1" ht="15" hidden="1">
      <c r="B114" s="350"/>
      <c r="C114" s="351"/>
    </row>
    <row r="115" spans="2:10" ht="15" hidden="1">
      <c r="B115" s="352"/>
      <c r="C115" s="352"/>
      <c r="D115" s="353"/>
      <c r="E115" s="354"/>
      <c r="F115" s="355"/>
      <c r="G115" s="355"/>
      <c r="H115" s="355"/>
      <c r="I115" s="355"/>
      <c r="J115" s="355"/>
    </row>
    <row r="116" spans="2:10" hidden="1"/>
    <row r="117" spans="2:10" hidden="1"/>
    <row r="118" spans="2:10" hidden="1"/>
    <row r="119" spans="2:10" ht="15" hidden="1">
      <c r="B119" s="356" t="s">
        <v>322</v>
      </c>
      <c r="E119" s="357"/>
      <c r="F119" s="358" t="s">
        <v>322</v>
      </c>
      <c r="G119" s="359"/>
      <c r="H119" s="359"/>
      <c r="I119" s="359"/>
    </row>
    <row r="120" spans="2:10" ht="15" hidden="1">
      <c r="B120" s="360" t="s">
        <v>323</v>
      </c>
      <c r="E120" s="357"/>
      <c r="F120" s="359" t="s">
        <v>324</v>
      </c>
      <c r="G120" s="359"/>
      <c r="H120" s="359"/>
      <c r="I120" s="359"/>
    </row>
    <row r="121" spans="2:10" ht="15" hidden="1">
      <c r="B121" s="361" t="s">
        <v>325</v>
      </c>
      <c r="C121" s="362" t="s">
        <v>326</v>
      </c>
      <c r="D121" s="361" t="s">
        <v>327</v>
      </c>
      <c r="F121" s="363" t="s">
        <v>325</v>
      </c>
      <c r="G121" s="363" t="s">
        <v>326</v>
      </c>
      <c r="H121" s="363" t="s">
        <v>327</v>
      </c>
      <c r="I121" s="363"/>
    </row>
    <row r="122" spans="2:10" ht="15" hidden="1">
      <c r="B122" s="361">
        <v>1</v>
      </c>
      <c r="C122" s="362" t="s">
        <v>328</v>
      </c>
      <c r="D122" s="361">
        <v>29119.5</v>
      </c>
      <c r="F122" s="363">
        <v>1</v>
      </c>
      <c r="G122" s="363" t="s">
        <v>328</v>
      </c>
      <c r="H122" s="364">
        <v>45183.9</v>
      </c>
      <c r="I122" s="363"/>
    </row>
    <row r="123" spans="2:10" ht="15" hidden="1">
      <c r="B123" s="361">
        <v>2</v>
      </c>
      <c r="C123" s="362" t="s">
        <v>328</v>
      </c>
      <c r="D123" s="361">
        <v>30290.799999999999</v>
      </c>
      <c r="F123" s="363">
        <v>2</v>
      </c>
      <c r="G123" s="363" t="s">
        <v>328</v>
      </c>
      <c r="H123" s="364">
        <v>32418.799999999999</v>
      </c>
      <c r="I123" s="363"/>
    </row>
    <row r="124" spans="2:10" ht="15" hidden="1">
      <c r="B124" s="361">
        <v>3</v>
      </c>
      <c r="C124" s="362" t="s">
        <v>328</v>
      </c>
      <c r="D124" s="361">
        <v>33380.1</v>
      </c>
      <c r="F124" s="363">
        <v>3</v>
      </c>
      <c r="G124" s="363" t="s">
        <v>328</v>
      </c>
      <c r="H124" s="364">
        <v>38613.599999999999</v>
      </c>
      <c r="I124" s="363"/>
    </row>
    <row r="125" spans="2:10" ht="15" hidden="1">
      <c r="B125" s="361">
        <v>4</v>
      </c>
      <c r="C125" s="362" t="s">
        <v>328</v>
      </c>
      <c r="D125" s="361">
        <v>31443.1</v>
      </c>
      <c r="F125" s="363">
        <v>4</v>
      </c>
      <c r="G125" s="363" t="s">
        <v>328</v>
      </c>
      <c r="H125" s="364">
        <v>27938.3</v>
      </c>
      <c r="I125" s="363"/>
    </row>
    <row r="126" spans="2:10" ht="15" hidden="1">
      <c r="B126" s="361">
        <v>5</v>
      </c>
      <c r="C126" s="362" t="s">
        <v>328</v>
      </c>
      <c r="D126" s="361">
        <v>36836</v>
      </c>
      <c r="F126" s="363">
        <v>5</v>
      </c>
      <c r="G126" s="363" t="s">
        <v>328</v>
      </c>
      <c r="H126" s="364">
        <v>54895.6</v>
      </c>
      <c r="I126" s="363"/>
    </row>
    <row r="127" spans="2:10" ht="15" hidden="1">
      <c r="B127" s="361">
        <v>6</v>
      </c>
      <c r="C127" s="362" t="s">
        <v>328</v>
      </c>
      <c r="D127" s="361">
        <v>38750.9</v>
      </c>
      <c r="F127" s="363">
        <v>6</v>
      </c>
      <c r="G127" s="363" t="s">
        <v>328</v>
      </c>
      <c r="H127" s="364">
        <v>41019.699999999997</v>
      </c>
      <c r="I127" s="363"/>
    </row>
    <row r="128" spans="2:10" ht="15" hidden="1">
      <c r="B128" s="361">
        <v>7</v>
      </c>
      <c r="C128" s="362" t="s">
        <v>328</v>
      </c>
      <c r="D128" s="361">
        <v>38696.699999999997</v>
      </c>
      <c r="F128" s="363">
        <v>7</v>
      </c>
      <c r="G128" s="363" t="s">
        <v>328</v>
      </c>
      <c r="H128" s="364">
        <v>44152.6</v>
      </c>
      <c r="I128" s="363"/>
    </row>
    <row r="129" spans="2:10" ht="15" hidden="1">
      <c r="B129" s="361">
        <v>8</v>
      </c>
      <c r="C129" s="362" t="s">
        <v>328</v>
      </c>
      <c r="D129" s="361">
        <v>36797.199999999997</v>
      </c>
      <c r="F129" s="363">
        <v>8</v>
      </c>
      <c r="G129" s="363" t="s">
        <v>328</v>
      </c>
      <c r="H129" s="364">
        <v>45100.9</v>
      </c>
      <c r="I129" s="363"/>
    </row>
    <row r="130" spans="2:10" ht="15" hidden="1">
      <c r="B130" s="361">
        <v>9</v>
      </c>
      <c r="C130" s="362" t="s">
        <v>328</v>
      </c>
      <c r="D130" s="361">
        <v>40988.199999999997</v>
      </c>
      <c r="F130" s="363">
        <v>9</v>
      </c>
      <c r="G130" s="363" t="s">
        <v>328</v>
      </c>
      <c r="H130" s="364">
        <v>40940.5</v>
      </c>
      <c r="I130" s="363"/>
    </row>
    <row r="131" spans="2:10" ht="15" hidden="1">
      <c r="B131" s="365">
        <v>10</v>
      </c>
      <c r="C131" s="362" t="s">
        <v>328</v>
      </c>
      <c r="D131" s="361">
        <v>32066</v>
      </c>
      <c r="F131" s="363">
        <v>10</v>
      </c>
      <c r="G131" s="363" t="s">
        <v>328</v>
      </c>
      <c r="H131" s="364">
        <v>31638.799999999999</v>
      </c>
      <c r="I131" s="363"/>
    </row>
    <row r="132" spans="2:10" hidden="1">
      <c r="B132" s="365">
        <v>11</v>
      </c>
      <c r="C132" s="362" t="s">
        <v>328</v>
      </c>
      <c r="D132" s="365">
        <v>48569.1</v>
      </c>
      <c r="F132" s="366" t="s">
        <v>266</v>
      </c>
      <c r="G132" s="366"/>
      <c r="H132" s="366">
        <f>SUM(H122:H131)</f>
        <v>401902.69999999995</v>
      </c>
      <c r="I132" s="367"/>
    </row>
    <row r="133" spans="2:10" hidden="1">
      <c r="B133" s="365">
        <v>12</v>
      </c>
      <c r="C133" s="362" t="s">
        <v>328</v>
      </c>
      <c r="D133" s="365">
        <v>29631.5</v>
      </c>
    </row>
    <row r="134" spans="2:10" ht="26.25" hidden="1" customHeight="1">
      <c r="B134" s="365" t="s">
        <v>329</v>
      </c>
      <c r="C134" s="365"/>
      <c r="D134" s="365">
        <f>SUM(D122:D133)</f>
        <v>426569.1</v>
      </c>
      <c r="F134" s="363" t="s">
        <v>284</v>
      </c>
      <c r="G134" s="363"/>
      <c r="H134" s="368">
        <f>H132/10*1.2</f>
        <v>48228.323999999993</v>
      </c>
      <c r="I134" s="363"/>
    </row>
    <row r="135" spans="2:10" ht="22.5" hidden="1" customHeight="1">
      <c r="B135" s="365" t="s">
        <v>330</v>
      </c>
      <c r="C135" s="365"/>
      <c r="D135" s="365">
        <f>D134/12</f>
        <v>35547.424999999996</v>
      </c>
      <c r="F135" s="363" t="s">
        <v>331</v>
      </c>
      <c r="G135" s="363"/>
      <c r="H135" s="368">
        <f>H134*12</f>
        <v>578739.88799999992</v>
      </c>
      <c r="I135" s="363" t="s">
        <v>332</v>
      </c>
    </row>
    <row r="136" spans="2:10" hidden="1"/>
    <row r="137" spans="2:10" hidden="1"/>
    <row r="138" spans="2:10" hidden="1"/>
    <row r="139" spans="2:10">
      <c r="C139" s="248"/>
    </row>
    <row r="140" spans="2:10" s="315" customFormat="1">
      <c r="B140" s="246" t="s">
        <v>333</v>
      </c>
      <c r="C140" s="317"/>
      <c r="D140" s="317"/>
      <c r="E140" s="317"/>
      <c r="F140" s="317"/>
      <c r="G140" s="317"/>
      <c r="H140" s="317"/>
      <c r="I140" s="317"/>
    </row>
    <row r="141" spans="2:10" s="252" customFormat="1" hidden="1">
      <c r="B141" s="277" t="s">
        <v>334</v>
      </c>
    </row>
    <row r="142" spans="2:10" s="149" customFormat="1" hidden="1">
      <c r="B142" s="318" t="s">
        <v>335</v>
      </c>
      <c r="C142" s="318" t="s">
        <v>336</v>
      </c>
      <c r="D142" s="319" t="s">
        <v>337</v>
      </c>
      <c r="E142" s="319" t="s">
        <v>338</v>
      </c>
      <c r="F142" s="318" t="s">
        <v>339</v>
      </c>
      <c r="G142" s="318" t="s">
        <v>340</v>
      </c>
      <c r="H142" s="318" t="s">
        <v>341</v>
      </c>
      <c r="I142" s="318" t="s">
        <v>342</v>
      </c>
      <c r="J142" s="320" t="s">
        <v>343</v>
      </c>
    </row>
    <row r="143" spans="2:10" s="149" customFormat="1" hidden="1">
      <c r="B143" s="321" t="s">
        <v>344</v>
      </c>
      <c r="C143" s="322">
        <v>8</v>
      </c>
      <c r="D143" s="322">
        <v>11</v>
      </c>
      <c r="E143" s="322">
        <v>18</v>
      </c>
      <c r="F143" s="323">
        <v>65</v>
      </c>
      <c r="G143" s="322">
        <v>30</v>
      </c>
      <c r="H143" s="322">
        <v>1.5</v>
      </c>
      <c r="I143" s="322">
        <v>10</v>
      </c>
      <c r="J143" s="322"/>
    </row>
    <row r="144" spans="2:10" s="149" customFormat="1" hidden="1">
      <c r="B144" s="321" t="s">
        <v>345</v>
      </c>
      <c r="C144" s="1511">
        <f>[28]基础数据!D79</f>
        <v>0</v>
      </c>
      <c r="D144" s="1512"/>
      <c r="E144" s="324">
        <v>12</v>
      </c>
      <c r="F144" s="1511">
        <v>10</v>
      </c>
      <c r="G144" s="1512"/>
      <c r="H144" s="325">
        <v>10</v>
      </c>
      <c r="I144" s="324">
        <v>20</v>
      </c>
      <c r="J144" s="326"/>
    </row>
    <row r="145" spans="1:43" s="252" customFormat="1" hidden="1">
      <c r="B145" s="327" t="s">
        <v>346</v>
      </c>
      <c r="C145" s="328">
        <f>C143*C144</f>
        <v>0</v>
      </c>
      <c r="D145" s="328">
        <f>D143*C144</f>
        <v>0</v>
      </c>
      <c r="E145" s="328">
        <f>E143*E144</f>
        <v>216</v>
      </c>
      <c r="F145" s="328">
        <f>F143*F144</f>
        <v>650</v>
      </c>
      <c r="G145" s="328">
        <f>G143*F144</f>
        <v>300</v>
      </c>
      <c r="H145" s="328">
        <f>H143*H144</f>
        <v>15</v>
      </c>
      <c r="I145" s="328">
        <f>I143*I144</f>
        <v>200</v>
      </c>
      <c r="J145" s="328">
        <f>SUM(C145:I145)</f>
        <v>1381</v>
      </c>
    </row>
    <row r="146" spans="1:43" s="116" customFormat="1" ht="15.75" hidden="1">
      <c r="A146" s="329"/>
      <c r="B146" s="277" t="s">
        <v>347</v>
      </c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30"/>
      <c r="T146" s="329"/>
      <c r="U146" s="329"/>
      <c r="V146" s="329"/>
      <c r="W146" s="329"/>
      <c r="X146" s="329"/>
      <c r="Y146" s="329"/>
      <c r="Z146" s="329"/>
      <c r="AA146" s="329"/>
      <c r="AB146" s="329"/>
      <c r="AC146" s="329"/>
      <c r="AD146" s="329"/>
      <c r="AE146" s="330"/>
      <c r="AF146" s="330"/>
      <c r="AG146" s="330"/>
      <c r="AH146" s="330"/>
      <c r="AI146" s="329"/>
      <c r="AJ146" s="329"/>
      <c r="AK146" s="329"/>
      <c r="AL146" s="329"/>
      <c r="AM146" s="330"/>
      <c r="AN146" s="330"/>
      <c r="AO146" s="330"/>
      <c r="AP146" s="330"/>
      <c r="AQ146" s="330"/>
    </row>
    <row r="147" spans="1:43" s="149" customFormat="1" ht="13.5" hidden="1" customHeight="1">
      <c r="B147" s="1513" t="s">
        <v>303</v>
      </c>
      <c r="C147" s="1515" t="s">
        <v>348</v>
      </c>
      <c r="D147" s="1515"/>
      <c r="E147" s="1515"/>
      <c r="F147" s="1515"/>
      <c r="G147" s="1515"/>
      <c r="H147" s="1515"/>
      <c r="I147" s="1515"/>
      <c r="J147" s="1516"/>
      <c r="K147" s="1516"/>
      <c r="L147" s="1516"/>
      <c r="M147" s="1516"/>
      <c r="N147" s="1516"/>
      <c r="O147" s="1516"/>
      <c r="P147" s="1516"/>
      <c r="Q147" s="1516"/>
      <c r="R147" s="1516"/>
      <c r="S147" s="1516"/>
      <c r="T147" s="1516"/>
      <c r="U147" s="1516"/>
      <c r="V147" s="1516"/>
      <c r="W147" s="1516"/>
      <c r="X147" s="1516"/>
      <c r="Y147" s="1516"/>
      <c r="Z147" s="1516"/>
      <c r="AA147" s="1516"/>
      <c r="AB147" s="1516"/>
      <c r="AC147" s="1516"/>
      <c r="AD147" s="1516"/>
      <c r="AE147" s="1516"/>
      <c r="AF147" s="1516"/>
      <c r="AG147" s="1516"/>
      <c r="AH147" s="1516"/>
      <c r="AI147" s="1516"/>
      <c r="AJ147" s="1516"/>
      <c r="AK147" s="1516"/>
    </row>
    <row r="148" spans="1:43" s="149" customFormat="1" hidden="1">
      <c r="B148" s="1514"/>
      <c r="C148" s="320" t="s">
        <v>305</v>
      </c>
      <c r="D148" s="320" t="s">
        <v>336</v>
      </c>
      <c r="E148" s="320" t="s">
        <v>349</v>
      </c>
      <c r="F148" s="331" t="s">
        <v>350</v>
      </c>
      <c r="G148" s="320" t="s">
        <v>308</v>
      </c>
      <c r="H148" s="320" t="s">
        <v>309</v>
      </c>
      <c r="I148" s="331" t="s">
        <v>310</v>
      </c>
      <c r="J148" s="332"/>
      <c r="K148" s="332"/>
      <c r="L148" s="332"/>
      <c r="M148" s="333"/>
      <c r="N148" s="332"/>
      <c r="O148" s="332"/>
      <c r="P148" s="333"/>
      <c r="Q148" s="332"/>
      <c r="R148" s="332"/>
      <c r="S148" s="332"/>
      <c r="T148" s="333"/>
      <c r="U148" s="332"/>
      <c r="V148" s="332"/>
      <c r="W148" s="333"/>
      <c r="X148" s="332"/>
      <c r="Y148" s="332"/>
      <c r="Z148" s="332"/>
      <c r="AA148" s="333"/>
      <c r="AB148" s="332"/>
      <c r="AC148" s="332"/>
      <c r="AD148" s="333"/>
      <c r="AE148" s="332"/>
      <c r="AF148" s="332"/>
      <c r="AG148" s="332"/>
      <c r="AH148" s="333"/>
      <c r="AI148" s="332"/>
      <c r="AJ148" s="332"/>
      <c r="AK148" s="333"/>
    </row>
    <row r="149" spans="1:43" s="315" customFormat="1" hidden="1">
      <c r="B149" s="334" t="s">
        <v>170</v>
      </c>
      <c r="C149" s="335">
        <f>4800/12</f>
        <v>400</v>
      </c>
      <c r="D149" s="335">
        <f>12504/12</f>
        <v>1042</v>
      </c>
      <c r="E149" s="335">
        <f>18390/12</f>
        <v>1532.5</v>
      </c>
      <c r="F149" s="335">
        <f>4400/12</f>
        <v>366.66666666666669</v>
      </c>
      <c r="G149" s="335">
        <f>11000/12</f>
        <v>916.66666666666663</v>
      </c>
      <c r="H149" s="335">
        <v>200</v>
      </c>
      <c r="I149" s="335">
        <v>200</v>
      </c>
      <c r="J149" s="336"/>
      <c r="K149" s="336"/>
      <c r="L149" s="336"/>
      <c r="M149" s="336"/>
      <c r="N149" s="336"/>
      <c r="O149" s="336"/>
      <c r="P149" s="336"/>
      <c r="Q149" s="336"/>
      <c r="R149" s="336"/>
      <c r="S149" s="336"/>
      <c r="T149" s="336"/>
      <c r="U149" s="336"/>
      <c r="V149" s="336"/>
      <c r="W149" s="336"/>
      <c r="X149" s="336"/>
      <c r="Y149" s="336"/>
      <c r="Z149" s="336"/>
      <c r="AA149" s="336"/>
      <c r="AB149" s="336"/>
      <c r="AC149" s="336"/>
      <c r="AD149" s="336"/>
      <c r="AE149" s="336"/>
      <c r="AF149" s="336"/>
      <c r="AG149" s="336"/>
      <c r="AH149" s="336"/>
      <c r="AI149" s="336"/>
      <c r="AJ149" s="336"/>
      <c r="AK149" s="336"/>
    </row>
    <row r="150" spans="1:43" s="252" customFormat="1" ht="15" hidden="1">
      <c r="B150" s="337" t="s">
        <v>351</v>
      </c>
      <c r="C150" s="338">
        <v>0.34</v>
      </c>
      <c r="D150" s="1520">
        <v>0</v>
      </c>
      <c r="E150" s="1520"/>
      <c r="F150" s="1520"/>
      <c r="G150" s="1520"/>
      <c r="H150" s="1520"/>
      <c r="I150" s="1520"/>
      <c r="J150" s="339"/>
      <c r="K150" s="1521"/>
      <c r="L150" s="1521"/>
      <c r="M150" s="1521"/>
      <c r="N150" s="1521"/>
      <c r="O150" s="1521"/>
      <c r="P150" s="1521"/>
      <c r="Q150" s="339"/>
      <c r="R150" s="1521"/>
      <c r="S150" s="1521"/>
      <c r="T150" s="1521"/>
      <c r="U150" s="1521"/>
      <c r="V150" s="1521"/>
      <c r="W150" s="1521"/>
      <c r="X150" s="339"/>
      <c r="Y150" s="1521"/>
      <c r="Z150" s="1521"/>
      <c r="AA150" s="1521"/>
      <c r="AB150" s="1521"/>
      <c r="AC150" s="1521"/>
      <c r="AD150" s="1521"/>
      <c r="AE150" s="339"/>
      <c r="AF150" s="1521"/>
      <c r="AG150" s="1521"/>
      <c r="AH150" s="1521"/>
      <c r="AI150" s="1521"/>
      <c r="AJ150" s="1521"/>
      <c r="AK150" s="1521"/>
    </row>
    <row r="151" spans="1:43" s="149" customFormat="1" hidden="1">
      <c r="B151" s="327" t="s">
        <v>352</v>
      </c>
      <c r="C151" s="1522">
        <f>C149*(1+C150)+SUM(D149:I149)</f>
        <v>4793.833333333333</v>
      </c>
      <c r="D151" s="1523"/>
      <c r="E151" s="1523"/>
      <c r="F151" s="1523"/>
      <c r="G151" s="1523"/>
      <c r="H151" s="1523"/>
      <c r="I151" s="1524"/>
      <c r="J151" s="1525"/>
      <c r="K151" s="1525"/>
      <c r="L151" s="1525"/>
      <c r="M151" s="1525"/>
      <c r="N151" s="1525"/>
      <c r="O151" s="1525"/>
      <c r="P151" s="1525"/>
      <c r="Q151" s="1525"/>
      <c r="R151" s="1525"/>
      <c r="S151" s="1525"/>
      <c r="T151" s="1525"/>
      <c r="U151" s="1525"/>
      <c r="V151" s="1525"/>
      <c r="W151" s="1525"/>
      <c r="X151" s="1525"/>
      <c r="Y151" s="1525"/>
      <c r="Z151" s="1525"/>
      <c r="AA151" s="1525"/>
      <c r="AB151" s="1525"/>
      <c r="AC151" s="1525"/>
      <c r="AD151" s="1525"/>
      <c r="AE151" s="1525"/>
      <c r="AF151" s="1525"/>
      <c r="AG151" s="1525"/>
      <c r="AH151" s="1525"/>
      <c r="AI151" s="1525"/>
      <c r="AJ151" s="1525"/>
      <c r="AK151" s="1525"/>
    </row>
    <row r="152" spans="1:43" s="116" customFormat="1" ht="15.75">
      <c r="A152" s="329"/>
      <c r="C152" s="329"/>
      <c r="D152" s="329"/>
      <c r="E152" s="329"/>
      <c r="F152" s="329"/>
      <c r="G152" s="329"/>
      <c r="H152" s="329"/>
      <c r="I152" s="329"/>
      <c r="J152" s="329"/>
      <c r="K152" s="329"/>
      <c r="L152" s="329"/>
      <c r="M152" s="330"/>
      <c r="T152" s="329"/>
      <c r="U152" s="329"/>
      <c r="V152" s="329"/>
      <c r="W152" s="329"/>
      <c r="X152" s="329"/>
      <c r="Y152" s="329"/>
      <c r="Z152" s="329"/>
      <c r="AA152" s="329"/>
      <c r="AB152" s="329"/>
      <c r="AC152" s="329"/>
      <c r="AD152" s="329"/>
      <c r="AE152" s="330"/>
      <c r="AF152" s="330"/>
      <c r="AG152" s="330"/>
      <c r="AH152" s="330"/>
      <c r="AI152" s="329"/>
      <c r="AJ152" s="329"/>
      <c r="AK152" s="329"/>
      <c r="AL152" s="329"/>
      <c r="AM152" s="330"/>
      <c r="AN152" s="330"/>
      <c r="AO152" s="330"/>
      <c r="AP152" s="330"/>
      <c r="AQ152" s="330"/>
    </row>
    <row r="153" spans="1:43" s="116" customFormat="1" ht="15.75">
      <c r="A153" s="329"/>
      <c r="B153" s="369" t="s">
        <v>1148</v>
      </c>
      <c r="C153" s="370"/>
      <c r="D153" s="370"/>
      <c r="E153" s="370"/>
      <c r="F153" s="370"/>
      <c r="G153" s="370"/>
      <c r="H153" s="370"/>
      <c r="I153" s="370"/>
      <c r="J153" s="329"/>
      <c r="K153" s="329"/>
      <c r="L153" s="329"/>
      <c r="M153" s="330"/>
      <c r="T153" s="329"/>
      <c r="U153" s="329"/>
      <c r="V153" s="329"/>
      <c r="W153" s="329"/>
      <c r="X153" s="329"/>
      <c r="Y153" s="329"/>
      <c r="Z153" s="329"/>
      <c r="AA153" s="329"/>
      <c r="AB153" s="329"/>
      <c r="AC153" s="329"/>
      <c r="AD153" s="329"/>
      <c r="AE153" s="330"/>
      <c r="AF153" s="330"/>
      <c r="AG153" s="330"/>
      <c r="AH153" s="330"/>
      <c r="AI153" s="329"/>
      <c r="AJ153" s="329"/>
      <c r="AK153" s="329"/>
      <c r="AL153" s="329"/>
      <c r="AM153" s="330"/>
      <c r="AN153" s="330"/>
      <c r="AO153" s="330"/>
      <c r="AP153" s="330"/>
      <c r="AQ153" s="330"/>
    </row>
    <row r="154" spans="1:43" s="116" customFormat="1" ht="15.75">
      <c r="A154" s="329"/>
      <c r="B154" s="1526" t="s">
        <v>303</v>
      </c>
      <c r="C154" s="1528" t="s">
        <v>353</v>
      </c>
      <c r="D154" s="1528"/>
      <c r="E154" s="1528"/>
      <c r="F154" s="1528"/>
      <c r="G154" s="1528"/>
      <c r="H154" s="1528"/>
      <c r="I154" s="1528"/>
      <c r="J154" s="329"/>
      <c r="K154" s="329"/>
      <c r="L154" s="329"/>
      <c r="M154" s="330"/>
      <c r="T154" s="329"/>
      <c r="U154" s="329"/>
      <c r="V154" s="329"/>
      <c r="W154" s="329"/>
      <c r="X154" s="329"/>
      <c r="Y154" s="329"/>
      <c r="Z154" s="329"/>
      <c r="AA154" s="329"/>
      <c r="AB154" s="329"/>
      <c r="AC154" s="329"/>
      <c r="AD154" s="329"/>
      <c r="AE154" s="330"/>
      <c r="AF154" s="330"/>
      <c r="AG154" s="330"/>
      <c r="AH154" s="330"/>
      <c r="AI154" s="329"/>
      <c r="AJ154" s="329"/>
      <c r="AK154" s="329"/>
      <c r="AL154" s="329"/>
      <c r="AM154" s="330"/>
      <c r="AN154" s="330"/>
      <c r="AO154" s="330"/>
      <c r="AP154" s="330"/>
      <c r="AQ154" s="330"/>
    </row>
    <row r="155" spans="1:43" s="116" customFormat="1" ht="15.75">
      <c r="A155" s="329"/>
      <c r="B155" s="1527"/>
      <c r="C155" s="371" t="s">
        <v>305</v>
      </c>
      <c r="D155" s="371" t="s">
        <v>354</v>
      </c>
      <c r="E155" s="371" t="s">
        <v>355</v>
      </c>
      <c r="F155" s="372" t="s">
        <v>356</v>
      </c>
      <c r="G155" s="371" t="s">
        <v>308</v>
      </c>
      <c r="H155" s="371" t="s">
        <v>309</v>
      </c>
      <c r="I155" s="372" t="s">
        <v>310</v>
      </c>
      <c r="J155" s="329"/>
      <c r="K155" s="329"/>
      <c r="L155" s="329"/>
      <c r="M155" s="330"/>
      <c r="T155" s="329"/>
      <c r="U155" s="329"/>
      <c r="V155" s="329"/>
      <c r="W155" s="329"/>
      <c r="X155" s="329"/>
      <c r="Y155" s="329"/>
      <c r="Z155" s="329"/>
      <c r="AA155" s="329"/>
      <c r="AB155" s="329"/>
      <c r="AC155" s="329"/>
      <c r="AD155" s="329"/>
      <c r="AE155" s="330"/>
      <c r="AF155" s="330"/>
      <c r="AG155" s="330"/>
      <c r="AH155" s="330"/>
      <c r="AI155" s="329"/>
      <c r="AJ155" s="329"/>
      <c r="AK155" s="329"/>
      <c r="AL155" s="329"/>
      <c r="AM155" s="330"/>
      <c r="AN155" s="330"/>
      <c r="AO155" s="330"/>
      <c r="AP155" s="330"/>
      <c r="AQ155" s="330"/>
    </row>
    <row r="156" spans="1:43" s="116" customFormat="1" ht="15.75">
      <c r="A156" s="329"/>
      <c r="B156" s="373" t="s">
        <v>357</v>
      </c>
      <c r="C156" s="374">
        <v>5</v>
      </c>
      <c r="D156" s="374">
        <v>5</v>
      </c>
      <c r="E156" s="374">
        <v>5</v>
      </c>
      <c r="F156" s="374">
        <v>5</v>
      </c>
      <c r="G156" s="374">
        <v>4</v>
      </c>
      <c r="H156" s="374">
        <v>6</v>
      </c>
      <c r="I156" s="374">
        <v>44</v>
      </c>
      <c r="J156" s="329"/>
      <c r="K156" s="329"/>
      <c r="L156" s="329"/>
      <c r="M156" s="330"/>
      <c r="T156" s="329"/>
      <c r="U156" s="329"/>
      <c r="V156" s="329"/>
      <c r="W156" s="329"/>
      <c r="X156" s="329"/>
      <c r="Y156" s="329"/>
      <c r="Z156" s="329"/>
      <c r="AA156" s="329"/>
      <c r="AB156" s="329"/>
      <c r="AC156" s="329"/>
      <c r="AD156" s="329"/>
      <c r="AE156" s="330"/>
      <c r="AF156" s="330"/>
      <c r="AG156" s="330"/>
      <c r="AH156" s="330"/>
      <c r="AI156" s="329"/>
      <c r="AJ156" s="329"/>
      <c r="AK156" s="329"/>
      <c r="AL156" s="329"/>
      <c r="AM156" s="330"/>
      <c r="AN156" s="330"/>
      <c r="AO156" s="330"/>
      <c r="AP156" s="330"/>
      <c r="AQ156" s="330"/>
    </row>
    <row r="157" spans="1:43" s="116" customFormat="1" ht="15.75">
      <c r="A157" s="329"/>
      <c r="B157" s="1528" t="s">
        <v>358</v>
      </c>
      <c r="C157" s="375">
        <v>0</v>
      </c>
      <c r="D157" s="1529">
        <v>0</v>
      </c>
      <c r="E157" s="1529"/>
      <c r="F157" s="1529"/>
      <c r="G157" s="1529"/>
      <c r="H157" s="1529"/>
      <c r="I157" s="1529"/>
      <c r="J157" s="329"/>
      <c r="K157" s="329"/>
      <c r="L157" s="329"/>
      <c r="M157" s="330"/>
      <c r="T157" s="329"/>
      <c r="U157" s="329"/>
      <c r="V157" s="329"/>
      <c r="W157" s="329"/>
      <c r="X157" s="329"/>
      <c r="Y157" s="329"/>
      <c r="Z157" s="329"/>
      <c r="AA157" s="329"/>
      <c r="AB157" s="329"/>
      <c r="AC157" s="329"/>
      <c r="AD157" s="329"/>
      <c r="AE157" s="330"/>
      <c r="AF157" s="330"/>
      <c r="AG157" s="330"/>
      <c r="AH157" s="330"/>
      <c r="AI157" s="329"/>
      <c r="AJ157" s="329"/>
      <c r="AK157" s="329"/>
      <c r="AL157" s="329"/>
      <c r="AM157" s="330"/>
      <c r="AN157" s="330"/>
      <c r="AO157" s="330"/>
      <c r="AP157" s="330"/>
      <c r="AQ157" s="330"/>
    </row>
    <row r="158" spans="1:43" s="116" customFormat="1" ht="15.75">
      <c r="A158" s="329"/>
      <c r="B158" s="1528"/>
      <c r="C158" s="328">
        <f>C156*(1+C157)</f>
        <v>5</v>
      </c>
      <c r="D158" s="1522">
        <f>SUM(D156:I156)</f>
        <v>69</v>
      </c>
      <c r="E158" s="1523"/>
      <c r="F158" s="1523"/>
      <c r="G158" s="1523"/>
      <c r="H158" s="1523"/>
      <c r="I158" s="1524"/>
      <c r="J158" s="329"/>
      <c r="K158" s="329"/>
      <c r="L158" s="329"/>
      <c r="M158" s="330"/>
      <c r="T158" s="329"/>
      <c r="U158" s="329"/>
      <c r="V158" s="329"/>
      <c r="W158" s="329"/>
      <c r="X158" s="329"/>
      <c r="Y158" s="329"/>
      <c r="Z158" s="329"/>
      <c r="AA158" s="329"/>
      <c r="AB158" s="329"/>
      <c r="AC158" s="329"/>
      <c r="AD158" s="329"/>
      <c r="AE158" s="330"/>
      <c r="AF158" s="330"/>
      <c r="AG158" s="330"/>
      <c r="AH158" s="330"/>
      <c r="AI158" s="329"/>
      <c r="AJ158" s="329"/>
      <c r="AK158" s="329"/>
      <c r="AL158" s="329"/>
      <c r="AM158" s="330"/>
      <c r="AN158" s="330"/>
      <c r="AO158" s="330"/>
      <c r="AP158" s="330"/>
      <c r="AQ158" s="330"/>
    </row>
    <row r="159" spans="1:43" s="116" customFormat="1" ht="15.75">
      <c r="A159" s="329"/>
      <c r="B159" s="999" t="s">
        <v>1147</v>
      </c>
      <c r="C159" s="328">
        <f>C158+D158</f>
        <v>74</v>
      </c>
      <c r="D159" s="329"/>
      <c r="E159" s="329"/>
      <c r="F159" s="329"/>
      <c r="G159" s="329"/>
      <c r="H159" s="329"/>
      <c r="I159" s="329"/>
      <c r="J159" s="329"/>
      <c r="K159" s="329"/>
      <c r="L159" s="329"/>
      <c r="M159" s="330"/>
      <c r="T159" s="329"/>
      <c r="U159" s="340"/>
      <c r="V159" s="329"/>
      <c r="W159" s="329"/>
      <c r="X159" s="329"/>
      <c r="Y159" s="329"/>
      <c r="Z159" s="329"/>
      <c r="AA159" s="329"/>
      <c r="AB159" s="329"/>
      <c r="AC159" s="329"/>
      <c r="AD159" s="329"/>
      <c r="AE159" s="330"/>
      <c r="AF159" s="330"/>
      <c r="AG159" s="330"/>
      <c r="AH159" s="330"/>
      <c r="AI159" s="330"/>
    </row>
    <row r="160" spans="1:43" s="116" customFormat="1" ht="15.75">
      <c r="A160" s="329"/>
      <c r="B160" s="341"/>
      <c r="C160" s="341"/>
      <c r="H160" s="329"/>
      <c r="I160" s="329"/>
      <c r="J160" s="329"/>
      <c r="K160" s="329"/>
      <c r="L160" s="329"/>
      <c r="M160" s="329"/>
      <c r="N160" s="329"/>
      <c r="O160" s="329"/>
      <c r="P160" s="329"/>
      <c r="Q160" s="329"/>
      <c r="R160" s="329"/>
      <c r="S160" s="329"/>
      <c r="T160" s="329"/>
      <c r="U160" s="329"/>
      <c r="V160" s="330"/>
      <c r="W160" s="330"/>
      <c r="X160" s="330"/>
      <c r="Y160" s="330"/>
      <c r="Z160" s="330"/>
      <c r="AA160" s="330"/>
    </row>
    <row r="161" spans="1:27" s="116" customFormat="1" ht="15.75">
      <c r="A161" s="329"/>
      <c r="B161" s="376" t="s">
        <v>317</v>
      </c>
      <c r="C161" s="376"/>
      <c r="E161" s="376" t="s">
        <v>317</v>
      </c>
      <c r="F161" s="376"/>
      <c r="H161" s="329"/>
      <c r="I161" s="329"/>
      <c r="J161" s="329"/>
      <c r="K161" s="329"/>
      <c r="L161" s="329"/>
      <c r="M161" s="329"/>
      <c r="N161" s="329"/>
      <c r="O161" s="329"/>
      <c r="P161" s="329"/>
      <c r="Q161" s="329"/>
      <c r="R161" s="329"/>
      <c r="S161" s="329"/>
      <c r="T161" s="329"/>
      <c r="U161" s="329"/>
      <c r="V161" s="330"/>
      <c r="W161" s="330"/>
      <c r="X161" s="330"/>
      <c r="Y161" s="330"/>
      <c r="Z161" s="330"/>
      <c r="AA161" s="330"/>
    </row>
    <row r="162" spans="1:27" s="116" customFormat="1" ht="15.75">
      <c r="A162" s="329"/>
      <c r="B162" s="377" t="s">
        <v>1153</v>
      </c>
      <c r="C162" s="378"/>
      <c r="E162" s="377" t="s">
        <v>1154</v>
      </c>
      <c r="F162" s="378"/>
      <c r="G162" s="343"/>
      <c r="H162" s="329"/>
      <c r="I162" s="329"/>
      <c r="J162" s="329"/>
      <c r="K162" s="329"/>
      <c r="L162" s="329"/>
      <c r="M162" s="329"/>
      <c r="N162" s="329"/>
      <c r="O162" s="329"/>
      <c r="P162" s="329"/>
      <c r="Q162" s="329"/>
      <c r="R162" s="329"/>
      <c r="S162" s="330"/>
      <c r="T162" s="330"/>
      <c r="U162" s="330"/>
      <c r="V162" s="330"/>
      <c r="W162" s="330"/>
      <c r="X162" s="330"/>
    </row>
    <row r="163" spans="1:27" s="116" customFormat="1" ht="15">
      <c r="B163" s="379" t="s">
        <v>325</v>
      </c>
      <c r="C163" s="379" t="s">
        <v>317</v>
      </c>
      <c r="E163" s="379" t="s">
        <v>325</v>
      </c>
      <c r="F163" s="379" t="s">
        <v>317</v>
      </c>
    </row>
    <row r="164" spans="1:27" s="116" customFormat="1" ht="15">
      <c r="B164" s="379">
        <v>1</v>
      </c>
      <c r="C164" s="380">
        <v>0</v>
      </c>
      <c r="E164" s="379">
        <v>1</v>
      </c>
      <c r="F164" s="380">
        <v>0</v>
      </c>
    </row>
    <row r="165" spans="1:27" s="116" customFormat="1" ht="15">
      <c r="B165" s="379">
        <v>2</v>
      </c>
      <c r="C165" s="380">
        <v>0</v>
      </c>
      <c r="E165" s="379">
        <v>2</v>
      </c>
      <c r="F165" s="380">
        <v>0</v>
      </c>
    </row>
    <row r="166" spans="1:27" s="116" customFormat="1" ht="15">
      <c r="B166" s="379">
        <v>3</v>
      </c>
      <c r="C166" s="380">
        <v>500</v>
      </c>
      <c r="E166" s="379">
        <v>3</v>
      </c>
      <c r="F166" s="380">
        <v>22</v>
      </c>
    </row>
    <row r="167" spans="1:27" s="116" customFormat="1" ht="15">
      <c r="B167" s="379">
        <v>4</v>
      </c>
      <c r="C167" s="380">
        <v>0</v>
      </c>
      <c r="E167" s="379">
        <v>4</v>
      </c>
      <c r="F167" s="380">
        <v>0</v>
      </c>
    </row>
    <row r="168" spans="1:27" s="116" customFormat="1" ht="15">
      <c r="B168" s="379">
        <v>5</v>
      </c>
      <c r="C168" s="380">
        <v>0</v>
      </c>
      <c r="E168" s="379">
        <v>5</v>
      </c>
      <c r="F168" s="380">
        <v>0</v>
      </c>
    </row>
    <row r="169" spans="1:27" s="116" customFormat="1" ht="15">
      <c r="B169" s="379">
        <v>6</v>
      </c>
      <c r="C169" s="380">
        <v>500</v>
      </c>
      <c r="E169" s="379">
        <v>6</v>
      </c>
      <c r="F169" s="380">
        <v>333</v>
      </c>
    </row>
    <row r="170" spans="1:27" s="116" customFormat="1" ht="15">
      <c r="B170" s="379">
        <v>7</v>
      </c>
      <c r="C170" s="380">
        <v>0</v>
      </c>
      <c r="E170" s="379">
        <v>7</v>
      </c>
      <c r="F170" s="380">
        <v>0</v>
      </c>
    </row>
    <row r="171" spans="1:27" s="116" customFormat="1" ht="15">
      <c r="B171" s="379">
        <v>8</v>
      </c>
      <c r="C171" s="380">
        <v>0</v>
      </c>
      <c r="E171" s="379">
        <v>8</v>
      </c>
      <c r="F171" s="380">
        <v>0</v>
      </c>
    </row>
    <row r="172" spans="1:27" s="116" customFormat="1" ht="15">
      <c r="B172" s="379">
        <v>9</v>
      </c>
      <c r="C172" s="380">
        <v>500</v>
      </c>
      <c r="E172" s="379">
        <v>9</v>
      </c>
      <c r="F172" s="380">
        <v>44</v>
      </c>
    </row>
    <row r="173" spans="1:27" s="116" customFormat="1" ht="15">
      <c r="B173" s="346" t="s">
        <v>359</v>
      </c>
      <c r="C173" s="347">
        <f>SUM(C164:C172)</f>
        <v>1500</v>
      </c>
      <c r="E173" s="346" t="s">
        <v>359</v>
      </c>
      <c r="F173" s="347">
        <f>SUM(F164:F172)</f>
        <v>399</v>
      </c>
    </row>
    <row r="174" spans="1:27" s="116" customFormat="1" ht="15">
      <c r="B174" s="348" t="s">
        <v>330</v>
      </c>
      <c r="C174" s="345">
        <f>C173/9</f>
        <v>166.66666666666666</v>
      </c>
      <c r="E174" s="348" t="s">
        <v>330</v>
      </c>
      <c r="F174" s="345">
        <f>F173/9</f>
        <v>44.333333333333336</v>
      </c>
    </row>
    <row r="175" spans="1:27" s="116" customFormat="1" ht="15">
      <c r="B175" s="348" t="s">
        <v>1149</v>
      </c>
      <c r="C175" s="312">
        <v>0</v>
      </c>
      <c r="E175" s="348" t="s">
        <v>1155</v>
      </c>
      <c r="F175" s="312">
        <v>0.1</v>
      </c>
    </row>
    <row r="176" spans="1:27">
      <c r="B176" s="348" t="s">
        <v>1150</v>
      </c>
      <c r="C176" s="312">
        <v>0.2</v>
      </c>
      <c r="E176" s="348" t="s">
        <v>1156</v>
      </c>
      <c r="F176" s="312">
        <v>0.2</v>
      </c>
      <c r="H176" s="355"/>
      <c r="I176" s="355"/>
      <c r="J176" s="355"/>
    </row>
    <row r="177" spans="2:10">
      <c r="B177" s="348" t="s">
        <v>1151</v>
      </c>
      <c r="C177" s="312">
        <v>0.2</v>
      </c>
      <c r="E177" s="348" t="s">
        <v>1157</v>
      </c>
      <c r="F177" s="312">
        <v>0.2</v>
      </c>
    </row>
    <row r="178" spans="2:10">
      <c r="B178" s="150" t="s">
        <v>487</v>
      </c>
      <c r="C178" s="349">
        <f>C174*(1+40%)</f>
        <v>233.33333333333331</v>
      </c>
      <c r="D178" s="381"/>
      <c r="E178" s="150" t="s">
        <v>1158</v>
      </c>
      <c r="F178" s="349">
        <f>F174*(1+50%)</f>
        <v>66.5</v>
      </c>
    </row>
    <row r="179" spans="2:10">
      <c r="B179" s="150" t="s">
        <v>1152</v>
      </c>
      <c r="C179" s="1000">
        <f>C178*12</f>
        <v>2800</v>
      </c>
      <c r="D179" s="381"/>
    </row>
    <row r="181" spans="2:10" ht="15">
      <c r="B181" s="382" t="s">
        <v>1420</v>
      </c>
      <c r="C181" s="383"/>
      <c r="D181" s="384"/>
      <c r="E181" s="277"/>
      <c r="F181" s="388"/>
      <c r="G181" s="388"/>
      <c r="H181" s="388"/>
      <c r="I181" s="388"/>
      <c r="J181" s="388"/>
    </row>
    <row r="182" spans="2:10" ht="15">
      <c r="B182" s="385" t="s">
        <v>1144</v>
      </c>
      <c r="C182" s="383"/>
      <c r="D182" s="384"/>
      <c r="E182" s="277"/>
      <c r="F182" s="388"/>
      <c r="G182" s="388"/>
      <c r="H182" s="388"/>
      <c r="I182" s="388"/>
      <c r="J182" s="388"/>
    </row>
    <row r="183" spans="2:10" ht="15">
      <c r="B183" s="386" t="s">
        <v>325</v>
      </c>
      <c r="C183" s="387" t="s">
        <v>326</v>
      </c>
      <c r="D183" s="386" t="s">
        <v>327</v>
      </c>
      <c r="E183" s="277"/>
      <c r="F183" s="388"/>
      <c r="G183" s="388"/>
      <c r="H183" s="388"/>
      <c r="I183" s="388"/>
      <c r="J183" s="388"/>
    </row>
    <row r="184" spans="2:10" ht="15">
      <c r="B184" s="386">
        <v>1</v>
      </c>
      <c r="C184" s="387" t="s">
        <v>328</v>
      </c>
      <c r="D184" s="386">
        <v>30</v>
      </c>
      <c r="E184" s="388"/>
      <c r="F184" s="388"/>
      <c r="G184" s="388"/>
      <c r="H184" s="388"/>
      <c r="I184" s="388"/>
      <c r="J184" s="388"/>
    </row>
    <row r="185" spans="2:10" ht="15">
      <c r="B185" s="386">
        <v>2</v>
      </c>
      <c r="C185" s="387" t="s">
        <v>328</v>
      </c>
      <c r="D185" s="386">
        <v>30</v>
      </c>
      <c r="E185" s="388"/>
      <c r="F185" s="388"/>
      <c r="G185" s="388"/>
      <c r="H185" s="388"/>
      <c r="I185" s="388"/>
      <c r="J185" s="388"/>
    </row>
    <row r="186" spans="2:10" ht="15">
      <c r="B186" s="386">
        <v>3</v>
      </c>
      <c r="C186" s="387" t="s">
        <v>328</v>
      </c>
      <c r="D186" s="386">
        <v>30</v>
      </c>
      <c r="E186" s="388"/>
      <c r="F186" s="388"/>
      <c r="G186" s="388"/>
      <c r="H186" s="388"/>
      <c r="I186" s="388"/>
      <c r="J186" s="388"/>
    </row>
    <row r="187" spans="2:10" ht="15">
      <c r="B187" s="386">
        <v>4</v>
      </c>
      <c r="C187" s="387" t="s">
        <v>328</v>
      </c>
      <c r="D187" s="386">
        <v>30</v>
      </c>
      <c r="E187" s="388"/>
      <c r="F187" s="388"/>
      <c r="G187" s="388"/>
      <c r="H187" s="388"/>
      <c r="I187" s="388"/>
      <c r="J187" s="388"/>
    </row>
    <row r="188" spans="2:10" ht="15">
      <c r="B188" s="386">
        <v>5</v>
      </c>
      <c r="C188" s="387" t="s">
        <v>328</v>
      </c>
      <c r="D188" s="386">
        <v>30</v>
      </c>
      <c r="E188" s="388"/>
      <c r="F188" s="388"/>
      <c r="G188" s="388"/>
      <c r="H188" s="388"/>
      <c r="I188" s="388"/>
      <c r="J188" s="388"/>
    </row>
    <row r="189" spans="2:10" ht="15">
      <c r="B189" s="386">
        <v>6</v>
      </c>
      <c r="C189" s="387" t="s">
        <v>328</v>
      </c>
      <c r="D189" s="386">
        <v>30</v>
      </c>
      <c r="E189" s="388"/>
      <c r="F189" s="388"/>
      <c r="G189" s="388"/>
      <c r="H189" s="388"/>
      <c r="I189" s="388"/>
      <c r="J189" s="388"/>
    </row>
    <row r="190" spans="2:10" ht="15">
      <c r="B190" s="386">
        <v>7</v>
      </c>
      <c r="C190" s="387" t="s">
        <v>328</v>
      </c>
      <c r="D190" s="386">
        <v>30</v>
      </c>
      <c r="E190" s="388"/>
      <c r="F190" s="388"/>
      <c r="G190" s="388"/>
      <c r="H190" s="388"/>
      <c r="I190" s="388"/>
      <c r="J190" s="388"/>
    </row>
    <row r="191" spans="2:10" ht="15">
      <c r="B191" s="386">
        <v>8</v>
      </c>
      <c r="C191" s="387" t="s">
        <v>328</v>
      </c>
      <c r="D191" s="386">
        <v>30</v>
      </c>
      <c r="E191" s="388"/>
      <c r="F191" s="388"/>
      <c r="G191" s="388"/>
      <c r="H191" s="388"/>
      <c r="I191" s="388"/>
      <c r="J191" s="388"/>
    </row>
    <row r="192" spans="2:10" ht="15">
      <c r="B192" s="386">
        <v>9</v>
      </c>
      <c r="C192" s="387" t="s">
        <v>328</v>
      </c>
      <c r="D192" s="386">
        <v>30</v>
      </c>
      <c r="E192" s="388"/>
      <c r="F192" s="388"/>
      <c r="G192" s="388"/>
      <c r="H192" s="388"/>
      <c r="I192" s="388"/>
      <c r="J192" s="388"/>
    </row>
    <row r="193" spans="2:10" ht="13.5">
      <c r="B193" s="390" t="s">
        <v>360</v>
      </c>
      <c r="C193" s="389"/>
      <c r="D193" s="389">
        <f>SUM(D184:D192)</f>
        <v>270</v>
      </c>
      <c r="E193" s="277"/>
      <c r="F193" s="388"/>
      <c r="G193" s="388"/>
      <c r="H193" s="388"/>
      <c r="I193" s="388"/>
      <c r="J193" s="388"/>
    </row>
    <row r="194" spans="2:10" ht="13.5">
      <c r="E194" s="277"/>
      <c r="F194" s="388"/>
      <c r="G194" s="388"/>
      <c r="H194" s="388"/>
      <c r="I194" s="388"/>
      <c r="J194" s="388"/>
    </row>
    <row r="195" spans="2:10" ht="26.25" customHeight="1">
      <c r="B195" s="391" t="s">
        <v>1145</v>
      </c>
      <c r="C195" s="389"/>
      <c r="D195" s="1120">
        <f>D193/9</f>
        <v>30</v>
      </c>
      <c r="F195" s="388"/>
      <c r="G195" s="388"/>
      <c r="H195" s="388"/>
      <c r="I195" s="388"/>
      <c r="J195" s="388"/>
    </row>
    <row r="196" spans="2:10" ht="22.5" customHeight="1">
      <c r="B196" s="387" t="s">
        <v>1146</v>
      </c>
      <c r="C196" s="387"/>
      <c r="D196" s="1121">
        <f>D195*12</f>
        <v>360</v>
      </c>
      <c r="E196" s="388"/>
      <c r="F196" s="388"/>
      <c r="G196" s="388"/>
      <c r="H196" s="388"/>
      <c r="I196" s="388"/>
      <c r="J196" s="388"/>
    </row>
    <row r="197" spans="2:10" ht="13.5">
      <c r="E197" s="388"/>
      <c r="F197" s="388"/>
      <c r="G197" s="388"/>
      <c r="H197" s="388"/>
      <c r="I197" s="388"/>
      <c r="J197" s="388"/>
    </row>
    <row r="199" spans="2:10">
      <c r="B199" s="392" t="s">
        <v>361</v>
      </c>
      <c r="C199" s="275">
        <f>0.22*1.1</f>
        <v>0.24200000000000002</v>
      </c>
    </row>
    <row r="200" spans="2:10" ht="13.5">
      <c r="B200" t="s">
        <v>362</v>
      </c>
    </row>
    <row r="201" spans="2:10">
      <c r="B201" s="275" t="s">
        <v>363</v>
      </c>
      <c r="C201" s="275" t="s">
        <v>364</v>
      </c>
      <c r="D201" s="275" t="s">
        <v>365</v>
      </c>
      <c r="E201" s="275" t="s">
        <v>366</v>
      </c>
    </row>
    <row r="202" spans="2:10">
      <c r="C202" s="275">
        <f>C199*2000*10</f>
        <v>4840.0000000000009</v>
      </c>
      <c r="E202" s="275">
        <f>C199*2000*10</f>
        <v>4840.0000000000009</v>
      </c>
      <c r="F202" s="248">
        <f>SUM(B202:E202)</f>
        <v>9680.0000000000018</v>
      </c>
    </row>
  </sheetData>
  <mergeCells count="80">
    <mergeCell ref="O3:Q3"/>
    <mergeCell ref="M5:M14"/>
    <mergeCell ref="P5:P14"/>
    <mergeCell ref="L17:N17"/>
    <mergeCell ref="O17:Q17"/>
    <mergeCell ref="L3:N3"/>
    <mergeCell ref="B154:B155"/>
    <mergeCell ref="C154:I154"/>
    <mergeCell ref="B157:B158"/>
    <mergeCell ref="D157:I157"/>
    <mergeCell ref="D158:I158"/>
    <mergeCell ref="D150:I150"/>
    <mergeCell ref="K150:P150"/>
    <mergeCell ref="R150:W150"/>
    <mergeCell ref="Y150:AD150"/>
    <mergeCell ref="AF150:AK150"/>
    <mergeCell ref="C151:I151"/>
    <mergeCell ref="J151:P151"/>
    <mergeCell ref="Q151:W151"/>
    <mergeCell ref="X151:AD151"/>
    <mergeCell ref="AE151:AK151"/>
    <mergeCell ref="B147:B148"/>
    <mergeCell ref="C147:I147"/>
    <mergeCell ref="J147:P147"/>
    <mergeCell ref="Q147:W147"/>
    <mergeCell ref="X147:AD147"/>
    <mergeCell ref="AE147:AK147"/>
    <mergeCell ref="C96:I96"/>
    <mergeCell ref="J96:P96"/>
    <mergeCell ref="Q96:Y96"/>
    <mergeCell ref="Z96:AF96"/>
    <mergeCell ref="AG96:AM96"/>
    <mergeCell ref="C144:D144"/>
    <mergeCell ref="F144:G144"/>
    <mergeCell ref="D95:I95"/>
    <mergeCell ref="K95:P95"/>
    <mergeCell ref="R95:Y95"/>
    <mergeCell ref="AA95:AF95"/>
    <mergeCell ref="AH95:AM95"/>
    <mergeCell ref="J92:P92"/>
    <mergeCell ref="C59:H59"/>
    <mergeCell ref="Q92:Y92"/>
    <mergeCell ref="Z92:AF92"/>
    <mergeCell ref="AG92:AM92"/>
    <mergeCell ref="B64:B65"/>
    <mergeCell ref="C89:D89"/>
    <mergeCell ref="F89:G89"/>
    <mergeCell ref="B92:B93"/>
    <mergeCell ref="C92:I92"/>
    <mergeCell ref="C79:F79"/>
    <mergeCell ref="B45:B46"/>
    <mergeCell ref="H38:M38"/>
    <mergeCell ref="N38:O38"/>
    <mergeCell ref="H39:M39"/>
    <mergeCell ref="N39:O39"/>
    <mergeCell ref="D39:E39"/>
    <mergeCell ref="F39:G39"/>
    <mergeCell ref="R39:S39"/>
    <mergeCell ref="D38:E38"/>
    <mergeCell ref="F38:G38"/>
    <mergeCell ref="R38:S38"/>
    <mergeCell ref="P39:Q39"/>
    <mergeCell ref="R24:S24"/>
    <mergeCell ref="H24:L24"/>
    <mergeCell ref="N24:O24"/>
    <mergeCell ref="P24:Q24"/>
    <mergeCell ref="P38:Q38"/>
    <mergeCell ref="C17:E17"/>
    <mergeCell ref="F17:H17"/>
    <mergeCell ref="I17:K17"/>
    <mergeCell ref="B24:B25"/>
    <mergeCell ref="D24:E24"/>
    <mergeCell ref="F24:G24"/>
    <mergeCell ref="B3:B4"/>
    <mergeCell ref="C3:E3"/>
    <mergeCell ref="F3:H3"/>
    <mergeCell ref="I3:K3"/>
    <mergeCell ref="G5:G14"/>
    <mergeCell ref="J5:J14"/>
    <mergeCell ref="D5:D14"/>
  </mergeCells>
  <phoneticPr fontId="5" type="noConversion"/>
  <printOptions horizontalCentered="1"/>
  <pageMargins left="0.27559055118110237" right="0.27559055118110237" top="0.43307086614173229" bottom="0.35433070866141736" header="0.31496062992125984" footer="0.23622047244094491"/>
  <pageSetup paperSize="9" scale="50" orientation="landscape" r:id="rId1"/>
  <headerFooter alignWithMargins="0"/>
  <rowBreaks count="1" manualBreakCount="1">
    <brk id="8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3</vt:i4>
      </vt:variant>
    </vt:vector>
  </HeadingPairs>
  <TitlesOfParts>
    <vt:vector size="22" baseType="lpstr">
      <vt:lpstr>系统规则</vt:lpstr>
      <vt:lpstr>2016预算稿 </vt:lpstr>
      <vt:lpstr>2015年ES实际花费数据</vt:lpstr>
      <vt:lpstr>2015预算稿 </vt:lpstr>
      <vt:lpstr>基础数据</vt:lpstr>
      <vt:lpstr>阿姨工资奖金</vt:lpstr>
      <vt:lpstr>保洁服务费</vt:lpstr>
      <vt:lpstr>保安服务费</vt:lpstr>
      <vt:lpstr>部分费用明细（水电植物耗材茶歇）</vt:lpstr>
      <vt:lpstr>物业房租车位费</vt:lpstr>
      <vt:lpstr>媒体大厦物业费 能源费</vt:lpstr>
      <vt:lpstr>2016年媒体大厦物业费预算</vt:lpstr>
      <vt:lpstr>搜狐媒体大厦工位</vt:lpstr>
      <vt:lpstr>媒体大厦物业费测算</vt:lpstr>
      <vt:lpstr>装饰门禁电视空调维护2016</vt:lpstr>
      <vt:lpstr>Capex</vt:lpstr>
      <vt:lpstr>财产险</vt:lpstr>
      <vt:lpstr>武汉研发中心</vt:lpstr>
      <vt:lpstr>2016年公司车险及ES车辆养护</vt:lpstr>
      <vt:lpstr>'2015年ES实际花费数据'!Print_Titles</vt:lpstr>
      <vt:lpstr>'2015预算稿 '!Print_Titles</vt:lpstr>
      <vt:lpstr>'2016预算稿 '!Print_Titles</vt:lpstr>
    </vt:vector>
  </TitlesOfParts>
  <Company>Sohu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vedachen</dc:creator>
  <cp:lastModifiedBy>Liang Bing(员工服务中心.150769)</cp:lastModifiedBy>
  <cp:lastPrinted>2015-11-12T09:18:52Z</cp:lastPrinted>
  <dcterms:created xsi:type="dcterms:W3CDTF">2015-11-05T08:50:40Z</dcterms:created>
  <dcterms:modified xsi:type="dcterms:W3CDTF">2016-05-12T07:08:50Z</dcterms:modified>
</cp:coreProperties>
</file>