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urt\OneDrive - Microsoft\Refin\"/>
    </mc:Choice>
  </mc:AlternateContent>
  <xr:revisionPtr revIDLastSave="0" documentId="8_{7C0E9328-4C30-4113-AEAC-B3E06B46E5D6}" xr6:coauthVersionLast="45" xr6:coauthVersionMax="45" xr10:uidLastSave="{00000000-0000-0000-0000-000000000000}"/>
  <bookViews>
    <workbookView xWindow="-98" yWindow="-98" windowWidth="22695" windowHeight="14595" firstSheet="2" activeTab="2" xr2:uid="{200CCECB-42E9-470A-8368-58997DE1F09E}"/>
  </bookViews>
  <sheets>
    <sheet name="Marketplace" sheetId="1" state="hidden" r:id="rId1"/>
    <sheet name="Metrics" sheetId="2" state="hidden" r:id="rId2"/>
    <sheet name="Summary" sheetId="12" r:id="rId3"/>
    <sheet name="Monthly Component Cost" sheetId="3" r:id="rId4"/>
    <sheet name="Monthly Cost Forecast" sheetId="6" r:id="rId5"/>
    <sheet name="Draft Architecture" sheetId="7" r:id="rId6"/>
    <sheet name="Streaming Calc" sheetId="4" r:id="rId7"/>
    <sheet name="Assumptions" sheetId="8" r:id="rId8"/>
    <sheet name="Business Sizing Assumptions" sheetId="9" r:id="rId9"/>
    <sheet name="User Stories" sheetId="10" r:id="rId10"/>
    <sheet name="Version History" sheetId="11" r:id="rId11"/>
  </sheets>
  <externalReferences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6" l="1"/>
  <c r="S7" i="6" s="1" a="1"/>
  <c r="S7" i="6" s="1"/>
  <c r="P7" i="6"/>
  <c r="Q7" i="6" s="1" a="1"/>
  <c r="Q7" i="6" s="1"/>
  <c r="N7" i="6"/>
  <c r="O7" i="6" s="1" a="1"/>
  <c r="O7" i="6" s="1"/>
  <c r="M7" i="6" a="1"/>
  <c r="M7" i="6" s="1"/>
  <c r="L7" i="6"/>
  <c r="J7" i="6"/>
  <c r="K7" i="6" s="1" a="1"/>
  <c r="K7" i="6" s="1"/>
  <c r="H7" i="6"/>
  <c r="I7" i="6" s="1" a="1"/>
  <c r="I7" i="6" s="1"/>
  <c r="F7" i="6"/>
  <c r="G7" i="6" s="1" a="1"/>
  <c r="G7" i="6" s="1"/>
  <c r="Z7" i="6" s="1"/>
  <c r="C7" i="6" a="1"/>
  <c r="C7" i="6" s="1"/>
  <c r="A5" i="6"/>
  <c r="C6" i="6" a="1"/>
  <c r="C6" i="6" s="1"/>
  <c r="C5" i="6" a="1"/>
  <c r="C5" i="6" s="1"/>
  <c r="AB7" i="6" l="1"/>
  <c r="AC7" i="6" s="1"/>
  <c r="B7" i="6"/>
  <c r="E7" i="6" a="1"/>
  <c r="E7" i="6" s="1"/>
  <c r="A4" i="6"/>
  <c r="A3" i="6"/>
  <c r="A2" i="6"/>
  <c r="T7" i="6" l="1"/>
  <c r="F12" i="4"/>
  <c r="R30" i="3"/>
  <c r="R28" i="3"/>
  <c r="R23" i="3"/>
  <c r="T22" i="3"/>
  <c r="T19" i="3"/>
  <c r="T18" i="3"/>
  <c r="S17" i="3"/>
  <c r="S16" i="3"/>
  <c r="R15" i="3"/>
  <c r="R14" i="3"/>
  <c r="R13" i="3"/>
  <c r="R12" i="3"/>
  <c r="R11" i="3"/>
  <c r="R10" i="3"/>
  <c r="R33" i="3" s="1"/>
  <c r="AF7" i="6" l="1"/>
  <c r="AH7" i="6" s="1"/>
  <c r="AE7" i="6"/>
  <c r="AG7" i="6" s="1"/>
  <c r="V7" i="6"/>
  <c r="AD7" i="6"/>
  <c r="C19" i="4"/>
  <c r="Y7" i="6" l="1"/>
  <c r="X7" i="6"/>
  <c r="W7" i="6"/>
  <c r="R8" i="12"/>
  <c r="S8" i="12" s="1"/>
  <c r="R7" i="12"/>
  <c r="S7" i="12" s="1"/>
  <c r="Q8" i="12"/>
  <c r="Q7" i="12"/>
  <c r="P6" i="12"/>
  <c r="P8" i="12"/>
  <c r="P7" i="12"/>
  <c r="Q6" i="12"/>
  <c r="R6" i="12"/>
  <c r="S6" i="12" s="1"/>
  <c r="B8" i="6"/>
  <c r="L4" i="6" l="1"/>
  <c r="R5" i="6"/>
  <c r="S5" i="6" s="1" a="1"/>
  <c r="S5" i="6" s="1"/>
  <c r="N3" i="6"/>
  <c r="R6" i="6"/>
  <c r="S6" i="6" s="1" a="1"/>
  <c r="S6" i="6" s="1"/>
  <c r="N4" i="6"/>
  <c r="N5" i="6"/>
  <c r="O5" i="6" s="1" a="1"/>
  <c r="O5" i="6" s="1"/>
  <c r="L6" i="6"/>
  <c r="M6" i="6" s="1" a="1"/>
  <c r="M6" i="6" s="1"/>
  <c r="F5" i="6"/>
  <c r="P3" i="6"/>
  <c r="N6" i="6"/>
  <c r="O6" i="6" s="1" a="1"/>
  <c r="O6" i="6" s="1"/>
  <c r="P4" i="6"/>
  <c r="J6" i="6"/>
  <c r="K6" i="6" s="1" a="1"/>
  <c r="K6" i="6" s="1"/>
  <c r="P5" i="6"/>
  <c r="Q5" i="6" s="1" a="1"/>
  <c r="Q5" i="6" s="1"/>
  <c r="L5" i="6"/>
  <c r="M5" i="6" s="1" a="1"/>
  <c r="M5" i="6" s="1"/>
  <c r="H6" i="6"/>
  <c r="B6" i="6" s="1"/>
  <c r="R3" i="6"/>
  <c r="P6" i="6"/>
  <c r="Q6" i="6" s="1" a="1"/>
  <c r="Q6" i="6" s="1"/>
  <c r="F6" i="6"/>
  <c r="J5" i="6"/>
  <c r="K5" i="6" s="1" a="1"/>
  <c r="K5" i="6" s="1"/>
  <c r="R4" i="6"/>
  <c r="H5" i="6"/>
  <c r="B5" i="6" s="1"/>
  <c r="F3" i="6"/>
  <c r="F4" i="6"/>
  <c r="J3" i="6"/>
  <c r="J4" i="6"/>
  <c r="F2" i="6"/>
  <c r="B2" i="6"/>
  <c r="H3" i="6"/>
  <c r="B3" i="6" s="1"/>
  <c r="H4" i="6"/>
  <c r="B4" i="6" s="1"/>
  <c r="J2" i="6"/>
  <c r="L3" i="6"/>
  <c r="N30" i="3"/>
  <c r="N28" i="3"/>
  <c r="N15" i="3"/>
  <c r="N23" i="3"/>
  <c r="AB3" i="6" l="1"/>
  <c r="I5" i="6" a="1"/>
  <c r="I5" i="6" s="1"/>
  <c r="I6" i="6" a="1"/>
  <c r="I6" i="6" s="1"/>
  <c r="AB5" i="6"/>
  <c r="AC5" i="6" s="1"/>
  <c r="E5" i="6" a="1"/>
  <c r="E5" i="6" s="1"/>
  <c r="G5" i="6" a="1"/>
  <c r="G5" i="6" s="1"/>
  <c r="Z5" i="6" s="1"/>
  <c r="E2" i="6" a="1"/>
  <c r="E2" i="6" s="1"/>
  <c r="AB2" i="6"/>
  <c r="G6" i="6" a="1"/>
  <c r="G6" i="6" s="1"/>
  <c r="Z6" i="6" s="1"/>
  <c r="E6" i="6" a="1"/>
  <c r="E6" i="6" s="1"/>
  <c r="AB6" i="6"/>
  <c r="AC6" i="6" s="1"/>
  <c r="AB4" i="6"/>
  <c r="C10" i="9"/>
  <c r="D10" i="9"/>
  <c r="T6" i="6" l="1"/>
  <c r="T5" i="6"/>
  <c r="AD5" i="6" s="1"/>
  <c r="K3" i="6" a="1"/>
  <c r="K3" i="6" s="1"/>
  <c r="K4" i="6" a="1"/>
  <c r="K4" i="6" s="1"/>
  <c r="Q22" i="3"/>
  <c r="Q18" i="3"/>
  <c r="V6" i="6" l="1"/>
  <c r="W6" i="6" s="1"/>
  <c r="AE6" i="6"/>
  <c r="AG6" i="6" s="1"/>
  <c r="AF6" i="6"/>
  <c r="AH6" i="6" s="1"/>
  <c r="AD6" i="6"/>
  <c r="AF5" i="6"/>
  <c r="AH5" i="6" s="1"/>
  <c r="V5" i="6"/>
  <c r="W5" i="6" s="1"/>
  <c r="AE5" i="6"/>
  <c r="AG5" i="6" s="1"/>
  <c r="K2" i="6" a="1"/>
  <c r="K2" i="6" s="1"/>
  <c r="I2" i="6" a="1"/>
  <c r="I2" i="6" s="1"/>
  <c r="N14" i="3"/>
  <c r="N13" i="3"/>
  <c r="N12" i="3"/>
  <c r="N11" i="3"/>
  <c r="N10" i="3"/>
  <c r="X6" i="6" l="1"/>
  <c r="Y6" i="6"/>
  <c r="X5" i="6"/>
  <c r="Y5" i="6"/>
  <c r="C2" i="6" a="1"/>
  <c r="C2" i="6" s="1"/>
  <c r="C4" i="6" a="1"/>
  <c r="C4" i="6" s="1"/>
  <c r="C3" i="6" a="1"/>
  <c r="C3" i="6" s="1"/>
  <c r="AC3" i="6"/>
  <c r="AC4" i="6"/>
  <c r="AC2" i="6"/>
  <c r="P16" i="3" l="1"/>
  <c r="Q19" i="3"/>
  <c r="P17" i="3"/>
  <c r="J16" i="4"/>
  <c r="I16" i="4"/>
  <c r="G16" i="4"/>
  <c r="E16" i="4"/>
  <c r="D16" i="4"/>
  <c r="I3" i="6" l="1" a="1"/>
  <c r="I3" i="6" s="1"/>
  <c r="M4" i="6" a="1"/>
  <c r="M4" i="6" s="1"/>
  <c r="M2" i="6" a="1"/>
  <c r="M2" i="6" s="1"/>
  <c r="G4" i="6" a="1"/>
  <c r="G4" i="6" s="1"/>
  <c r="Z4" i="6" s="1"/>
  <c r="Q4" i="6" a="1"/>
  <c r="Q4" i="6" s="1"/>
  <c r="O2" i="6" a="1"/>
  <c r="O2" i="6" s="1"/>
  <c r="G3" i="6" a="1"/>
  <c r="G3" i="6" s="1"/>
  <c r="Z3" i="6" s="1"/>
  <c r="Q3" i="6" a="1"/>
  <c r="Q3" i="6" s="1"/>
  <c r="Q2" i="6" a="1"/>
  <c r="Q2" i="6" s="1"/>
  <c r="S2" i="6" a="1"/>
  <c r="S2" i="6" s="1"/>
  <c r="O4" i="6" a="1"/>
  <c r="O4" i="6" s="1"/>
  <c r="O3" i="6" a="1"/>
  <c r="O3" i="6" s="1"/>
  <c r="G2" i="6" a="1"/>
  <c r="G2" i="6" s="1"/>
  <c r="Z2" i="6" s="1"/>
  <c r="I4" i="6" a="1"/>
  <c r="I4" i="6" s="1"/>
  <c r="S4" i="6" a="1"/>
  <c r="S4" i="6" s="1"/>
  <c r="S3" i="6" a="1"/>
  <c r="S3" i="6" s="1"/>
  <c r="M3" i="6" a="1"/>
  <c r="M3" i="6" s="1"/>
  <c r="N33" i="3"/>
  <c r="T2" i="6" l="1"/>
  <c r="V2" i="6" s="1"/>
  <c r="W2" i="6" s="1"/>
  <c r="E3" i="6" a="1"/>
  <c r="E3" i="6" s="1"/>
  <c r="T3" i="6" s="1"/>
  <c r="V3" i="6" s="1"/>
  <c r="W3" i="6" s="1"/>
  <c r="E4" i="6" a="1"/>
  <c r="E4" i="6" s="1"/>
  <c r="B9" i="4"/>
  <c r="T4" i="6" l="1"/>
  <c r="X3" i="6"/>
  <c r="T7" i="12" s="1"/>
  <c r="Y3" i="6"/>
  <c r="U7" i="12" s="1"/>
  <c r="Y2" i="6"/>
  <c r="U6" i="12" s="1"/>
  <c r="X2" i="6"/>
  <c r="T6" i="12" s="1"/>
  <c r="V6" i="12"/>
  <c r="V7" i="12"/>
  <c r="AF2" i="6"/>
  <c r="AH2" i="6" s="1"/>
  <c r="AE2" i="6"/>
  <c r="AG2" i="6" s="1"/>
  <c r="AF3" i="6"/>
  <c r="AH3" i="6" s="1"/>
  <c r="AE3" i="6"/>
  <c r="AG3" i="6" s="1"/>
  <c r="AD2" i="6"/>
  <c r="AD3" i="6"/>
  <c r="V4" i="6" l="1"/>
  <c r="W4" i="6" s="1"/>
  <c r="AE4" i="6"/>
  <c r="AG4" i="6" s="1"/>
  <c r="AF4" i="6"/>
  <c r="AH4" i="6" s="1"/>
  <c r="AD4" i="6"/>
  <c r="X4" i="6" l="1"/>
  <c r="T8" i="12" s="1"/>
  <c r="V8" i="12"/>
  <c r="Y4" i="6"/>
  <c r="U8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tc={1F59A71C-67AF-4077-9056-286A3431B22C}</author>
  </authors>
  <commentList>
    <comment ref="E17" authorId="0" shapeId="0" xr:uid="{1F59A71C-67AF-4077-9056-286A3431B22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high scale real time, better to use Databricks and/or AKS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tc={EAC6D4E3-7448-4DB3-834A-6BAE8B0676E6}</author>
  </authors>
  <commentList>
    <comment ref="E11" authorId="0" shapeId="0" xr:uid="{EAC6D4E3-7448-4DB3-834A-6BAE8B0676E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high scale real time, better to use Databricks and/or AKS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tc={A21A1C37-07AE-4AB2-9E35-46E6846C3B32}</author>
    <author>tc={D9FB89AB-9E36-449E-9B21-CAE8AEE7085E}</author>
    <author>tc={5CD28361-0160-4872-B1BD-EAE5816D9A8F}</author>
    <author>tc={239CDDE5-1CBD-47BC-9506-A99410E6E29A}</author>
    <author>tc={D7CC5B1C-6AFD-458D-8145-3AF3266E524E}</author>
    <author>tc={CEA5FA11-2E83-4522-BD2B-84AA466A9E5A}</author>
    <author>tc={8FAD8CF4-C015-45E7-B0F5-4AD4F0ADE4FA}</author>
    <author>tc={111B39A0-B5AF-4187-AF9C-FA207C6529B0}</author>
    <author>tc={DBA47D76-493E-4B7F-96D4-F364922553BF}</author>
  </authors>
  <commentList>
    <comment ref="B1" authorId="0" shapeId="0" xr:uid="{A21A1C37-07AE-4AB2-9E35-46E6846C3B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price increases as no of exchanges increases</t>
      </text>
    </comment>
    <comment ref="E1" authorId="1" shapeId="0" xr:uid="{D9FB89AB-9E36-449E-9B21-CAE8AEE708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charge to the customer for use of the platform regardless of number of users. Adding users may incur further cost depending on the use-case &amp; access pattern
</t>
      </text>
    </comment>
    <comment ref="H1" authorId="2" shapeId="0" xr:uid="{5CD28361-0160-4872-B1BD-EAE5816D9A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Adding this option increases the base cost by 730 (once off - which is the lowest tier of this product) as well as £10 per user for authoring pro licence+ £110 for compute service that needs to produce the analytics
</t>
      </text>
    </comment>
    <comment ref="N1" authorId="3" shapeId="0" xr:uid="{239CDDE5-1CBD-47BC-9506-A99410E6E2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Raw data feeds are included in the customer charge hence price per user is trivial but increases the overall customer cost</t>
      </text>
    </comment>
    <comment ref="P1" authorId="4" shapeId="0" xr:uid="{D7CC5B1C-6AFD-458D-8145-3AF3266E52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R1" authorId="5" shapeId="0" xr:uid="{CEA5FA11-2E83-4522-BD2B-84AA466A9E5A}">
      <text>
        <t>[Threaded comment]
Your version of Excel allows you to read this threaded comment; however, any edits to it will get removed if the file is opened in a newer version of Excel. Learn more: https://go.microsoft.com/fwlink/?linkid=870924
Comment:
    PRIIPS raw data feed incurs a customer charge rather than a per user charge in order to fulfil the data preparation cost to the customers storage</t>
      </text>
    </comment>
    <comment ref="U1" authorId="6" shapeId="0" xr:uid="{8FAD8CF4-C015-45E7-B0F5-4AD4F0ADE4F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affects the base price due to ingesting greater data volumes</t>
      </text>
    </comment>
    <comment ref="W1" authorId="7" shapeId="0" xr:uid="{111B39A0-B5AF-4187-AF9C-FA207C6529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total customer charge for subscription and users, aka total less base
</t>
      </text>
    </comment>
    <comment ref="Y1" authorId="8" shapeId="0" xr:uid="{DBA47D76-493E-4B7F-96D4-F364922553BF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per user increases as more exchanges are added but then drops as base cost remains fairly static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<sst xmlns="http://schemas.openxmlformats.org/spreadsheetml/2006/main" count="736" uniqueCount="387">
  <si>
    <t>Access patterns</t>
  </si>
  <si>
    <t>Similar to C</t>
  </si>
  <si>
    <t>Estimation</t>
  </si>
  <si>
    <t>???</t>
  </si>
  <si>
    <t>Cost scaling</t>
  </si>
  <si>
    <t>Process step</t>
  </si>
  <si>
    <t>Type of service (example)</t>
  </si>
  <si>
    <t>Primary cost units</t>
  </si>
  <si>
    <t>Size (small)</t>
  </si>
  <si>
    <t>List price (small), $/month</t>
  </si>
  <si>
    <t>Capacity (small)</t>
  </si>
  <si>
    <t>Size (medium)</t>
  </si>
  <si>
    <t>List price (medium), $/month</t>
  </si>
  <si>
    <t>Capacity (medium)</t>
  </si>
  <si>
    <t>Sizing information</t>
  </si>
  <si>
    <t>Customer browses for and accesses content set data feed, RDP integration fulfils e.g. (QAC) / ESG</t>
  </si>
  <si>
    <t>Customer browses for solution e.g. VWAP calculator, customises parameters and content / integration is facilitated to MSFT resources via RDP (or use case specific persistence / compute)</t>
  </si>
  <si>
    <t>Customer browses for e2e solution service e.g. PRIIPS KID document or Risk KYC workflow, customer onboards their data, customises input parameters / content and RDP or MSFT hosted data sets fulfil.</t>
  </si>
  <si>
    <t>Content provider signs up to provide services (Content) to Refinitiv Marketplace e.g. Battlefin / Marketpsyche</t>
  </si>
  <si>
    <t>3rd party partner provides SaaS or hosted integration solution software e.g. Murex</t>
  </si>
  <si>
    <t>MSFT provide accelerated toolchain option for customer analysing Refintiv content set e.g. Databricks Datascience accelerator notebook</t>
  </si>
  <si>
    <t xml:space="preserve">Order of risk </t>
  </si>
  <si>
    <t>Refinitiv</t>
  </si>
  <si>
    <t>Scale existing</t>
  </si>
  <si>
    <t>Shared</t>
  </si>
  <si>
    <t>Original On-Prem data</t>
  </si>
  <si>
    <t>?</t>
  </si>
  <si>
    <t>Copy to AWS</t>
  </si>
  <si>
    <t>Transformation on AWS</t>
  </si>
  <si>
    <t>Golden source storage (RDP)</t>
  </si>
  <si>
    <t>Marketplace driven</t>
  </si>
  <si>
    <t>By customer usage (shared)</t>
  </si>
  <si>
    <t>Pushing data to customer from RDP</t>
  </si>
  <si>
    <t>Ingest to Azure (push)</t>
  </si>
  <si>
    <t>AWS Egress (Azure ingress is free)</t>
  </si>
  <si>
    <t>Microsoft</t>
  </si>
  <si>
    <t>Ingest to Azure (pull)</t>
  </si>
  <si>
    <t>Azure Data Factory</t>
  </si>
  <si>
    <t>Per activity, volume and frequency</t>
  </si>
  <si>
    <t>Auto-scaled according to workload, 10k data integration hours, 1k pipelines</t>
  </si>
  <si>
    <t>2 TB/day</t>
  </si>
  <si>
    <t>Auto-scaled according to workload, 100k data integration hours, 10k pipelines</t>
  </si>
  <si>
    <t>200 TB/day</t>
  </si>
  <si>
    <t>Understanding Data Factory pricing</t>
  </si>
  <si>
    <t>Transformation on Azure</t>
  </si>
  <si>
    <t>Azure Databricks - Data Engineering Workload: Automated workloads for running fast and robust jobs via API or UI</t>
  </si>
  <si>
    <t>Per node, vCPU/Hour</t>
  </si>
  <si>
    <t>4 Node Cluster  x 16 vCPU, 128GB RAM</t>
  </si>
  <si>
    <t>1 concurrent pipeline job processing 100GB/hour</t>
  </si>
  <si>
    <t>20 nodes - 5 clusters  x 16 vCPU, 128GB RAM</t>
  </si>
  <si>
    <t>5 concurrent pipeline jobs processing 500GB/hour</t>
  </si>
  <si>
    <t>Azure Databricks pricing</t>
  </si>
  <si>
    <t>Refinitiv &amp; 3rd party Storage on Azure</t>
  </si>
  <si>
    <t>ADLSv2</t>
  </si>
  <si>
    <t>Per GB</t>
  </si>
  <si>
    <t>1 TB, LRS, Hot</t>
  </si>
  <si>
    <t>1 TB</t>
  </si>
  <si>
    <t>1 PB, LRS, Hot, 1M 20gb operations</t>
  </si>
  <si>
    <t>1 PB</t>
  </si>
  <si>
    <t>Azure storage performance and scalability checklist</t>
  </si>
  <si>
    <t>By customer usage (shared)
OR
Per Customer deployed (dedicated)</t>
  </si>
  <si>
    <t>Database on Azure for real-time &amp; time window queries</t>
  </si>
  <si>
    <t>PostgreSQL Hyperscale</t>
  </si>
  <si>
    <t>Per scale node vCore &amp; GB</t>
  </si>
  <si>
    <t>Worker: 2 x 8 vCore + 2 x 512 GiB, Coordinator: 1 x 8 vCore + 1 x 512 GiB</t>
  </si>
  <si>
    <t>1TB Storage, 3,000 IOPS</t>
  </si>
  <si>
    <t>Worker 8 x 64vCore 432 GB RAM, 2 TB storage</t>
  </si>
  <si>
    <t>16TB Storage, 48,000 IOPS</t>
  </si>
  <si>
    <t>"Citus" production sizing</t>
  </si>
  <si>
    <t>Per Customer</t>
  </si>
  <si>
    <t>Customer data storage on Azure</t>
  </si>
  <si>
    <t>Customer analytics on Azure</t>
  </si>
  <si>
    <t>Azure Databricks - Data Analytics Workload: Interactive workloads for analysing data collaboratively with notebooks</t>
  </si>
  <si>
    <t>2 Node Cluster x 8vCPU, 32GB RAM</t>
  </si>
  <si>
    <t>5 concurrent users running analytics workloads with max of 40GB data sets each</t>
  </si>
  <si>
    <t>100 nodes - multiple clusters  x 8vCPU, 32GB RAM</t>
  </si>
  <si>
    <t>250 concurrent users running analytics workloads with max 40GB data sets each</t>
  </si>
  <si>
    <t>Real-time message ingestion</t>
  </si>
  <si>
    <t>Event Hub</t>
  </si>
  <si>
    <t>By Throughput Unit or Capacity Unit (dedicated)</t>
  </si>
  <si>
    <t>20 Throughput Units</t>
  </si>
  <si>
    <t>20k msg/s</t>
  </si>
  <si>
    <t>4 Capacity Units</t>
  </si>
  <si>
    <t>1.6m msg/s</t>
  </si>
  <si>
    <t>Event Hubs Dedicated Cluster</t>
  </si>
  <si>
    <t>Real-time message processing</t>
  </si>
  <si>
    <t>Azure Functions</t>
  </si>
  <si>
    <t>Resource consumption and executions</t>
  </si>
  <si>
    <t>32 instances</t>
  </si>
  <si>
    <t>27k msg/s, 0.18s latency at 99th %-tile</t>
  </si>
  <si>
    <t>Azure functions pricing</t>
  </si>
  <si>
    <t>Direct to customer data replication</t>
  </si>
  <si>
    <t>Azure Data Share</t>
  </si>
  <si>
    <t>Per snapshot operation and processing time</t>
  </si>
  <si>
    <t>TBC - similar to ADF</t>
  </si>
  <si>
    <t>Data egress</t>
  </si>
  <si>
    <t>Azure networking</t>
  </si>
  <si>
    <t>10 TB</t>
  </si>
  <si>
    <t>10TB/month</t>
  </si>
  <si>
    <t>500TB</t>
  </si>
  <si>
    <t>500TB/month</t>
  </si>
  <si>
    <t>Bandwidth costs (&gt;500TB POA)</t>
  </si>
  <si>
    <t>Per Customer deployed (dedicated)</t>
  </si>
  <si>
    <t>ML Model Build &amp; Training</t>
  </si>
  <si>
    <t>Azure Machine Learning - Compute</t>
  </si>
  <si>
    <t>Compute instances</t>
  </si>
  <si>
    <t>4 x 4vCPU, 16GB</t>
  </si>
  <si>
    <t>5 users</t>
  </si>
  <si>
    <t>100 x 8vCPU, 32GB</t>
  </si>
  <si>
    <t>250 users </t>
  </si>
  <si>
    <t>Azure ML compute targets</t>
  </si>
  <si>
    <t>Real-time inference</t>
  </si>
  <si>
    <t>Azure Machine Learning - AKS</t>
  </si>
  <si>
    <t>500 requests/s</t>
  </si>
  <si>
    <t>30k requests/s</t>
  </si>
  <si>
    <t>Data visualisation</t>
  </si>
  <si>
    <t>Power BI Embedded</t>
  </si>
  <si>
    <t>Compute nodes</t>
  </si>
  <si>
    <t>1vCore, 3GB</t>
  </si>
  <si>
    <t>300 renders/h</t>
  </si>
  <si>
    <t>10 x 8vCore, 25GB</t>
  </si>
  <si>
    <t>24,000 renders/h</t>
  </si>
  <si>
    <t>Power BI Embedded pricing</t>
  </si>
  <si>
    <t>REST API  front-end</t>
  </si>
  <si>
    <t>Azure API Management</t>
  </si>
  <si>
    <t>Tier and scale unit</t>
  </si>
  <si>
    <t>Developer tier, 1 scale unit</t>
  </si>
  <si>
    <t>Premium tier, 10 scale units</t>
  </si>
  <si>
    <t>40,000 requests/s</t>
  </si>
  <si>
    <t>API Management pricing</t>
  </si>
  <si>
    <t>REST API compute</t>
  </si>
  <si>
    <t>AKS</t>
  </si>
  <si>
    <t>Currently don't provide S3 storage for partners, e.g. Marketpsyche</t>
  </si>
  <si>
    <t>Global web load balancer/firewall</t>
  </si>
  <si>
    <t>Azure Front Door</t>
  </si>
  <si>
    <t>Monitoring and alerting</t>
  </si>
  <si>
    <t>Azure Monitor, App Insights</t>
  </si>
  <si>
    <t>Security</t>
  </si>
  <si>
    <t>Azure Security Center and Sentinel</t>
  </si>
  <si>
    <t>1.1 billion RICS per week</t>
  </si>
  <si>
    <t>End of day pricing updates - up to 6 updates per day, usually 2-3. Eurex 8 GB per day.</t>
  </si>
  <si>
    <t>Per users costs</t>
  </si>
  <si>
    <t>TWAP/VWAP Streaming</t>
  </si>
  <si>
    <t>TWAP/VWAP Embedded</t>
  </si>
  <si>
    <t>TWAP/ VWAP APIs</t>
  </si>
  <si>
    <t>TWAP/ VWAP Notebooks</t>
  </si>
  <si>
    <t>TWAP/ VWAP/ Raw Data Feed</t>
  </si>
  <si>
    <t>PRIIPS APIs</t>
  </si>
  <si>
    <t>PRIIPS Raw Data Feed</t>
  </si>
  <si>
    <t>Notes</t>
  </si>
  <si>
    <t>Shared - streaming ingestion persistence</t>
  </si>
  <si>
    <t>Real-time streaming inbound</t>
  </si>
  <si>
    <t>1 Throughput Units</t>
  </si>
  <si>
    <t>1k msg/s</t>
  </si>
  <si>
    <t>12 Capacity Units</t>
  </si>
  <si>
    <t>1.2M msg/s</t>
  </si>
  <si>
    <t>Shared - streaming ingestion transformation</t>
  </si>
  <si>
    <t>Azure Functions/HDI + Flink</t>
  </si>
  <si>
    <t>Functions: Per no of executions and execution time. HDI: Per node, vCPU/Hour</t>
  </si>
  <si>
    <t>30M messages per month</t>
  </si>
  <si>
    <t>1M messages/sec</t>
  </si>
  <si>
    <t>Azure HDI + Apache Flink</t>
  </si>
  <si>
    <t>Shared - batch ingestion</t>
  </si>
  <si>
    <t>20GB/Day</t>
  </si>
  <si>
    <t>Shared- ingestion transformation</t>
  </si>
  <si>
    <t>Azure Databricks - Data Engineering Workloads</t>
  </si>
  <si>
    <t>2 Node Cluster  x 8 vCPU, 32GB RAM</t>
  </si>
  <si>
    <t>Worker: 2 x 4  vCore + 2 x 32 GiB, Coordinator: 1 x 8 vCore + 1 x 16 GiB</t>
  </si>
  <si>
    <t>Worker 70 x 4vCore 32 GB RAM, 2 TB storage</t>
  </si>
  <si>
    <t>140TB Storage, 48,000 IOPS</t>
  </si>
  <si>
    <t>Storage capacity depends on number of nodes. Based on Electron time series DB of 135TB as per email</t>
  </si>
  <si>
    <t>Real-time streaming outbound</t>
  </si>
  <si>
    <t>400k msg/s</t>
  </si>
  <si>
    <t>At very minimum 1 throughput unit per stanrdard event hub namespace is required to support a single customer for single stream. For each stream add additional throughput unit. Whilst it may be possible to use standard event hubs to support MVP / small number of users, dedicated event hubs would be required to reach max scalability and throughput. No separate brokered connection charge for Dedicated Event Hubs.</t>
  </si>
  <si>
    <t>Streaming compute</t>
  </si>
  <si>
    <t>App Service</t>
  </si>
  <si>
    <t>1 Core 1.75 GB RAM</t>
  </si>
  <si>
    <t>P3V2 2  Cores 14 GB RAM</t>
  </si>
  <si>
    <t>Assuming each stream is associated with 1 user</t>
  </si>
  <si>
    <t>0 cost for the workspace. Charge incurred only for a running cluster. Supports 5 users per customer</t>
  </si>
  <si>
    <t>Assuming 50GB day as per email copied to user environment therefore no per user charge</t>
  </si>
  <si>
    <t>NA</t>
  </si>
  <si>
    <t>Assumption that no model training per customer will be required</t>
  </si>
  <si>
    <t>1 x 4vCPU, 16GB</t>
  </si>
  <si>
    <t>Max 100 requests/s</t>
  </si>
  <si>
    <t>Assumption that max request rate is per customer per provisioned environment</t>
  </si>
  <si>
    <t>The loweet tier for PBI embedded is A1 which is £730 per month charged hourly.  Assumption that users will require pro license to build visuals</t>
  </si>
  <si>
    <t>60GB/month</t>
  </si>
  <si>
    <t>100TB</t>
  </si>
  <si>
    <t>100TB/month</t>
  </si>
  <si>
    <t>Assumption of 50GB day per customer</t>
  </si>
  <si>
    <t>Note required for single market deployment</t>
  </si>
  <si>
    <t>Marketplace Front-end</t>
  </si>
  <si>
    <t>Azure App Service</t>
  </si>
  <si>
    <t>Cores, Ram &amp; local storage</t>
  </si>
  <si>
    <t>Standard Tier</t>
  </si>
  <si>
    <t>Excludes cost of SSL certificate (£69 per year)</t>
  </si>
  <si>
    <t>Marketplace REST API  front-end</t>
  </si>
  <si>
    <t>Marketplace catalog database</t>
  </si>
  <si>
    <t>Vcore, Tier, Backup tier</t>
  </si>
  <si>
    <t>2 vCore Gen 5 single DB</t>
  </si>
  <si>
    <t>Max 4TB</t>
  </si>
  <si>
    <t>Total Base Cost</t>
  </si>
  <si>
    <t>Base</t>
  </si>
  <si>
    <t>No Customers</t>
  </si>
  <si>
    <t>Customer Subscription Charge</t>
  </si>
  <si>
    <t>TWAP/VWAP Streaming Users</t>
  </si>
  <si>
    <t>TWAP/VWAP Streaming Price</t>
  </si>
  <si>
    <r>
      <t xml:space="preserve">TWAP/ VWAP </t>
    </r>
    <r>
      <rPr>
        <b/>
        <sz val="11"/>
        <color theme="1"/>
        <rFont val="Calibri"/>
        <family val="2"/>
        <scheme val="minor"/>
      </rPr>
      <t>Notebook</t>
    </r>
    <r>
      <rPr>
        <sz val="11"/>
        <color theme="1"/>
        <rFont val="Calibri"/>
        <family val="2"/>
        <scheme val="minor"/>
      </rPr>
      <t xml:space="preserve">  Users</t>
    </r>
  </si>
  <si>
    <r>
      <t xml:space="preserve">TWAP/ VWAP </t>
    </r>
    <r>
      <rPr>
        <b/>
        <sz val="11"/>
        <color theme="1"/>
        <rFont val="Calibri"/>
        <family val="2"/>
        <scheme val="minor"/>
      </rPr>
      <t>Notebook</t>
    </r>
    <r>
      <rPr>
        <sz val="11"/>
        <color theme="1"/>
        <rFont val="Calibri"/>
        <family val="2"/>
        <scheme val="minor"/>
      </rPr>
      <t xml:space="preserve">  Price</t>
    </r>
  </si>
  <si>
    <r>
      <t xml:space="preserve">TWAP/ VWAP/ </t>
    </r>
    <r>
      <rPr>
        <b/>
        <sz val="11"/>
        <color theme="1"/>
        <rFont val="Calibri"/>
        <family val="2"/>
        <scheme val="minor"/>
      </rPr>
      <t>Raw Data Feed</t>
    </r>
    <r>
      <rPr>
        <sz val="11"/>
        <color theme="1"/>
        <rFont val="Calibri"/>
        <family val="2"/>
        <scheme val="minor"/>
      </rPr>
      <t xml:space="preserve">  Price</t>
    </r>
  </si>
  <si>
    <r>
      <t xml:space="preserve">PRIIPS </t>
    </r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 Price</t>
    </r>
  </si>
  <si>
    <t>Monthly Total Price</t>
  </si>
  <si>
    <t>Total Price less base</t>
  </si>
  <si>
    <t>Cost per Customer</t>
  </si>
  <si>
    <t>Price per User</t>
  </si>
  <si>
    <t>Value per month</t>
  </si>
  <si>
    <t>Diff</t>
  </si>
  <si>
    <t>Variance - lower bound</t>
  </si>
  <si>
    <t>Variance - upper bound</t>
  </si>
  <si>
    <t>Diff upper bound</t>
  </si>
  <si>
    <t>Diff lower bound</t>
  </si>
  <si>
    <t>Approx</t>
  </si>
  <si>
    <t>Cost</t>
  </si>
  <si>
    <t>RICS</t>
  </si>
  <si>
    <t>Quotas</t>
  </si>
  <si>
    <t>https://docs.microsoft.com/en-us/azure/event-hubs/event-hubs-dedicated-overview#event-hubs-dedicated-quotas-and-limits</t>
  </si>
  <si>
    <t>event hubs required (topics)</t>
  </si>
  <si>
    <t>size per sec</t>
  </si>
  <si>
    <t>10kb</t>
  </si>
  <si>
    <t>messages per sec</t>
  </si>
  <si>
    <t>max namesspaces for 20 Cus</t>
  </si>
  <si>
    <t>using 12 Cus max namespaces (topics)</t>
  </si>
  <si>
    <t>event hubs per namespace</t>
  </si>
  <si>
    <t>total eventhubs for 12 CUs (topics)</t>
  </si>
  <si>
    <t>messages per sec for 12CUs</t>
  </si>
  <si>
    <t>1.2M</t>
  </si>
  <si>
    <t>Max message size</t>
  </si>
  <si>
    <t>1MB</t>
  </si>
  <si>
    <t>Avg messag  received per day for tick</t>
  </si>
  <si>
    <t>Peak rate msg per sec for tick</t>
  </si>
  <si>
    <t>100k</t>
  </si>
  <si>
    <t>Avg messages received per month</t>
  </si>
  <si>
    <t>6Billion</t>
  </si>
  <si>
    <t>Egress Charges Real-time streaming</t>
  </si>
  <si>
    <t>messages per day</t>
  </si>
  <si>
    <t>bytes</t>
  </si>
  <si>
    <t>megs per ric per day for each user</t>
  </si>
  <si>
    <t>avg rics subscription (MSFT assumption)</t>
  </si>
  <si>
    <t>Total megs egress per customer</t>
  </si>
  <si>
    <t>no users</t>
  </si>
  <si>
    <t>GBs egress (approx)</t>
  </si>
  <si>
    <t>approx &lt;$1 per 100 users</t>
  </si>
  <si>
    <t>Assumptions</t>
  </si>
  <si>
    <t>Ref</t>
  </si>
  <si>
    <t>Assumption description</t>
  </si>
  <si>
    <t>Category</t>
  </si>
  <si>
    <t>Impact</t>
  </si>
  <si>
    <t>Marketplace infrastructure platform costs excluded (i.e. licensing/SaaS or IaaS as strategy decision dictates)</t>
  </si>
  <si>
    <t>Business/Commercial</t>
  </si>
  <si>
    <t>Operational</t>
  </si>
  <si>
    <t>Costs include only those related to the Azure platform (ie. not back office, other cloud platforms, or on premise DC)</t>
  </si>
  <si>
    <t>Costs for complete operational support tooling and infrastructure excluded (ie monitoring, logging, alerting)</t>
  </si>
  <si>
    <t>Not all non-functional requirements have been assumed (ie all the 'ilities)</t>
  </si>
  <si>
    <t>Technical</t>
  </si>
  <si>
    <t>Build and ongoing development costs excluded</t>
  </si>
  <si>
    <t>Build</t>
  </si>
  <si>
    <t>PowerBI / App Service Env assumed adequate for interactive customer access Use Cases/User Stories</t>
  </si>
  <si>
    <t>Business</t>
  </si>
  <si>
    <t>REST API and API management have been included</t>
  </si>
  <si>
    <t>Data related costs are based on metrics and data provided by the Refinitiv Props team (LSE equities only for prototype)</t>
  </si>
  <si>
    <t>Costs are a mix of fixed and variable i.e. blended</t>
  </si>
  <si>
    <t>Existing Microsoft support agreements are assumed to be adequate to support the Marketplace platform</t>
  </si>
  <si>
    <t>The business Use Cases in scope for the prototype include VWAP/TWAP, PRIIPS.  Other Use Cases will be implemented in subsequent phases and may attract additional costs</t>
  </si>
  <si>
    <t>Platform administration and management costs are excluded (potentially delivered through a third party managed service)</t>
  </si>
  <si>
    <t>Data integration costs excluded (RDP, AAA, Ref Data)</t>
  </si>
  <si>
    <t>Customer Service Desk capability and tooling excluded; i.e. Self Service, Chat, IVR/Ticket log &amp; Track</t>
  </si>
  <si>
    <t>Refinitiv will provide requisite SMEs during Design and Discovery from various groups in business, compliance, security, technical, go to market strategy</t>
  </si>
  <si>
    <t>A shared approach to DevOps and tooling will be agreed prior to build commencing</t>
  </si>
  <si>
    <t>There is a non-linear cost in the scaling up of consumption volumetrics as pricing tiers are exceeded</t>
  </si>
  <si>
    <t>Early Access</t>
  </si>
  <si>
    <t xml:space="preserve">Number of customers </t>
  </si>
  <si>
    <t>Avg no of users per customer</t>
  </si>
  <si>
    <t>Market set considered</t>
  </si>
  <si>
    <t>Volume Data size L1 assumed</t>
  </si>
  <si>
    <t xml:space="preserve">2 GB a day </t>
  </si>
  <si>
    <t>8GB/day</t>
  </si>
  <si>
    <t>Volume Data size L2 assumed</t>
  </si>
  <si>
    <t>1 GB a day</t>
  </si>
  <si>
    <t>4GB/day</t>
  </si>
  <si>
    <t>7 days</t>
  </si>
  <si>
    <t>30 days</t>
  </si>
  <si>
    <t>Message size</t>
  </si>
  <si>
    <t>1000 bytes</t>
  </si>
  <si>
    <t>Message rate</t>
  </si>
  <si>
    <t>User Stories based on:</t>
  </si>
  <si>
    <t>Use Case</t>
  </si>
  <si>
    <t>Name</t>
  </si>
  <si>
    <t>Description</t>
  </si>
  <si>
    <t>Marketplace</t>
  </si>
  <si>
    <t>Provision of a user interface to browse, trial, purchase and administer a customer account (i.e. registration)</t>
  </si>
  <si>
    <t>Use Case 1</t>
  </si>
  <si>
    <t>VWAP/TWAP</t>
  </si>
  <si>
    <t>Provide access to VWAP/TWAP pricing of LSE equities based on a standard Refinitiv algorithm (functionality limited for Prototype), based on user provided timeframe, date and time range, trade flags/condition codes, venues (LSE), security code (RIC, ISIN, SEDOL etc)</t>
  </si>
  <si>
    <t>Use Case 2</t>
  </si>
  <si>
    <t>PRIPPS</t>
  </si>
  <si>
    <t>User Stories</t>
  </si>
  <si>
    <t>1, 2</t>
  </si>
  <si>
    <t>Browse</t>
  </si>
  <si>
    <t>Register/Login and browse the product catalogue (Sku's), reviewing product info and availability</t>
  </si>
  <si>
    <t>Trial</t>
  </si>
  <si>
    <t>Select a product and choose to trial it for a limited period of time</t>
  </si>
  <si>
    <t>Buy</t>
  </si>
  <si>
    <t>Select a product to purchase either after a trial, or, after browse and selection</t>
  </si>
  <si>
    <t>Requirements are based on preliminary workshops ahead of detailed requirements discovery and development</t>
  </si>
  <si>
    <t>The complexity of the future use cases are same as the existing one</t>
  </si>
  <si>
    <t>Scaled Out</t>
  </si>
  <si>
    <t>Universe</t>
  </si>
  <si>
    <t>5TB</t>
  </si>
  <si>
    <t>Historic data retrieved for the solution (aka two use-cases)</t>
  </si>
  <si>
    <t>7 years?</t>
  </si>
  <si>
    <t>+6 Months</t>
  </si>
  <si>
    <t>+9 Months</t>
  </si>
  <si>
    <t>Change Log</t>
  </si>
  <si>
    <t>V1.0</t>
  </si>
  <si>
    <t>Initial Version Shared</t>
  </si>
  <si>
    <t>Costs assume largely dedicated resources for each customer, ie single tenant, not multi-tenant</t>
  </si>
  <si>
    <t>…</t>
  </si>
  <si>
    <t>BAU</t>
  </si>
  <si>
    <t>Addressable Market</t>
  </si>
  <si>
    <t/>
  </si>
  <si>
    <t>For All Environments</t>
  </si>
  <si>
    <t>No Of Tier 1 Exchanges</t>
  </si>
  <si>
    <t>Prototype</t>
  </si>
  <si>
    <t>Users per Customer</t>
  </si>
  <si>
    <t>Phase</t>
  </si>
  <si>
    <t>Summary Charts &amp; Tables</t>
  </si>
  <si>
    <t>No of Customers</t>
  </si>
  <si>
    <t>Total Cost</t>
  </si>
  <si>
    <t>No of Users</t>
  </si>
  <si>
    <t>Duration</t>
  </si>
  <si>
    <t>Discovery &amp; Design</t>
  </si>
  <si>
    <t>3 months</t>
  </si>
  <si>
    <t>+5-6 Months</t>
  </si>
  <si>
    <t>Cost per</t>
  </si>
  <si>
    <t>Customer</t>
  </si>
  <si>
    <t>User</t>
  </si>
  <si>
    <t>Monthly Cost Summary</t>
  </si>
  <si>
    <t>Fufil regualted requests for KID (Key Investor Document) information for a packaged financial product.  Also requires access to Refinitiv tick history data.  Further details tbd.  See link; https://www.fca.org.uk/firms/priips-disclosure-key-information-documents</t>
  </si>
  <si>
    <t>EUX</t>
  </si>
  <si>
    <t>MB per sec</t>
  </si>
  <si>
    <t>Base Price - prototype (without users)</t>
  </si>
  <si>
    <t xml:space="preserve">Price per customer- prototype </t>
  </si>
  <si>
    <t xml:space="preserve">Per User- prototype </t>
  </si>
  <si>
    <t>Assumption Click here for quotas. Note: 1 Throughput Unit has a maximum throughput rate of 1k messages per second and 1MB Ingress, 2MB Egress. See https://docs.microsoft.com/en-us/azure/event-hubs/event-hubs-scalability</t>
  </si>
  <si>
    <t>Base Price - future scale (without users)</t>
  </si>
  <si>
    <t>Price per customer- future scale</t>
  </si>
  <si>
    <t>Per User- future scale</t>
  </si>
  <si>
    <t>Variance</t>
  </si>
  <si>
    <t>Cost is built only for thre environments Dev, Pre-Prod and Prod (with non-prod being half the cost of prod). More environments would add further costs.</t>
  </si>
  <si>
    <t>Variances provided are an estimate of how much the monthly cost may differ from 'Actuals', supporting infrastructure makes this high for very low volumes</t>
  </si>
  <si>
    <t>20GB/day</t>
  </si>
  <si>
    <t>10GB/day</t>
  </si>
  <si>
    <t>Example revenue per user</t>
  </si>
  <si>
    <t>Streaming Cost Total</t>
  </si>
  <si>
    <t>Base Streaming</t>
  </si>
  <si>
    <t>Dev &amp; Pre-Prod are 10% of the production cost</t>
  </si>
  <si>
    <t>#users&amp; use cases</t>
  </si>
  <si>
    <t>Percentage cost of non-prod environments</t>
  </si>
  <si>
    <t>No of non-prod environments</t>
  </si>
  <si>
    <r>
      <t xml:space="preserve">PRIIPS </t>
    </r>
    <r>
      <rPr>
        <b/>
        <sz val="11"/>
        <color theme="1"/>
        <rFont val="Calibri"/>
        <family val="2"/>
        <scheme val="minor"/>
      </rPr>
      <t>API </t>
    </r>
    <r>
      <rPr>
        <sz val="11"/>
        <color theme="1"/>
        <rFont val="Calibri"/>
        <family val="2"/>
        <scheme val="minor"/>
      </rPr>
      <t xml:space="preserve"> Users</t>
    </r>
  </si>
  <si>
    <r>
      <t xml:space="preserve">TWAP/ VWAP/ </t>
    </r>
    <r>
      <rPr>
        <b/>
        <sz val="11"/>
        <color theme="1"/>
        <rFont val="Calibri"/>
        <family val="2"/>
        <scheme val="minor"/>
      </rPr>
      <t>Raw Data Feed</t>
    </r>
    <r>
      <rPr>
        <sz val="11"/>
        <color theme="1"/>
        <rFont val="Calibri"/>
        <family val="2"/>
        <scheme val="minor"/>
      </rPr>
      <t xml:space="preserve">  Enabled</t>
    </r>
  </si>
  <si>
    <r>
      <t xml:space="preserve">PRIIPS </t>
    </r>
    <r>
      <rPr>
        <b/>
        <sz val="11"/>
        <color theme="1"/>
        <rFont val="Calibri"/>
        <family val="2"/>
        <scheme val="minor"/>
      </rPr>
      <t>Raw Data Feed</t>
    </r>
    <r>
      <rPr>
        <sz val="11"/>
        <color theme="1"/>
        <rFont val="Calibri"/>
        <family val="2"/>
        <scheme val="minor"/>
      </rPr>
      <t xml:space="preserve"> Enabled</t>
    </r>
  </si>
  <si>
    <r>
      <t xml:space="preserve">PRIIPS </t>
    </r>
    <r>
      <rPr>
        <b/>
        <sz val="11"/>
        <color theme="1"/>
        <rFont val="Calibri"/>
        <family val="2"/>
        <scheme val="minor"/>
      </rPr>
      <t>Raw Data Feed</t>
    </r>
    <r>
      <rPr>
        <sz val="11"/>
        <color theme="1"/>
        <rFont val="Calibri"/>
        <family val="2"/>
        <scheme val="minor"/>
      </rPr>
      <t xml:space="preserve"> Price</t>
    </r>
  </si>
  <si>
    <r>
      <t xml:space="preserve">TWAP/ VWAP </t>
    </r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 Price</t>
    </r>
  </si>
  <si>
    <r>
      <t xml:space="preserve">TWAP/ VWAP </t>
    </r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 Users</t>
    </r>
  </si>
  <si>
    <r>
      <t xml:space="preserve">TWAP/VWAP </t>
    </r>
    <r>
      <rPr>
        <b/>
        <sz val="11"/>
        <color theme="1"/>
        <rFont val="Calibri"/>
        <family val="2"/>
        <scheme val="minor"/>
      </rPr>
      <t>Embedded</t>
    </r>
    <r>
      <rPr>
        <sz val="11"/>
        <color theme="1"/>
        <rFont val="Calibri"/>
        <family val="2"/>
        <scheme val="minor"/>
      </rPr>
      <t xml:space="preserve"> Users</t>
    </r>
  </si>
  <si>
    <r>
      <t xml:space="preserve">TWAP/VWAP </t>
    </r>
    <r>
      <rPr>
        <b/>
        <sz val="11"/>
        <color theme="1"/>
        <rFont val="Calibri"/>
        <family val="2"/>
        <scheme val="minor"/>
      </rPr>
      <t>Embedded</t>
    </r>
    <r>
      <rPr>
        <sz val="11"/>
        <color theme="1"/>
        <rFont val="Calibri"/>
        <family val="2"/>
        <scheme val="minor"/>
      </rPr>
      <t xml:space="preserve"> Price</t>
    </r>
  </si>
  <si>
    <t>Percentage non prod cost per customer environment</t>
  </si>
  <si>
    <t>12M+ Forecast</t>
  </si>
  <si>
    <t>18M+ Forecast</t>
  </si>
  <si>
    <t>v1.1</t>
  </si>
  <si>
    <t>v1.2</t>
  </si>
  <si>
    <t>v1.3</t>
  </si>
  <si>
    <t>Added combo line/bar graph to forecast different phases</t>
  </si>
  <si>
    <t>Added formulas to include multiple environments and exchanges</t>
  </si>
  <si>
    <t>Added multi- line graphs to show streaming vs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</si>
</sst>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[Red]\(&quot;$&quot;#,##0\)"/>
    <numFmt numFmtId="165" formatCode="&quot;$&quot;#,##0"/>
    <numFmt numFmtId="166" formatCode="_-* #,##0_-;\-* #,##0_-;_-* &quot;-&quot;??_-;_-@_-"/>
    <numFmt numFmtId="167" formatCode="_([$$-409]* #,##0.00_);_([$$-409]* \(#,##0.00\);_([$$-409]* &quot;-&quot;??_);_(@_)"/>
    <numFmt numFmtId="168" formatCode="_(* #,##0_);_(* \(#,##0\);_(* &quot;-&quot;??_);_(@_)"/>
    <numFmt numFmtId="169" formatCode="&quot;£&quot;#,##0.00"/>
    <numFmt numFmtId="170" formatCode="0000"/>
    <numFmt numFmtId="171" formatCode="00000"/>
    <numFmt numFmtId="172" formatCode="&quot;$&quot;#,##0.00"/>
    <numFmt numFmtId="173" formatCode="_-[$$-409]* #,##0.00_ ;_-[$$-409]* \-#,##0.00\ ;_-[$$-409]* &quot;-&quot;??_ ;_-@_ "/>
    <numFmt numFmtId="174" formatCode="_-[$$-409]* #,##0_ ;_-[$$-409]* \-#,##0\ ;_-[$$-409]* &quot;-&quot;??_ ;_-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23237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165" fontId="0" fillId="0" borderId="0" xfId="0" applyNumberFormat="1"/>
    <xf numFmtId="165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/>
    </xf>
    <xf numFmtId="0" fontId="1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/>
    </xf>
    <xf numFmtId="164" fontId="0" fillId="0" borderId="0" xfId="0" applyNumberFormat="1" applyAlignment="1">
      <alignment vertical="top" wrapText="1"/>
    </xf>
    <xf numFmtId="0" fontId="2" fillId="0" borderId="0" xfId="1" applyAlignment="1">
      <alignment vertical="top"/>
    </xf>
    <xf numFmtId="165" fontId="2" fillId="0" borderId="0" xfId="1" applyNumberFormat="1" applyAlignment="1">
      <alignment horizontal="center" vertical="top" wrapText="1"/>
    </xf>
    <xf numFmtId="165" fontId="2" fillId="0" borderId="0" xfId="1" applyNumberFormat="1" applyAlignment="1">
      <alignment vertical="top" wrapText="1"/>
    </xf>
    <xf numFmtId="165" fontId="0" fillId="0" borderId="0" xfId="0" applyNumberFormat="1" applyFill="1" applyAlignment="1">
      <alignment horizontal="center" vertical="top" wrapText="1"/>
    </xf>
    <xf numFmtId="165" fontId="0" fillId="0" borderId="0" xfId="0" applyNumberFormat="1" applyFill="1" applyAlignment="1">
      <alignment horizontal="center" vertical="top"/>
    </xf>
    <xf numFmtId="165" fontId="0" fillId="0" borderId="0" xfId="0" applyNumberFormat="1" applyFill="1" applyAlignment="1">
      <alignment vertical="top"/>
    </xf>
    <xf numFmtId="166" fontId="0" fillId="0" borderId="0" xfId="2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5" fontId="4" fillId="0" borderId="0" xfId="0" applyNumberFormat="1" applyFont="1" applyAlignment="1">
      <alignment vertical="top"/>
    </xf>
    <xf numFmtId="165" fontId="5" fillId="0" borderId="0" xfId="1" applyNumberFormat="1" applyFont="1" applyAlignment="1">
      <alignment horizontal="center" vertical="top" wrapText="1"/>
    </xf>
    <xf numFmtId="0" fontId="5" fillId="0" borderId="0" xfId="1" applyFont="1" applyAlignment="1">
      <alignment vertical="top" wrapText="1"/>
    </xf>
    <xf numFmtId="0" fontId="2" fillId="0" borderId="0" xfId="1"/>
    <xf numFmtId="167" fontId="0" fillId="0" borderId="0" xfId="0" applyNumberFormat="1"/>
    <xf numFmtId="168" fontId="0" fillId="0" borderId="0" xfId="0" applyNumberFormat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65" fontId="0" fillId="2" borderId="1" xfId="0" applyNumberFormat="1" applyFill="1" applyBorder="1" applyAlignment="1">
      <alignment vertical="top"/>
    </xf>
    <xf numFmtId="165" fontId="0" fillId="2" borderId="1" xfId="0" applyNumberFormat="1" applyFill="1" applyBorder="1" applyAlignment="1">
      <alignment horizontal="center" vertical="top"/>
    </xf>
    <xf numFmtId="0" fontId="2" fillId="2" borderId="1" xfId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165" fontId="0" fillId="2" borderId="1" xfId="0" applyNumberFormat="1" applyFont="1" applyFill="1" applyBorder="1" applyAlignment="1">
      <alignment vertical="top"/>
    </xf>
    <xf numFmtId="165" fontId="2" fillId="2" borderId="1" xfId="1" applyNumberFormat="1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65" fontId="0" fillId="4" borderId="1" xfId="0" applyNumberFormat="1" applyFill="1" applyBorder="1" applyAlignment="1">
      <alignment vertical="top" wrapText="1"/>
    </xf>
    <xf numFmtId="165" fontId="0" fillId="4" borderId="1" xfId="0" applyNumberFormat="1" applyFill="1" applyBorder="1" applyAlignment="1">
      <alignment horizontal="center" vertical="top" wrapText="1"/>
    </xf>
    <xf numFmtId="0" fontId="2" fillId="4" borderId="1" xfId="1" applyFill="1" applyBorder="1" applyAlignment="1">
      <alignment vertical="top" wrapText="1"/>
    </xf>
    <xf numFmtId="165" fontId="0" fillId="4" borderId="1" xfId="0" applyNumberForma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164" fontId="0" fillId="4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165" fontId="0" fillId="5" borderId="1" xfId="0" applyNumberFormat="1" applyFill="1" applyBorder="1" applyAlignment="1">
      <alignment vertical="top" wrapText="1"/>
    </xf>
    <xf numFmtId="165" fontId="0" fillId="5" borderId="1" xfId="0" applyNumberFormat="1" applyFill="1" applyBorder="1" applyAlignment="1">
      <alignment horizontal="center" vertical="top" wrapText="1"/>
    </xf>
    <xf numFmtId="0" fontId="2" fillId="5" borderId="1" xfId="1" applyFill="1" applyBorder="1" applyAlignment="1">
      <alignment vertical="top" wrapText="1"/>
    </xf>
    <xf numFmtId="165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165" fontId="2" fillId="5" borderId="1" xfId="1" applyNumberFormat="1" applyFill="1" applyBorder="1" applyAlignment="1">
      <alignment horizontal="center" vertical="top" wrapText="1"/>
    </xf>
    <xf numFmtId="165" fontId="2" fillId="5" borderId="1" xfId="1" applyNumberForma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65" fontId="0" fillId="3" borderId="1" xfId="0" applyNumberFormat="1" applyFill="1" applyBorder="1" applyAlignment="1">
      <alignment vertical="top" wrapText="1"/>
    </xf>
    <xf numFmtId="165" fontId="0" fillId="3" borderId="1" xfId="0" applyNumberFormat="1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165" fontId="0" fillId="3" borderId="1" xfId="0" applyNumberFormat="1" applyFill="1" applyBorder="1" applyAlignment="1">
      <alignment vertical="top"/>
    </xf>
    <xf numFmtId="165" fontId="0" fillId="3" borderId="1" xfId="0" applyNumberFormat="1" applyFill="1" applyBorder="1" applyAlignment="1">
      <alignment horizontal="center" vertical="top"/>
    </xf>
    <xf numFmtId="0" fontId="2" fillId="3" borderId="1" xfId="1" applyFill="1" applyBorder="1" applyAlignment="1">
      <alignment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169" fontId="0" fillId="0" borderId="0" xfId="0" applyNumberFormat="1"/>
    <xf numFmtId="0" fontId="0" fillId="0" borderId="0" xfId="0" applyFont="1" applyAlignment="1">
      <alignment horizontal="center" wrapText="1"/>
    </xf>
    <xf numFmtId="165" fontId="0" fillId="2" borderId="1" xfId="0" applyNumberFormat="1" applyFill="1" applyBorder="1" applyAlignment="1">
      <alignment horizontal="right" vertical="top"/>
    </xf>
    <xf numFmtId="165" fontId="0" fillId="2" borderId="1" xfId="0" applyNumberFormat="1" applyFont="1" applyFill="1" applyBorder="1" applyAlignment="1">
      <alignment horizontal="right" vertical="top"/>
    </xf>
    <xf numFmtId="165" fontId="0" fillId="4" borderId="1" xfId="0" applyNumberFormat="1" applyFill="1" applyBorder="1" applyAlignment="1">
      <alignment horizontal="right" vertical="top"/>
    </xf>
    <xf numFmtId="165" fontId="0" fillId="5" borderId="1" xfId="0" applyNumberFormat="1" applyFill="1" applyBorder="1" applyAlignment="1">
      <alignment horizontal="right" vertical="top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165" fontId="0" fillId="0" borderId="1" xfId="0" applyNumberFormat="1" applyFill="1" applyBorder="1" applyAlignment="1">
      <alignment vertical="top"/>
    </xf>
    <xf numFmtId="165" fontId="0" fillId="0" borderId="1" xfId="0" applyNumberFormat="1" applyFill="1" applyBorder="1" applyAlignment="1">
      <alignment horizontal="center" vertical="top"/>
    </xf>
    <xf numFmtId="0" fontId="2" fillId="0" borderId="1" xfId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170" fontId="0" fillId="0" borderId="0" xfId="0" applyNumberFormat="1" applyAlignment="1">
      <alignment vertical="top"/>
    </xf>
    <xf numFmtId="171" fontId="0" fillId="0" borderId="0" xfId="0" applyNumberFormat="1"/>
    <xf numFmtId="172" fontId="0" fillId="3" borderId="1" xfId="0" applyNumberFormat="1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/>
    </xf>
    <xf numFmtId="165" fontId="0" fillId="0" borderId="0" xfId="0" applyNumberFormat="1" applyFill="1" applyBorder="1" applyAlignment="1">
      <alignment vertical="top"/>
    </xf>
    <xf numFmtId="165" fontId="0" fillId="0" borderId="0" xfId="0" applyNumberFormat="1" applyFill="1" applyBorder="1" applyAlignment="1">
      <alignment horizontal="center" vertical="top"/>
    </xf>
    <xf numFmtId="0" fontId="2" fillId="0" borderId="0" xfId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8" fillId="6" borderId="0" xfId="0" applyFont="1" applyFill="1" applyAlignment="1">
      <alignment horizontal="center"/>
    </xf>
    <xf numFmtId="0" fontId="8" fillId="6" borderId="0" xfId="0" quotePrefix="1" applyFont="1" applyFill="1" applyAlignment="1">
      <alignment horizontal="center"/>
    </xf>
    <xf numFmtId="14" fontId="0" fillId="0" borderId="0" xfId="0" applyNumberFormat="1"/>
    <xf numFmtId="0" fontId="9" fillId="0" borderId="0" xfId="0" applyFont="1"/>
    <xf numFmtId="0" fontId="0" fillId="0" borderId="0" xfId="0" quotePrefix="1"/>
    <xf numFmtId="0" fontId="0" fillId="0" borderId="2" xfId="0" applyBorder="1"/>
    <xf numFmtId="0" fontId="1" fillId="0" borderId="6" xfId="0" applyFont="1" applyBorder="1"/>
    <xf numFmtId="0" fontId="1" fillId="0" borderId="8" xfId="0" applyFont="1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73" fontId="0" fillId="7" borderId="6" xfId="3" applyNumberFormat="1" applyFont="1" applyFill="1" applyBorder="1"/>
    <xf numFmtId="173" fontId="0" fillId="7" borderId="7" xfId="0" applyNumberFormat="1" applyFill="1" applyBorder="1"/>
    <xf numFmtId="173" fontId="0" fillId="7" borderId="8" xfId="3" applyNumberFormat="1" applyFont="1" applyFill="1" applyBorder="1"/>
    <xf numFmtId="173" fontId="0" fillId="7" borderId="10" xfId="0" applyNumberForma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173" fontId="1" fillId="0" borderId="17" xfId="0" applyNumberFormat="1" applyFont="1" applyBorder="1"/>
    <xf numFmtId="9" fontId="0" fillId="0" borderId="7" xfId="0" applyNumberFormat="1" applyBorder="1"/>
    <xf numFmtId="173" fontId="1" fillId="0" borderId="18" xfId="0" applyNumberFormat="1" applyFont="1" applyBorder="1"/>
    <xf numFmtId="9" fontId="0" fillId="0" borderId="10" xfId="0" applyNumberFormat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11" xfId="0" applyFont="1" applyFill="1" applyBorder="1"/>
    <xf numFmtId="0" fontId="1" fillId="7" borderId="16" xfId="0" applyFont="1" applyFill="1" applyBorder="1"/>
    <xf numFmtId="0" fontId="1" fillId="7" borderId="5" xfId="0" applyFont="1" applyFill="1" applyBorder="1"/>
    <xf numFmtId="174" fontId="0" fillId="3" borderId="1" xfId="0" applyNumberFormat="1" applyFill="1" applyBorder="1" applyAlignment="1">
      <alignment vertical="top"/>
    </xf>
    <xf numFmtId="174" fontId="0" fillId="0" borderId="0" xfId="0" applyNumberFormat="1" applyAlignment="1">
      <alignment vertical="top"/>
    </xf>
    <xf numFmtId="174" fontId="0" fillId="0" borderId="1" xfId="0" applyNumberFormat="1" applyFill="1" applyBorder="1" applyAlignment="1">
      <alignment vertical="top"/>
    </xf>
    <xf numFmtId="174" fontId="0" fillId="0" borderId="0" xfId="0" applyNumberFormat="1" applyFill="1" applyBorder="1" applyAlignment="1">
      <alignment vertical="top"/>
    </xf>
    <xf numFmtId="0" fontId="10" fillId="2" borderId="1" xfId="0" applyFont="1" applyFill="1" applyBorder="1" applyAlignment="1">
      <alignment wrapText="1"/>
    </xf>
    <xf numFmtId="0" fontId="0" fillId="2" borderId="1" xfId="0" applyNumberFormat="1" applyFill="1" applyBorder="1" applyAlignment="1">
      <alignment horizontal="right" vertical="top"/>
    </xf>
    <xf numFmtId="0" fontId="0" fillId="2" borderId="1" xfId="0" applyNumberFormat="1" applyFont="1" applyFill="1" applyBorder="1" applyAlignment="1">
      <alignment horizontal="right" vertical="top"/>
    </xf>
    <xf numFmtId="0" fontId="0" fillId="4" borderId="1" xfId="0" applyNumberFormat="1" applyFill="1" applyBorder="1" applyAlignment="1">
      <alignment horizontal="right" vertical="top"/>
    </xf>
    <xf numFmtId="0" fontId="0" fillId="5" borderId="1" xfId="0" applyNumberFormat="1" applyFill="1" applyBorder="1" applyAlignment="1">
      <alignment horizontal="right" vertical="top"/>
    </xf>
    <xf numFmtId="169" fontId="0" fillId="0" borderId="0" xfId="3" applyNumberFormat="1" applyFont="1"/>
    <xf numFmtId="43" fontId="0" fillId="0" borderId="0" xfId="0" applyNumberFormat="1"/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Costs by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4"/>
          <c:tx>
            <c:v>No Users/Use Cases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'Monthly Cost Forecast'!$AB$2:$AB$7</c:f>
              <c:numCache>
                <c:formatCode>General</c:formatCode>
                <c:ptCount val="6"/>
                <c:pt idx="0">
                  <c:v>10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81-4FDE-856B-FF822485FFA4}"/>
            </c:ext>
          </c:extLst>
        </c:ser>
        <c:ser>
          <c:idx val="6"/>
          <c:order val="5"/>
          <c:tx>
            <c:v>No Customers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Cost Forecast'!$D$2:$D$7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81-4FDE-856B-FF822485FFA4}"/>
            </c:ext>
          </c:extLst>
        </c:ser>
        <c:ser>
          <c:idx val="7"/>
          <c:order val="6"/>
          <c:tx>
            <c:v>No Exchanges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'Monthly Cost Forecast'!$U$2:$U$7</c:f>
              <c:numCache>
                <c:formatCode>_-* #,##0_-;\-* #,##0_-;_-* "-"??_-;_-@_-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 formatCode="General">
                  <c:v>20</c:v>
                </c:pt>
                <c:pt idx="4" formatCode="General">
                  <c:v>20</c:v>
                </c:pt>
                <c:pt idx="5" formatCode="General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81-4FDE-856B-FF822485F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380527"/>
        <c:axId val="1030491295"/>
      </c:barChart>
      <c:lineChart>
        <c:grouping val="standard"/>
        <c:varyColors val="0"/>
        <c:ser>
          <c:idx val="0"/>
          <c:order val="0"/>
          <c:tx>
            <c:v>Total Monthly Cost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Cost Forecast'!$A$2:$A$7</c:f>
              <c:strCache>
                <c:ptCount val="6"/>
                <c:pt idx="0">
                  <c:v>Discovery &amp; Design</c:v>
                </c:pt>
                <c:pt idx="1">
                  <c:v>Prototype</c:v>
                </c:pt>
                <c:pt idx="2">
                  <c:v>Early Access</c:v>
                </c:pt>
                <c:pt idx="3">
                  <c:v>+9 Months</c:v>
                </c:pt>
                <c:pt idx="4">
                  <c:v>12M+ Forecast</c:v>
                </c:pt>
                <c:pt idx="5">
                  <c:v>18M+ Forecast</c:v>
                </c:pt>
              </c:strCache>
            </c:strRef>
          </c:cat>
          <c:val>
            <c:numRef>
              <c:f>'Monthly Cost Forecast'!$V$2:$V$7</c:f>
              <c:numCache>
                <c:formatCode>"£"#,##0.00</c:formatCode>
                <c:ptCount val="6"/>
                <c:pt idx="0">
                  <c:v>6532.3366320000005</c:v>
                </c:pt>
                <c:pt idx="1">
                  <c:v>69255.814080000011</c:v>
                </c:pt>
                <c:pt idx="2">
                  <c:v>152542.47840000002</c:v>
                </c:pt>
                <c:pt idx="3">
                  <c:v>263890.8432</c:v>
                </c:pt>
                <c:pt idx="4">
                  <c:v>309336.72960000002</c:v>
                </c:pt>
                <c:pt idx="5">
                  <c:v>354782.61599999998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0-4185-BD2A-AD9220523689}"/>
            </c:ext>
          </c:extLst>
        </c:ser>
        <c:ser>
          <c:idx val="1"/>
          <c:order val="1"/>
          <c:tx>
            <c:v>Base 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Cost Forecast'!$A$2:$A$7</c:f>
              <c:strCache>
                <c:ptCount val="6"/>
                <c:pt idx="0">
                  <c:v>Discovery &amp; Design</c:v>
                </c:pt>
                <c:pt idx="1">
                  <c:v>Prototype</c:v>
                </c:pt>
                <c:pt idx="2">
                  <c:v>Early Access</c:v>
                </c:pt>
                <c:pt idx="3">
                  <c:v>+9 Months</c:v>
                </c:pt>
                <c:pt idx="4">
                  <c:v>12M+ Forecast</c:v>
                </c:pt>
                <c:pt idx="5">
                  <c:v>18M+ Forecast</c:v>
                </c:pt>
              </c:strCache>
            </c:strRef>
          </c:cat>
          <c:val>
            <c:numRef>
              <c:f>'Monthly Cost Forecast'!$B$2:$B$7</c:f>
              <c:numCache>
                <c:formatCode>_(* #,##0.00_);_(* \(#,##0.00\);_(* "-"??_);_(@_)</c:formatCode>
                <c:ptCount val="6"/>
                <c:pt idx="0">
                  <c:v>4446.1138600000004</c:v>
                </c:pt>
                <c:pt idx="1">
                  <c:v>21613.178400000001</c:v>
                </c:pt>
                <c:pt idx="2">
                  <c:v>54918.732000000004</c:v>
                </c:pt>
                <c:pt idx="3">
                  <c:v>111609.03600000001</c:v>
                </c:pt>
                <c:pt idx="4">
                  <c:v>113380.60800000001</c:v>
                </c:pt>
                <c:pt idx="5">
                  <c:v>115152.18000000001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1-4DFD-A32B-11AA532FFB4C}"/>
            </c:ext>
          </c:extLst>
        </c:ser>
        <c:ser>
          <c:idx val="2"/>
          <c:order val="2"/>
          <c:tx>
            <c:v>Variable Cost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'Monthly Cost Forecast'!$A$2:$A$7</c:f>
              <c:strCache>
                <c:ptCount val="6"/>
                <c:pt idx="0">
                  <c:v>Discovery &amp; Design</c:v>
                </c:pt>
                <c:pt idx="1">
                  <c:v>Prototype</c:v>
                </c:pt>
                <c:pt idx="2">
                  <c:v>Early Access</c:v>
                </c:pt>
                <c:pt idx="3">
                  <c:v>+9 Months</c:v>
                </c:pt>
                <c:pt idx="4">
                  <c:v>12M+ Forecast</c:v>
                </c:pt>
                <c:pt idx="5">
                  <c:v>18M+ Forecast</c:v>
                </c:pt>
              </c:strCache>
            </c:strRef>
          </c:cat>
          <c:val>
            <c:numRef>
              <c:f>'Monthly Cost Forecast'!$W$2:$W$7</c:f>
              <c:numCache>
                <c:formatCode>"£"#,##0.00</c:formatCode>
                <c:ptCount val="6"/>
                <c:pt idx="0">
                  <c:v>2086.2227720000001</c:v>
                </c:pt>
                <c:pt idx="1">
                  <c:v>47642.635680000007</c:v>
                </c:pt>
                <c:pt idx="2">
                  <c:v>97623.746400000018</c:v>
                </c:pt>
                <c:pt idx="3">
                  <c:v>152281.80719999998</c:v>
                </c:pt>
                <c:pt idx="4">
                  <c:v>195956.12160000001</c:v>
                </c:pt>
                <c:pt idx="5">
                  <c:v>239630.43599999999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1-4DFD-A32B-11AA532FFB4C}"/>
            </c:ext>
          </c:extLst>
        </c:ser>
        <c:ser>
          <c:idx val="3"/>
          <c:order val="3"/>
          <c:tx>
            <c:v>Streaming Cost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'Monthly Cost Forecast'!$A$2:$A$7</c:f>
              <c:strCache>
                <c:ptCount val="6"/>
                <c:pt idx="0">
                  <c:v>Discovery &amp; Design</c:v>
                </c:pt>
                <c:pt idx="1">
                  <c:v>Prototype</c:v>
                </c:pt>
                <c:pt idx="2">
                  <c:v>Early Access</c:v>
                </c:pt>
                <c:pt idx="3">
                  <c:v>+9 Months</c:v>
                </c:pt>
                <c:pt idx="4">
                  <c:v>12M+ Forecast</c:v>
                </c:pt>
                <c:pt idx="5">
                  <c:v>18M+ Forecast</c:v>
                </c:pt>
              </c:strCache>
            </c:strRef>
          </c:cat>
          <c:val>
            <c:numRef>
              <c:f>'Monthly Cost Forecast'!$Z$2:$Z$7</c:f>
              <c:numCache>
                <c:formatCode>"£"#,##0.00</c:formatCode>
                <c:ptCount val="6"/>
                <c:pt idx="0">
                  <c:v>2807.93</c:v>
                </c:pt>
                <c:pt idx="1">
                  <c:v>13451.72</c:v>
                </c:pt>
                <c:pt idx="2">
                  <c:v>31779.3</c:v>
                </c:pt>
                <c:pt idx="3">
                  <c:v>59858.6</c:v>
                </c:pt>
                <c:pt idx="4">
                  <c:v>63558.6</c:v>
                </c:pt>
                <c:pt idx="5">
                  <c:v>67258.600000000006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1-4DFD-A32B-11AA532FF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725576"/>
        <c:axId val="1148724264"/>
      </c:lineChart>
      <c:catAx>
        <c:axId val="114872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24264"/>
        <c:crosses val="autoZero"/>
        <c:auto val="1"/>
        <c:lblAlgn val="ctr"/>
        <c:lblOffset val="100"/>
        <c:noMultiLvlLbl val="0"/>
      </c:catAx>
      <c:valAx>
        <c:axId val="1148724264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Monthly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25576"/>
        <c:crosses val="autoZero"/>
        <c:crossBetween val="between"/>
      </c:valAx>
      <c:valAx>
        <c:axId val="10304912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80527"/>
        <c:crosses val="max"/>
        <c:crossBetween val="between"/>
      </c:valAx>
      <c:catAx>
        <c:axId val="2121380527"/>
        <c:scaling>
          <c:orientation val="minMax"/>
        </c:scaling>
        <c:delete val="1"/>
        <c:axPos val="b"/>
        <c:majorTickMark val="out"/>
        <c:minorTickMark val="none"/>
        <c:tickLblPos val="nextTo"/>
        <c:crossAx val="103049129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</a:t>
            </a:r>
            <a:r>
              <a:rPr lang="en-GB" baseline="0"/>
              <a:t> per Customer/User by Volume per phase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Per User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Cost Forecast'!$A$2:$A$7</c:f>
              <c:strCache>
                <c:ptCount val="6"/>
                <c:pt idx="0">
                  <c:v>Discovery &amp; Design</c:v>
                </c:pt>
                <c:pt idx="1">
                  <c:v>Prototype</c:v>
                </c:pt>
                <c:pt idx="2">
                  <c:v>Early Access</c:v>
                </c:pt>
                <c:pt idx="3">
                  <c:v>+9 Months</c:v>
                </c:pt>
                <c:pt idx="4">
                  <c:v>12M+ Forecast</c:v>
                </c:pt>
                <c:pt idx="5">
                  <c:v>18M+ Forecast</c:v>
                </c:pt>
              </c:strCache>
            </c:strRef>
          </c:cat>
          <c:val>
            <c:numRef>
              <c:f>'Monthly Cost Forecast'!$Y$2:$Y$7</c:f>
              <c:numCache>
                <c:formatCode>"£"#,##0.00</c:formatCode>
                <c:ptCount val="6"/>
                <c:pt idx="0">
                  <c:v>653.23366320000002</c:v>
                </c:pt>
                <c:pt idx="1">
                  <c:v>197.87375451428574</c:v>
                </c:pt>
                <c:pt idx="2">
                  <c:v>217.91782628571431</c:v>
                </c:pt>
                <c:pt idx="3">
                  <c:v>251.32461257142859</c:v>
                </c:pt>
                <c:pt idx="4">
                  <c:v>220.95480685714287</c:v>
                </c:pt>
                <c:pt idx="5">
                  <c:v>202.73292342857141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C03-425D-B44A-81A5F4CB0633}"/>
            </c:ext>
          </c:extLst>
        </c:ser>
        <c:ser>
          <c:idx val="0"/>
          <c:order val="1"/>
          <c:tx>
            <c:v>Per Customer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Cost Forecast'!$A$2:$A$7</c:f>
              <c:strCache>
                <c:ptCount val="6"/>
                <c:pt idx="0">
                  <c:v>Discovery &amp; Design</c:v>
                </c:pt>
                <c:pt idx="1">
                  <c:v>Prototype</c:v>
                </c:pt>
                <c:pt idx="2">
                  <c:v>Early Access</c:v>
                </c:pt>
                <c:pt idx="3">
                  <c:v>+9 Months</c:v>
                </c:pt>
                <c:pt idx="4">
                  <c:v>12M+ Forecast</c:v>
                </c:pt>
                <c:pt idx="5">
                  <c:v>18M+ Forecast</c:v>
                </c:pt>
              </c:strCache>
            </c:strRef>
          </c:cat>
          <c:val>
            <c:numRef>
              <c:f>'Monthly Cost Forecast'!$X$2:$X$7</c:f>
              <c:numCache>
                <c:formatCode>"£"#,##0.00</c:formatCode>
                <c:ptCount val="6"/>
                <c:pt idx="0">
                  <c:v>6532.3366320000005</c:v>
                </c:pt>
                <c:pt idx="1">
                  <c:v>6925.5814080000009</c:v>
                </c:pt>
                <c:pt idx="2">
                  <c:v>7627.1239200000009</c:v>
                </c:pt>
                <c:pt idx="3">
                  <c:v>8796.3614400000006</c:v>
                </c:pt>
                <c:pt idx="4">
                  <c:v>7733.4182400000009</c:v>
                </c:pt>
                <c:pt idx="5">
                  <c:v>7095.6523199999992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C03-425D-B44A-81A5F4CB0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221384"/>
        <c:axId val="2099219416"/>
      </c:lineChart>
      <c:catAx>
        <c:axId val="209922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219416"/>
        <c:crosses val="autoZero"/>
        <c:auto val="1"/>
        <c:lblAlgn val="ctr"/>
        <c:lblOffset val="100"/>
        <c:noMultiLvlLbl val="0"/>
      </c:catAx>
      <c:valAx>
        <c:axId val="209921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Monthly</a:t>
                </a:r>
                <a:r>
                  <a:rPr lang="en-GB" baseline="0"/>
                  <a:t> Cost per Customer/User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221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gb/azure/cost-management-billing/reservations/save-compute-costs-reservations#charges-covered-by-reservation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314324</xdr:colOff>
      <xdr:row>1</xdr:row>
      <xdr:rowOff>31750</xdr:rowOff>
    </xdr:from>
    <xdr:ext cx="5635626" cy="953466"/>
    <xdr:sp macro="" textlink="">
      <xdr:nvSpPr>
        <xdr:cNvPr id="435" name="TextBox 4">
          <a:extLst>
            <a:ext uri="{FF2B5EF4-FFF2-40B4-BE49-F238E27FC236}">
              <a16:creationId xmlns:a16="http://schemas.microsoft.com/office/drawing/2014/main" id="{33DEDADA-7688-4309-A5FB-83E407F49CA1}"/>
            </a:ext>
          </a:extLst>
        </xdr:cNvPr>
        <xdr:cNvSpPr txBox="1"/>
      </xdr:nvSpPr>
      <xdr:spPr>
        <a:xfrm>
          <a:off x="314324" y="222250"/>
          <a:ext cx="5635626" cy="953466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solidFill>
                <a:srgbClr val="FF0000"/>
              </a:solidFill>
            </a:rPr>
            <a:t>Please note that all Azure</a:t>
          </a:r>
          <a:r>
            <a:rPr lang="en-GB" sz="1100" baseline="0">
              <a:solidFill>
                <a:srgbClr val="FF0000"/>
              </a:solidFill>
            </a:rPr>
            <a:t> costs are based on list price in US East 2. It does not include potential savings from:</a:t>
          </a:r>
        </a:p>
        <a:p>
          <a:r>
            <a:rPr lang="en-GB" sz="1100" baseline="0">
              <a:solidFill>
                <a:srgbClr val="FF0000"/>
              </a:solidFill>
            </a:rPr>
            <a:t>1. Discounts available to Refinitiv under the Azure Enterprise Agreement</a:t>
          </a:r>
        </a:p>
        <a:p>
          <a:r>
            <a:rPr lang="en-GB" sz="1100" baseline="0">
              <a:solidFill>
                <a:srgbClr val="FF0000"/>
              </a:solidFill>
            </a:rPr>
            <a:t>2. Use of Azure Reservations to get discounts on services running 24/7</a:t>
          </a:r>
        </a:p>
        <a:p>
          <a:r>
            <a:rPr lang="en-GB" sz="1100" baseline="0">
              <a:solidFill>
                <a:srgbClr val="FF0000"/>
              </a:solidFill>
            </a:rPr>
            <a:t>3. Savings from scaling up/down on demand - current costs are based on full capacity 24/7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</xdr:row>
      <xdr:rowOff>171451</xdr:rowOff>
    </xdr:from>
    <xdr:to>
      <xdr:col>13</xdr:col>
      <xdr:colOff>371475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1F9CA1-21DE-42F6-A740-AFD939511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50009</xdr:colOff>
      <xdr:row>10</xdr:row>
      <xdr:rowOff>161918</xdr:rowOff>
    </xdr:from>
    <xdr:to>
      <xdr:col>23</xdr:col>
      <xdr:colOff>47625</xdr:colOff>
      <xdr:row>34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FC40B0-47A6-4DA5-BED9-DD276C2C8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552450</xdr:colOff>
      <xdr:row>11</xdr:row>
      <xdr:rowOff>171450</xdr:rowOff>
    </xdr:from>
    <xdr:to>
      <xdr:col>6</xdr:col>
      <xdr:colOff>104775</xdr:colOff>
      <xdr:row>14</xdr:row>
      <xdr:rowOff>95251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9AE5AC-EE7D-4371-B24D-D9C23D949606}"/>
            </a:ext>
          </a:extLst>
        </xdr:cNvPr>
        <xdr:cNvSpPr txBox="1"/>
      </xdr:nvSpPr>
      <xdr:spPr>
        <a:xfrm>
          <a:off x="3143250" y="2343150"/>
          <a:ext cx="2514600" cy="495301"/>
        </a:xfrm>
        <a:prstGeom prst="wedgeRectCallout">
          <a:avLst>
            <a:gd name="adj1" fmla="val 117181"/>
            <a:gd name="adj2" fmla="val 344314"/>
          </a:avLst>
        </a:prstGeom>
        <a:solidFill>
          <a:schemeClr val="accent1">
            <a:alpha val="58000"/>
          </a:schemeClr>
        </a:solidFill>
        <a:ln w="9525" cmpd="sng">
          <a:solidFill>
            <a:schemeClr val="lt1">
              <a:shade val="50000"/>
              <a:alpha val="43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FF00"/>
              </a:solidFill>
            </a:rPr>
            <a:t>Variable  costs  start to</a:t>
          </a:r>
          <a:r>
            <a:rPr lang="en-GB" sz="1100" baseline="0">
              <a:solidFill>
                <a:srgbClr val="FFFF00"/>
              </a:solidFill>
            </a:rPr>
            <a:t> stabilise  and increase relative to no. users/use-cases</a:t>
          </a:r>
          <a:endParaRPr lang="en-GB" sz="1100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247650</xdr:colOff>
      <xdr:row>22</xdr:row>
      <xdr:rowOff>104774</xdr:rowOff>
    </xdr:from>
    <xdr:to>
      <xdr:col>4</xdr:col>
      <xdr:colOff>123825</xdr:colOff>
      <xdr:row>25</xdr:row>
      <xdr:rowOff>161924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D20509C-9AFC-464A-B003-D368404F8E16}"/>
            </a:ext>
          </a:extLst>
        </xdr:cNvPr>
        <xdr:cNvSpPr txBox="1"/>
      </xdr:nvSpPr>
      <xdr:spPr>
        <a:xfrm>
          <a:off x="2838450" y="4371974"/>
          <a:ext cx="1428750" cy="628650"/>
        </a:xfrm>
        <a:prstGeom prst="wedgeRectCallout">
          <a:avLst>
            <a:gd name="adj1" fmla="val 265181"/>
            <a:gd name="adj2" fmla="val 35171"/>
          </a:avLst>
        </a:prstGeom>
        <a:solidFill>
          <a:schemeClr val="accent1">
            <a:alpha val="58000"/>
          </a:schemeClr>
        </a:solidFill>
        <a:ln w="9525" cmpd="sng">
          <a:solidFill>
            <a:schemeClr val="lt1">
              <a:shade val="50000"/>
              <a:alpha val="43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FF00"/>
              </a:solidFill>
            </a:rPr>
            <a:t>At</a:t>
          </a:r>
          <a:r>
            <a:rPr lang="en-GB" sz="1100" baseline="0">
              <a:solidFill>
                <a:srgbClr val="FFFF00"/>
              </a:solidFill>
            </a:rPr>
            <a:t> this phase  all exchanges are live and base costs flatten</a:t>
          </a:r>
          <a:endParaRPr lang="en-GB" sz="1100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314324</xdr:colOff>
      <xdr:row>1</xdr:row>
      <xdr:rowOff>31750</xdr:rowOff>
    </xdr:from>
    <xdr:ext cx="5635626" cy="953466"/>
    <xdr:sp macro="" textlink="">
      <xdr:nvSpPr>
        <xdr:cNvPr id="2" name="TextBox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27F66-908A-4377-B7C2-8F91714EF96B}"/>
            </a:ext>
          </a:extLst>
        </xdr:cNvPr>
        <xdr:cNvSpPr txBox="1"/>
      </xdr:nvSpPr>
      <xdr:spPr>
        <a:xfrm>
          <a:off x="314324" y="222250"/>
          <a:ext cx="5635626" cy="953466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solidFill>
                <a:srgbClr val="FF0000"/>
              </a:solidFill>
            </a:rPr>
            <a:t>Please note that all Azure</a:t>
          </a:r>
          <a:r>
            <a:rPr lang="en-GB" sz="1100" baseline="0">
              <a:solidFill>
                <a:srgbClr val="FF0000"/>
              </a:solidFill>
            </a:rPr>
            <a:t> costs are based on list price in US East 2. It does not include potential savings from:</a:t>
          </a:r>
        </a:p>
        <a:p>
          <a:r>
            <a:rPr lang="en-GB" sz="1100" baseline="0">
              <a:solidFill>
                <a:srgbClr val="FF0000"/>
              </a:solidFill>
            </a:rPr>
            <a:t>1. Discounts available to Refinitiv under the Azure Enterprise Agreement</a:t>
          </a:r>
        </a:p>
        <a:p>
          <a:r>
            <a:rPr lang="en-GB" sz="1100" baseline="0">
              <a:solidFill>
                <a:srgbClr val="FF0000"/>
              </a:solidFill>
            </a:rPr>
            <a:t>2. Use of Azure Reservations to get discounts on services running 24/7</a:t>
          </a:r>
        </a:p>
        <a:p>
          <a:r>
            <a:rPr lang="en-GB" sz="1100" baseline="0">
              <a:solidFill>
                <a:srgbClr val="FF0000"/>
              </a:solidFill>
            </a:rPr>
            <a:t>3. Savings from scaling up/down on demand - current costs are based on full capacity 24/7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326363</xdr:colOff>
      <xdr:row>48</xdr:row>
      <xdr:rowOff>77460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1E9BF4-8566-498B-B930-2DF92DBE0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8004763" cy="90309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aft%20Cost%20Model%20v1.0.donotu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place"/>
      <sheetName val="Metrics"/>
      <sheetName val="WIP"/>
      <sheetName val="Cost Forecast - Detailed"/>
      <sheetName val="Draft Architecture"/>
      <sheetName val="Streaming Calc"/>
      <sheetName val="Data Points"/>
    </sheetNames>
    <sheetDataSet>
      <sheetData sheetId="0"/>
      <sheetData sheetId="1"/>
      <sheetData sheetId="2">
        <row r="10">
          <cell r="I10" t="str">
            <v>1k msg/s</v>
          </cell>
          <cell r="J10" t="str">
            <v>12 Capacity Units</v>
          </cell>
        </row>
      </sheetData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cholas Hurt" id="{B997A452-26C9-4462-A1B9-E7FF50D3C291}" userId="S::nihurt@microsoft.com::cb0c78ea-0032-411a-ae61-0c616d2560e8" providerId="AD"/>
  <person displayName="Lars Lindstedt" id="{46C9306A-66C6-4504-B69C-0C36A1536731}" userId="S::larslind@microsoft.com::9ce7d724-89cc-43cb-8701-32ce28987e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0-01-31T17:07:39.91" personId="{46C9306A-66C6-4504-B69C-0C36A1536731}" id="{1F59A71C-67AF-4077-9056-286A3431B22C}">
    <text>For high scale real time, better to use Databricks and/or AKS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1" dT="2020-01-31T17:07:39.91" personId="{46C9306A-66C6-4504-B69C-0C36A1536731}" id="{EAC6D4E3-7448-4DB3-834A-6BAE8B0676E6}">
    <text>For high scale real time, better to use Databricks and/or AKS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0-02-11T22:12:23.16" personId="{B997A452-26C9-4462-A1B9-E7FF50D3C291}" id="{A21A1C37-07AE-4AB2-9E35-46E6846C3B32}">
    <text>This price increases as no of exchanges increases</text>
  </threadedComment>
  <threadedComment ref="E1" dT="2020-02-10T14:15:23.80" personId="{B997A452-26C9-4462-A1B9-E7FF50D3C291}" id="{D9FB89AB-9E36-449E-9B21-CAE8AEE7085E}">
    <text xml:space="preserve">This is the charge to the customer for use of the platform regardless of number of users. Adding users may incur further cost depending on the use-case &amp; access pattern
</text>
  </threadedComment>
  <threadedComment ref="H1" dT="2020-02-10T13:32:07.71" personId="{B997A452-26C9-4462-A1B9-E7FF50D3C291}" id="{5CD28361-0160-4872-B1BD-EAE5816D9A8F}">
    <text xml:space="preserve">Adding this option increases the base cost by 730 (once off - which is the lowest tier of this product) as well as £10 per user for authoring pro licence+ £110 for compute service that needs to produce the analytics
</text>
  </threadedComment>
  <threadedComment ref="N1" dT="2020-02-07T09:31:02.87" personId="{B997A452-26C9-4462-A1B9-E7FF50D3C291}" id="{239CDDE5-1CBD-47BC-9506-A99410E6E29A}">
    <text>Note: Raw data feeds are included in the customer charge hence price per user is trivial but increases the overall customer cost</text>
  </threadedComment>
  <threadedComment ref="P1" dT="2020-02-10T14:13:56.46" personId="{B997A452-26C9-4462-A1B9-E7FF50D3C291}" id="{D7CC5B1C-6AFD-458D-8145-3AF3266E524E}">
    <text/>
  </threadedComment>
  <threadedComment ref="R1" dT="2020-02-16T08:46:24.21" personId="{B997A452-26C9-4462-A1B9-E7FF50D3C291}" id="{CEA5FA11-2E83-4522-BD2B-84AA466A9E5A}">
    <text>PRIIPS raw data feed incurs a customer charge rather than a per user charge in order to fulfil the data preparation cost to the customers storage</text>
  </threadedComment>
  <threadedComment ref="U1" dT="2020-02-11T22:12:45.75" personId="{B997A452-26C9-4462-A1B9-E7FF50D3C291}" id="{8FAD8CF4-C015-45E7-B0F5-4AD4F0ADE4FA}">
    <text>Only affects the base price due to ingesting greater data volumes</text>
  </threadedComment>
  <threadedComment ref="W1" dT="2020-02-10T14:16:03.43" personId="{B997A452-26C9-4462-A1B9-E7FF50D3C291}" id="{111B39A0-B5AF-4187-AF9C-FA207C6529B0}">
    <text xml:space="preserve">This is the total customer charge for subscription and users, aka total less base
</text>
  </threadedComment>
  <threadedComment ref="Y1" dT="2020-02-16T09:28:15.28" personId="{B997A452-26C9-4462-A1B9-E7FF50D3C291}" id="{DBA47D76-493E-4B7F-96D4-F364922553BF}">
    <text>Price per user increases as more exchanges are added but then drops as base cost remains fairly static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postgresql/concepts-hyperscale-configuration-options" TargetMode="External"/><Relationship Id="rId13" Type="http://schemas.openxmlformats.org/officeDocument/2006/relationships/hyperlink" Target="http://docs.microsoft.com/en-gb/azure/machine-learning/how-to-deploy-and-where" TargetMode="External"/><Relationship Id="rId18" Type="http://schemas.openxmlformats.org/officeDocument/2006/relationships/hyperlink" Target="https://medium.com/@iizotov/azure-functions-and-event-hubs-optimising-for-throughput-549c7acd2b75" TargetMode="External"/><Relationship Id="rId3" Type="http://schemas.openxmlformats.org/officeDocument/2006/relationships/hyperlink" Target="https://docs.microsoft.com/en-us/azure/data-factory/pricing-concepts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://azure.microsoft.com/en-gb/pricing/details/power-bi-embedded/" TargetMode="External"/><Relationship Id="rId12" Type="http://schemas.openxmlformats.org/officeDocument/2006/relationships/hyperlink" Target="https://docs.microsoft.com/en-gb/azure/machine-learning/concept-compute-target" TargetMode="External"/><Relationship Id="rId17" Type="http://schemas.openxmlformats.org/officeDocument/2006/relationships/hyperlink" Target="https://azure.microsoft.com/en-gb/pricing/details/functions/" TargetMode="External"/><Relationship Id="rId2" Type="http://schemas.openxmlformats.org/officeDocument/2006/relationships/hyperlink" Target="https://docs.microsoft.com/en-us/azure/storage/blobs/storage-performance-checklist" TargetMode="External"/><Relationship Id="rId16" Type="http://schemas.openxmlformats.org/officeDocument/2006/relationships/hyperlink" Target="http://https/docs.microsoft.com/en-gb/azure/event-hubs/event-hubs-dedicated-cluster-create-porta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citus-docs.readthedocs.io/en/v7.1/admin_guide/production_sizing.html" TargetMode="External"/><Relationship Id="rId6" Type="http://schemas.openxmlformats.org/officeDocument/2006/relationships/hyperlink" Target="https://azure.microsoft.com/en-gb/pricing/details/databricks/" TargetMode="External"/><Relationship Id="rId11" Type="http://schemas.openxmlformats.org/officeDocument/2006/relationships/hyperlink" Target="https://docs.microsoft.com/en-gb/azure/machine-learning/concept-compute-target" TargetMode="External"/><Relationship Id="rId5" Type="http://schemas.openxmlformats.org/officeDocument/2006/relationships/hyperlink" Target="https://azure.microsoft.com/en-gb/pricing/details/databricks/" TargetMode="External"/><Relationship Id="rId15" Type="http://schemas.openxmlformats.org/officeDocument/2006/relationships/hyperlink" Target="https://azure.microsoft.com/en-gb/pricing/details/api-management/?ref=microsoft.com&amp;utm_source=microsoft.com&amp;utm_medium=docs&amp;utm_campaign=visualstudio" TargetMode="External"/><Relationship Id="rId23" Type="http://schemas.microsoft.com/office/2017/10/relationships/threadedComment" Target="../threadedComments/threadedComment1.xml"/><Relationship Id="rId10" Type="http://schemas.openxmlformats.org/officeDocument/2006/relationships/hyperlink" Target="http://docs.microsoft.com/en-gb/azure/machine-learning/how-to-deploy-and-wher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ocs.microsoft.com/en-us/azure/storage/blobs/storage-performance-checklist" TargetMode="External"/><Relationship Id="rId9" Type="http://schemas.openxmlformats.org/officeDocument/2006/relationships/hyperlink" Target="https://docs.microsoft.com/en-us/azure/postgresql/concepts-hyperscale-configuration-options" TargetMode="External"/><Relationship Id="rId14" Type="http://schemas.openxmlformats.org/officeDocument/2006/relationships/hyperlink" Target="https://azure.microsoft.com/en-us/pricing/details/bandwidth/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postgresql/concepts-hyperscale-configuration-options" TargetMode="External"/><Relationship Id="rId13" Type="http://schemas.openxmlformats.org/officeDocument/2006/relationships/hyperlink" Target="http://docs.microsoft.com/en-gb/azure/machine-learning/how-to-deploy-and-where" TargetMode="External"/><Relationship Id="rId18" Type="http://schemas.openxmlformats.org/officeDocument/2006/relationships/hyperlink" Target="https://azure.microsoft.com/en-us/pricing/details/hdinsight/" TargetMode="External"/><Relationship Id="rId26" Type="http://schemas.microsoft.com/office/2017/10/relationships/threadedComment" Target="../threadedComments/threadedComment2.xml"/><Relationship Id="rId3" Type="http://schemas.openxmlformats.org/officeDocument/2006/relationships/hyperlink" Target="https://docs.microsoft.com/en-us/azure/data-factory/pricing-concepts" TargetMode="External"/><Relationship Id="rId21" Type="http://schemas.openxmlformats.org/officeDocument/2006/relationships/hyperlink" Target="https://azure.microsoft.com/en-gb/pricing/details/api-management/?ref=microsoft.com&amp;utm_source=microsoft.com&amp;utm_medium=docs&amp;utm_campaign=visualstudio" TargetMode="External"/><Relationship Id="rId7" Type="http://schemas.openxmlformats.org/officeDocument/2006/relationships/hyperlink" Target="http://azure.microsoft.com/en-gb/pricing/details/power-bi-embedded/" TargetMode="External"/><Relationship Id="rId12" Type="http://schemas.openxmlformats.org/officeDocument/2006/relationships/hyperlink" Target="https://docs.microsoft.com/en-gb/azure/machine-learning/concept-compute-target" TargetMode="External"/><Relationship Id="rId17" Type="http://schemas.openxmlformats.org/officeDocument/2006/relationships/hyperlink" Target="http://https/docs.microsoft.com/en-gb/azure/event-hubs/event-hubs-dedicated-cluster-create-portal" TargetMode="External"/><Relationship Id="rId25" Type="http://schemas.openxmlformats.org/officeDocument/2006/relationships/comments" Target="../comments2.xml"/><Relationship Id="rId2" Type="http://schemas.openxmlformats.org/officeDocument/2006/relationships/hyperlink" Target="https://docs.microsoft.com/en-us/azure/storage/blobs/storage-performance-checklist" TargetMode="External"/><Relationship Id="rId16" Type="http://schemas.openxmlformats.org/officeDocument/2006/relationships/hyperlink" Target="http://https/docs.microsoft.com/en-gb/azure/event-hubs/event-hubs-dedicated-cluster-create-portal" TargetMode="External"/><Relationship Id="rId20" Type="http://schemas.openxmlformats.org/officeDocument/2006/relationships/hyperlink" Target="https://azure.microsoft.com/en-us/pricing/details/app-service/windows/" TargetMode="External"/><Relationship Id="rId1" Type="http://schemas.openxmlformats.org/officeDocument/2006/relationships/hyperlink" Target="https://citus-docs.readthedocs.io/en/v7.1/admin_guide/production_sizing.html" TargetMode="External"/><Relationship Id="rId6" Type="http://schemas.openxmlformats.org/officeDocument/2006/relationships/hyperlink" Target="https://azure.microsoft.com/en-gb/pricing/details/databricks/" TargetMode="External"/><Relationship Id="rId11" Type="http://schemas.openxmlformats.org/officeDocument/2006/relationships/hyperlink" Target="https://docs.microsoft.com/en-gb/azure/machine-learning/concept-compute-target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https://azure.microsoft.com/en-gb/pricing/details/databricks/" TargetMode="External"/><Relationship Id="rId15" Type="http://schemas.openxmlformats.org/officeDocument/2006/relationships/hyperlink" Target="https://azure.microsoft.com/en-gb/pricing/details/api-management/?ref=microsoft.com&amp;utm_source=microsoft.com&amp;utm_medium=docs&amp;utm_campaign=visualstudio" TargetMode="External"/><Relationship Id="rId23" Type="http://schemas.openxmlformats.org/officeDocument/2006/relationships/drawing" Target="../drawings/drawing3.xml"/><Relationship Id="rId10" Type="http://schemas.openxmlformats.org/officeDocument/2006/relationships/hyperlink" Target="http://docs.microsoft.com/en-gb/azure/machine-learning/how-to-deploy-and-where" TargetMode="External"/><Relationship Id="rId19" Type="http://schemas.openxmlformats.org/officeDocument/2006/relationships/hyperlink" Target="https://docs.microsoft.com/en-us/azure/event-hubs/event-hubs-quotas" TargetMode="External"/><Relationship Id="rId4" Type="http://schemas.openxmlformats.org/officeDocument/2006/relationships/hyperlink" Target="https://docs.microsoft.com/en-us/azure/storage/blobs/storage-performance-checklist" TargetMode="External"/><Relationship Id="rId9" Type="http://schemas.openxmlformats.org/officeDocument/2006/relationships/hyperlink" Target="https://docs.microsoft.com/en-us/azure/postgresql/concepts-hyperscale-configuration-options" TargetMode="External"/><Relationship Id="rId14" Type="http://schemas.openxmlformats.org/officeDocument/2006/relationships/hyperlink" Target="https://azure.microsoft.com/en-us/pricing/details/bandwidth/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ocs.microsoft.com/en-us/azure/event-hubs/event-hubs-dedicated-ov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2362-8D22-40EE-BF45-6D8EE0869466}">
  <dimension ref="A1:T32"/>
  <sheetViews>
    <sheetView zoomScaleNormal="100" workbookViewId="0">
      <selection activeCell="H11" sqref="H11"/>
    </sheetView>
  </sheetViews>
  <sheetFormatPr defaultRowHeight="14.25" x14ac:dyDescent="0.45"/>
  <cols>
    <col min="2" max="2" width="18.3984375" bestFit="1" customWidth="1"/>
    <col min="3" max="3" width="20.73046875" style="2" customWidth="1"/>
    <col min="4" max="4" width="32.73046875" bestFit="1" customWidth="1"/>
    <col min="5" max="5" width="31.59765625" bestFit="1" customWidth="1"/>
    <col min="6" max="6" width="26.3984375" customWidth="1"/>
    <col min="7" max="7" width="23.73046875" customWidth="1"/>
    <col min="8" max="8" width="23.73046875" style="8" customWidth="1"/>
    <col min="9" max="9" width="15.265625" style="14" bestFit="1" customWidth="1"/>
    <col min="10" max="10" width="24.73046875" customWidth="1"/>
    <col min="11" max="11" width="24.3984375" style="8" bestFit="1" customWidth="1"/>
    <col min="12" max="12" width="15" style="8" bestFit="1" customWidth="1"/>
    <col min="13" max="13" width="23.73046875" style="2" customWidth="1"/>
    <col min="14" max="14" width="21.265625" customWidth="1"/>
    <col min="15" max="15" width="18.3984375" customWidth="1"/>
    <col min="16" max="19" width="17.86328125" customWidth="1"/>
    <col min="20" max="20" width="12.1328125" bestFit="1" customWidth="1"/>
  </cols>
  <sheetData>
    <row r="1" spans="1:20" x14ac:dyDescent="0.45">
      <c r="G1" s="25"/>
      <c r="H1" s="25"/>
      <c r="I1" s="25"/>
      <c r="J1" s="25"/>
      <c r="K1" s="25"/>
      <c r="L1" s="25"/>
      <c r="O1" s="3" t="s">
        <v>0</v>
      </c>
    </row>
    <row r="2" spans="1:20" x14ac:dyDescent="0.45">
      <c r="N2" s="1"/>
      <c r="O2" s="1"/>
      <c r="P2" s="1"/>
      <c r="Q2" s="1" t="s">
        <v>1</v>
      </c>
      <c r="R2" s="1"/>
      <c r="S2" s="1"/>
    </row>
    <row r="3" spans="1:20" ht="178.5" customHeight="1" x14ac:dyDescent="0.45">
      <c r="A3" s="3" t="s">
        <v>2</v>
      </c>
      <c r="B3" s="3" t="s">
        <v>3</v>
      </c>
      <c r="C3" s="1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2" t="s">
        <v>9</v>
      </c>
      <c r="I3" s="15" t="s">
        <v>10</v>
      </c>
      <c r="J3" s="3" t="s">
        <v>11</v>
      </c>
      <c r="K3" s="12" t="s">
        <v>12</v>
      </c>
      <c r="L3" s="12" t="s">
        <v>13</v>
      </c>
      <c r="M3" s="11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" t="s">
        <v>21</v>
      </c>
    </row>
    <row r="4" spans="1:20" s="4" customFormat="1" x14ac:dyDescent="0.45">
      <c r="A4" s="4" t="s">
        <v>22</v>
      </c>
      <c r="B4" s="4" t="s">
        <v>23</v>
      </c>
      <c r="C4" s="5" t="s">
        <v>24</v>
      </c>
      <c r="D4" s="5" t="s">
        <v>25</v>
      </c>
      <c r="E4" s="5"/>
      <c r="F4" s="5" t="s">
        <v>26</v>
      </c>
      <c r="G4" s="5"/>
      <c r="H4" s="9"/>
      <c r="I4" s="16"/>
      <c r="J4" s="5"/>
      <c r="K4" s="9"/>
      <c r="L4" s="9"/>
      <c r="M4" s="5"/>
      <c r="N4" s="6"/>
      <c r="O4" s="6"/>
      <c r="P4" s="6"/>
      <c r="Q4" s="6"/>
      <c r="R4" s="6"/>
      <c r="S4" s="6"/>
    </row>
    <row r="5" spans="1:20" s="4" customFormat="1" x14ac:dyDescent="0.45">
      <c r="A5" s="4" t="s">
        <v>22</v>
      </c>
      <c r="B5" s="4" t="s">
        <v>23</v>
      </c>
      <c r="C5" s="5" t="s">
        <v>24</v>
      </c>
      <c r="D5" s="5" t="s">
        <v>27</v>
      </c>
      <c r="E5" s="5"/>
      <c r="F5" s="5" t="s">
        <v>26</v>
      </c>
      <c r="G5" s="5"/>
      <c r="H5" s="9"/>
      <c r="I5" s="16"/>
      <c r="J5" s="5"/>
      <c r="K5" s="9"/>
      <c r="L5" s="9"/>
      <c r="M5" s="5"/>
      <c r="N5" s="6"/>
      <c r="O5" s="6"/>
      <c r="P5" s="6"/>
      <c r="Q5" s="6"/>
      <c r="R5" s="6"/>
      <c r="S5" s="6"/>
    </row>
    <row r="6" spans="1:20" s="4" customFormat="1" x14ac:dyDescent="0.45">
      <c r="A6" s="4" t="s">
        <v>22</v>
      </c>
      <c r="B6" s="4" t="s">
        <v>23</v>
      </c>
      <c r="C6" s="5" t="s">
        <v>24</v>
      </c>
      <c r="D6" s="5" t="s">
        <v>28</v>
      </c>
      <c r="E6" s="5"/>
      <c r="F6" s="5" t="s">
        <v>26</v>
      </c>
      <c r="G6" s="5"/>
      <c r="H6" s="9"/>
      <c r="I6" s="16"/>
      <c r="J6" s="5"/>
      <c r="K6" s="9"/>
      <c r="L6" s="9"/>
      <c r="M6" s="5"/>
      <c r="N6" s="6"/>
      <c r="O6" s="6"/>
      <c r="P6" s="6"/>
      <c r="Q6" s="6"/>
      <c r="R6" s="6"/>
      <c r="S6" s="6"/>
    </row>
    <row r="7" spans="1:20" s="4" customFormat="1" x14ac:dyDescent="0.45">
      <c r="A7" s="4" t="s">
        <v>22</v>
      </c>
      <c r="B7" s="4" t="s">
        <v>23</v>
      </c>
      <c r="C7" s="5" t="s">
        <v>24</v>
      </c>
      <c r="D7" s="5" t="s">
        <v>29</v>
      </c>
      <c r="E7" s="5"/>
      <c r="F7" s="5" t="s">
        <v>26</v>
      </c>
      <c r="G7" s="5"/>
      <c r="H7" s="9"/>
      <c r="I7" s="16"/>
      <c r="J7" s="5"/>
      <c r="K7" s="9"/>
      <c r="L7" s="9"/>
      <c r="M7" s="5"/>
      <c r="N7" s="6"/>
      <c r="O7" s="6"/>
      <c r="P7" s="6"/>
      <c r="Q7" s="6"/>
      <c r="R7" s="6"/>
      <c r="S7" s="6"/>
    </row>
    <row r="8" spans="1:20" s="4" customFormat="1" ht="28.5" x14ac:dyDescent="0.45">
      <c r="A8" s="4" t="s">
        <v>22</v>
      </c>
      <c r="B8" s="4" t="s">
        <v>30</v>
      </c>
      <c r="C8" s="5" t="s">
        <v>31</v>
      </c>
      <c r="D8" s="5" t="s">
        <v>32</v>
      </c>
      <c r="E8" s="5"/>
      <c r="F8" s="5" t="s">
        <v>26</v>
      </c>
      <c r="G8" s="5"/>
      <c r="H8" s="9"/>
      <c r="I8" s="16"/>
      <c r="J8" s="5"/>
      <c r="K8" s="9"/>
      <c r="L8" s="9"/>
      <c r="M8" s="5"/>
      <c r="N8" s="6"/>
      <c r="O8" s="6"/>
      <c r="P8" s="6"/>
      <c r="Q8" s="6"/>
      <c r="R8" s="6"/>
      <c r="S8" s="6"/>
    </row>
    <row r="9" spans="1:20" s="4" customFormat="1" x14ac:dyDescent="0.45">
      <c r="A9" s="4" t="s">
        <v>22</v>
      </c>
      <c r="B9" s="4" t="s">
        <v>30</v>
      </c>
      <c r="C9" s="5" t="s">
        <v>24</v>
      </c>
      <c r="D9" s="5" t="s">
        <v>33</v>
      </c>
      <c r="E9" s="5" t="s">
        <v>34</v>
      </c>
      <c r="F9" s="5" t="s">
        <v>26</v>
      </c>
      <c r="G9" s="5"/>
      <c r="H9" s="9"/>
      <c r="I9" s="16"/>
      <c r="J9" s="5"/>
      <c r="K9" s="9"/>
      <c r="L9" s="9"/>
      <c r="M9" s="5"/>
      <c r="N9" s="6"/>
      <c r="O9" s="6"/>
      <c r="P9" s="6"/>
      <c r="Q9" s="6"/>
      <c r="R9" s="6"/>
      <c r="S9" s="6"/>
    </row>
    <row r="10" spans="1:20" s="4" customFormat="1" ht="57" x14ac:dyDescent="0.45">
      <c r="A10" s="4" t="s">
        <v>35</v>
      </c>
      <c r="B10" s="4" t="s">
        <v>30</v>
      </c>
      <c r="C10" s="5" t="s">
        <v>31</v>
      </c>
      <c r="D10" s="5" t="s">
        <v>36</v>
      </c>
      <c r="E10" s="5" t="s">
        <v>37</v>
      </c>
      <c r="F10" s="5" t="s">
        <v>38</v>
      </c>
      <c r="G10" s="5" t="s">
        <v>39</v>
      </c>
      <c r="H10" s="9">
        <v>3000</v>
      </c>
      <c r="I10" s="22" t="s">
        <v>40</v>
      </c>
      <c r="J10" s="5" t="s">
        <v>41</v>
      </c>
      <c r="K10" s="9">
        <v>25000</v>
      </c>
      <c r="L10" s="22" t="s">
        <v>42</v>
      </c>
      <c r="M10" s="7" t="s">
        <v>43</v>
      </c>
      <c r="N10" s="6"/>
      <c r="O10" s="6"/>
      <c r="P10" s="6"/>
      <c r="Q10" s="6"/>
      <c r="R10" s="6"/>
      <c r="S10" s="6"/>
    </row>
    <row r="11" spans="1:20" s="4" customFormat="1" ht="57" x14ac:dyDescent="0.45">
      <c r="A11" s="4" t="s">
        <v>35</v>
      </c>
      <c r="B11" s="4" t="s">
        <v>30</v>
      </c>
      <c r="C11" s="5" t="s">
        <v>24</v>
      </c>
      <c r="D11" s="5" t="s">
        <v>44</v>
      </c>
      <c r="E11" s="5" t="s">
        <v>45</v>
      </c>
      <c r="F11" s="5" t="s">
        <v>46</v>
      </c>
      <c r="G11" s="5" t="s">
        <v>47</v>
      </c>
      <c r="H11" s="9">
        <v>6500</v>
      </c>
      <c r="I11" s="22" t="s">
        <v>48</v>
      </c>
      <c r="J11" s="18" t="s">
        <v>49</v>
      </c>
      <c r="K11" s="9">
        <v>30000</v>
      </c>
      <c r="L11" s="22" t="s">
        <v>50</v>
      </c>
      <c r="M11" s="7" t="s">
        <v>51</v>
      </c>
      <c r="N11" s="6"/>
      <c r="O11" s="6"/>
      <c r="P11" s="6"/>
      <c r="Q11" s="6"/>
      <c r="R11" s="6"/>
      <c r="S11" s="6"/>
    </row>
    <row r="12" spans="1:20" s="4" customFormat="1" ht="28.5" x14ac:dyDescent="0.45">
      <c r="A12" s="4" t="s">
        <v>35</v>
      </c>
      <c r="B12" s="4" t="s">
        <v>30</v>
      </c>
      <c r="C12" s="5" t="s">
        <v>24</v>
      </c>
      <c r="D12" s="5" t="s">
        <v>52</v>
      </c>
      <c r="E12" s="5" t="s">
        <v>53</v>
      </c>
      <c r="F12" s="5" t="s">
        <v>54</v>
      </c>
      <c r="G12" s="5" t="s">
        <v>55</v>
      </c>
      <c r="H12" s="9">
        <v>20</v>
      </c>
      <c r="I12" s="16" t="s">
        <v>56</v>
      </c>
      <c r="J12" s="5" t="s">
        <v>57</v>
      </c>
      <c r="K12" s="9">
        <v>25000</v>
      </c>
      <c r="L12" s="9" t="s">
        <v>58</v>
      </c>
      <c r="M12" s="7" t="s">
        <v>59</v>
      </c>
      <c r="N12" s="6"/>
      <c r="O12" s="6"/>
      <c r="P12" s="6"/>
      <c r="Q12" s="6"/>
      <c r="R12" s="6"/>
      <c r="S12" s="6"/>
    </row>
    <row r="13" spans="1:20" s="4" customFormat="1" ht="71.25" x14ac:dyDescent="0.45">
      <c r="A13" s="4" t="s">
        <v>35</v>
      </c>
      <c r="B13" s="4" t="s">
        <v>30</v>
      </c>
      <c r="C13" s="5" t="s">
        <v>60</v>
      </c>
      <c r="D13" s="5" t="s">
        <v>61</v>
      </c>
      <c r="E13" s="5" t="s">
        <v>62</v>
      </c>
      <c r="F13" s="5" t="s">
        <v>63</v>
      </c>
      <c r="G13" s="5" t="s">
        <v>64</v>
      </c>
      <c r="H13" s="9">
        <v>1440</v>
      </c>
      <c r="I13" s="20" t="s">
        <v>65</v>
      </c>
      <c r="J13" s="5" t="s">
        <v>66</v>
      </c>
      <c r="K13" s="9">
        <v>60000</v>
      </c>
      <c r="L13" s="21" t="s">
        <v>67</v>
      </c>
      <c r="M13" s="7" t="s">
        <v>68</v>
      </c>
      <c r="N13" s="6"/>
      <c r="O13" s="6"/>
      <c r="P13" s="6"/>
      <c r="Q13" s="6"/>
      <c r="R13" s="6"/>
      <c r="S13" s="6"/>
    </row>
    <row r="14" spans="1:20" s="4" customFormat="1" ht="28.5" x14ac:dyDescent="0.45">
      <c r="A14" s="4" t="s">
        <v>35</v>
      </c>
      <c r="B14" s="4" t="s">
        <v>30</v>
      </c>
      <c r="C14" s="5" t="s">
        <v>69</v>
      </c>
      <c r="D14" s="5" t="s">
        <v>70</v>
      </c>
      <c r="E14" s="5" t="s">
        <v>53</v>
      </c>
      <c r="F14" s="5" t="s">
        <v>54</v>
      </c>
      <c r="G14" s="5" t="s">
        <v>55</v>
      </c>
      <c r="H14" s="9">
        <v>20</v>
      </c>
      <c r="I14" s="16" t="s">
        <v>56</v>
      </c>
      <c r="J14" s="5" t="s">
        <v>57</v>
      </c>
      <c r="K14" s="9">
        <v>25000</v>
      </c>
      <c r="L14" s="9" t="s">
        <v>58</v>
      </c>
      <c r="M14" s="7" t="s">
        <v>59</v>
      </c>
      <c r="N14" s="6"/>
      <c r="O14" s="6"/>
      <c r="P14" s="6"/>
      <c r="Q14" s="6"/>
      <c r="R14" s="6"/>
      <c r="S14" s="6"/>
    </row>
    <row r="15" spans="1:20" s="4" customFormat="1" ht="85.5" x14ac:dyDescent="0.45">
      <c r="A15" s="4" t="s">
        <v>35</v>
      </c>
      <c r="B15" s="4" t="s">
        <v>30</v>
      </c>
      <c r="C15" s="5" t="s">
        <v>60</v>
      </c>
      <c r="D15" s="4" t="s">
        <v>71</v>
      </c>
      <c r="E15" s="5" t="s">
        <v>72</v>
      </c>
      <c r="F15" s="5" t="s">
        <v>46</v>
      </c>
      <c r="G15" s="5" t="s">
        <v>73</v>
      </c>
      <c r="H15" s="9">
        <v>1500</v>
      </c>
      <c r="I15" s="22" t="s">
        <v>74</v>
      </c>
      <c r="J15" s="18" t="s">
        <v>75</v>
      </c>
      <c r="K15" s="9">
        <v>50000</v>
      </c>
      <c r="L15" s="22" t="s">
        <v>76</v>
      </c>
      <c r="M15" s="7" t="s">
        <v>51</v>
      </c>
    </row>
    <row r="16" spans="1:20" s="4" customFormat="1" ht="28.5" x14ac:dyDescent="0.45">
      <c r="A16" s="4" t="s">
        <v>35</v>
      </c>
      <c r="B16" s="4" t="s">
        <v>30</v>
      </c>
      <c r="C16" s="5" t="s">
        <v>24</v>
      </c>
      <c r="D16" s="4" t="s">
        <v>77</v>
      </c>
      <c r="E16" s="4" t="s">
        <v>78</v>
      </c>
      <c r="F16" s="5" t="s">
        <v>79</v>
      </c>
      <c r="G16" s="4" t="s">
        <v>80</v>
      </c>
      <c r="H16" s="10">
        <v>400</v>
      </c>
      <c r="I16" s="17" t="s">
        <v>81</v>
      </c>
      <c r="J16" s="4" t="s">
        <v>82</v>
      </c>
      <c r="K16" s="10">
        <v>20000</v>
      </c>
      <c r="L16" s="10" t="s">
        <v>83</v>
      </c>
      <c r="M16" s="7" t="s">
        <v>84</v>
      </c>
    </row>
    <row r="17" spans="1:17" s="26" customFormat="1" ht="42.75" x14ac:dyDescent="0.45">
      <c r="A17" s="26" t="s">
        <v>35</v>
      </c>
      <c r="B17" s="26" t="s">
        <v>30</v>
      </c>
      <c r="C17" s="27" t="s">
        <v>24</v>
      </c>
      <c r="D17" s="26" t="s">
        <v>85</v>
      </c>
      <c r="E17" s="26" t="s">
        <v>86</v>
      </c>
      <c r="F17" s="27" t="s">
        <v>87</v>
      </c>
      <c r="G17" s="26" t="s">
        <v>88</v>
      </c>
      <c r="H17" s="28">
        <v>4800</v>
      </c>
      <c r="I17" s="29" t="s">
        <v>89</v>
      </c>
      <c r="K17" s="28"/>
      <c r="L17" s="28"/>
      <c r="M17" s="30" t="s">
        <v>90</v>
      </c>
    </row>
    <row r="18" spans="1:17" s="4" customFormat="1" ht="28.5" x14ac:dyDescent="0.45">
      <c r="A18" s="4" t="s">
        <v>35</v>
      </c>
      <c r="B18" s="4" t="s">
        <v>30</v>
      </c>
      <c r="C18" s="5" t="s">
        <v>31</v>
      </c>
      <c r="D18" s="4" t="s">
        <v>91</v>
      </c>
      <c r="E18" s="4" t="s">
        <v>92</v>
      </c>
      <c r="F18" s="5" t="s">
        <v>93</v>
      </c>
      <c r="H18" s="10" t="s">
        <v>94</v>
      </c>
      <c r="I18" s="17"/>
      <c r="K18" s="10" t="s">
        <v>94</v>
      </c>
      <c r="L18" s="10"/>
      <c r="M18" s="7"/>
    </row>
    <row r="19" spans="1:17" s="4" customFormat="1" ht="28.5" x14ac:dyDescent="0.45">
      <c r="A19" s="4" t="s">
        <v>35</v>
      </c>
      <c r="B19" s="4" t="s">
        <v>30</v>
      </c>
      <c r="C19" s="5" t="s">
        <v>24</v>
      </c>
      <c r="D19" s="4" t="s">
        <v>95</v>
      </c>
      <c r="E19" s="4" t="s">
        <v>96</v>
      </c>
      <c r="F19" s="5" t="s">
        <v>54</v>
      </c>
      <c r="G19" s="4" t="s">
        <v>97</v>
      </c>
      <c r="H19" s="10">
        <v>880</v>
      </c>
      <c r="I19" s="17" t="s">
        <v>98</v>
      </c>
      <c r="J19" s="10" t="s">
        <v>99</v>
      </c>
      <c r="K19" s="10">
        <v>29000</v>
      </c>
      <c r="L19" s="10" t="s">
        <v>100</v>
      </c>
      <c r="M19" s="7" t="s">
        <v>101</v>
      </c>
    </row>
    <row r="20" spans="1:17" s="4" customFormat="1" ht="28.5" x14ac:dyDescent="0.45">
      <c r="A20" s="4" t="s">
        <v>35</v>
      </c>
      <c r="B20" s="4" t="s">
        <v>30</v>
      </c>
      <c r="C20" s="5" t="s">
        <v>102</v>
      </c>
      <c r="D20" s="4" t="s">
        <v>103</v>
      </c>
      <c r="E20" s="19" t="s">
        <v>104</v>
      </c>
      <c r="F20" s="4" t="s">
        <v>105</v>
      </c>
      <c r="G20" s="4" t="s">
        <v>106</v>
      </c>
      <c r="H20" s="10">
        <v>550</v>
      </c>
      <c r="I20" s="23" t="s">
        <v>107</v>
      </c>
      <c r="J20" s="4" t="s">
        <v>108</v>
      </c>
      <c r="K20" s="10">
        <v>28000</v>
      </c>
      <c r="L20" s="24" t="s">
        <v>109</v>
      </c>
      <c r="M20" s="7" t="s">
        <v>110</v>
      </c>
    </row>
    <row r="21" spans="1:17" s="4" customFormat="1" ht="71.25" x14ac:dyDescent="0.45">
      <c r="A21" s="4" t="s">
        <v>35</v>
      </c>
      <c r="B21" s="4" t="s">
        <v>30</v>
      </c>
      <c r="C21" s="5" t="s">
        <v>60</v>
      </c>
      <c r="D21" s="4" t="s">
        <v>111</v>
      </c>
      <c r="E21" s="19" t="s">
        <v>112</v>
      </c>
      <c r="F21" s="4" t="s">
        <v>105</v>
      </c>
      <c r="G21" s="4" t="s">
        <v>106</v>
      </c>
      <c r="H21" s="10">
        <v>550</v>
      </c>
      <c r="I21" s="23" t="s">
        <v>113</v>
      </c>
      <c r="J21" s="4" t="s">
        <v>108</v>
      </c>
      <c r="K21" s="10">
        <v>28000</v>
      </c>
      <c r="L21" s="24" t="s">
        <v>114</v>
      </c>
      <c r="M21" s="7" t="s">
        <v>110</v>
      </c>
    </row>
    <row r="22" spans="1:17" s="4" customFormat="1" ht="28.5" x14ac:dyDescent="0.45">
      <c r="A22" s="4" t="s">
        <v>35</v>
      </c>
      <c r="B22" s="4" t="s">
        <v>30</v>
      </c>
      <c r="C22" s="5" t="s">
        <v>31</v>
      </c>
      <c r="D22" s="4" t="s">
        <v>115</v>
      </c>
      <c r="E22" s="4" t="s">
        <v>116</v>
      </c>
      <c r="F22" s="4" t="s">
        <v>117</v>
      </c>
      <c r="G22" s="4" t="s">
        <v>118</v>
      </c>
      <c r="H22" s="10">
        <v>730</v>
      </c>
      <c r="I22" s="17" t="s">
        <v>119</v>
      </c>
      <c r="J22" s="4" t="s">
        <v>120</v>
      </c>
      <c r="K22" s="10">
        <v>58000</v>
      </c>
      <c r="L22" s="10" t="s">
        <v>121</v>
      </c>
      <c r="M22" s="7" t="s">
        <v>122</v>
      </c>
    </row>
    <row r="23" spans="1:17" s="4" customFormat="1" ht="28.5" x14ac:dyDescent="0.45">
      <c r="A23" s="4" t="s">
        <v>35</v>
      </c>
      <c r="B23" s="4" t="s">
        <v>30</v>
      </c>
      <c r="C23" s="5" t="s">
        <v>31</v>
      </c>
      <c r="D23" s="4" t="s">
        <v>123</v>
      </c>
      <c r="E23" s="4" t="s">
        <v>124</v>
      </c>
      <c r="F23" s="4" t="s">
        <v>125</v>
      </c>
      <c r="G23" s="4" t="s">
        <v>126</v>
      </c>
      <c r="H23" s="10">
        <v>50</v>
      </c>
      <c r="I23" s="17" t="s">
        <v>113</v>
      </c>
      <c r="J23" s="4" t="s">
        <v>127</v>
      </c>
      <c r="K23" s="10">
        <v>28000</v>
      </c>
      <c r="L23" s="10" t="s">
        <v>128</v>
      </c>
      <c r="M23" s="7" t="s">
        <v>129</v>
      </c>
    </row>
    <row r="24" spans="1:17" s="4" customFormat="1" ht="28.5" x14ac:dyDescent="0.45">
      <c r="A24" s="4" t="s">
        <v>35</v>
      </c>
      <c r="B24" s="4" t="s">
        <v>30</v>
      </c>
      <c r="C24" s="5" t="s">
        <v>31</v>
      </c>
      <c r="D24" s="4" t="s">
        <v>130</v>
      </c>
      <c r="E24" s="4" t="s">
        <v>131</v>
      </c>
      <c r="H24" s="10"/>
      <c r="I24" s="17"/>
      <c r="K24" s="10"/>
      <c r="L24" s="10"/>
      <c r="M24" s="5"/>
      <c r="Q24" s="4" t="s">
        <v>132</v>
      </c>
    </row>
    <row r="25" spans="1:17" s="4" customFormat="1" ht="28.5" x14ac:dyDescent="0.45">
      <c r="A25" s="4" t="s">
        <v>35</v>
      </c>
      <c r="B25" s="4" t="s">
        <v>30</v>
      </c>
      <c r="C25" s="5" t="s">
        <v>31</v>
      </c>
      <c r="D25" s="4" t="s">
        <v>133</v>
      </c>
      <c r="E25" s="4" t="s">
        <v>134</v>
      </c>
      <c r="H25" s="10"/>
      <c r="I25" s="17"/>
      <c r="K25" s="10"/>
      <c r="L25" s="10"/>
      <c r="M25" s="5"/>
    </row>
    <row r="26" spans="1:17" s="4" customFormat="1" x14ac:dyDescent="0.45">
      <c r="A26" s="4" t="s">
        <v>35</v>
      </c>
      <c r="B26" s="4" t="s">
        <v>30</v>
      </c>
      <c r="C26" s="5" t="s">
        <v>24</v>
      </c>
      <c r="D26" s="4" t="s">
        <v>135</v>
      </c>
      <c r="E26" s="4" t="s">
        <v>136</v>
      </c>
      <c r="H26" s="10"/>
      <c r="I26" s="17"/>
      <c r="K26" s="10"/>
      <c r="L26" s="10"/>
      <c r="M26" s="5"/>
    </row>
    <row r="27" spans="1:17" s="4" customFormat="1" x14ac:dyDescent="0.45">
      <c r="A27" s="4" t="s">
        <v>35</v>
      </c>
      <c r="B27" s="4" t="s">
        <v>30</v>
      </c>
      <c r="C27" s="5" t="s">
        <v>24</v>
      </c>
      <c r="D27" s="4" t="s">
        <v>137</v>
      </c>
      <c r="E27" s="4" t="s">
        <v>138</v>
      </c>
      <c r="H27" s="10"/>
      <c r="I27" s="17"/>
      <c r="K27" s="10"/>
      <c r="L27" s="10"/>
      <c r="M27" s="5"/>
    </row>
    <row r="28" spans="1:17" s="4" customFormat="1" x14ac:dyDescent="0.45">
      <c r="C28" s="5"/>
      <c r="H28" s="10"/>
      <c r="I28" s="17"/>
      <c r="K28" s="10"/>
      <c r="L28" s="10"/>
      <c r="M28" s="5"/>
    </row>
    <row r="29" spans="1:17" s="4" customFormat="1" x14ac:dyDescent="0.45">
      <c r="C29" s="5"/>
      <c r="H29" s="10"/>
      <c r="I29" s="17"/>
      <c r="K29" s="10"/>
      <c r="L29" s="10"/>
      <c r="M29" s="5"/>
    </row>
    <row r="30" spans="1:17" s="4" customFormat="1" x14ac:dyDescent="0.45">
      <c r="C30" s="5"/>
      <c r="H30" s="10"/>
      <c r="I30" s="17"/>
      <c r="K30" s="10"/>
      <c r="L30" s="10"/>
      <c r="M30" s="5"/>
    </row>
    <row r="31" spans="1:17" s="4" customFormat="1" x14ac:dyDescent="0.45">
      <c r="C31" s="5"/>
      <c r="H31" s="10"/>
      <c r="I31" s="17"/>
      <c r="K31" s="10"/>
      <c r="L31" s="10"/>
      <c r="M31" s="5"/>
    </row>
    <row r="32" spans="1:17" s="4" customFormat="1" x14ac:dyDescent="0.45">
      <c r="C32" s="5"/>
      <c r="H32" s="10"/>
      <c r="I32" s="17"/>
      <c r="K32" s="10"/>
      <c r="L32" s="10"/>
      <c r="M32" s="5"/>
    </row>
  </sheetData>
  <hyperlinks>
    <hyperlink ref="M13" r:id="rId1" xr:uid="{8295AA8C-BF22-4AAC-8E93-032162B1EC60}"/>
    <hyperlink ref="M12" r:id="rId2" xr:uid="{1874321E-BFA6-4A5E-85C4-AD636B9ABD02}"/>
    <hyperlink ref="M10" r:id="rId3" display="https://docs.microsoft.com/en-us/azure/data-factory/pricing-concepts" xr:uid="{37BE2C66-2717-4FC9-906F-8EAF3D9530BE}"/>
    <hyperlink ref="M14" r:id="rId4" display="https://docs.microsoft.com/en-us/azure/storage/blobs/storage-performance-checklist" xr:uid="{4C3B69F6-DA64-439E-BFF5-D0C97474F9E8}"/>
    <hyperlink ref="M11" r:id="rId5" xr:uid="{079F5A36-7CCA-4853-A6E0-C8E5EF23A0D2}"/>
    <hyperlink ref="M15" r:id="rId6" xr:uid="{88C2E485-C397-4AE5-8ABF-9CF6D9121FC5}"/>
    <hyperlink ref="M22" r:id="rId7" xr:uid="{3A7E580A-9760-49E9-BAD9-E603CDF36FFE}"/>
    <hyperlink ref="I13" r:id="rId8" xr:uid="{50B7BF39-4B08-4ECC-8371-146CCF8B9A95}"/>
    <hyperlink ref="L13" r:id="rId9" xr:uid="{172B7E2F-8664-41B2-8F8E-731533A59DAA}"/>
    <hyperlink ref="M20" r:id="rId10" location="choose-a-compute-target" xr:uid="{4BF73709-5519-4BF7-8EB9-C13B4B91122F}"/>
    <hyperlink ref="E20" r:id="rId11" location="train" xr:uid="{25DBA572-49DC-4713-ADED-7A0DF03F3295}"/>
    <hyperlink ref="E21" r:id="rId12" location="deploy" xr:uid="{0BD22FAC-9549-44EC-ACA3-91940993C64C}"/>
    <hyperlink ref="M21" r:id="rId13" location="choose-a-compute-target" xr:uid="{A867AD7A-914E-4CBB-BDB0-4359758E92BA}"/>
    <hyperlink ref="M19" r:id="rId14" xr:uid="{774AF294-CB02-40BB-A953-440986EA3111}"/>
    <hyperlink ref="M23" r:id="rId15" xr:uid="{95C751EB-2792-435E-A6E5-9E69E57790F9}"/>
    <hyperlink ref="M16" r:id="rId16" xr:uid="{A7891A9C-228A-4DA4-A7D0-8540F570A736}"/>
    <hyperlink ref="M17" r:id="rId17" xr:uid="{47232D91-1DBB-4F18-A1CF-9E5562F226B8}"/>
    <hyperlink ref="I17" r:id="rId18" xr:uid="{76E74BC2-D0E7-4F2E-8CC8-B93B7C481031}"/>
  </hyperlinks>
  <pageMargins left="0.7" right="0.7" top="0.75" bottom="0.75" header="0.3" footer="0.3"/>
  <pageSetup paperSize="9" orientation="portrait" horizontalDpi="300" verticalDpi="300" r:id="rId19"/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46C4-E278-45A9-B230-8C8DC75BFD14}">
  <dimension ref="B2:B3"/>
  <sheetViews>
    <sheetView workbookViewId="0"/>
  </sheetViews>
  <sheetFormatPr defaultRowHeight="14.25" x14ac:dyDescent="0.45"/>
  <sheetData>
    <row r="2" spans="2:2" x14ac:dyDescent="0.45">
      <c r="B2" t="s">
        <v>139</v>
      </c>
    </row>
    <row r="3" spans="2:2" x14ac:dyDescent="0.45">
      <c r="B3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1B0C-8EEB-4AD6-8444-0B9E639C39AC}">
  <dimension ref="A1:X11"/>
  <sheetViews>
    <sheetView tabSelected="1" zoomScaleNormal="100" workbookViewId="0">
      <selection activeCell="O18" sqref="O18"/>
    </sheetView>
  </sheetViews>
  <sheetFormatPr defaultRowHeight="14.25" x14ac:dyDescent="0.45"/>
  <cols>
    <col min="1" max="1" width="15" bestFit="1" customWidth="1"/>
    <col min="2" max="2" width="23.86328125" bestFit="1" customWidth="1"/>
    <col min="3" max="3" width="12.73046875" customWidth="1"/>
    <col min="4" max="6" width="10.59765625" customWidth="1"/>
    <col min="7" max="12" width="12.59765625" customWidth="1"/>
    <col min="16" max="16" width="23.86328125" bestFit="1" customWidth="1"/>
    <col min="17" max="17" width="10.86328125" bestFit="1" customWidth="1"/>
    <col min="18" max="18" width="14.3984375" bestFit="1" customWidth="1"/>
    <col min="19" max="19" width="10.1328125" bestFit="1" customWidth="1"/>
    <col min="20" max="20" width="11.265625" customWidth="1"/>
    <col min="21" max="21" width="11.1328125" customWidth="1"/>
    <col min="22" max="22" width="14.86328125" customWidth="1"/>
  </cols>
  <sheetData>
    <row r="1" spans="1:24" ht="18" x14ac:dyDescent="0.55000000000000004">
      <c r="A1" s="103" t="s">
        <v>336</v>
      </c>
    </row>
    <row r="3" spans="1:24" s="3" customFormat="1" ht="14.65" thickBot="1" x14ac:dyDescent="0.5">
      <c r="P3" s="3" t="s">
        <v>347</v>
      </c>
    </row>
    <row r="4" spans="1:24" ht="14.65" thickBot="1" x14ac:dyDescent="0.5">
      <c r="T4" s="138" t="s">
        <v>344</v>
      </c>
      <c r="U4" s="139"/>
    </row>
    <row r="5" spans="1:24" x14ac:dyDescent="0.45">
      <c r="P5" s="122" t="s">
        <v>335</v>
      </c>
      <c r="Q5" s="123" t="s">
        <v>340</v>
      </c>
      <c r="R5" s="123" t="s">
        <v>337</v>
      </c>
      <c r="S5" s="124" t="s">
        <v>339</v>
      </c>
      <c r="T5" s="115" t="s">
        <v>345</v>
      </c>
      <c r="U5" s="116" t="s">
        <v>346</v>
      </c>
      <c r="V5" s="125" t="s">
        <v>338</v>
      </c>
      <c r="W5" s="126" t="s">
        <v>358</v>
      </c>
    </row>
    <row r="6" spans="1:24" x14ac:dyDescent="0.45">
      <c r="P6" s="106" t="str">
        <f>'Business Sizing Assumptions'!B1</f>
        <v>Discovery &amp; Design</v>
      </c>
      <c r="Q6" s="105" t="str">
        <f>'Business Sizing Assumptions'!B2</f>
        <v>3 months</v>
      </c>
      <c r="R6" s="105">
        <f>'Business Sizing Assumptions'!B3</f>
        <v>1</v>
      </c>
      <c r="S6" s="109">
        <f>'Business Sizing Assumptions'!B4*R6</f>
        <v>5</v>
      </c>
      <c r="T6" s="111">
        <f>'Monthly Cost Forecast'!X2</f>
        <v>6532.3366320000005</v>
      </c>
      <c r="U6" s="112">
        <f>'Monthly Cost Forecast'!Y2</f>
        <v>653.23366320000002</v>
      </c>
      <c r="V6" s="118">
        <f>'Monthly Cost Forecast'!V2</f>
        <v>6532.3366320000005</v>
      </c>
      <c r="W6" s="119">
        <v>1</v>
      </c>
    </row>
    <row r="7" spans="1:24" x14ac:dyDescent="0.45">
      <c r="P7" s="106" t="str">
        <f>'Business Sizing Assumptions'!C1</f>
        <v>Prototype</v>
      </c>
      <c r="Q7" s="105" t="str">
        <f>'Business Sizing Assumptions'!C2</f>
        <v>+5-6 Months</v>
      </c>
      <c r="R7" s="105">
        <f>'Business Sizing Assumptions'!C3</f>
        <v>10</v>
      </c>
      <c r="S7" s="109">
        <f>'Business Sizing Assumptions'!C4*R7</f>
        <v>50</v>
      </c>
      <c r="T7" s="111">
        <f>'Monthly Cost Forecast'!X3</f>
        <v>6925.5814080000009</v>
      </c>
      <c r="U7" s="112">
        <f>'Monthly Cost Forecast'!Y3</f>
        <v>197.87375451428574</v>
      </c>
      <c r="V7" s="118">
        <f>'Monthly Cost Forecast'!V3</f>
        <v>69255.814080000011</v>
      </c>
      <c r="W7" s="119">
        <v>0.4</v>
      </c>
    </row>
    <row r="8" spans="1:24" ht="14.65" thickBot="1" x14ac:dyDescent="0.5">
      <c r="P8" s="107" t="str">
        <f>'Business Sizing Assumptions'!D1</f>
        <v>Early Access</v>
      </c>
      <c r="Q8" s="108" t="str">
        <f>'Business Sizing Assumptions'!D2</f>
        <v>+6 Months</v>
      </c>
      <c r="R8" s="108">
        <f>'Business Sizing Assumptions'!D3</f>
        <v>30</v>
      </c>
      <c r="S8" s="110">
        <f>'Business Sizing Assumptions'!D4*R8</f>
        <v>150</v>
      </c>
      <c r="T8" s="113">
        <f>'Monthly Cost Forecast'!X4</f>
        <v>7627.1239200000009</v>
      </c>
      <c r="U8" s="114">
        <f>'Monthly Cost Forecast'!Y4</f>
        <v>217.91782628571431</v>
      </c>
      <c r="V8" s="120">
        <f>'Monthly Cost Forecast'!V4</f>
        <v>152542.47840000002</v>
      </c>
      <c r="W8" s="121">
        <v>0.3</v>
      </c>
    </row>
    <row r="11" spans="1:24" x14ac:dyDescent="0.45">
      <c r="X11" s="3"/>
    </row>
  </sheetData>
  <mergeCells count="1">
    <mergeCell ref="T4:U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F061-0DB4-4714-884B-036BD4662CDE}">
  <dimension ref="A1:AB37"/>
  <sheetViews>
    <sheetView topLeftCell="A2" zoomScale="90" zoomScaleNormal="90" workbookViewId="0">
      <pane xSplit="5" ySplit="2" topLeftCell="J5" activePane="bottomRight" state="frozen"/>
      <selection pane="topRight"/>
      <selection pane="bottomLeft"/>
      <selection pane="bottomRight" activeCell="H12" sqref="H12"/>
    </sheetView>
  </sheetViews>
  <sheetFormatPr defaultRowHeight="14.25" x14ac:dyDescent="0.45"/>
  <cols>
    <col min="1" max="1" width="9.59765625" bestFit="1" customWidth="1"/>
    <col min="2" max="2" width="16.3984375" bestFit="1" customWidth="1"/>
    <col min="3" max="3" width="33.73046875" style="2" bestFit="1" customWidth="1"/>
    <col min="4" max="4" width="32.73046875" bestFit="1" customWidth="1"/>
    <col min="5" max="5" width="30" bestFit="1" customWidth="1"/>
    <col min="6" max="6" width="39.86328125" bestFit="1" customWidth="1"/>
    <col min="7" max="7" width="25.3984375" bestFit="1" customWidth="1"/>
    <col min="8" max="8" width="22.59765625" style="8" bestFit="1" customWidth="1"/>
    <col min="9" max="9" width="18" style="14" bestFit="1" customWidth="1"/>
    <col min="10" max="10" width="29.265625" bestFit="1" customWidth="1"/>
    <col min="11" max="11" width="25" style="8" bestFit="1" customWidth="1"/>
    <col min="12" max="12" width="18" style="8" bestFit="1" customWidth="1"/>
    <col min="13" max="13" width="42.1328125" style="2" bestFit="1" customWidth="1"/>
    <col min="14" max="14" width="16.73046875" bestFit="1" customWidth="1"/>
    <col min="15" max="15" width="16.73046875" customWidth="1"/>
    <col min="16" max="16" width="16.1328125" bestFit="1" customWidth="1"/>
    <col min="17" max="17" width="9.86328125" customWidth="1"/>
    <col min="18" max="18" width="16.73046875" hidden="1" customWidth="1"/>
    <col min="19" max="19" width="16.1328125" hidden="1" customWidth="1"/>
    <col min="20" max="20" width="7.73046875" hidden="1" customWidth="1"/>
    <col min="21" max="21" width="13" bestFit="1" customWidth="1"/>
    <col min="22" max="22" width="11.86328125" bestFit="1" customWidth="1"/>
    <col min="23" max="23" width="12.265625" bestFit="1" customWidth="1"/>
    <col min="24" max="24" width="9.73046875" bestFit="1" customWidth="1"/>
    <col min="25" max="25" width="10.86328125" bestFit="1" customWidth="1"/>
    <col min="26" max="26" width="6" bestFit="1" customWidth="1"/>
    <col min="27" max="27" width="8.73046875" bestFit="1" customWidth="1"/>
    <col min="28" max="28" width="177.1328125" bestFit="1" customWidth="1"/>
  </cols>
  <sheetData>
    <row r="1" spans="1:28" x14ac:dyDescent="0.45">
      <c r="G1" s="25"/>
      <c r="H1" s="25"/>
      <c r="I1" s="25"/>
      <c r="J1" s="25"/>
      <c r="K1" s="25"/>
      <c r="L1" s="25"/>
      <c r="P1" s="3"/>
      <c r="S1" s="3"/>
    </row>
    <row r="2" spans="1:28" x14ac:dyDescent="0.45">
      <c r="N2" s="1"/>
      <c r="O2" s="1"/>
      <c r="P2" s="1"/>
      <c r="Q2" s="1"/>
      <c r="R2" s="1"/>
      <c r="S2" s="1"/>
      <c r="T2" s="1"/>
      <c r="U2" s="1" t="s">
        <v>141</v>
      </c>
      <c r="V2" s="1"/>
      <c r="AB2" s="1"/>
    </row>
    <row r="3" spans="1:28" ht="178.5" customHeight="1" x14ac:dyDescent="0.45">
      <c r="A3" s="3" t="s">
        <v>2</v>
      </c>
      <c r="B3" s="3" t="s">
        <v>3</v>
      </c>
      <c r="C3" s="1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12" t="s">
        <v>9</v>
      </c>
      <c r="I3" s="15" t="s">
        <v>10</v>
      </c>
      <c r="J3" s="3" t="s">
        <v>11</v>
      </c>
      <c r="K3" s="12" t="s">
        <v>12</v>
      </c>
      <c r="L3" s="12" t="s">
        <v>13</v>
      </c>
      <c r="M3" s="11" t="s">
        <v>14</v>
      </c>
      <c r="N3" s="13" t="s">
        <v>351</v>
      </c>
      <c r="O3" s="13" t="s">
        <v>365</v>
      </c>
      <c r="P3" s="13" t="s">
        <v>352</v>
      </c>
      <c r="Q3" s="13" t="s">
        <v>353</v>
      </c>
      <c r="R3" s="13" t="s">
        <v>355</v>
      </c>
      <c r="S3" s="13" t="s">
        <v>356</v>
      </c>
      <c r="T3" s="13" t="s">
        <v>357</v>
      </c>
      <c r="U3" s="13" t="s">
        <v>142</v>
      </c>
      <c r="V3" s="13" t="s">
        <v>143</v>
      </c>
      <c r="W3" s="13" t="s">
        <v>144</v>
      </c>
      <c r="X3" s="13" t="s">
        <v>145</v>
      </c>
      <c r="Y3" s="13" t="s">
        <v>146</v>
      </c>
      <c r="Z3" s="13" t="s">
        <v>147</v>
      </c>
      <c r="AA3" s="13" t="s">
        <v>148</v>
      </c>
      <c r="AB3" s="13" t="s">
        <v>149</v>
      </c>
    </row>
    <row r="4" spans="1:28" s="4" customFormat="1" x14ac:dyDescent="0.45">
      <c r="A4" s="4" t="s">
        <v>22</v>
      </c>
      <c r="B4" s="4" t="s">
        <v>23</v>
      </c>
      <c r="C4" s="5" t="s">
        <v>24</v>
      </c>
      <c r="D4" s="5" t="s">
        <v>25</v>
      </c>
      <c r="E4" s="5"/>
      <c r="F4" s="5" t="s">
        <v>26</v>
      </c>
      <c r="G4" s="5"/>
      <c r="H4" s="9"/>
      <c r="I4" s="16"/>
      <c r="J4" s="5"/>
      <c r="K4" s="9"/>
      <c r="L4" s="9"/>
      <c r="M4" s="5"/>
      <c r="N4" s="6"/>
      <c r="O4" s="6"/>
      <c r="P4" s="6"/>
      <c r="Q4" s="6"/>
      <c r="R4" s="6"/>
      <c r="S4" s="6"/>
      <c r="T4" s="6"/>
      <c r="U4" s="6"/>
      <c r="V4" s="6"/>
      <c r="AB4" s="6"/>
    </row>
    <row r="5" spans="1:28" s="4" customFormat="1" x14ac:dyDescent="0.45">
      <c r="A5" s="4" t="s">
        <v>22</v>
      </c>
      <c r="B5" s="4" t="s">
        <v>23</v>
      </c>
      <c r="C5" s="5" t="s">
        <v>24</v>
      </c>
      <c r="D5" s="5" t="s">
        <v>27</v>
      </c>
      <c r="E5" s="5"/>
      <c r="F5" s="5" t="s">
        <v>26</v>
      </c>
      <c r="G5" s="5"/>
      <c r="H5" s="9"/>
      <c r="I5" s="16"/>
      <c r="J5" s="5"/>
      <c r="K5" s="9"/>
      <c r="L5" s="9"/>
      <c r="M5" s="5"/>
      <c r="N5" s="6"/>
      <c r="O5" s="6"/>
      <c r="P5" s="6"/>
      <c r="Q5" s="6"/>
      <c r="R5" s="6"/>
      <c r="S5" s="6"/>
      <c r="T5" s="6"/>
      <c r="U5" s="6"/>
      <c r="V5" s="6"/>
      <c r="AB5" s="6"/>
    </row>
    <row r="6" spans="1:28" s="4" customFormat="1" x14ac:dyDescent="0.45">
      <c r="A6" s="4" t="s">
        <v>22</v>
      </c>
      <c r="B6" s="4" t="s">
        <v>23</v>
      </c>
      <c r="C6" s="5" t="s">
        <v>24</v>
      </c>
      <c r="D6" s="5" t="s">
        <v>28</v>
      </c>
      <c r="E6" s="5"/>
      <c r="F6" s="5" t="s">
        <v>26</v>
      </c>
      <c r="G6" s="5"/>
      <c r="H6" s="9"/>
      <c r="I6" s="16"/>
      <c r="J6" s="5"/>
      <c r="K6" s="9"/>
      <c r="L6" s="9"/>
      <c r="M6" s="5"/>
      <c r="N6" s="6"/>
      <c r="O6" s="6"/>
      <c r="P6" s="6"/>
      <c r="Q6" s="6"/>
      <c r="R6" s="6"/>
      <c r="S6" s="6"/>
      <c r="T6" s="6"/>
      <c r="U6" s="6"/>
      <c r="V6" s="6"/>
      <c r="AB6" s="6"/>
    </row>
    <row r="7" spans="1:28" s="4" customFormat="1" x14ac:dyDescent="0.45">
      <c r="A7" s="4" t="s">
        <v>22</v>
      </c>
      <c r="B7" s="4" t="s">
        <v>23</v>
      </c>
      <c r="C7" s="5" t="s">
        <v>24</v>
      </c>
      <c r="D7" s="5" t="s">
        <v>29</v>
      </c>
      <c r="E7" s="5"/>
      <c r="F7" s="5" t="s">
        <v>26</v>
      </c>
      <c r="G7" s="5"/>
      <c r="H7" s="9"/>
      <c r="I7" s="16"/>
      <c r="J7" s="5"/>
      <c r="K7" s="9"/>
      <c r="L7" s="9"/>
      <c r="M7" s="5"/>
      <c r="N7" s="6"/>
      <c r="O7" s="6"/>
      <c r="P7" s="6"/>
      <c r="Q7" s="6"/>
      <c r="R7" s="6"/>
      <c r="S7" s="6"/>
      <c r="T7" s="6"/>
      <c r="U7" s="6"/>
      <c r="V7" s="6"/>
      <c r="AB7" s="6"/>
    </row>
    <row r="8" spans="1:28" s="4" customFormat="1" x14ac:dyDescent="0.45">
      <c r="A8" s="4" t="s">
        <v>22</v>
      </c>
      <c r="B8" s="4" t="s">
        <v>30</v>
      </c>
      <c r="C8" s="5" t="s">
        <v>31</v>
      </c>
      <c r="D8" s="5" t="s">
        <v>32</v>
      </c>
      <c r="E8" s="5"/>
      <c r="F8" s="5" t="s">
        <v>26</v>
      </c>
      <c r="G8" s="5"/>
      <c r="H8" s="9"/>
      <c r="I8" s="16"/>
      <c r="J8" s="5"/>
      <c r="K8" s="9"/>
      <c r="L8" s="9"/>
      <c r="M8" s="5"/>
      <c r="N8" s="6"/>
      <c r="O8" s="6"/>
      <c r="P8" s="6"/>
      <c r="Q8" s="6"/>
      <c r="R8" s="6"/>
      <c r="S8" s="6"/>
      <c r="T8" s="6"/>
      <c r="U8" s="6"/>
      <c r="V8" s="6"/>
      <c r="AB8" s="6"/>
    </row>
    <row r="9" spans="1:28" s="4" customFormat="1" x14ac:dyDescent="0.45">
      <c r="A9" s="4" t="s">
        <v>22</v>
      </c>
      <c r="B9" s="4" t="s">
        <v>30</v>
      </c>
      <c r="C9" s="5" t="s">
        <v>24</v>
      </c>
      <c r="D9" s="5" t="s">
        <v>33</v>
      </c>
      <c r="E9" s="5" t="s">
        <v>34</v>
      </c>
      <c r="F9" s="5" t="s">
        <v>26</v>
      </c>
      <c r="G9" s="5"/>
      <c r="H9" s="9"/>
      <c r="I9" s="16"/>
      <c r="J9" s="5"/>
      <c r="K9" s="9"/>
      <c r="L9" s="9"/>
      <c r="M9" s="5"/>
      <c r="N9" s="6"/>
      <c r="O9" s="6"/>
      <c r="P9" s="6"/>
      <c r="Q9" s="6"/>
      <c r="R9" s="6"/>
      <c r="S9" s="6"/>
      <c r="T9" s="6"/>
      <c r="U9" s="6"/>
      <c r="V9" s="6"/>
      <c r="AB9" s="6"/>
    </row>
    <row r="10" spans="1:28" s="34" customFormat="1" x14ac:dyDescent="0.45">
      <c r="A10" s="34" t="s">
        <v>35</v>
      </c>
      <c r="B10" s="34" t="s">
        <v>30</v>
      </c>
      <c r="C10" s="35" t="s">
        <v>150</v>
      </c>
      <c r="D10" s="34" t="s">
        <v>151</v>
      </c>
      <c r="E10" s="34" t="s">
        <v>78</v>
      </c>
      <c r="F10" s="35" t="s">
        <v>79</v>
      </c>
      <c r="G10" s="34" t="s">
        <v>152</v>
      </c>
      <c r="H10" s="36">
        <v>21.93</v>
      </c>
      <c r="I10" s="37" t="s">
        <v>153</v>
      </c>
      <c r="J10" s="34" t="s">
        <v>154</v>
      </c>
      <c r="K10" s="36">
        <v>60000</v>
      </c>
      <c r="L10" s="37" t="s">
        <v>155</v>
      </c>
      <c r="M10" s="38" t="s">
        <v>84</v>
      </c>
      <c r="N10" s="79">
        <f t="shared" ref="N10:N14" si="0">H10</f>
        <v>21.93</v>
      </c>
      <c r="O10" s="132">
        <v>1</v>
      </c>
      <c r="R10" s="79">
        <f t="shared" ref="R10:R14" si="1">K10</f>
        <v>60000</v>
      </c>
      <c r="AB10" s="39" t="s">
        <v>354</v>
      </c>
    </row>
    <row r="11" spans="1:28" s="40" customFormat="1" ht="28.5" x14ac:dyDescent="0.45">
      <c r="A11" s="40" t="s">
        <v>35</v>
      </c>
      <c r="B11" s="40" t="s">
        <v>30</v>
      </c>
      <c r="C11" s="41" t="s">
        <v>156</v>
      </c>
      <c r="D11" s="40" t="s">
        <v>85</v>
      </c>
      <c r="E11" s="40" t="s">
        <v>157</v>
      </c>
      <c r="F11" s="35" t="s">
        <v>158</v>
      </c>
      <c r="G11" s="41" t="s">
        <v>159</v>
      </c>
      <c r="H11" s="42">
        <v>976</v>
      </c>
      <c r="I11" s="43"/>
      <c r="J11" s="41"/>
      <c r="K11" s="42">
        <v>5000</v>
      </c>
      <c r="L11" s="44" t="s">
        <v>160</v>
      </c>
      <c r="M11" s="38" t="s">
        <v>161</v>
      </c>
      <c r="N11" s="80">
        <f t="shared" si="0"/>
        <v>976</v>
      </c>
      <c r="O11" s="133">
        <v>1</v>
      </c>
      <c r="R11" s="80">
        <f t="shared" si="1"/>
        <v>5000</v>
      </c>
    </row>
    <row r="12" spans="1:28" s="45" customFormat="1" ht="42.75" x14ac:dyDescent="0.45">
      <c r="A12" s="45" t="s">
        <v>35</v>
      </c>
      <c r="B12" s="45" t="s">
        <v>30</v>
      </c>
      <c r="C12" s="46" t="s">
        <v>162</v>
      </c>
      <c r="D12" s="46" t="s">
        <v>36</v>
      </c>
      <c r="E12" s="46" t="s">
        <v>37</v>
      </c>
      <c r="F12" s="46" t="s">
        <v>38</v>
      </c>
      <c r="G12" s="46" t="s">
        <v>39</v>
      </c>
      <c r="H12" s="47">
        <v>100</v>
      </c>
      <c r="I12" s="48" t="s">
        <v>163</v>
      </c>
      <c r="J12" s="46" t="s">
        <v>41</v>
      </c>
      <c r="K12" s="47">
        <v>15000</v>
      </c>
      <c r="L12" s="48" t="s">
        <v>42</v>
      </c>
      <c r="M12" s="49" t="s">
        <v>43</v>
      </c>
      <c r="N12" s="81">
        <f t="shared" si="0"/>
        <v>100</v>
      </c>
      <c r="O12" s="134"/>
      <c r="P12" s="51"/>
      <c r="Q12" s="51"/>
      <c r="R12" s="81">
        <f t="shared" si="1"/>
        <v>15000</v>
      </c>
      <c r="S12" s="51"/>
      <c r="T12" s="51"/>
      <c r="U12" s="51"/>
      <c r="V12" s="51"/>
      <c r="AB12" s="51"/>
    </row>
    <row r="13" spans="1:28" s="45" customFormat="1" ht="42.75" x14ac:dyDescent="0.45">
      <c r="A13" s="45" t="s">
        <v>35</v>
      </c>
      <c r="B13" s="45" t="s">
        <v>30</v>
      </c>
      <c r="C13" s="46" t="s">
        <v>164</v>
      </c>
      <c r="D13" s="46" t="s">
        <v>44</v>
      </c>
      <c r="E13" s="46" t="s">
        <v>165</v>
      </c>
      <c r="F13" s="46" t="s">
        <v>46</v>
      </c>
      <c r="G13" s="46" t="s">
        <v>166</v>
      </c>
      <c r="H13" s="47">
        <v>650</v>
      </c>
      <c r="I13" s="48" t="s">
        <v>48</v>
      </c>
      <c r="J13" s="52" t="s">
        <v>49</v>
      </c>
      <c r="K13" s="47">
        <v>30000</v>
      </c>
      <c r="L13" s="48" t="s">
        <v>50</v>
      </c>
      <c r="M13" s="49" t="s">
        <v>51</v>
      </c>
      <c r="N13" s="81">
        <f t="shared" si="0"/>
        <v>650</v>
      </c>
      <c r="O13" s="134"/>
      <c r="P13" s="50"/>
      <c r="Q13" s="51"/>
      <c r="R13" s="81">
        <f t="shared" si="1"/>
        <v>30000</v>
      </c>
      <c r="S13" s="50"/>
      <c r="T13" s="51"/>
      <c r="U13" s="51"/>
      <c r="V13" s="51"/>
      <c r="AB13" s="51"/>
    </row>
    <row r="14" spans="1:28" s="53" customFormat="1" x14ac:dyDescent="0.45">
      <c r="A14" s="53" t="s">
        <v>35</v>
      </c>
      <c r="B14" s="53" t="s">
        <v>30</v>
      </c>
      <c r="C14" s="54" t="s">
        <v>24</v>
      </c>
      <c r="D14" s="54" t="s">
        <v>52</v>
      </c>
      <c r="E14" s="54" t="s">
        <v>53</v>
      </c>
      <c r="F14" s="54" t="s">
        <v>54</v>
      </c>
      <c r="G14" s="54" t="s">
        <v>55</v>
      </c>
      <c r="H14" s="55">
        <v>20</v>
      </c>
      <c r="I14" s="56" t="s">
        <v>56</v>
      </c>
      <c r="J14" s="54" t="s">
        <v>57</v>
      </c>
      <c r="K14" s="55">
        <v>20000</v>
      </c>
      <c r="L14" s="55" t="s">
        <v>58</v>
      </c>
      <c r="M14" s="57" t="s">
        <v>59</v>
      </c>
      <c r="N14" s="82">
        <f t="shared" si="0"/>
        <v>20</v>
      </c>
      <c r="O14" s="135"/>
      <c r="P14" s="59"/>
      <c r="Q14" s="59"/>
      <c r="R14" s="82">
        <f t="shared" si="1"/>
        <v>20000</v>
      </c>
      <c r="S14" s="59"/>
      <c r="T14" s="59"/>
      <c r="U14" s="59"/>
      <c r="V14" s="59"/>
      <c r="AB14" s="59"/>
    </row>
    <row r="15" spans="1:28" s="53" customFormat="1" ht="42.75" x14ac:dyDescent="0.45">
      <c r="A15" s="53" t="s">
        <v>35</v>
      </c>
      <c r="B15" s="53" t="s">
        <v>30</v>
      </c>
      <c r="C15" s="54" t="s">
        <v>60</v>
      </c>
      <c r="D15" s="54" t="s">
        <v>61</v>
      </c>
      <c r="E15" s="54" t="s">
        <v>62</v>
      </c>
      <c r="F15" s="54" t="s">
        <v>63</v>
      </c>
      <c r="G15" s="54" t="s">
        <v>167</v>
      </c>
      <c r="H15" s="55">
        <v>1440</v>
      </c>
      <c r="I15" s="60" t="s">
        <v>65</v>
      </c>
      <c r="J15" s="54" t="s">
        <v>168</v>
      </c>
      <c r="K15" s="55">
        <v>60000</v>
      </c>
      <c r="L15" s="61" t="s">
        <v>169</v>
      </c>
      <c r="M15" s="57" t="s">
        <v>68</v>
      </c>
      <c r="N15" s="82">
        <f>H15</f>
        <v>1440</v>
      </c>
      <c r="O15" s="135">
        <v>1</v>
      </c>
      <c r="P15" s="59"/>
      <c r="Q15" s="59"/>
      <c r="R15" s="82">
        <f>K15</f>
        <v>60000</v>
      </c>
      <c r="S15" s="59"/>
      <c r="T15" s="59"/>
      <c r="U15" s="59"/>
      <c r="V15" s="59"/>
      <c r="AB15" s="62" t="s">
        <v>170</v>
      </c>
    </row>
    <row r="16" spans="1:28" s="53" customFormat="1" ht="15.75" x14ac:dyDescent="0.45">
      <c r="A16" s="53" t="s">
        <v>35</v>
      </c>
      <c r="B16" s="53" t="s">
        <v>30</v>
      </c>
      <c r="C16" s="54" t="s">
        <v>24</v>
      </c>
      <c r="D16" s="54" t="s">
        <v>70</v>
      </c>
      <c r="E16" s="54" t="s">
        <v>53</v>
      </c>
      <c r="F16" s="54" t="s">
        <v>54</v>
      </c>
      <c r="G16" s="54" t="s">
        <v>55</v>
      </c>
      <c r="H16" s="55">
        <v>20</v>
      </c>
      <c r="I16" s="56" t="s">
        <v>56</v>
      </c>
      <c r="J16" s="54" t="s">
        <v>57</v>
      </c>
      <c r="K16" s="55">
        <v>25000</v>
      </c>
      <c r="L16" s="55" t="s">
        <v>58</v>
      </c>
      <c r="M16" s="57" t="s">
        <v>59</v>
      </c>
      <c r="N16" s="82"/>
      <c r="O16" s="82"/>
      <c r="P16" s="58">
        <f>H16</f>
        <v>20</v>
      </c>
      <c r="Q16" s="59"/>
      <c r="R16" s="82"/>
      <c r="S16" s="58">
        <f>K16</f>
        <v>25000</v>
      </c>
      <c r="T16" s="59"/>
      <c r="U16" s="72"/>
      <c r="V16" s="72"/>
      <c r="W16" s="73"/>
      <c r="X16" s="73">
        <v>1</v>
      </c>
      <c r="Y16" s="73"/>
      <c r="Z16" s="73"/>
      <c r="AA16" s="73"/>
      <c r="AB16" s="59"/>
    </row>
    <row r="17" spans="1:28" s="34" customFormat="1" ht="28.5" x14ac:dyDescent="0.45">
      <c r="A17" s="34" t="s">
        <v>35</v>
      </c>
      <c r="B17" s="34" t="s">
        <v>30</v>
      </c>
      <c r="C17" s="35" t="s">
        <v>24</v>
      </c>
      <c r="D17" s="34" t="s">
        <v>171</v>
      </c>
      <c r="E17" s="34" t="s">
        <v>78</v>
      </c>
      <c r="F17" s="35" t="s">
        <v>79</v>
      </c>
      <c r="G17" s="34" t="s">
        <v>152</v>
      </c>
      <c r="H17" s="36">
        <v>22</v>
      </c>
      <c r="I17" s="37" t="s">
        <v>153</v>
      </c>
      <c r="J17" s="34" t="s">
        <v>82</v>
      </c>
      <c r="K17" s="36">
        <v>20000</v>
      </c>
      <c r="L17" s="36" t="s">
        <v>172</v>
      </c>
      <c r="M17" s="38" t="s">
        <v>84</v>
      </c>
      <c r="N17" s="79"/>
      <c r="O17" s="79"/>
      <c r="P17" s="36">
        <f>H17</f>
        <v>22</v>
      </c>
      <c r="R17" s="79"/>
      <c r="S17" s="36">
        <f>K17</f>
        <v>20000</v>
      </c>
      <c r="U17" s="74">
        <v>1</v>
      </c>
      <c r="V17" s="74"/>
      <c r="W17" s="74"/>
      <c r="X17" s="74"/>
      <c r="Y17" s="74"/>
      <c r="Z17" s="74"/>
      <c r="AA17" s="74"/>
      <c r="AB17" s="131" t="s">
        <v>173</v>
      </c>
    </row>
    <row r="18" spans="1:28" s="34" customFormat="1" ht="15.75" x14ac:dyDescent="0.45">
      <c r="A18" s="34" t="s">
        <v>35</v>
      </c>
      <c r="B18" s="34" t="s">
        <v>30</v>
      </c>
      <c r="C18" s="35" t="s">
        <v>31</v>
      </c>
      <c r="D18" s="34" t="s">
        <v>174</v>
      </c>
      <c r="E18" s="34" t="s">
        <v>175</v>
      </c>
      <c r="F18" s="34" t="s">
        <v>105</v>
      </c>
      <c r="G18" s="34" t="s">
        <v>176</v>
      </c>
      <c r="H18" s="36">
        <v>73</v>
      </c>
      <c r="I18" s="37"/>
      <c r="J18" s="34" t="s">
        <v>177</v>
      </c>
      <c r="K18" s="36">
        <v>580</v>
      </c>
      <c r="L18" s="36"/>
      <c r="M18" s="38" t="s">
        <v>14</v>
      </c>
      <c r="P18" s="36"/>
      <c r="Q18" s="36">
        <f>H18</f>
        <v>73</v>
      </c>
      <c r="S18" s="36"/>
      <c r="T18" s="36">
        <f>K18</f>
        <v>580</v>
      </c>
      <c r="U18" s="74">
        <v>1</v>
      </c>
      <c r="V18" s="74"/>
      <c r="W18" s="74"/>
      <c r="X18" s="74"/>
      <c r="Y18" s="74"/>
      <c r="Z18" s="74"/>
      <c r="AA18" s="74"/>
      <c r="AB18" s="34" t="s">
        <v>178</v>
      </c>
    </row>
    <row r="19" spans="1:28" s="63" customFormat="1" ht="71.25" x14ac:dyDescent="0.45">
      <c r="A19" s="63" t="s">
        <v>35</v>
      </c>
      <c r="B19" s="63" t="s">
        <v>30</v>
      </c>
      <c r="C19" s="64" t="s">
        <v>60</v>
      </c>
      <c r="D19" s="63" t="s">
        <v>71</v>
      </c>
      <c r="E19" s="64" t="s">
        <v>72</v>
      </c>
      <c r="F19" s="64" t="s">
        <v>46</v>
      </c>
      <c r="G19" s="64" t="s">
        <v>73</v>
      </c>
      <c r="H19" s="65">
        <v>1300</v>
      </c>
      <c r="I19" s="66" t="s">
        <v>74</v>
      </c>
      <c r="J19" s="67" t="s">
        <v>75</v>
      </c>
      <c r="K19" s="65">
        <v>50000</v>
      </c>
      <c r="L19" s="66" t="s">
        <v>76</v>
      </c>
      <c r="M19" s="68" t="s">
        <v>51</v>
      </c>
      <c r="P19" s="69"/>
      <c r="Q19" s="127">
        <f>H19/5</f>
        <v>260</v>
      </c>
      <c r="S19" s="69"/>
      <c r="T19" s="63">
        <f>K19/5</f>
        <v>10000</v>
      </c>
      <c r="U19" s="75"/>
      <c r="V19" s="75"/>
      <c r="W19" s="75"/>
      <c r="X19" s="75">
        <v>1</v>
      </c>
      <c r="Y19" s="75"/>
      <c r="Z19" s="75"/>
      <c r="AA19" s="75"/>
      <c r="AB19" s="64" t="s">
        <v>179</v>
      </c>
    </row>
    <row r="20" spans="1:28" s="63" customFormat="1" ht="15.75" x14ac:dyDescent="0.45">
      <c r="A20" s="63" t="s">
        <v>35</v>
      </c>
      <c r="B20" s="63" t="s">
        <v>30</v>
      </c>
      <c r="C20" s="64" t="s">
        <v>31</v>
      </c>
      <c r="D20" s="63" t="s">
        <v>91</v>
      </c>
      <c r="E20" s="63" t="s">
        <v>92</v>
      </c>
      <c r="F20" s="64" t="s">
        <v>93</v>
      </c>
      <c r="H20" s="69" t="s">
        <v>94</v>
      </c>
      <c r="I20" s="70"/>
      <c r="K20" s="69" t="s">
        <v>94</v>
      </c>
      <c r="L20" s="69"/>
      <c r="M20" s="68"/>
      <c r="P20" s="69">
        <v>200</v>
      </c>
      <c r="Q20" s="127"/>
      <c r="S20" s="69">
        <v>200</v>
      </c>
      <c r="U20" s="75"/>
      <c r="V20" s="75"/>
      <c r="W20" s="75"/>
      <c r="X20" s="75"/>
      <c r="Y20" s="75">
        <v>1</v>
      </c>
      <c r="Z20" s="75"/>
      <c r="AA20" s="75">
        <v>1</v>
      </c>
      <c r="AB20" s="63" t="s">
        <v>180</v>
      </c>
    </row>
    <row r="21" spans="1:28" s="63" customFormat="1" ht="15.75" x14ac:dyDescent="0.45">
      <c r="A21" s="63" t="s">
        <v>35</v>
      </c>
      <c r="B21" s="63" t="s">
        <v>30</v>
      </c>
      <c r="C21" s="64" t="s">
        <v>102</v>
      </c>
      <c r="D21" s="63" t="s">
        <v>103</v>
      </c>
      <c r="E21" s="71" t="s">
        <v>104</v>
      </c>
      <c r="F21" s="63" t="s">
        <v>105</v>
      </c>
      <c r="G21" s="63" t="s">
        <v>181</v>
      </c>
      <c r="H21" s="69">
        <v>0</v>
      </c>
      <c r="I21" s="70" t="s">
        <v>181</v>
      </c>
      <c r="J21" s="63" t="s">
        <v>108</v>
      </c>
      <c r="K21" s="69">
        <v>28000</v>
      </c>
      <c r="L21" s="69" t="s">
        <v>109</v>
      </c>
      <c r="M21" s="68" t="s">
        <v>110</v>
      </c>
      <c r="P21" s="69"/>
      <c r="Q21" s="127"/>
      <c r="S21" s="69"/>
      <c r="U21" s="75"/>
      <c r="V21" s="75"/>
      <c r="W21" s="75"/>
      <c r="X21" s="75"/>
      <c r="Y21" s="75"/>
      <c r="Z21" s="75"/>
      <c r="AA21" s="75"/>
      <c r="AB21" s="63" t="s">
        <v>182</v>
      </c>
    </row>
    <row r="22" spans="1:28" s="63" customFormat="1" ht="42.75" x14ac:dyDescent="0.45">
      <c r="A22" s="63" t="s">
        <v>35</v>
      </c>
      <c r="B22" s="63" t="s">
        <v>30</v>
      </c>
      <c r="C22" s="64" t="s">
        <v>60</v>
      </c>
      <c r="D22" s="63" t="s">
        <v>111</v>
      </c>
      <c r="E22" s="71" t="s">
        <v>112</v>
      </c>
      <c r="F22" s="63" t="s">
        <v>105</v>
      </c>
      <c r="G22" s="63" t="s">
        <v>183</v>
      </c>
      <c r="H22" s="69">
        <v>110</v>
      </c>
      <c r="I22" s="70" t="s">
        <v>184</v>
      </c>
      <c r="J22" s="63" t="s">
        <v>108</v>
      </c>
      <c r="K22" s="69">
        <v>28000</v>
      </c>
      <c r="L22" s="69" t="s">
        <v>114</v>
      </c>
      <c r="M22" s="68" t="s">
        <v>110</v>
      </c>
      <c r="P22" s="69"/>
      <c r="Q22" s="127">
        <f>H22</f>
        <v>110</v>
      </c>
      <c r="S22" s="69"/>
      <c r="T22" s="69">
        <f>K22</f>
        <v>28000</v>
      </c>
      <c r="U22" s="75"/>
      <c r="V22" s="75"/>
      <c r="W22" s="75"/>
      <c r="X22" s="75"/>
      <c r="Y22" s="75"/>
      <c r="Z22" s="75"/>
      <c r="AA22" s="75"/>
      <c r="AB22" s="63" t="s">
        <v>185</v>
      </c>
    </row>
    <row r="23" spans="1:28" s="63" customFormat="1" ht="15.75" x14ac:dyDescent="0.45">
      <c r="A23" s="63" t="s">
        <v>35</v>
      </c>
      <c r="B23" s="63" t="s">
        <v>30</v>
      </c>
      <c r="C23" s="64" t="s">
        <v>31</v>
      </c>
      <c r="D23" s="63" t="s">
        <v>115</v>
      </c>
      <c r="E23" s="63" t="s">
        <v>116</v>
      </c>
      <c r="F23" s="63" t="s">
        <v>117</v>
      </c>
      <c r="G23" s="63" t="s">
        <v>118</v>
      </c>
      <c r="H23" s="69">
        <v>730</v>
      </c>
      <c r="I23" s="70" t="s">
        <v>119</v>
      </c>
      <c r="J23" s="63" t="s">
        <v>120</v>
      </c>
      <c r="K23" s="69">
        <v>58000</v>
      </c>
      <c r="L23" s="69" t="s">
        <v>121</v>
      </c>
      <c r="M23" s="68" t="s">
        <v>122</v>
      </c>
      <c r="N23" s="69">
        <f>H23</f>
        <v>730</v>
      </c>
      <c r="O23" s="69"/>
      <c r="Q23" s="127">
        <v>10</v>
      </c>
      <c r="R23" s="69">
        <f>K23</f>
        <v>58000</v>
      </c>
      <c r="T23" s="63">
        <v>10</v>
      </c>
      <c r="U23" s="75"/>
      <c r="V23" s="75">
        <v>1</v>
      </c>
      <c r="W23" s="75"/>
      <c r="X23" s="75"/>
      <c r="Y23" s="75"/>
      <c r="Z23" s="75"/>
      <c r="AA23" s="75"/>
      <c r="AB23" s="63" t="s">
        <v>186</v>
      </c>
    </row>
    <row r="24" spans="1:28" s="63" customFormat="1" ht="15.75" x14ac:dyDescent="0.45">
      <c r="A24" s="63" t="s">
        <v>35</v>
      </c>
      <c r="B24" s="63" t="s">
        <v>30</v>
      </c>
      <c r="C24" s="64" t="s">
        <v>31</v>
      </c>
      <c r="D24" s="63" t="s">
        <v>123</v>
      </c>
      <c r="E24" s="63" t="s">
        <v>124</v>
      </c>
      <c r="F24" s="63" t="s">
        <v>125</v>
      </c>
      <c r="G24" s="63" t="s">
        <v>126</v>
      </c>
      <c r="H24" s="69">
        <v>50</v>
      </c>
      <c r="I24" s="70" t="s">
        <v>184</v>
      </c>
      <c r="J24" s="63" t="s">
        <v>127</v>
      </c>
      <c r="K24" s="69">
        <v>28000</v>
      </c>
      <c r="L24" s="69" t="s">
        <v>128</v>
      </c>
      <c r="M24" s="68" t="s">
        <v>129</v>
      </c>
      <c r="P24" s="69"/>
      <c r="Q24" s="127">
        <v>50</v>
      </c>
      <c r="S24" s="69"/>
      <c r="T24" s="63">
        <v>50</v>
      </c>
      <c r="U24" s="75"/>
      <c r="V24" s="75"/>
      <c r="W24" s="75">
        <v>1</v>
      </c>
      <c r="X24" s="75"/>
      <c r="Y24" s="75"/>
      <c r="Z24" s="75">
        <v>1</v>
      </c>
      <c r="AA24" s="75"/>
    </row>
    <row r="25" spans="1:28" s="63" customFormat="1" ht="15.75" x14ac:dyDescent="0.45">
      <c r="A25" s="63" t="s">
        <v>35</v>
      </c>
      <c r="B25" s="63" t="s">
        <v>30</v>
      </c>
      <c r="C25" s="64" t="s">
        <v>31</v>
      </c>
      <c r="D25" s="63" t="s">
        <v>130</v>
      </c>
      <c r="E25" s="63" t="s">
        <v>131</v>
      </c>
      <c r="F25" s="63" t="s">
        <v>105</v>
      </c>
      <c r="G25" s="63" t="s">
        <v>183</v>
      </c>
      <c r="H25" s="69">
        <v>110</v>
      </c>
      <c r="I25" s="70" t="s">
        <v>184</v>
      </c>
      <c r="J25" s="63" t="s">
        <v>108</v>
      </c>
      <c r="K25" s="69">
        <v>28000</v>
      </c>
      <c r="L25" s="69" t="s">
        <v>114</v>
      </c>
      <c r="M25" s="64"/>
      <c r="N25" s="69"/>
      <c r="O25" s="69"/>
      <c r="P25" s="93"/>
      <c r="Q25" s="127">
        <v>110</v>
      </c>
      <c r="R25" s="69"/>
      <c r="S25" s="93"/>
      <c r="T25" s="63">
        <v>110</v>
      </c>
      <c r="U25" s="75"/>
      <c r="V25" s="75">
        <v>1</v>
      </c>
      <c r="W25" s="75">
        <v>1</v>
      </c>
      <c r="X25" s="75"/>
      <c r="Y25" s="75"/>
      <c r="Z25" s="75">
        <v>1</v>
      </c>
      <c r="AA25" s="75"/>
    </row>
    <row r="26" spans="1:28" s="4" customFormat="1" ht="15.75" x14ac:dyDescent="0.45">
      <c r="A26" s="4" t="s">
        <v>35</v>
      </c>
      <c r="B26" s="4" t="s">
        <v>30</v>
      </c>
      <c r="C26" s="5" t="s">
        <v>24</v>
      </c>
      <c r="D26" s="4" t="s">
        <v>95</v>
      </c>
      <c r="E26" s="4" t="s">
        <v>96</v>
      </c>
      <c r="F26" s="5" t="s">
        <v>54</v>
      </c>
      <c r="G26" s="4">
        <v>1</v>
      </c>
      <c r="H26" s="10">
        <v>880</v>
      </c>
      <c r="I26" s="17" t="s">
        <v>187</v>
      </c>
      <c r="J26" s="10" t="s">
        <v>188</v>
      </c>
      <c r="K26" s="10">
        <v>7800</v>
      </c>
      <c r="L26" s="10" t="s">
        <v>189</v>
      </c>
      <c r="M26" s="7" t="s">
        <v>101</v>
      </c>
      <c r="P26" s="10"/>
      <c r="Q26" s="128">
        <v>1</v>
      </c>
      <c r="S26" s="10"/>
      <c r="T26" s="4">
        <v>1</v>
      </c>
      <c r="U26" s="76">
        <v>1</v>
      </c>
      <c r="V26" s="76"/>
      <c r="W26" s="76">
        <v>1</v>
      </c>
      <c r="X26" s="76"/>
      <c r="Y26" s="76">
        <v>1</v>
      </c>
      <c r="Z26" s="76">
        <v>1</v>
      </c>
      <c r="AA26" s="76">
        <v>1</v>
      </c>
      <c r="AB26" s="4" t="s">
        <v>190</v>
      </c>
    </row>
    <row r="27" spans="1:28" s="4" customFormat="1" x14ac:dyDescent="0.45">
      <c r="A27" s="4" t="s">
        <v>35</v>
      </c>
      <c r="B27" s="4" t="s">
        <v>30</v>
      </c>
      <c r="C27" s="5" t="s">
        <v>31</v>
      </c>
      <c r="D27" s="4" t="s">
        <v>133</v>
      </c>
      <c r="E27" s="4" t="s">
        <v>134</v>
      </c>
      <c r="H27" s="10"/>
      <c r="I27" s="17"/>
      <c r="K27" s="10"/>
      <c r="L27" s="10"/>
      <c r="M27" s="5"/>
      <c r="Q27" s="128"/>
      <c r="AB27" s="4" t="s">
        <v>191</v>
      </c>
    </row>
    <row r="28" spans="1:28" s="4" customFormat="1" x14ac:dyDescent="0.45">
      <c r="A28" s="4" t="s">
        <v>35</v>
      </c>
      <c r="B28" s="4" t="s">
        <v>30</v>
      </c>
      <c r="C28" s="5" t="s">
        <v>31</v>
      </c>
      <c r="D28" s="4" t="s">
        <v>192</v>
      </c>
      <c r="E28" s="4" t="s">
        <v>193</v>
      </c>
      <c r="F28" s="4" t="s">
        <v>194</v>
      </c>
      <c r="G28" s="4" t="s">
        <v>195</v>
      </c>
      <c r="H28" s="10">
        <v>73</v>
      </c>
      <c r="I28" s="17"/>
      <c r="K28" s="10"/>
      <c r="L28" s="10"/>
      <c r="M28" s="5"/>
      <c r="N28" s="10">
        <f>H28</f>
        <v>73</v>
      </c>
      <c r="O28" s="10"/>
      <c r="Q28" s="128"/>
      <c r="R28" s="10">
        <f>K28</f>
        <v>0</v>
      </c>
      <c r="AB28" s="4" t="s">
        <v>196</v>
      </c>
    </row>
    <row r="29" spans="1:28" s="85" customFormat="1" ht="15.75" x14ac:dyDescent="0.45">
      <c r="A29" s="85" t="s">
        <v>35</v>
      </c>
      <c r="B29" s="85" t="s">
        <v>30</v>
      </c>
      <c r="C29" s="86" t="s">
        <v>31</v>
      </c>
      <c r="D29" s="85" t="s">
        <v>197</v>
      </c>
      <c r="E29" s="85" t="s">
        <v>124</v>
      </c>
      <c r="F29" s="85" t="s">
        <v>125</v>
      </c>
      <c r="G29" s="85" t="s">
        <v>126</v>
      </c>
      <c r="H29" s="87">
        <v>50</v>
      </c>
      <c r="I29" s="88" t="s">
        <v>184</v>
      </c>
      <c r="J29" s="85" t="s">
        <v>127</v>
      </c>
      <c r="K29" s="87">
        <v>28000</v>
      </c>
      <c r="L29" s="87" t="s">
        <v>128</v>
      </c>
      <c r="M29" s="89" t="s">
        <v>129</v>
      </c>
      <c r="N29" s="85">
        <v>50</v>
      </c>
      <c r="P29" s="87"/>
      <c r="Q29" s="129"/>
      <c r="R29" s="85">
        <v>50</v>
      </c>
      <c r="S29" s="87"/>
      <c r="U29" s="90"/>
      <c r="V29" s="90"/>
      <c r="W29" s="90"/>
      <c r="X29" s="90"/>
      <c r="Y29" s="90"/>
      <c r="Z29" s="90"/>
      <c r="AA29" s="90"/>
    </row>
    <row r="30" spans="1:28" s="95" customFormat="1" ht="15.75" x14ac:dyDescent="0.45">
      <c r="A30" s="85" t="s">
        <v>35</v>
      </c>
      <c r="B30" s="85" t="s">
        <v>30</v>
      </c>
      <c r="C30" s="86" t="s">
        <v>31</v>
      </c>
      <c r="D30" s="95" t="s">
        <v>198</v>
      </c>
      <c r="F30" s="95" t="s">
        <v>199</v>
      </c>
      <c r="G30" s="95" t="s">
        <v>200</v>
      </c>
      <c r="H30" s="96">
        <v>368</v>
      </c>
      <c r="I30" s="97" t="s">
        <v>201</v>
      </c>
      <c r="K30" s="96"/>
      <c r="L30" s="96"/>
      <c r="M30" s="98"/>
      <c r="N30" s="96">
        <f>H30</f>
        <v>368</v>
      </c>
      <c r="O30" s="96"/>
      <c r="P30" s="96"/>
      <c r="Q30" s="130"/>
      <c r="R30" s="96">
        <f>K30</f>
        <v>0</v>
      </c>
      <c r="S30" s="96"/>
      <c r="U30" s="99"/>
      <c r="V30" s="99"/>
      <c r="W30" s="99"/>
      <c r="X30" s="99"/>
      <c r="Y30" s="99"/>
      <c r="Z30" s="99"/>
      <c r="AA30" s="99"/>
    </row>
    <row r="31" spans="1:28" s="4" customFormat="1" x14ac:dyDescent="0.45">
      <c r="A31" s="4" t="s">
        <v>35</v>
      </c>
      <c r="B31" s="4" t="s">
        <v>30</v>
      </c>
      <c r="C31" s="5" t="s">
        <v>24</v>
      </c>
      <c r="D31" s="4" t="s">
        <v>135</v>
      </c>
      <c r="E31" s="4" t="s">
        <v>136</v>
      </c>
      <c r="H31" s="10"/>
      <c r="I31" s="17"/>
      <c r="K31" s="10"/>
      <c r="L31" s="10"/>
      <c r="M31" s="5"/>
      <c r="Q31" s="128"/>
    </row>
    <row r="32" spans="1:28" s="4" customFormat="1" x14ac:dyDescent="0.45">
      <c r="A32" s="4" t="s">
        <v>35</v>
      </c>
      <c r="B32" s="4" t="s">
        <v>30</v>
      </c>
      <c r="C32" s="5" t="s">
        <v>24</v>
      </c>
      <c r="D32" s="4" t="s">
        <v>137</v>
      </c>
      <c r="E32" s="4" t="s">
        <v>138</v>
      </c>
      <c r="H32" s="10"/>
      <c r="I32" s="17"/>
      <c r="K32" s="10"/>
      <c r="L32" s="10"/>
      <c r="M32" s="5"/>
      <c r="Q32" s="128"/>
    </row>
    <row r="33" spans="3:19" s="4" customFormat="1" x14ac:dyDescent="0.45">
      <c r="C33" s="5"/>
      <c r="H33" s="10"/>
      <c r="I33" s="17"/>
      <c r="K33" s="10"/>
      <c r="L33" s="10"/>
      <c r="M33" s="4" t="s">
        <v>202</v>
      </c>
      <c r="N33" s="10">
        <f>SUM(N10:N32)</f>
        <v>4428.93</v>
      </c>
      <c r="O33" s="10"/>
      <c r="R33" s="10">
        <f>SUM(R10:R32)</f>
        <v>248050</v>
      </c>
    </row>
    <row r="34" spans="3:19" s="4" customFormat="1" x14ac:dyDescent="0.45">
      <c r="C34" s="5"/>
      <c r="H34" s="10"/>
      <c r="I34" s="17"/>
      <c r="K34" s="10"/>
      <c r="L34" s="10"/>
      <c r="M34" s="5"/>
      <c r="P34" s="10"/>
      <c r="S34" s="10"/>
    </row>
    <row r="35" spans="3:19" s="4" customFormat="1" x14ac:dyDescent="0.45">
      <c r="C35" s="5"/>
      <c r="H35" s="10"/>
      <c r="I35" s="17"/>
      <c r="K35" s="10"/>
      <c r="L35" s="10"/>
      <c r="M35" s="5"/>
    </row>
    <row r="36" spans="3:19" s="4" customFormat="1" x14ac:dyDescent="0.45">
      <c r="C36" s="5"/>
      <c r="H36" s="10"/>
      <c r="I36" s="17"/>
      <c r="K36" s="10"/>
      <c r="L36" s="10"/>
      <c r="M36" s="5"/>
    </row>
    <row r="37" spans="3:19" s="4" customFormat="1" x14ac:dyDescent="0.45">
      <c r="C37" s="5"/>
      <c r="H37" s="10"/>
      <c r="I37" s="17"/>
      <c r="K37" s="10"/>
      <c r="L37" s="10"/>
      <c r="M37" s="5"/>
    </row>
  </sheetData>
  <conditionalFormatting sqref="N10:O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0:R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M15" r:id="rId1" xr:uid="{6CADAA3B-03E9-4625-B250-7AA35839471B}"/>
    <hyperlink ref="M14" r:id="rId2" xr:uid="{7EECABFA-EA15-4502-B51F-235E69C831BD}"/>
    <hyperlink ref="M12" r:id="rId3" display="https://docs.microsoft.com/en-us/azure/data-factory/pricing-concepts" xr:uid="{3ED82EDE-0243-41BB-8CF1-89F6DEA65B8B}"/>
    <hyperlink ref="M16" r:id="rId4" display="https://docs.microsoft.com/en-us/azure/storage/blobs/storage-performance-checklist" xr:uid="{E32B4616-4B84-4728-A004-EC17A21C1C67}"/>
    <hyperlink ref="M13" r:id="rId5" xr:uid="{F3E1D515-BED3-4007-87BF-0D803FC4DAAE}"/>
    <hyperlink ref="M19" r:id="rId6" xr:uid="{6A12BAFE-F4CE-460F-9D41-93DDBAE3201B}"/>
    <hyperlink ref="M23" r:id="rId7" xr:uid="{F2356E8B-C282-4262-8963-3D5559EEF2ED}"/>
    <hyperlink ref="I15" r:id="rId8" xr:uid="{FAF2D430-8B28-4765-B84D-D2201B2F10D8}"/>
    <hyperlink ref="L15" r:id="rId9" xr:uid="{75A5EF6B-6302-4428-970F-E102E7394485}"/>
    <hyperlink ref="M21" r:id="rId10" location="choose-a-compute-target" xr:uid="{94019E13-760E-4A0B-B7CC-275AB0A5B7FD}"/>
    <hyperlink ref="E21" r:id="rId11" location="train" xr:uid="{8FB8CAC0-DCB3-4D2E-A6F8-9E5E4011C050}"/>
    <hyperlink ref="E22" r:id="rId12" location="deploy" xr:uid="{F716CB91-3B8B-448D-8DEA-1AA42B3A4334}"/>
    <hyperlink ref="M22" r:id="rId13" location="choose-a-compute-target" xr:uid="{EEEB33F6-F0C9-420A-A550-C2047C17A65B}"/>
    <hyperlink ref="M26" r:id="rId14" xr:uid="{96D359EE-342E-40DF-91BD-2531662AD1FF}"/>
    <hyperlink ref="M24" r:id="rId15" xr:uid="{EF412009-63D5-43CE-9AEC-62A23C4668FF}"/>
    <hyperlink ref="M17" r:id="rId16" xr:uid="{124A7328-B11A-4AA7-8DC8-4966E1590EE5}"/>
    <hyperlink ref="M10" r:id="rId17" xr:uid="{5ABC4302-EB50-4364-ADF6-E6F2C5174C2D}"/>
    <hyperlink ref="M11" r:id="rId18" xr:uid="{9AB24426-3DE5-4EB1-AF11-6FDBE87F3130}"/>
    <hyperlink ref="AB10" r:id="rId19" location="event-hubs-dedicated---quotas-and-limits" display="Click here for quotas" xr:uid="{4B8AF1EB-34B8-4EB2-AF9E-778A63AA6EE8}"/>
    <hyperlink ref="M18" r:id="rId20" xr:uid="{DB9E5620-EE65-483D-84C8-51CE8D68AE34}"/>
    <hyperlink ref="M29" r:id="rId21" display="https://azure.microsoft.com/en-gb/pricing/details/api-management/?ref=microsoft.com&amp;utm_source=microsoft.com&amp;utm_medium=docs&amp;utm_campaign=visualstudio" xr:uid="{00618157-FD90-4980-BD49-2170E88AA55E}"/>
  </hyperlinks>
  <pageMargins left="0.7" right="0.7" top="0.75" bottom="0.75" header="0.3" footer="0.3"/>
  <pageSetup paperSize="9" orientation="portrait" horizontalDpi="300" verticalDpi="300" r:id="rId22"/>
  <drawing r:id="rId23"/>
  <legacy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B7B9-0DB9-43A1-B247-DEE8E5C35C9C}">
  <dimension ref="A1:AH11"/>
  <sheetViews>
    <sheetView zoomScale="80" zoomScaleNormal="80" workbookViewId="0">
      <pane xSplit="4" ySplit="1" topLeftCell="M2" activePane="bottomRight" state="frozen"/>
      <selection pane="topRight"/>
      <selection pane="bottomLeft"/>
      <selection pane="bottomRight" activeCell="R8" sqref="R8"/>
    </sheetView>
  </sheetViews>
  <sheetFormatPr defaultRowHeight="14.25" x14ac:dyDescent="0.45"/>
  <cols>
    <col min="1" max="1" width="36" customWidth="1"/>
    <col min="2" max="3" width="15" customWidth="1"/>
    <col min="4" max="4" width="12.1328125" bestFit="1" customWidth="1"/>
    <col min="5" max="5" width="19.265625" bestFit="1" customWidth="1"/>
    <col min="6" max="6" width="13.73046875" bestFit="1" customWidth="1"/>
    <col min="7" max="7" width="13.1328125" bestFit="1" customWidth="1"/>
    <col min="8" max="8" width="14.1328125" bestFit="1" customWidth="1"/>
    <col min="9" max="9" width="13.73046875" bestFit="1" customWidth="1"/>
    <col min="10" max="11" width="15.73046875" bestFit="1" customWidth="1"/>
    <col min="12" max="12" width="14.1328125" bestFit="1" customWidth="1"/>
    <col min="13" max="13" width="13.73046875" bestFit="1" customWidth="1"/>
    <col min="14" max="14" width="9.73046875" customWidth="1"/>
    <col min="15" max="15" width="8.3984375" bestFit="1" customWidth="1"/>
    <col min="16" max="16" width="9.73046875" customWidth="1"/>
    <col min="17" max="17" width="10.86328125" bestFit="1" customWidth="1"/>
    <col min="18" max="18" width="11.1328125" customWidth="1"/>
    <col min="19" max="19" width="9" bestFit="1" customWidth="1"/>
    <col min="20" max="20" width="12.1328125" bestFit="1" customWidth="1"/>
    <col min="21" max="21" width="12.1328125" customWidth="1"/>
    <col min="22" max="22" width="14.265625" customWidth="1"/>
    <col min="23" max="23" width="15.86328125" customWidth="1"/>
    <col min="24" max="24" width="14.73046875" customWidth="1"/>
    <col min="25" max="25" width="12.265625" customWidth="1"/>
    <col min="26" max="26" width="10.86328125" customWidth="1"/>
    <col min="27" max="27" width="8.1328125" customWidth="1"/>
    <col min="28" max="28" width="6.3984375" customWidth="1"/>
    <col min="29" max="29" width="15.1328125" customWidth="1"/>
    <col min="30" max="30" width="14.73046875" customWidth="1"/>
    <col min="31" max="31" width="19.265625" bestFit="1" customWidth="1"/>
    <col min="32" max="32" width="19.59765625" bestFit="1" customWidth="1"/>
    <col min="33" max="33" width="14.3984375" bestFit="1" customWidth="1"/>
    <col min="34" max="34" width="14.1328125" bestFit="1" customWidth="1"/>
  </cols>
  <sheetData>
    <row r="1" spans="1:34" ht="71.25" x14ac:dyDescent="0.45">
      <c r="A1" s="3" t="s">
        <v>335</v>
      </c>
      <c r="B1" s="3" t="s">
        <v>203</v>
      </c>
      <c r="C1" s="3" t="s">
        <v>365</v>
      </c>
      <c r="D1" s="3" t="s">
        <v>204</v>
      </c>
      <c r="E1" s="11" t="s">
        <v>205</v>
      </c>
      <c r="F1" s="78" t="s">
        <v>206</v>
      </c>
      <c r="G1" s="78" t="s">
        <v>207</v>
      </c>
      <c r="H1" s="78" t="s">
        <v>376</v>
      </c>
      <c r="I1" s="78" t="s">
        <v>377</v>
      </c>
      <c r="J1" s="78" t="s">
        <v>375</v>
      </c>
      <c r="K1" s="78" t="s">
        <v>374</v>
      </c>
      <c r="L1" s="78" t="s">
        <v>208</v>
      </c>
      <c r="M1" s="78" t="s">
        <v>209</v>
      </c>
      <c r="N1" s="78" t="s">
        <v>371</v>
      </c>
      <c r="O1" s="78" t="s">
        <v>210</v>
      </c>
      <c r="P1" s="78" t="s">
        <v>370</v>
      </c>
      <c r="Q1" s="78" t="s">
        <v>211</v>
      </c>
      <c r="R1" s="78" t="s">
        <v>372</v>
      </c>
      <c r="S1" s="78" t="s">
        <v>373</v>
      </c>
      <c r="T1" s="13" t="s">
        <v>212</v>
      </c>
      <c r="U1" s="13" t="s">
        <v>332</v>
      </c>
      <c r="V1" s="13" t="s">
        <v>331</v>
      </c>
      <c r="W1" s="13" t="s">
        <v>213</v>
      </c>
      <c r="X1" s="13" t="s">
        <v>214</v>
      </c>
      <c r="Y1" s="13" t="s">
        <v>215</v>
      </c>
      <c r="Z1" s="13" t="s">
        <v>364</v>
      </c>
      <c r="AA1" s="13" t="s">
        <v>363</v>
      </c>
      <c r="AB1" s="13" t="s">
        <v>367</v>
      </c>
      <c r="AC1" s="13" t="s">
        <v>216</v>
      </c>
      <c r="AD1" s="13" t="s">
        <v>217</v>
      </c>
      <c r="AE1" t="s">
        <v>218</v>
      </c>
      <c r="AF1" t="s">
        <v>219</v>
      </c>
      <c r="AG1" t="s">
        <v>220</v>
      </c>
      <c r="AH1" t="s">
        <v>221</v>
      </c>
    </row>
    <row r="2" spans="1:34" x14ac:dyDescent="0.45">
      <c r="A2" t="str">
        <f>'Business Sizing Assumptions'!B1</f>
        <v>Discovery &amp; Design</v>
      </c>
      <c r="B2" s="137">
        <f>(('Monthly Component Cost'!$N$33 - IF(H2=0,'Monthly Component Cost'!$N$23,0))*U2) + ((('Monthly Component Cost'!$N$33 - IF(H2=0,'Monthly Component Cost'!$N$23,0))*U2)*$B$9*($B$10+(D2*$B$11)))</f>
        <v>4446.1138600000004</v>
      </c>
      <c r="C2" s="77" cm="1">
        <f t="array" ref="C2">SUMPRODUCT('Monthly Component Cost'!$N$10:$N$15*'Monthly Component Cost'!$O$10:$O$15)*U2</f>
        <v>2437.9299999999998</v>
      </c>
      <c r="D2">
        <v>1</v>
      </c>
      <c r="E2" s="136" cm="1">
        <f t="array" ref="E2">IF(F2&gt;=1,(SUMPRODUCT('Monthly Component Cost'!$U$16:$U$26*'Monthly Component Cost'!$P$16:$P$26)*D2),0)+IF(H2&gt;=1,(SUMPRODUCT('Monthly Component Cost'!$V$16:$V$26*'Monthly Component Cost'!$P$16:$P$26)*D2),0)+IF(J2&gt;=1,(SUMPRODUCT('Monthly Component Cost'!$W$16:$W$26*'Monthly Component Cost'!$P$16:$P$26)*D2),0)+IF(L2&gt;=1,(SUMPRODUCT('Monthly Component Cost'!$X$16:$X$26*'Monthly Component Cost'!$P$16:$P$26)*D2),0)+IF(N2&gt;=1,(SUMPRODUCT('Monthly Component Cost'!$Y$16:$Y$26*'Monthly Component Cost'!$P$16:$P$26)*D2),0)+IF(P2&gt;=1,(SUMPRODUCT('Monthly Component Cost'!$Z$16:$Z$26*'Monthly Component Cost'!$P$16:$P$26)*D2),0)+IF(R2&gt;=1,(SUMPRODUCT('Monthly Component Cost'!$AA$16:$AA$26*'Monthly Component Cost'!$P$16:$P$26)*D2),0)</f>
        <v>22</v>
      </c>
      <c r="F2">
        <f t="shared" ref="F2:F7" si="0">D2*$B$8</f>
        <v>5</v>
      </c>
      <c r="G2" s="77" cm="1">
        <f t="array" ref="G2">SUMPRODUCT('Monthly Component Cost'!$U$16:$U$26*'Monthly Component Cost'!$Q$16:$Q$26)*F2</f>
        <v>370</v>
      </c>
      <c r="H2">
        <v>0</v>
      </c>
      <c r="I2" s="77" cm="1">
        <f t="array" ref="I2">SUMPRODUCT('Monthly Component Cost'!$V$16:$V$26*'Monthly Component Cost'!$Q$16:$Q$26)*H2</f>
        <v>0</v>
      </c>
      <c r="J2">
        <f t="shared" ref="J2:J7" si="1">D2*$B$8</f>
        <v>5</v>
      </c>
      <c r="K2" s="77" cm="1">
        <f t="array" ref="K2">SUMPRODUCT('Monthly Component Cost'!$W$16:$W$26*'Monthly Component Cost'!$Q$16:$Q$26)*J2</f>
        <v>805</v>
      </c>
      <c r="L2">
        <v>0</v>
      </c>
      <c r="M2" s="77" cm="1">
        <f t="array" ref="M2">SUMPRODUCT('Monthly Component Cost'!$X$16:$X$26*'Monthly Component Cost'!$Q$16:$Q$26)*L2</f>
        <v>0</v>
      </c>
      <c r="N2">
        <v>0</v>
      </c>
      <c r="O2" s="77" cm="1">
        <f t="array" ref="O2">SUMPRODUCT('Monthly Component Cost'!$Y$16:$Y$26*'Monthly Component Cost'!$Q$16:$Q$26)*N2</f>
        <v>0</v>
      </c>
      <c r="P2">
        <v>0</v>
      </c>
      <c r="Q2" s="77" cm="1">
        <f t="array" ref="Q2">SUMPRODUCT('Monthly Component Cost'!$Z$16:$Z$26*'Monthly Component Cost'!$Q$16:$Q$26)*P2</f>
        <v>0</v>
      </c>
      <c r="R2">
        <v>0</v>
      </c>
      <c r="S2" cm="1">
        <f t="array" ref="S2">SUMPRODUCT('Monthly Component Cost'!$AA$16:$AA$26*'Monthly Component Cost'!$Q$16:$Q$26)*R2</f>
        <v>0</v>
      </c>
      <c r="T2" s="77">
        <f t="shared" ref="T2:T7" si="2">B2+S2+Q2+O2+M2+K2+I2+G2+E2</f>
        <v>5643.1138600000004</v>
      </c>
      <c r="U2" s="25">
        <v>1</v>
      </c>
      <c r="V2" s="77">
        <f>T2+(B2*$B$9*$B$10)</f>
        <v>6532.3366320000005</v>
      </c>
      <c r="W2" s="77">
        <f>V2-B2</f>
        <v>2086.2227720000001</v>
      </c>
      <c r="X2" s="77">
        <f t="shared" ref="X2:X7" si="3">V2/D2</f>
        <v>6532.3366320000005</v>
      </c>
      <c r="Y2" s="77">
        <f t="shared" ref="Y2:Y7" si="4">V2/(F2+H2+J2+L2+N2+P2+R2)</f>
        <v>653.23366320000002</v>
      </c>
      <c r="Z2" s="77">
        <f t="shared" ref="Z2:Z7" si="5">(G2+C2)</f>
        <v>2807.93</v>
      </c>
      <c r="AA2" s="77">
        <v>1</v>
      </c>
      <c r="AB2">
        <f t="shared" ref="AB2:AB7" si="6">F2+H2+J2+L2</f>
        <v>10</v>
      </c>
      <c r="AC2" s="77">
        <f t="shared" ref="AC2:AC4" si="7">AB2*AA2</f>
        <v>10</v>
      </c>
      <c r="AD2" s="77">
        <f t="shared" ref="AD2:AD7" si="8">AC2-T2</f>
        <v>-5633.1138600000004</v>
      </c>
      <c r="AE2" s="77">
        <f t="shared" ref="AE2:AE7" si="9">T2*0.8</f>
        <v>4514.4910880000007</v>
      </c>
      <c r="AF2" s="77">
        <f t="shared" ref="AF2:AF7" si="10">T2*1.2</f>
        <v>6771.7366320000001</v>
      </c>
      <c r="AG2" s="77">
        <f>AC2-AE2</f>
        <v>-4504.4910880000007</v>
      </c>
      <c r="AH2" s="77">
        <f>AC2-AF2</f>
        <v>-6761.7366320000001</v>
      </c>
    </row>
    <row r="3" spans="1:34" x14ac:dyDescent="0.45">
      <c r="A3" t="str">
        <f>'Business Sizing Assumptions'!C1</f>
        <v>Prototype</v>
      </c>
      <c r="B3" s="137">
        <f>(('Monthly Component Cost'!$N$33 - IF(H3=0,'Monthly Component Cost'!$N$23,0))*U3) + ((('Monthly Component Cost'!$N$33 - IF(H3=0,'Monthly Component Cost'!$N$23,0))*U3)*$B$9*($B$10+(D3*$B$11)))</f>
        <v>21613.178400000001</v>
      </c>
      <c r="C3" s="77" cm="1">
        <f t="array" ref="C3">SUMPRODUCT('Monthly Component Cost'!$N$10:$N$15*'Monthly Component Cost'!$O$10:$O$15)*U3</f>
        <v>9751.7199999999993</v>
      </c>
      <c r="D3">
        <v>10</v>
      </c>
      <c r="E3" s="136" cm="1">
        <f t="array" ref="E3">IF(F3&gt;=1,(SUMPRODUCT('Monthly Component Cost'!$U$16:$U$26*'Monthly Component Cost'!$P$16:$P$26)*D3),0)+IF(H3&gt;=1,(SUMPRODUCT('Monthly Component Cost'!$V$16:$V$26*'Monthly Component Cost'!$P$16:$P$26)*D3),0)+IF(J3&gt;=1,(SUMPRODUCT('Monthly Component Cost'!$W$16:$W$26*'Monthly Component Cost'!$P$16:$P$26)*D3),0)+IF(L3&gt;=1,(SUMPRODUCT('Monthly Component Cost'!$X$16:$X$26*'Monthly Component Cost'!$P$16:$P$26)*D3),0)+IF(N3&gt;=1,(SUMPRODUCT('Monthly Component Cost'!$Y$16:$Y$26*'Monthly Component Cost'!$P$16:$P$26)*D3),0)+IF(P3&gt;=1,(SUMPRODUCT('Monthly Component Cost'!$Z$16:$Z$26*'Monthly Component Cost'!$P$16:$P$26)*D3),0)+IF(R3&gt;=1,(SUMPRODUCT('Monthly Component Cost'!$AA$16:$AA$26*'Monthly Component Cost'!$P$16:$P$26)*D3),0)</f>
        <v>4420</v>
      </c>
      <c r="F3">
        <f t="shared" si="0"/>
        <v>50</v>
      </c>
      <c r="G3" s="77" cm="1">
        <f t="array" ref="G3">SUMPRODUCT('Monthly Component Cost'!$U$16:$U$26*'Monthly Component Cost'!$Q$16:$Q$26)*F3</f>
        <v>3700</v>
      </c>
      <c r="H3">
        <f>D3*$B$8</f>
        <v>50</v>
      </c>
      <c r="I3" s="77" cm="1">
        <f t="array" ref="I3">SUMPRODUCT('Monthly Component Cost'!$V$16:$V$26*'Monthly Component Cost'!$Q$16:$Q$26)*H3</f>
        <v>6000</v>
      </c>
      <c r="J3">
        <f t="shared" si="1"/>
        <v>50</v>
      </c>
      <c r="K3" s="77" cm="1">
        <f t="array" ref="K3">SUMPRODUCT('Monthly Component Cost'!$W$16:$W$26*'Monthly Component Cost'!$Q$16:$Q$26)*J3</f>
        <v>8050</v>
      </c>
      <c r="L3">
        <f>D3*$B$8</f>
        <v>50</v>
      </c>
      <c r="M3" s="77" cm="1">
        <f t="array" ref="M3">SUMPRODUCT('Monthly Component Cost'!$X$16:$X$26*'Monthly Component Cost'!$Q$16:$Q$26)*L3</f>
        <v>13000</v>
      </c>
      <c r="N3">
        <f t="shared" ref="N3:N6" si="11">D3*$B$8</f>
        <v>50</v>
      </c>
      <c r="O3" s="77" cm="1">
        <f t="array" ref="O3">SUMPRODUCT('Monthly Component Cost'!$Y$16:$Y$26*'Monthly Component Cost'!$Q$16:$Q$26)*N3</f>
        <v>50</v>
      </c>
      <c r="P3">
        <f t="shared" ref="P3:P6" si="12">D3*$B$8</f>
        <v>50</v>
      </c>
      <c r="Q3" s="77" cm="1">
        <f t="array" ref="Q3">SUMPRODUCT('Monthly Component Cost'!$Z$16:$Z$26*'Monthly Component Cost'!$Q$16:$Q$26)*P3</f>
        <v>8050</v>
      </c>
      <c r="R3">
        <f t="shared" ref="R3:R6" si="13">D3*$B$8</f>
        <v>50</v>
      </c>
      <c r="S3" cm="1">
        <f t="array" ref="S3">SUMPRODUCT('Monthly Component Cost'!$AA$16:$AA$26*'Monthly Component Cost'!$Q$16:$Q$26)*R3</f>
        <v>50</v>
      </c>
      <c r="T3" s="77">
        <f t="shared" si="2"/>
        <v>64933.178400000004</v>
      </c>
      <c r="U3" s="25">
        <v>4</v>
      </c>
      <c r="V3" s="77">
        <f t="shared" ref="V3:V4" si="14">T3+(B3*$B$9*$B$10)</f>
        <v>69255.814080000011</v>
      </c>
      <c r="W3" s="77">
        <f t="shared" ref="W3:W6" si="15">V3-B3</f>
        <v>47642.635680000007</v>
      </c>
      <c r="X3" s="77">
        <f t="shared" si="3"/>
        <v>6925.5814080000009</v>
      </c>
      <c r="Y3" s="77">
        <f t="shared" si="4"/>
        <v>197.87375451428574</v>
      </c>
      <c r="Z3" s="77">
        <f t="shared" si="5"/>
        <v>13451.72</v>
      </c>
      <c r="AA3" s="77">
        <v>150</v>
      </c>
      <c r="AB3">
        <f t="shared" si="6"/>
        <v>200</v>
      </c>
      <c r="AC3" s="77">
        <f t="shared" si="7"/>
        <v>30000</v>
      </c>
      <c r="AD3" s="77">
        <f t="shared" si="8"/>
        <v>-34933.178400000004</v>
      </c>
      <c r="AE3" s="77">
        <f t="shared" si="9"/>
        <v>51946.542720000005</v>
      </c>
      <c r="AF3" s="77">
        <f t="shared" si="10"/>
        <v>77919.814079999996</v>
      </c>
      <c r="AG3" s="77">
        <f t="shared" ref="AG3:AG4" si="16">AC3-AE3</f>
        <v>-21946.542720000005</v>
      </c>
      <c r="AH3" s="77">
        <f t="shared" ref="AH3:AH4" si="17">AC3-AF3</f>
        <v>-47919.814079999996</v>
      </c>
    </row>
    <row r="4" spans="1:34" x14ac:dyDescent="0.45">
      <c r="A4" t="str">
        <f>'Business Sizing Assumptions'!D1</f>
        <v>Early Access</v>
      </c>
      <c r="B4" s="137">
        <f>(('Monthly Component Cost'!$N$33 - IF(H4=0,'Monthly Component Cost'!$N$23,0))*U4) + ((('Monthly Component Cost'!$N$33 - IF(H4=0,'Monthly Component Cost'!$N$23,0))*U4)*$B$9*($B$10+(D4*$B$11)))</f>
        <v>54918.732000000004</v>
      </c>
      <c r="C4" s="77" cm="1">
        <f t="array" ref="C4">SUMPRODUCT('Monthly Component Cost'!$N$10:$N$15*'Monthly Component Cost'!$O$10:$O$15)*U4</f>
        <v>24379.3</v>
      </c>
      <c r="D4">
        <v>20</v>
      </c>
      <c r="E4" s="136" cm="1">
        <f t="array" ref="E4">IF(F4&gt;=1,(SUMPRODUCT('Monthly Component Cost'!$U$16:$U$26*'Monthly Component Cost'!$P$16:$P$26)*D4),0)+IF(H4&gt;=1,(SUMPRODUCT('Monthly Component Cost'!$V$16:$V$26*'Monthly Component Cost'!$P$16:$P$26)*D4),0)+IF(J4&gt;=1,(SUMPRODUCT('Monthly Component Cost'!$W$16:$W$26*'Monthly Component Cost'!$P$16:$P$26)*D4),0)+IF(L4&gt;=1,(SUMPRODUCT('Monthly Component Cost'!$X$16:$X$26*'Monthly Component Cost'!$P$16:$P$26)*D4),0)+IF(N4&gt;=1,(SUMPRODUCT('Monthly Component Cost'!$Y$16:$Y$26*'Monthly Component Cost'!$P$16:$P$26)*D4),0)+IF(P4&gt;=1,(SUMPRODUCT('Monthly Component Cost'!$Z$16:$Z$26*'Monthly Component Cost'!$P$16:$P$26)*D4),0)+IF(R4&gt;=1,(SUMPRODUCT('Monthly Component Cost'!$AA$16:$AA$26*'Monthly Component Cost'!$P$16:$P$26)*D4),0)</f>
        <v>8840</v>
      </c>
      <c r="F4">
        <f t="shared" si="0"/>
        <v>100</v>
      </c>
      <c r="G4" s="77" cm="1">
        <f t="array" ref="G4">SUMPRODUCT('Monthly Component Cost'!$U$16:$U$26*'Monthly Component Cost'!$Q$16:$Q$26)*F4</f>
        <v>7400</v>
      </c>
      <c r="H4">
        <f>D4*$B$8</f>
        <v>100</v>
      </c>
      <c r="I4" s="77" cm="1">
        <f t="array" ref="I4">SUMPRODUCT('Monthly Component Cost'!$V$16:$V$26*'Monthly Component Cost'!$Q$16:$Q$26)*H4</f>
        <v>12000</v>
      </c>
      <c r="J4">
        <f t="shared" si="1"/>
        <v>100</v>
      </c>
      <c r="K4" s="77" cm="1">
        <f t="array" ref="K4">SUMPRODUCT('Monthly Component Cost'!$W$16:$W$26*'Monthly Component Cost'!$Q$16:$Q$26)*J4</f>
        <v>16100</v>
      </c>
      <c r="L4">
        <f>D4*$B$8</f>
        <v>100</v>
      </c>
      <c r="M4" s="77" cm="1">
        <f t="array" ref="M4">SUMPRODUCT('Monthly Component Cost'!$X$16:$X$26*'Monthly Component Cost'!$Q$16:$Q$26)*L4</f>
        <v>26000</v>
      </c>
      <c r="N4">
        <f t="shared" si="11"/>
        <v>100</v>
      </c>
      <c r="O4" s="77" cm="1">
        <f t="array" ref="O4">SUMPRODUCT('Monthly Component Cost'!$Y$16:$Y$26*'Monthly Component Cost'!$Q$16:$Q$26)*N4</f>
        <v>100</v>
      </c>
      <c r="P4">
        <f t="shared" si="12"/>
        <v>100</v>
      </c>
      <c r="Q4" s="77" cm="1">
        <f t="array" ref="Q4">SUMPRODUCT('Monthly Component Cost'!$Z$16:$Z$26*'Monthly Component Cost'!$Q$16:$Q$26)*P4</f>
        <v>16100</v>
      </c>
      <c r="R4">
        <f t="shared" si="13"/>
        <v>100</v>
      </c>
      <c r="S4" cm="1">
        <f t="array" ref="S4">SUMPRODUCT('Monthly Component Cost'!$AA$16:$AA$26*'Monthly Component Cost'!$Q$16:$Q$26)*R4</f>
        <v>100</v>
      </c>
      <c r="T4" s="77">
        <f t="shared" si="2"/>
        <v>141558.73200000002</v>
      </c>
      <c r="U4" s="25">
        <v>10</v>
      </c>
      <c r="V4" s="77">
        <f t="shared" si="14"/>
        <v>152542.47840000002</v>
      </c>
      <c r="W4" s="77">
        <f t="shared" si="15"/>
        <v>97623.746400000018</v>
      </c>
      <c r="X4" s="77">
        <f t="shared" si="3"/>
        <v>7627.1239200000009</v>
      </c>
      <c r="Y4" s="77">
        <f t="shared" si="4"/>
        <v>217.91782628571431</v>
      </c>
      <c r="Z4" s="77">
        <f t="shared" si="5"/>
        <v>31779.3</v>
      </c>
      <c r="AA4" s="77">
        <v>250</v>
      </c>
      <c r="AB4">
        <f t="shared" si="6"/>
        <v>400</v>
      </c>
      <c r="AC4" s="77">
        <f t="shared" si="7"/>
        <v>100000</v>
      </c>
      <c r="AD4" s="77">
        <f t="shared" si="8"/>
        <v>-41558.732000000018</v>
      </c>
      <c r="AE4" s="77">
        <f t="shared" si="9"/>
        <v>113246.98560000001</v>
      </c>
      <c r="AF4" s="77">
        <f t="shared" si="10"/>
        <v>169870.47840000002</v>
      </c>
      <c r="AG4" s="77">
        <f t="shared" si="16"/>
        <v>-13246.985600000015</v>
      </c>
      <c r="AH4" s="77">
        <f t="shared" si="17"/>
        <v>-69870.478400000022</v>
      </c>
    </row>
    <row r="5" spans="1:34" x14ac:dyDescent="0.45">
      <c r="A5" t="str">
        <f>'Business Sizing Assumptions'!E2</f>
        <v>+9 Months</v>
      </c>
      <c r="B5" s="137">
        <f>(('Monthly Component Cost'!$N$33 - IF(H5=0,'Monthly Component Cost'!$N$23,0))*U5) + ((('Monthly Component Cost'!$N$33 - IF(H5=0,'Monthly Component Cost'!$N$23,0))*U5)*$B$9*($B$10+(D5*$B$11)))</f>
        <v>111609.03600000001</v>
      </c>
      <c r="C5" s="77" cm="1">
        <f t="array" ref="C5">SUMPRODUCT('Monthly Component Cost'!$N$10:$N$15*'Monthly Component Cost'!$O$10:$O$15)*U5</f>
        <v>48758.6</v>
      </c>
      <c r="D5">
        <v>30</v>
      </c>
      <c r="E5" s="77" cm="1">
        <f t="array" ref="E5">IF(F5&gt;=1,(SUMPRODUCT('Monthly Component Cost'!$U$16:$U$26*'Monthly Component Cost'!$P$16:$P$26)*D5),0)+IF(H5&gt;=1,(SUMPRODUCT('Monthly Component Cost'!$V$16:$V$26*'Monthly Component Cost'!$P$16:$P$26)*D5),0)+IF(J5&gt;=1,(SUMPRODUCT('Monthly Component Cost'!$W$16:$W$26*'Monthly Component Cost'!$P$16:$P$26)*D5),0)+IF(L5&gt;=1,(SUMPRODUCT('Monthly Component Cost'!$X$16:$X$26*'Monthly Component Cost'!$P$16:$P$26)*D5),0)+IF(N5&gt;=1,(SUMPRODUCT('Monthly Component Cost'!$Y$16:$Y$26*'Monthly Component Cost'!$P$16:$P$26)*D5),0)+IF(P5&gt;=1,(SUMPRODUCT('Monthly Component Cost'!$Z$16:$Z$26*'Monthly Component Cost'!$P$16:$P$26)*D5),0)+IF(R5&gt;=1,(SUMPRODUCT('Monthly Component Cost'!$AA$16:$AA$26*'Monthly Component Cost'!$P$16:$P$26)*D5),0)</f>
        <v>13260</v>
      </c>
      <c r="F5" s="104">
        <f t="shared" si="0"/>
        <v>150</v>
      </c>
      <c r="G5" s="77" cm="1">
        <f t="array" ref="G5">SUMPRODUCT('Monthly Component Cost'!$U$16:$U$26*'Monthly Component Cost'!$Q$16:$Q$26)*F5</f>
        <v>11100</v>
      </c>
      <c r="H5">
        <f>D5*$B$8</f>
        <v>150</v>
      </c>
      <c r="I5" s="77" cm="1">
        <f t="array" ref="I5">SUMPRODUCT('Monthly Component Cost'!$V$16:$V$26*'Monthly Component Cost'!$Q$16:$Q$26)*H5</f>
        <v>18000</v>
      </c>
      <c r="J5">
        <f t="shared" si="1"/>
        <v>150</v>
      </c>
      <c r="K5" s="77" cm="1">
        <f t="array" ref="K5">SUMPRODUCT('Monthly Component Cost'!$W$16:$W$26*'Monthly Component Cost'!$Q$16:$Q$26)*J5</f>
        <v>24150</v>
      </c>
      <c r="L5">
        <f>D5*$B$8</f>
        <v>150</v>
      </c>
      <c r="M5" s="77" cm="1">
        <f t="array" ref="M5">SUMPRODUCT('Monthly Component Cost'!$X$16:$X$26*'Monthly Component Cost'!$Q$16:$Q$26)*L5</f>
        <v>39000</v>
      </c>
      <c r="N5">
        <f t="shared" si="11"/>
        <v>150</v>
      </c>
      <c r="O5" s="77" cm="1">
        <f t="array" ref="O5">SUMPRODUCT('Monthly Component Cost'!$Y$16:$Y$26*'Monthly Component Cost'!$Q$16:$Q$26)*N5</f>
        <v>150</v>
      </c>
      <c r="P5">
        <f t="shared" si="12"/>
        <v>150</v>
      </c>
      <c r="Q5" s="77" cm="1">
        <f t="array" ref="Q5">SUMPRODUCT('Monthly Component Cost'!$Z$16:$Z$26*'Monthly Component Cost'!$Q$16:$Q$26)*P5</f>
        <v>24150</v>
      </c>
      <c r="R5">
        <f t="shared" si="13"/>
        <v>150</v>
      </c>
      <c r="S5" cm="1">
        <f t="array" ref="S5">SUMPRODUCT('Monthly Component Cost'!$AA$16:$AA$26*'Monthly Component Cost'!$Q$16:$Q$26)*R5</f>
        <v>150</v>
      </c>
      <c r="T5" s="77">
        <f t="shared" si="2"/>
        <v>241569.03600000002</v>
      </c>
      <c r="U5">
        <v>20</v>
      </c>
      <c r="V5" s="77">
        <f t="shared" ref="V5" si="18">T5+(B5*$B$9*$B$10)</f>
        <v>263890.8432</v>
      </c>
      <c r="W5" s="77">
        <f t="shared" si="15"/>
        <v>152281.80719999998</v>
      </c>
      <c r="X5" s="77">
        <f t="shared" si="3"/>
        <v>8796.3614400000006</v>
      </c>
      <c r="Y5" s="77">
        <f t="shared" si="4"/>
        <v>251.32461257142859</v>
      </c>
      <c r="Z5" s="77">
        <f t="shared" si="5"/>
        <v>59858.6</v>
      </c>
      <c r="AA5" s="77">
        <v>500</v>
      </c>
      <c r="AB5">
        <f t="shared" si="6"/>
        <v>600</v>
      </c>
      <c r="AC5" s="77">
        <f t="shared" ref="AC5" si="19">AB5*AA5</f>
        <v>300000</v>
      </c>
      <c r="AD5" s="77">
        <f t="shared" si="8"/>
        <v>58430.963999999978</v>
      </c>
      <c r="AE5" s="77">
        <f t="shared" si="9"/>
        <v>193255.22880000004</v>
      </c>
      <c r="AF5" s="77">
        <f t="shared" si="10"/>
        <v>289882.8432</v>
      </c>
      <c r="AG5" s="77">
        <f t="shared" ref="AG5" si="20">AC5-AE5</f>
        <v>106744.77119999996</v>
      </c>
      <c r="AH5" s="77">
        <f t="shared" ref="AH5" si="21">AC5-AF5</f>
        <v>10117.156799999997</v>
      </c>
    </row>
    <row r="6" spans="1:34" x14ac:dyDescent="0.45">
      <c r="A6" t="s">
        <v>379</v>
      </c>
      <c r="B6" s="137">
        <f>(('Monthly Component Cost'!$N$33 - IF(H6=0,'Monthly Component Cost'!$N$23,0))*U6) + ((('Monthly Component Cost'!$N$33 - IF(H6=0,'Monthly Component Cost'!$N$23,0))*U6)*$B$9*($B$10+(D6*$B$11)))</f>
        <v>113380.60800000001</v>
      </c>
      <c r="C6" s="77" cm="1">
        <f t="array" ref="C6">SUMPRODUCT('Monthly Component Cost'!$N$10:$N$15*'Monthly Component Cost'!$O$10:$O$15)*U6</f>
        <v>48758.6</v>
      </c>
      <c r="D6">
        <v>40</v>
      </c>
      <c r="E6" s="77" cm="1">
        <f t="array" ref="E6">IF(F6&gt;=1,(SUMPRODUCT('Monthly Component Cost'!$U$16:$U$26*'Monthly Component Cost'!$P$16:$P$26)*D6),0)+IF(H6&gt;=1,(SUMPRODUCT('Monthly Component Cost'!$V$16:$V$26*'Monthly Component Cost'!$P$16:$P$26)*D6),0)+IF(J6&gt;=1,(SUMPRODUCT('Monthly Component Cost'!$W$16:$W$26*'Monthly Component Cost'!$P$16:$P$26)*D6),0)+IF(L6&gt;=1,(SUMPRODUCT('Monthly Component Cost'!$X$16:$X$26*'Monthly Component Cost'!$P$16:$P$26)*D6),0)+IF(N6&gt;=1,(SUMPRODUCT('Monthly Component Cost'!$Y$16:$Y$26*'Monthly Component Cost'!$P$16:$P$26)*D6),0)+IF(P6&gt;=1,(SUMPRODUCT('Monthly Component Cost'!$Z$16:$Z$26*'Monthly Component Cost'!$P$16:$P$26)*D6),0)+IF(R6&gt;=1,(SUMPRODUCT('Monthly Component Cost'!$AA$16:$AA$26*'Monthly Component Cost'!$P$16:$P$26)*D6),0)</f>
        <v>17680</v>
      </c>
      <c r="F6">
        <f t="shared" si="0"/>
        <v>200</v>
      </c>
      <c r="G6" s="77" cm="1">
        <f t="array" ref="G6">SUMPRODUCT('Monthly Component Cost'!$U$16:$U$26*'Monthly Component Cost'!$Q$16:$Q$26)*F6</f>
        <v>14800</v>
      </c>
      <c r="H6">
        <f>D6*$B$8</f>
        <v>200</v>
      </c>
      <c r="I6" s="77" cm="1">
        <f t="array" ref="I6">SUMPRODUCT('Monthly Component Cost'!$V$16:$V$26*'Monthly Component Cost'!$Q$16:$Q$26)*H6</f>
        <v>24000</v>
      </c>
      <c r="J6">
        <f t="shared" si="1"/>
        <v>200</v>
      </c>
      <c r="K6" s="77" cm="1">
        <f t="array" ref="K6">SUMPRODUCT('Monthly Component Cost'!$W$16:$W$26*'Monthly Component Cost'!$Q$16:$Q$26)*J6</f>
        <v>32200</v>
      </c>
      <c r="L6">
        <f>D6*$B$8</f>
        <v>200</v>
      </c>
      <c r="M6" s="77" cm="1">
        <f t="array" ref="M6">SUMPRODUCT('Monthly Component Cost'!$X$16:$X$26*'Monthly Component Cost'!$Q$16:$Q$26)*L6</f>
        <v>52000</v>
      </c>
      <c r="N6">
        <f t="shared" si="11"/>
        <v>200</v>
      </c>
      <c r="O6" s="77" cm="1">
        <f t="array" ref="O6">SUMPRODUCT('Monthly Component Cost'!$Y$16:$Y$26*'Monthly Component Cost'!$Q$16:$Q$26)*N6</f>
        <v>200</v>
      </c>
      <c r="P6">
        <f t="shared" si="12"/>
        <v>200</v>
      </c>
      <c r="Q6" s="77" cm="1">
        <f t="array" ref="Q6">SUMPRODUCT('Monthly Component Cost'!$Z$16:$Z$26*'Monthly Component Cost'!$Q$16:$Q$26)*P6</f>
        <v>32200</v>
      </c>
      <c r="R6">
        <f t="shared" si="13"/>
        <v>200</v>
      </c>
      <c r="S6" cm="1">
        <f t="array" ref="S6">SUMPRODUCT('Monthly Component Cost'!$AA$16:$AA$26*'Monthly Component Cost'!$Q$16:$Q$26)*R6</f>
        <v>200</v>
      </c>
      <c r="T6" s="77">
        <f t="shared" si="2"/>
        <v>286660.60800000001</v>
      </c>
      <c r="U6">
        <v>20</v>
      </c>
      <c r="V6" s="77">
        <f>T6+(B6*$B$9*$B$10)</f>
        <v>309336.72960000002</v>
      </c>
      <c r="W6" s="77">
        <f t="shared" si="15"/>
        <v>195956.12160000001</v>
      </c>
      <c r="X6" s="77">
        <f t="shared" si="3"/>
        <v>7733.4182400000009</v>
      </c>
      <c r="Y6" s="77">
        <f t="shared" si="4"/>
        <v>220.95480685714287</v>
      </c>
      <c r="Z6" s="77">
        <f t="shared" si="5"/>
        <v>63558.6</v>
      </c>
      <c r="AA6" s="77">
        <v>500</v>
      </c>
      <c r="AB6">
        <f t="shared" si="6"/>
        <v>800</v>
      </c>
      <c r="AC6" s="77">
        <f t="shared" ref="AC6" si="22">AB6*AA6</f>
        <v>400000</v>
      </c>
      <c r="AD6" s="77">
        <f t="shared" si="8"/>
        <v>113339.39199999999</v>
      </c>
      <c r="AE6" s="77">
        <f t="shared" si="9"/>
        <v>229328.48640000002</v>
      </c>
      <c r="AF6" s="77">
        <f t="shared" si="10"/>
        <v>343992.72960000002</v>
      </c>
      <c r="AG6" s="77">
        <f t="shared" ref="AG6" si="23">AC6-AE6</f>
        <v>170671.51359999998</v>
      </c>
      <c r="AH6" s="77">
        <f t="shared" ref="AH6" si="24">AC6-AF6</f>
        <v>56007.270399999979</v>
      </c>
    </row>
    <row r="7" spans="1:34" x14ac:dyDescent="0.45">
      <c r="A7" t="s">
        <v>380</v>
      </c>
      <c r="B7" s="137">
        <f>(('Monthly Component Cost'!$N$33 - IF(H7=0,'Monthly Component Cost'!$N$23,0))*U7) + ((('Monthly Component Cost'!$N$33 - IF(H7=0,'Monthly Component Cost'!$N$23,0))*U7)*$B$9*($B$10+(D7*$B$11)))</f>
        <v>115152.18000000001</v>
      </c>
      <c r="C7" s="77" cm="1">
        <f t="array" ref="C7">SUMPRODUCT('Monthly Component Cost'!$N$10:$N$15*'Monthly Component Cost'!$O$10:$O$15)*U7</f>
        <v>48758.6</v>
      </c>
      <c r="D7">
        <v>50</v>
      </c>
      <c r="E7" s="77" cm="1">
        <f t="array" ref="E7">IF(F7&gt;=1,(SUMPRODUCT('Monthly Component Cost'!$U$16:$U$26*'Monthly Component Cost'!$P$16:$P$26)*D7),0)+IF(H7&gt;=1,(SUMPRODUCT('Monthly Component Cost'!$V$16:$V$26*'Monthly Component Cost'!$P$16:$P$26)*D7),0)+IF(J7&gt;=1,(SUMPRODUCT('Monthly Component Cost'!$W$16:$W$26*'Monthly Component Cost'!$P$16:$P$26)*D7),0)+IF(L7&gt;=1,(SUMPRODUCT('Monthly Component Cost'!$X$16:$X$26*'Monthly Component Cost'!$P$16:$P$26)*D7),0)+IF(N7&gt;=1,(SUMPRODUCT('Monthly Component Cost'!$Y$16:$Y$26*'Monthly Component Cost'!$P$16:$P$26)*D7),0)+IF(P7&gt;=1,(SUMPRODUCT('Monthly Component Cost'!$Z$16:$Z$26*'Monthly Component Cost'!$P$16:$P$26)*D7),0)+IF(R7&gt;=1,(SUMPRODUCT('Monthly Component Cost'!$AA$16:$AA$26*'Monthly Component Cost'!$P$16:$P$26)*D7),0)</f>
        <v>22100</v>
      </c>
      <c r="F7">
        <f t="shared" si="0"/>
        <v>250</v>
      </c>
      <c r="G7" s="77" cm="1">
        <f t="array" ref="G7">SUMPRODUCT('Monthly Component Cost'!$U$16:$U$26*'Monthly Component Cost'!$Q$16:$Q$26)*F7</f>
        <v>18500</v>
      </c>
      <c r="H7">
        <f>D7*$B$8</f>
        <v>250</v>
      </c>
      <c r="I7" s="77" cm="1">
        <f t="array" ref="I7">SUMPRODUCT('Monthly Component Cost'!$V$16:$V$26*'Monthly Component Cost'!$Q$16:$Q$26)*H7</f>
        <v>30000</v>
      </c>
      <c r="J7">
        <f t="shared" si="1"/>
        <v>250</v>
      </c>
      <c r="K7" s="77" cm="1">
        <f t="array" ref="K7">SUMPRODUCT('Monthly Component Cost'!$W$16:$W$26*'Monthly Component Cost'!$Q$16:$Q$26)*J7</f>
        <v>40250</v>
      </c>
      <c r="L7">
        <f>D7*$B$8</f>
        <v>250</v>
      </c>
      <c r="M7" s="77" cm="1">
        <f t="array" ref="M7">SUMPRODUCT('Monthly Component Cost'!$X$16:$X$26*'Monthly Component Cost'!$Q$16:$Q$26)*L7</f>
        <v>65000</v>
      </c>
      <c r="N7">
        <f t="shared" ref="N7" si="25">D7*$B$8</f>
        <v>250</v>
      </c>
      <c r="O7" s="77" cm="1">
        <f t="array" ref="O7">SUMPRODUCT('Monthly Component Cost'!$Y$16:$Y$26*'Monthly Component Cost'!$Q$16:$Q$26)*N7</f>
        <v>250</v>
      </c>
      <c r="P7">
        <f t="shared" ref="P7" si="26">D7*$B$8</f>
        <v>250</v>
      </c>
      <c r="Q7" s="77" cm="1">
        <f t="array" ref="Q7">SUMPRODUCT('Monthly Component Cost'!$Z$16:$Z$26*'Monthly Component Cost'!$Q$16:$Q$26)*P7</f>
        <v>40250</v>
      </c>
      <c r="R7">
        <f t="shared" ref="R7" si="27">D7*$B$8</f>
        <v>250</v>
      </c>
      <c r="S7" cm="1">
        <f t="array" ref="S7">SUMPRODUCT('Monthly Component Cost'!$AA$16:$AA$26*'Monthly Component Cost'!$Q$16:$Q$26)*R7</f>
        <v>250</v>
      </c>
      <c r="T7" s="77">
        <f t="shared" si="2"/>
        <v>331752.18</v>
      </c>
      <c r="U7">
        <v>20</v>
      </c>
      <c r="V7" s="77">
        <f>T7+(B7*$B$9*$B$10)</f>
        <v>354782.61599999998</v>
      </c>
      <c r="W7" s="77">
        <f t="shared" ref="W7" si="28">V7-B7</f>
        <v>239630.43599999999</v>
      </c>
      <c r="X7" s="77">
        <f t="shared" si="3"/>
        <v>7095.6523199999992</v>
      </c>
      <c r="Y7" s="77">
        <f t="shared" si="4"/>
        <v>202.73292342857141</v>
      </c>
      <c r="Z7" s="77">
        <f t="shared" si="5"/>
        <v>67258.600000000006</v>
      </c>
      <c r="AA7" s="77">
        <v>500</v>
      </c>
      <c r="AB7">
        <f t="shared" si="6"/>
        <v>1000</v>
      </c>
      <c r="AC7" s="77">
        <f t="shared" ref="AC7" si="29">AB7*AA7</f>
        <v>500000</v>
      </c>
      <c r="AD7" s="77">
        <f t="shared" si="8"/>
        <v>168247.82</v>
      </c>
      <c r="AE7" s="77">
        <f t="shared" si="9"/>
        <v>265401.74400000001</v>
      </c>
      <c r="AF7" s="77">
        <f t="shared" si="10"/>
        <v>398102.61599999998</v>
      </c>
      <c r="AG7" s="77">
        <f t="shared" ref="AG7" si="30">AC7-AE7</f>
        <v>234598.25599999999</v>
      </c>
      <c r="AH7" s="77">
        <f t="shared" ref="AH7" si="31">AC7-AF7</f>
        <v>101897.38400000002</v>
      </c>
    </row>
    <row r="8" spans="1:34" x14ac:dyDescent="0.45">
      <c r="A8" t="s">
        <v>334</v>
      </c>
      <c r="B8">
        <f>'Business Sizing Assumptions'!B4</f>
        <v>5</v>
      </c>
    </row>
    <row r="9" spans="1:34" x14ac:dyDescent="0.45">
      <c r="A9" t="s">
        <v>369</v>
      </c>
      <c r="B9">
        <v>2</v>
      </c>
      <c r="D9" s="104" t="s">
        <v>366</v>
      </c>
    </row>
    <row r="10" spans="1:34" x14ac:dyDescent="0.45">
      <c r="A10" t="s">
        <v>368</v>
      </c>
      <c r="B10">
        <v>0.1</v>
      </c>
    </row>
    <row r="11" spans="1:34" x14ac:dyDescent="0.45">
      <c r="A11" t="s">
        <v>378</v>
      </c>
      <c r="B11">
        <v>1E-3</v>
      </c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8C38-7CA4-47E4-BF0B-9A1399051AFE}">
  <dimension ref="A1"/>
  <sheetViews>
    <sheetView zoomScale="60" zoomScaleNormal="60" workbookViewId="0">
      <selection activeCell="B2" sqref="B2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C0A4-B2E0-4FAD-9BBE-1787A876E16F}">
  <dimension ref="A1:K19"/>
  <sheetViews>
    <sheetView zoomScale="130" zoomScaleNormal="130" workbookViewId="0">
      <selection activeCell="F12" sqref="F12"/>
    </sheetView>
  </sheetViews>
  <sheetFormatPr defaultRowHeight="14.25" x14ac:dyDescent="0.45"/>
  <cols>
    <col min="1" max="1" width="35.3984375" customWidth="1"/>
    <col min="2" max="2" width="12.1328125" bestFit="1" customWidth="1"/>
    <col min="4" max="4" width="16.1328125" customWidth="1"/>
    <col min="5" max="5" width="32.86328125" customWidth="1"/>
    <col min="6" max="6" width="16.1328125" customWidth="1"/>
    <col min="7" max="7" width="18.3984375" customWidth="1"/>
    <col min="10" max="10" width="10" bestFit="1" customWidth="1"/>
  </cols>
  <sheetData>
    <row r="1" spans="1:11" x14ac:dyDescent="0.45">
      <c r="B1" t="s">
        <v>222</v>
      </c>
      <c r="C1" t="s">
        <v>223</v>
      </c>
    </row>
    <row r="2" spans="1:11" x14ac:dyDescent="0.45">
      <c r="A2" t="s">
        <v>224</v>
      </c>
      <c r="B2" s="33">
        <v>530000</v>
      </c>
      <c r="D2" t="s">
        <v>225</v>
      </c>
      <c r="E2" s="31" t="s">
        <v>226</v>
      </c>
    </row>
    <row r="3" spans="1:11" x14ac:dyDescent="0.45">
      <c r="A3" t="s">
        <v>227</v>
      </c>
      <c r="B3" s="33">
        <v>600000</v>
      </c>
    </row>
    <row r="4" spans="1:11" x14ac:dyDescent="0.45">
      <c r="A4" t="s">
        <v>228</v>
      </c>
      <c r="B4" s="33" t="s">
        <v>229</v>
      </c>
    </row>
    <row r="5" spans="1:11" x14ac:dyDescent="0.45">
      <c r="A5" t="s">
        <v>230</v>
      </c>
      <c r="B5" s="33"/>
    </row>
    <row r="6" spans="1:11" x14ac:dyDescent="0.45">
      <c r="A6" t="s">
        <v>231</v>
      </c>
      <c r="B6" s="33">
        <v>1000</v>
      </c>
    </row>
    <row r="7" spans="1:11" x14ac:dyDescent="0.45">
      <c r="A7" t="s">
        <v>232</v>
      </c>
      <c r="B7" s="33">
        <v>600</v>
      </c>
    </row>
    <row r="8" spans="1:11" x14ac:dyDescent="0.45">
      <c r="A8" t="s">
        <v>233</v>
      </c>
      <c r="B8" s="33">
        <v>1000</v>
      </c>
    </row>
    <row r="9" spans="1:11" x14ac:dyDescent="0.45">
      <c r="A9" t="s">
        <v>234</v>
      </c>
      <c r="B9" s="33">
        <f>B7*B8</f>
        <v>600000</v>
      </c>
      <c r="D9" s="32">
        <v>60000</v>
      </c>
    </row>
    <row r="10" spans="1:11" x14ac:dyDescent="0.45">
      <c r="A10" t="s">
        <v>235</v>
      </c>
      <c r="B10" t="s">
        <v>236</v>
      </c>
    </row>
    <row r="11" spans="1:11" x14ac:dyDescent="0.45">
      <c r="A11" t="s">
        <v>237</v>
      </c>
      <c r="B11" t="s">
        <v>238</v>
      </c>
    </row>
    <row r="12" spans="1:11" x14ac:dyDescent="0.45">
      <c r="A12" t="s">
        <v>239</v>
      </c>
      <c r="B12">
        <v>250000000</v>
      </c>
      <c r="F12">
        <f>B12/24/60/60</f>
        <v>2893.5185185185182</v>
      </c>
    </row>
    <row r="13" spans="1:11" x14ac:dyDescent="0.45">
      <c r="A13" t="s">
        <v>240</v>
      </c>
      <c r="B13" t="s">
        <v>241</v>
      </c>
    </row>
    <row r="14" spans="1:11" x14ac:dyDescent="0.45">
      <c r="A14" t="s">
        <v>242</v>
      </c>
      <c r="B14" t="s">
        <v>243</v>
      </c>
    </row>
    <row r="15" spans="1:11" ht="68.25" customHeight="1" x14ac:dyDescent="0.45">
      <c r="A15" t="s">
        <v>244</v>
      </c>
      <c r="B15" t="s">
        <v>245</v>
      </c>
      <c r="C15" t="s">
        <v>246</v>
      </c>
      <c r="E15" s="2" t="s">
        <v>247</v>
      </c>
      <c r="F15" s="2" t="s">
        <v>248</v>
      </c>
      <c r="G15" s="2" t="s">
        <v>249</v>
      </c>
      <c r="H15" t="s">
        <v>250</v>
      </c>
      <c r="J15" t="s">
        <v>251</v>
      </c>
    </row>
    <row r="16" spans="1:11" x14ac:dyDescent="0.45">
      <c r="B16">
        <v>28000</v>
      </c>
      <c r="C16">
        <v>100</v>
      </c>
      <c r="D16">
        <f>C16*B16</f>
        <v>2800000</v>
      </c>
      <c r="E16">
        <f>D16/(1024*1024)</f>
        <v>2.6702880859375</v>
      </c>
      <c r="F16">
        <v>50</v>
      </c>
      <c r="G16">
        <f>F16*E16</f>
        <v>133.514404296875</v>
      </c>
      <c r="H16">
        <v>5000</v>
      </c>
      <c r="I16">
        <f>H16*G16</f>
        <v>667572.021484375</v>
      </c>
      <c r="J16">
        <f>I16/1024</f>
        <v>651.92580223083496</v>
      </c>
      <c r="K16" t="s">
        <v>252</v>
      </c>
    </row>
    <row r="18" spans="1:3" x14ac:dyDescent="0.45">
      <c r="C18" t="s">
        <v>350</v>
      </c>
    </row>
    <row r="19" spans="1:3" x14ac:dyDescent="0.45">
      <c r="A19" t="s">
        <v>349</v>
      </c>
      <c r="B19">
        <v>14300</v>
      </c>
      <c r="C19">
        <f>B19/24/60/60</f>
        <v>0.16550925925925924</v>
      </c>
    </row>
  </sheetData>
  <hyperlinks>
    <hyperlink ref="E2" r:id="rId1" location="event-hubs-dedicated-quotas-and-limits" xr:uid="{9CA29781-5ACA-4229-AB74-2531CC3E7507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E861-6E2B-4808-AA68-69541EF38361}">
  <dimension ref="A1:D32"/>
  <sheetViews>
    <sheetView workbookViewId="0">
      <selection activeCell="B25" sqref="B25"/>
    </sheetView>
  </sheetViews>
  <sheetFormatPr defaultRowHeight="14.25" x14ac:dyDescent="0.45"/>
  <cols>
    <col min="2" max="2" width="101.86328125" customWidth="1"/>
    <col min="3" max="3" width="22.59765625" customWidth="1"/>
    <col min="4" max="4" width="38" customWidth="1"/>
  </cols>
  <sheetData>
    <row r="1" spans="1:4" ht="15.75" x14ac:dyDescent="0.5">
      <c r="A1" s="83" t="s">
        <v>253</v>
      </c>
    </row>
    <row r="3" spans="1:4" x14ac:dyDescent="0.45">
      <c r="A3" s="3" t="s">
        <v>254</v>
      </c>
      <c r="B3" s="3" t="s">
        <v>255</v>
      </c>
      <c r="C3" s="3" t="s">
        <v>256</v>
      </c>
      <c r="D3" s="3" t="s">
        <v>257</v>
      </c>
    </row>
    <row r="4" spans="1:4" x14ac:dyDescent="0.45">
      <c r="A4" s="91">
        <v>1</v>
      </c>
      <c r="B4" s="2" t="s">
        <v>258</v>
      </c>
      <c r="C4" s="5" t="s">
        <v>259</v>
      </c>
    </row>
    <row r="5" spans="1:4" ht="28.5" x14ac:dyDescent="0.45">
      <c r="A5" s="91">
        <v>2</v>
      </c>
      <c r="B5" s="2" t="s">
        <v>359</v>
      </c>
      <c r="C5" s="5" t="s">
        <v>260</v>
      </c>
    </row>
    <row r="6" spans="1:4" x14ac:dyDescent="0.45">
      <c r="A6" s="91">
        <v>3</v>
      </c>
      <c r="B6" s="2" t="s">
        <v>261</v>
      </c>
      <c r="C6" s="5" t="s">
        <v>223</v>
      </c>
    </row>
    <row r="7" spans="1:4" x14ac:dyDescent="0.45">
      <c r="A7" s="91">
        <v>4</v>
      </c>
      <c r="B7" s="2" t="s">
        <v>262</v>
      </c>
      <c r="C7" s="5" t="s">
        <v>260</v>
      </c>
    </row>
    <row r="8" spans="1:4" x14ac:dyDescent="0.45">
      <c r="A8" s="91">
        <v>5</v>
      </c>
      <c r="B8" s="2" t="s">
        <v>263</v>
      </c>
      <c r="C8" s="5" t="s">
        <v>264</v>
      </c>
    </row>
    <row r="9" spans="1:4" x14ac:dyDescent="0.45">
      <c r="A9" s="91">
        <v>6</v>
      </c>
      <c r="B9" s="2" t="s">
        <v>265</v>
      </c>
      <c r="C9" s="5" t="s">
        <v>266</v>
      </c>
    </row>
    <row r="10" spans="1:4" x14ac:dyDescent="0.45">
      <c r="A10" s="91">
        <v>7</v>
      </c>
      <c r="B10" s="2" t="s">
        <v>267</v>
      </c>
      <c r="C10" s="5" t="s">
        <v>268</v>
      </c>
    </row>
    <row r="11" spans="1:4" x14ac:dyDescent="0.45">
      <c r="A11" s="91">
        <v>8</v>
      </c>
      <c r="B11" s="2" t="s">
        <v>269</v>
      </c>
      <c r="C11" s="5" t="s">
        <v>264</v>
      </c>
    </row>
    <row r="12" spans="1:4" x14ac:dyDescent="0.45">
      <c r="A12" s="91">
        <v>9</v>
      </c>
      <c r="B12" s="2" t="s">
        <v>270</v>
      </c>
      <c r="C12" s="5" t="s">
        <v>268</v>
      </c>
    </row>
    <row r="13" spans="1:4" x14ac:dyDescent="0.45">
      <c r="A13" s="91">
        <v>10</v>
      </c>
      <c r="B13" s="2" t="s">
        <v>271</v>
      </c>
      <c r="C13" s="5" t="s">
        <v>268</v>
      </c>
    </row>
    <row r="14" spans="1:4" x14ac:dyDescent="0.45">
      <c r="A14" s="91">
        <v>11</v>
      </c>
      <c r="B14" s="2" t="s">
        <v>272</v>
      </c>
      <c r="C14" s="5" t="s">
        <v>264</v>
      </c>
    </row>
    <row r="15" spans="1:4" ht="28.5" x14ac:dyDescent="0.45">
      <c r="A15" s="91">
        <v>12</v>
      </c>
      <c r="B15" s="2" t="s">
        <v>273</v>
      </c>
      <c r="C15" s="5" t="s">
        <v>268</v>
      </c>
    </row>
    <row r="16" spans="1:4" x14ac:dyDescent="0.45">
      <c r="A16" s="91">
        <v>13</v>
      </c>
      <c r="B16" s="2" t="s">
        <v>274</v>
      </c>
      <c r="C16" s="5" t="s">
        <v>264</v>
      </c>
    </row>
    <row r="17" spans="1:3" x14ac:dyDescent="0.45">
      <c r="A17" s="91">
        <v>14</v>
      </c>
      <c r="B17" s="2" t="s">
        <v>275</v>
      </c>
      <c r="C17" s="5" t="s">
        <v>264</v>
      </c>
    </row>
    <row r="18" spans="1:3" x14ac:dyDescent="0.45">
      <c r="A18" s="91">
        <v>15</v>
      </c>
      <c r="B18" s="2" t="s">
        <v>276</v>
      </c>
      <c r="C18" s="5" t="s">
        <v>268</v>
      </c>
    </row>
    <row r="19" spans="1:3" ht="28.5" x14ac:dyDescent="0.45">
      <c r="A19" s="91">
        <v>16</v>
      </c>
      <c r="B19" s="2" t="s">
        <v>277</v>
      </c>
      <c r="C19" s="5" t="s">
        <v>268</v>
      </c>
    </row>
    <row r="20" spans="1:3" x14ac:dyDescent="0.45">
      <c r="A20" s="91">
        <v>17</v>
      </c>
      <c r="B20" s="2" t="s">
        <v>278</v>
      </c>
      <c r="C20" s="5" t="s">
        <v>264</v>
      </c>
    </row>
    <row r="21" spans="1:3" x14ac:dyDescent="0.45">
      <c r="A21" s="91">
        <v>18</v>
      </c>
      <c r="B21" s="2" t="s">
        <v>279</v>
      </c>
      <c r="C21" s="5" t="s">
        <v>223</v>
      </c>
    </row>
    <row r="22" spans="1:3" x14ac:dyDescent="0.45">
      <c r="A22" s="91">
        <v>19</v>
      </c>
      <c r="B22" s="2" t="s">
        <v>314</v>
      </c>
      <c r="C22" s="4" t="s">
        <v>268</v>
      </c>
    </row>
    <row r="23" spans="1:3" x14ac:dyDescent="0.45">
      <c r="A23" s="91">
        <v>20</v>
      </c>
      <c r="B23" t="s">
        <v>315</v>
      </c>
      <c r="C23" s="4" t="s">
        <v>259</v>
      </c>
    </row>
    <row r="24" spans="1:3" x14ac:dyDescent="0.45">
      <c r="A24" s="91">
        <v>21</v>
      </c>
      <c r="B24" s="94" t="s">
        <v>326</v>
      </c>
      <c r="C24" s="4" t="s">
        <v>264</v>
      </c>
    </row>
    <row r="25" spans="1:3" ht="28.5" x14ac:dyDescent="0.45">
      <c r="A25" s="91">
        <v>22</v>
      </c>
      <c r="B25" s="117" t="s">
        <v>360</v>
      </c>
      <c r="C25" s="4" t="s">
        <v>223</v>
      </c>
    </row>
    <row r="26" spans="1:3" x14ac:dyDescent="0.45">
      <c r="A26" s="91">
        <v>23</v>
      </c>
      <c r="C26" s="4"/>
    </row>
    <row r="27" spans="1:3" x14ac:dyDescent="0.45">
      <c r="A27" s="91">
        <v>24</v>
      </c>
      <c r="C27" s="4"/>
    </row>
    <row r="28" spans="1:3" x14ac:dyDescent="0.45">
      <c r="A28" s="91">
        <v>25</v>
      </c>
      <c r="C28" s="4"/>
    </row>
    <row r="29" spans="1:3" x14ac:dyDescent="0.45">
      <c r="A29" s="91">
        <v>26</v>
      </c>
      <c r="C29" s="4"/>
    </row>
    <row r="30" spans="1:3" x14ac:dyDescent="0.45">
      <c r="A30" s="91">
        <v>27</v>
      </c>
      <c r="C30" s="4"/>
    </row>
    <row r="31" spans="1:3" x14ac:dyDescent="0.45">
      <c r="A31" s="91">
        <v>28</v>
      </c>
      <c r="C31" s="4"/>
    </row>
    <row r="32" spans="1:3" x14ac:dyDescent="0.45">
      <c r="A32" s="91">
        <v>29</v>
      </c>
      <c r="C32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7977-5A17-46BB-9ED3-293B8AE187E4}">
  <dimension ref="A1:G10"/>
  <sheetViews>
    <sheetView workbookViewId="0">
      <selection activeCell="D1" sqref="D1"/>
    </sheetView>
  </sheetViews>
  <sheetFormatPr defaultRowHeight="14.25" x14ac:dyDescent="0.45"/>
  <cols>
    <col min="1" max="1" width="52.86328125" bestFit="1" customWidth="1"/>
    <col min="2" max="2" width="21.86328125" customWidth="1"/>
    <col min="3" max="3" width="24.73046875" bestFit="1" customWidth="1"/>
    <col min="4" max="7" width="20.59765625" customWidth="1"/>
  </cols>
  <sheetData>
    <row r="1" spans="1:7" x14ac:dyDescent="0.45">
      <c r="B1" s="100" t="s">
        <v>341</v>
      </c>
      <c r="C1" s="100" t="s">
        <v>333</v>
      </c>
      <c r="D1" s="100" t="s">
        <v>280</v>
      </c>
      <c r="E1" s="100" t="s">
        <v>316</v>
      </c>
      <c r="F1" s="100" t="s">
        <v>328</v>
      </c>
      <c r="G1" s="100" t="s">
        <v>329</v>
      </c>
    </row>
    <row r="2" spans="1:7" x14ac:dyDescent="0.45">
      <c r="B2" s="100" t="s">
        <v>342</v>
      </c>
      <c r="C2" s="101" t="s">
        <v>343</v>
      </c>
      <c r="D2" s="101" t="s">
        <v>321</v>
      </c>
      <c r="E2" s="101" t="s">
        <v>322</v>
      </c>
      <c r="F2" s="101" t="s">
        <v>327</v>
      </c>
      <c r="G2" s="101" t="s">
        <v>330</v>
      </c>
    </row>
    <row r="3" spans="1:7" x14ac:dyDescent="0.45">
      <c r="A3" t="s">
        <v>281</v>
      </c>
      <c r="B3" s="84">
        <v>1</v>
      </c>
      <c r="C3" s="84">
        <v>10</v>
      </c>
      <c r="D3" s="84">
        <v>30</v>
      </c>
      <c r="E3" t="s">
        <v>26</v>
      </c>
      <c r="F3">
        <v>0</v>
      </c>
      <c r="G3">
        <v>0</v>
      </c>
    </row>
    <row r="4" spans="1:7" x14ac:dyDescent="0.45">
      <c r="A4" t="s">
        <v>282</v>
      </c>
      <c r="B4" s="84">
        <v>5</v>
      </c>
      <c r="C4" s="84">
        <v>5</v>
      </c>
      <c r="D4" s="84">
        <v>5</v>
      </c>
      <c r="E4" t="s">
        <v>26</v>
      </c>
      <c r="F4">
        <v>0</v>
      </c>
      <c r="G4">
        <v>0</v>
      </c>
    </row>
    <row r="5" spans="1:7" x14ac:dyDescent="0.45">
      <c r="A5" t="s">
        <v>283</v>
      </c>
      <c r="B5" s="84">
        <v>1</v>
      </c>
      <c r="C5" s="84">
        <v>4</v>
      </c>
      <c r="D5" s="84">
        <v>10</v>
      </c>
      <c r="E5" t="s">
        <v>317</v>
      </c>
      <c r="F5" t="s">
        <v>317</v>
      </c>
      <c r="G5" t="s">
        <v>317</v>
      </c>
    </row>
    <row r="6" spans="1:7" x14ac:dyDescent="0.45">
      <c r="A6" t="s">
        <v>284</v>
      </c>
      <c r="B6" s="84" t="s">
        <v>285</v>
      </c>
      <c r="C6" s="84" t="s">
        <v>286</v>
      </c>
      <c r="D6" s="84" t="s">
        <v>361</v>
      </c>
      <c r="E6" t="s">
        <v>318</v>
      </c>
      <c r="F6" t="s">
        <v>318</v>
      </c>
      <c r="G6" t="s">
        <v>318</v>
      </c>
    </row>
    <row r="7" spans="1:7" x14ac:dyDescent="0.45">
      <c r="A7" t="s">
        <v>287</v>
      </c>
      <c r="B7" s="84" t="s">
        <v>288</v>
      </c>
      <c r="C7" s="84" t="s">
        <v>289</v>
      </c>
      <c r="D7" s="84" t="s">
        <v>362</v>
      </c>
      <c r="E7" t="s">
        <v>26</v>
      </c>
      <c r="F7">
        <v>0</v>
      </c>
      <c r="G7">
        <v>0</v>
      </c>
    </row>
    <row r="8" spans="1:7" x14ac:dyDescent="0.45">
      <c r="A8" t="s">
        <v>319</v>
      </c>
      <c r="B8" s="84" t="s">
        <v>290</v>
      </c>
      <c r="C8" s="84" t="s">
        <v>290</v>
      </c>
      <c r="D8" s="84" t="s">
        <v>291</v>
      </c>
      <c r="E8" t="s">
        <v>320</v>
      </c>
      <c r="F8" t="s">
        <v>320</v>
      </c>
      <c r="G8" t="s">
        <v>320</v>
      </c>
    </row>
    <row r="9" spans="1:7" x14ac:dyDescent="0.45">
      <c r="A9" t="s">
        <v>292</v>
      </c>
      <c r="B9" s="84" t="s">
        <v>293</v>
      </c>
      <c r="C9" s="84" t="s">
        <v>293</v>
      </c>
      <c r="D9" s="84" t="s">
        <v>293</v>
      </c>
      <c r="E9" s="84" t="s">
        <v>293</v>
      </c>
      <c r="F9" s="84" t="s">
        <v>293</v>
      </c>
      <c r="G9" s="84" t="s">
        <v>293</v>
      </c>
    </row>
    <row r="10" spans="1:7" x14ac:dyDescent="0.45">
      <c r="A10" t="s">
        <v>294</v>
      </c>
      <c r="B10" s="84" t="s">
        <v>153</v>
      </c>
      <c r="C10" s="84" t="str">
        <f>[1]WIP!I10</f>
        <v>1k msg/s</v>
      </c>
      <c r="D10" s="84" t="str">
        <f>[1]WIP!J10</f>
        <v>12 Capacity Units</v>
      </c>
      <c r="E10" t="s">
        <v>26</v>
      </c>
      <c r="F10" t="s">
        <v>26</v>
      </c>
      <c r="G10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48AA-166D-4A72-BD02-0A7EC44F9BFB}">
  <dimension ref="A1:D25"/>
  <sheetViews>
    <sheetView workbookViewId="0">
      <selection activeCell="C7" sqref="C7"/>
    </sheetView>
  </sheetViews>
  <sheetFormatPr defaultRowHeight="14.25" x14ac:dyDescent="0.45"/>
  <cols>
    <col min="1" max="1" width="13.1328125" customWidth="1"/>
    <col min="2" max="2" width="12.86328125" bestFit="1" customWidth="1"/>
    <col min="3" max="3" width="12.3984375" customWidth="1"/>
    <col min="4" max="4" width="79" customWidth="1"/>
  </cols>
  <sheetData>
    <row r="1" spans="1:4" x14ac:dyDescent="0.45">
      <c r="A1" s="3" t="s">
        <v>295</v>
      </c>
    </row>
    <row r="2" spans="1:4" x14ac:dyDescent="0.45">
      <c r="A2" s="3"/>
    </row>
    <row r="3" spans="1:4" x14ac:dyDescent="0.45">
      <c r="A3" s="3" t="s">
        <v>296</v>
      </c>
      <c r="B3" s="3" t="s">
        <v>297</v>
      </c>
      <c r="C3" s="3" t="s">
        <v>298</v>
      </c>
    </row>
    <row r="4" spans="1:4" x14ac:dyDescent="0.45">
      <c r="B4" t="s">
        <v>299</v>
      </c>
      <c r="C4" t="s">
        <v>300</v>
      </c>
    </row>
    <row r="5" spans="1:4" ht="45" customHeight="1" x14ac:dyDescent="0.45">
      <c r="A5" t="s">
        <v>301</v>
      </c>
      <c r="B5" t="s">
        <v>302</v>
      </c>
      <c r="C5" s="140" t="s">
        <v>303</v>
      </c>
      <c r="D5" s="140"/>
    </row>
    <row r="6" spans="1:4" ht="46.9" customHeight="1" x14ac:dyDescent="0.45">
      <c r="A6" t="s">
        <v>304</v>
      </c>
      <c r="B6" t="s">
        <v>305</v>
      </c>
      <c r="C6" s="140" t="s">
        <v>348</v>
      </c>
      <c r="D6" s="140"/>
    </row>
    <row r="9" spans="1:4" x14ac:dyDescent="0.45">
      <c r="A9" s="3" t="s">
        <v>306</v>
      </c>
    </row>
    <row r="10" spans="1:4" x14ac:dyDescent="0.45">
      <c r="A10" s="3" t="s">
        <v>254</v>
      </c>
      <c r="B10" s="3" t="s">
        <v>296</v>
      </c>
      <c r="C10" s="3" t="s">
        <v>297</v>
      </c>
      <c r="D10" s="3" t="s">
        <v>298</v>
      </c>
    </row>
    <row r="11" spans="1:4" x14ac:dyDescent="0.45">
      <c r="A11" s="92">
        <v>1</v>
      </c>
      <c r="B11" t="s">
        <v>307</v>
      </c>
      <c r="C11" t="s">
        <v>308</v>
      </c>
      <c r="D11" s="2" t="s">
        <v>309</v>
      </c>
    </row>
    <row r="12" spans="1:4" x14ac:dyDescent="0.45">
      <c r="A12" s="92">
        <v>2</v>
      </c>
      <c r="B12" t="s">
        <v>307</v>
      </c>
      <c r="C12" t="s">
        <v>310</v>
      </c>
      <c r="D12" s="2" t="s">
        <v>311</v>
      </c>
    </row>
    <row r="13" spans="1:4" x14ac:dyDescent="0.45">
      <c r="A13" s="92">
        <v>3</v>
      </c>
      <c r="B13" t="s">
        <v>307</v>
      </c>
      <c r="C13" t="s">
        <v>312</v>
      </c>
      <c r="D13" s="2" t="s">
        <v>313</v>
      </c>
    </row>
    <row r="14" spans="1:4" x14ac:dyDescent="0.45">
      <c r="A14" s="92">
        <v>4</v>
      </c>
      <c r="D14" s="2"/>
    </row>
    <row r="15" spans="1:4" x14ac:dyDescent="0.45">
      <c r="A15" s="92">
        <v>5</v>
      </c>
      <c r="D15" s="2"/>
    </row>
    <row r="16" spans="1:4" x14ac:dyDescent="0.45">
      <c r="A16" s="92">
        <v>6</v>
      </c>
      <c r="D16" s="2"/>
    </row>
    <row r="17" spans="1:4" x14ac:dyDescent="0.45">
      <c r="A17" s="92">
        <v>7</v>
      </c>
      <c r="D17" s="2"/>
    </row>
    <row r="18" spans="1:4" x14ac:dyDescent="0.45">
      <c r="A18" s="92">
        <v>8</v>
      </c>
      <c r="D18" s="2"/>
    </row>
    <row r="19" spans="1:4" x14ac:dyDescent="0.45">
      <c r="A19" s="92">
        <v>9</v>
      </c>
      <c r="D19" s="2"/>
    </row>
    <row r="20" spans="1:4" x14ac:dyDescent="0.45">
      <c r="A20" s="92">
        <v>10</v>
      </c>
      <c r="D20" s="2"/>
    </row>
    <row r="21" spans="1:4" x14ac:dyDescent="0.45">
      <c r="A21" s="92">
        <v>11</v>
      </c>
      <c r="D21" s="2"/>
    </row>
    <row r="22" spans="1:4" x14ac:dyDescent="0.45">
      <c r="A22" s="92">
        <v>12</v>
      </c>
      <c r="D22" s="2"/>
    </row>
    <row r="23" spans="1:4" x14ac:dyDescent="0.45">
      <c r="A23" s="92">
        <v>13</v>
      </c>
      <c r="D23" s="2"/>
    </row>
    <row r="24" spans="1:4" x14ac:dyDescent="0.45">
      <c r="A24" s="92">
        <v>14</v>
      </c>
      <c r="D24" s="2"/>
    </row>
    <row r="25" spans="1:4" x14ac:dyDescent="0.45">
      <c r="A25" s="92">
        <v>15</v>
      </c>
      <c r="D25" s="2"/>
    </row>
  </sheetData>
  <mergeCells count="2">
    <mergeCell ref="C5:D5"/>
    <mergeCell ref="C6:D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CDF3-AE50-4B25-B548-BD14AA4F557B}">
  <dimension ref="A1:C6"/>
  <sheetViews>
    <sheetView workbookViewId="0">
      <selection activeCell="C5" sqref="C5"/>
    </sheetView>
  </sheetViews>
  <sheetFormatPr defaultRowHeight="14.25" x14ac:dyDescent="0.45"/>
  <cols>
    <col min="1" max="1" width="10.1328125" bestFit="1" customWidth="1"/>
  </cols>
  <sheetData>
    <row r="1" spans="1:3" ht="15.75" x14ac:dyDescent="0.5">
      <c r="A1" s="83" t="s">
        <v>323</v>
      </c>
    </row>
    <row r="3" spans="1:3" x14ac:dyDescent="0.45">
      <c r="A3" s="102">
        <v>43872</v>
      </c>
      <c r="B3" t="s">
        <v>324</v>
      </c>
      <c r="C3" t="s">
        <v>325</v>
      </c>
    </row>
    <row r="4" spans="1:3" x14ac:dyDescent="0.45">
      <c r="B4" t="s">
        <v>381</v>
      </c>
      <c r="C4" t="s">
        <v>386</v>
      </c>
    </row>
    <row r="5" spans="1:3" x14ac:dyDescent="0.45">
      <c r="B5" t="s">
        <v>382</v>
      </c>
      <c r="C5" t="s">
        <v>385</v>
      </c>
    </row>
    <row r="6" spans="1:3" x14ac:dyDescent="0.45">
      <c r="B6" t="s">
        <v>383</v>
      </c>
      <c r="C6" t="s">
        <v>384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EEEC6226779448A422E59B537D46A" ma:contentTypeVersion="15" ma:contentTypeDescription="Create a new document." ma:contentTypeScope="" ma:versionID="2e2205af8f0d04c1c64c7f1990250160">
  <xsd:schema xmlns:xsd="http://www.w3.org/2001/XMLSchema" xmlns:xs="http://www.w3.org/2001/XMLSchema" xmlns:p="http://schemas.microsoft.com/office/2006/metadata/properties" xmlns:ns3="51de58da-c6bd-42e3-ac78-aea45dfe6bdf" xmlns:ns4="f3fb4e52-c5e6-4308-828e-afd5198a0619" targetNamespace="http://schemas.microsoft.com/office/2006/metadata/properties" ma:root="true" ma:fieldsID="3091fab570b0dad23bcbc2ae3d7c09c8" ns3:_="" ns4:_="">
    <xsd:import namespace="51de58da-c6bd-42e3-ac78-aea45dfe6bdf"/>
    <xsd:import namespace="f3fb4e52-c5e6-4308-828e-afd5198a06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e58da-c6bd-42e3-ac78-aea45dfe6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b4e52-c5e6-4308-828e-afd5198a0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7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8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51de58da-c6bd-42e3-ac78-aea45dfe6bdf" xsi:nil="true"/>
  </documentManagement>
</p:properties>
</file>

<file path=customXml/itemProps1.xml><?xml version="1.0" encoding="utf-8"?>
<ds:datastoreItem xmlns:ds="http://schemas.openxmlformats.org/officeDocument/2006/customXml" ds:itemID="{2D5A18EA-437F-4D1B-BABE-D11CA8655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de58da-c6bd-42e3-ac78-aea45dfe6bdf"/>
    <ds:schemaRef ds:uri="f3fb4e52-c5e6-4308-828e-afd5198a0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6C2C78-BEAA-43FA-865D-08FC31198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A370C-86C2-40D0-8C50-A6D00191DF0D}">
  <ds:schemaRefs>
    <ds:schemaRef ds:uri="http://schemas.microsoft.com/office/2006/documentManagement/types"/>
    <ds:schemaRef ds:uri="http://www.w3.org/XML/1998/namespace"/>
    <ds:schemaRef ds:uri="f3fb4e52-c5e6-4308-828e-afd5198a0619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1de58da-c6bd-42e3-ac78-aea45dfe6bd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Marketplace</vt:lpstr>
      <vt:lpstr>Metrics</vt:lpstr>
      <vt:lpstr>Summary</vt:lpstr>
      <vt:lpstr>Monthly Component Cost</vt:lpstr>
      <vt:lpstr>Monthly Cost Forecast</vt:lpstr>
      <vt:lpstr>Draft Architecture</vt:lpstr>
      <vt:lpstr>Streaming Calc</vt:lpstr>
      <vt:lpstr>Assumptions</vt:lpstr>
      <vt:lpstr>Business Sizing Assumptions</vt:lpstr>
      <vt:lpstr>User Stories</vt:lpstr>
      <vt:lpstr>Version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Thompson, David</dc:creator>
  <cp:keywords/>
  <dc:description/>
  <cp:lastModifiedBy>Nicholas Hurt</cp:lastModifiedBy>
  <cp:revision/>
  <dcterms:created xsi:type="dcterms:W3CDTF">2020-01-27T16:41:20Z</dcterms:created>
  <dcterms:modified xsi:type="dcterms:W3CDTF">2020-05-05T15:10:05Z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0x010100096EEEC6226779448A422E59B537D46A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nihurt@microsoft.com</vt:lpwstr>
  </property>
  <property fmtid="{D5CDD505-2E9C-101B-9397-08002B2CF9AE}" pid="6" name="MSIP_Label_f42aa342-8706-4288-bd11-ebb85995028c_SetDate">
    <vt:lpwstr>2020-02-03T18:32:12.7902246Z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6ba16f5d-0f69-4adf-9cb6-7628e93fd78f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