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if" ContentType="image/gi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/>
  <mc:AlternateContent xmlns:mc="http://schemas.openxmlformats.org/markup-compatibility/2006">
    <mc:Choice Requires="x15">
      <x15ac:absPath xmlns:x15ac="http://schemas.microsoft.com/office/spreadsheetml/2010/11/ac" url="C:\Users\Daniel\Desktop\M2I\"/>
    </mc:Choice>
  </mc:AlternateContent>
  <xr:revisionPtr revIDLastSave="0" documentId="13_ncr:1_{98B6EC15-1C13-4F3C-B739-E66904615D14}" xr6:coauthVersionLast="43" xr6:coauthVersionMax="43" xr10:uidLastSave="{00000000-0000-0000-0000-000000000000}"/>
  <bookViews>
    <workbookView xWindow="-8" yWindow="7192" windowWidth="22515" windowHeight="7215" firstSheet="13" activeTab="19" xr2:uid="{00000000-000D-0000-FFFF-FFFF00000000}"/>
  </bookViews>
  <sheets>
    <sheet name="1poignee_de_recopie" sheetId="14" r:id="rId1"/>
    <sheet name="2format_cellule" sheetId="15" r:id="rId2"/>
    <sheet name="3collage" sheetId="16" r:id="rId3"/>
    <sheet name="4calculs_simples" sheetId="17" r:id="rId4"/>
    <sheet name="5NBs" sheetId="13" r:id="rId5"/>
    <sheet name="6relat_abs" sheetId="6" r:id="rId6"/>
    <sheet name="7logique" sheetId="7" r:id="rId7"/>
    <sheet name="8mise en forme cond" sheetId="5" r:id="rId8"/>
    <sheet name="9graphique_simple" sheetId="18" r:id="rId9"/>
    <sheet name="10graphsparline" sheetId="19" r:id="rId10"/>
    <sheet name="11tri " sheetId="20" r:id="rId11"/>
    <sheet name="12filtre" sheetId="21" r:id="rId12"/>
    <sheet name="13filtrcomplex" sheetId="22" r:id="rId13"/>
    <sheet name="14filtrcomplex2" sheetId="23" r:id="rId14"/>
    <sheet name="15filrcomplex3" sheetId="24" r:id="rId15"/>
    <sheet name="16_consultation" sheetId="25" r:id="rId16"/>
    <sheet name="17_texte" sheetId="26" r:id="rId17"/>
    <sheet name="18_dates" sheetId="28" r:id="rId18"/>
    <sheet name="19_nommer" sheetId="27" r:id="rId19"/>
    <sheet name="20_plan" sheetId="29" r:id="rId20"/>
    <sheet name="Recap_France" sheetId="30" r:id="rId21"/>
    <sheet name="Agen" sheetId="31" r:id="rId22"/>
    <sheet name="Aix" sheetId="32" r:id="rId23"/>
    <sheet name="Lyon" sheetId="33" r:id="rId24"/>
    <sheet name="Toulouse" sheetId="34" r:id="rId25"/>
    <sheet name="Clermont" sheetId="35" r:id="rId26"/>
    <sheet name="Nantes" sheetId="36" r:id="rId27"/>
    <sheet name="Annecy" sheetId="37" r:id="rId28"/>
    <sheet name="Reims" sheetId="38" r:id="rId29"/>
    <sheet name="Valence" sheetId="39" r:id="rId30"/>
    <sheet name="Strasbourg" sheetId="40" r:id="rId31"/>
    <sheet name="Montélimar" sheetId="41" r:id="rId32"/>
    <sheet name="Nice" sheetId="42" r:id="rId33"/>
    <sheet name="Trim1" sheetId="43" r:id="rId34"/>
    <sheet name="Trim2" sheetId="44" r:id="rId35"/>
    <sheet name="Trim3" sheetId="45" r:id="rId36"/>
    <sheet name="Trim4" sheetId="46" r:id="rId37"/>
    <sheet name="RECAP" sheetId="47" r:id="rId38"/>
  </sheets>
  <definedNames>
    <definedName name="_xlnm._FilterDatabase" localSheetId="11" hidden="1">'12filtre'!$I$4:$J$20</definedName>
    <definedName name="_xlnm._FilterDatabase" localSheetId="12" hidden="1">'14filtrcomplex2'!$B$6:$F$16</definedName>
    <definedName name="_xlnm._FilterDatabase" localSheetId="14" hidden="1">'15filrcomplex3'!$A$2:$G$121</definedName>
    <definedName name="_xlchart.v1.0" hidden="1">'9graphique_simple'!$M$6:$N$16</definedName>
    <definedName name="_xlchart.v1.1" hidden="1">'9graphique_simple'!$O$5</definedName>
    <definedName name="_xlchart.v1.10" hidden="1">'9graphique_simple'!$AW$11:$AW$19</definedName>
    <definedName name="_xlchart.v1.2" hidden="1">'9graphique_simple'!$O$6:$O$16</definedName>
    <definedName name="_xlchart.v1.3" hidden="1">'9graphique_simple'!$X$6:$Y$16</definedName>
    <definedName name="_xlchart.v1.4" hidden="1">'9graphique_simple'!$Z$5</definedName>
    <definedName name="_xlchart.v1.5" hidden="1">'9graphique_simple'!$Z$6:$Z$16</definedName>
    <definedName name="_xlchart.v1.6" hidden="1">'9graphique_simple'!$AK$7:$AK$17</definedName>
    <definedName name="_xlchart.v1.7" hidden="1">'9graphique_simple'!$AL$7:$AL$17</definedName>
    <definedName name="_xlchart.v1.8" hidden="1">'9graphique_simple'!$AV$11:$AV$19</definedName>
    <definedName name="_xlchart.v1.9" hidden="1">'9graphique_simple'!$AW$10</definedName>
    <definedName name="DATEfact">'19_nommer'!$S$2</definedName>
    <definedName name="PRIX">'19_nommer'!$Q$7:$Q$28</definedName>
    <definedName name="QUANTITE">'19_nommer'!$R$7:$R$28</definedName>
    <definedName name="TOTAL_HT">'19_nommer'!$S$7:$S$28</definedName>
    <definedName name="TOTALAnnecy">'19_nommer'!$B$30</definedName>
    <definedName name="TOTALGap">'19_nommer'!$H$18</definedName>
    <definedName name="TOTALLyon">'19_nommer'!$E$18</definedName>
    <definedName name="TOTALNantes">'19_nommer'!$B$18</definedName>
    <definedName name="TOTALNice">'19_nommer'!$E$30</definedName>
    <definedName name="TOTALReims">'19_nommer'!$H$30</definedName>
    <definedName name="TOTHT">'19_nommer'!$S$29</definedName>
    <definedName name="TVA">'19_nommer'!$S$30</definedName>
    <definedName name="TXTVA">'19_nommer'!$S$4</definedName>
    <definedName name="Z_5E7DE6D2_BCEF_4CED_8AAB_CDBE9A4787EF_.wvu.Cols" localSheetId="14" hidden="1">'15filrcomplex3'!$P:$P</definedName>
    <definedName name="Z_5E7DE6D2_BCEF_4CED_8AAB_CDBE9A4787EF_.wvu.FilterData" localSheetId="11" hidden="1">'12filtre'!$I$4:$J$20</definedName>
    <definedName name="Z_5E7DE6D2_BCEF_4CED_8AAB_CDBE9A4787EF_.wvu.FilterData" localSheetId="14" hidden="1">'15filrcomplex3'!$A$2:$G$121</definedName>
    <definedName name="Z_5E7DE6D2_BCEF_4CED_8AAB_CDBE9A4787EF_.wvu.Rows" localSheetId="19" hidden="1">'20_plan'!$5:$11,'20_plan'!$13:$15,'20_plan'!$17:$19,'20_plan'!$21:$22</definedName>
    <definedName name="Z_5E7DE6D2_BCEF_4CED_8AAB_CDBE9A4787EF_.wvu.Rows" localSheetId="37" hidden="1">RECAP!$3:$6,RECAP!$8:$11,RECAP!$13:$16,RECAP!$18:$21,RECAP!$23:$26,RECAP!$28:$31,RECAP!$33:$36,RECAP!$38:$41</definedName>
    <definedName name="Z_5E7DE6D2_BCEF_4CED_8AAB_CDBE9A4787EF_.wvu.Rows" localSheetId="20" hidden="1">Recap_France!$5:$16,Recap_France!$18:$29,Recap_France!$31:$42,Recap_France!$44:$55,Recap_France!$57:$68,Recap_France!$70:$81,Recap_France!$83:$94</definedName>
    <definedName name="Z_9A7E0A54_F8CF_415E_960A_021260CA2349_.wvu.Cols" localSheetId="14" hidden="1">'15filrcomplex3'!$P:$P</definedName>
    <definedName name="Z_9A7E0A54_F8CF_415E_960A_021260CA2349_.wvu.FilterData" localSheetId="11" hidden="1">'12filtre'!$I$4:$J$20</definedName>
    <definedName name="Z_9A7E0A54_F8CF_415E_960A_021260CA2349_.wvu.FilterData" localSheetId="14" hidden="1">'15filrcomplex3'!$A$2:$G$121</definedName>
    <definedName name="Z_9A7E0A54_F8CF_415E_960A_021260CA2349_.wvu.Rows" localSheetId="37" hidden="1">RECAP!$3:$6,RECAP!$8:$11,RECAP!$13:$16,RECAP!$18:$21,RECAP!$23:$26,RECAP!$28:$31,RECAP!$33:$36,RECAP!$38:$41</definedName>
    <definedName name="Z_9A7E0A54_F8CF_415E_960A_021260CA2349_.wvu.Rows" localSheetId="20" hidden="1">Recap_France!$5:$16,Recap_France!$18:$29,Recap_France!$31:$42,Recap_France!$44:$55,Recap_France!$57:$68,Recap_France!$70:$81,Recap_France!$83:$94</definedName>
    <definedName name="Z_F92263E3_1F8F_4693_9392_ADB3CCBDA453_.wvu.Cols" localSheetId="14" hidden="1">'15filrcomplex3'!$P:$P</definedName>
    <definedName name="Z_F92263E3_1F8F_4693_9392_ADB3CCBDA453_.wvu.Cols" localSheetId="19" hidden="1">'20_plan'!$C:$E</definedName>
    <definedName name="Z_F92263E3_1F8F_4693_9392_ADB3CCBDA453_.wvu.FilterData" localSheetId="11" hidden="1">'12filtre'!$I$4:$J$20</definedName>
    <definedName name="Z_F92263E3_1F8F_4693_9392_ADB3CCBDA453_.wvu.FilterData" localSheetId="14" hidden="1">'15filrcomplex3'!$A$2:$G$121</definedName>
    <definedName name="Z_F92263E3_1F8F_4693_9392_ADB3CCBDA453_.wvu.Rows" localSheetId="19" hidden="1">'20_plan'!$5:$23</definedName>
    <definedName name="Z_F92263E3_1F8F_4693_9392_ADB3CCBDA453_.wvu.Rows" localSheetId="37" hidden="1">RECAP!$3:$6,RECAP!$8:$11,RECAP!$13:$16,RECAP!$18:$21,RECAP!$23:$26,RECAP!$28:$31,RECAP!$33:$36,RECAP!$38:$41</definedName>
    <definedName name="Z_F92263E3_1F8F_4693_9392_ADB3CCBDA453_.wvu.Rows" localSheetId="20" hidden="1">Recap_France!$5:$16,Recap_France!$18:$29,Recap_France!$31:$42,Recap_France!$44:$55,Recap_France!$57:$68,Recap_France!$70:$81,Recap_France!$83:$94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41" i="47" l="1"/>
  <c r="B40" i="47"/>
  <c r="B39" i="47"/>
  <c r="B38" i="47"/>
  <c r="B42" i="47" s="1"/>
  <c r="B36" i="47"/>
  <c r="B35" i="47"/>
  <c r="B34" i="47"/>
  <c r="B33" i="47"/>
  <c r="B37" i="47" s="1"/>
  <c r="B31" i="47"/>
  <c r="B30" i="47"/>
  <c r="B29" i="47"/>
  <c r="B28" i="47"/>
  <c r="B32" i="47" s="1"/>
  <c r="B27" i="47"/>
  <c r="B26" i="47"/>
  <c r="B25" i="47"/>
  <c r="B24" i="47"/>
  <c r="B23" i="47"/>
  <c r="B21" i="47"/>
  <c r="B20" i="47"/>
  <c r="B19" i="47"/>
  <c r="B18" i="47"/>
  <c r="B22" i="47" s="1"/>
  <c r="B16" i="47"/>
  <c r="B15" i="47"/>
  <c r="B14" i="47"/>
  <c r="B13" i="47"/>
  <c r="B17" i="47" s="1"/>
  <c r="B11" i="47"/>
  <c r="B12" i="47" s="1"/>
  <c r="B10" i="47"/>
  <c r="B9" i="47"/>
  <c r="B8" i="47"/>
  <c r="B6" i="47"/>
  <c r="B5" i="47"/>
  <c r="B4" i="47"/>
  <c r="B3" i="47"/>
  <c r="B7" i="47" s="1"/>
  <c r="B11" i="42"/>
  <c r="B11" i="41"/>
  <c r="B11" i="40"/>
  <c r="B11" i="39"/>
  <c r="B94" i="30" s="1"/>
  <c r="B11" i="38"/>
  <c r="B11" i="37"/>
  <c r="B11" i="36"/>
  <c r="B11" i="35"/>
  <c r="B86" i="30" s="1"/>
  <c r="B11" i="34"/>
  <c r="B11" i="33"/>
  <c r="B11" i="32"/>
  <c r="B11" i="31"/>
  <c r="B83" i="30" s="1"/>
  <c r="B95" i="30" s="1"/>
  <c r="B93" i="30"/>
  <c r="B92" i="30"/>
  <c r="B91" i="30"/>
  <c r="B90" i="30"/>
  <c r="B89" i="30"/>
  <c r="B88" i="30"/>
  <c r="B87" i="30"/>
  <c r="B85" i="30"/>
  <c r="B84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82" i="30" s="1"/>
  <c r="B68" i="30"/>
  <c r="B67" i="30"/>
  <c r="B66" i="30"/>
  <c r="B65" i="30"/>
  <c r="B64" i="30"/>
  <c r="B63" i="30"/>
  <c r="B62" i="30"/>
  <c r="B61" i="30"/>
  <c r="B60" i="30"/>
  <c r="B59" i="30"/>
  <c r="B58" i="30"/>
  <c r="B57" i="30"/>
  <c r="B69" i="30" s="1"/>
  <c r="B55" i="30"/>
  <c r="B54" i="30"/>
  <c r="B53" i="30"/>
  <c r="B52" i="30"/>
  <c r="B51" i="30"/>
  <c r="B50" i="30"/>
  <c r="B49" i="30"/>
  <c r="B48" i="30"/>
  <c r="B47" i="30"/>
  <c r="B46" i="30"/>
  <c r="B45" i="30"/>
  <c r="B44" i="30"/>
  <c r="B56" i="30" s="1"/>
  <c r="B42" i="30"/>
  <c r="B41" i="30"/>
  <c r="B40" i="30"/>
  <c r="B39" i="30"/>
  <c r="B38" i="30"/>
  <c r="B37" i="30"/>
  <c r="B36" i="30"/>
  <c r="B35" i="30"/>
  <c r="B34" i="30"/>
  <c r="B33" i="30"/>
  <c r="B32" i="30"/>
  <c r="B31" i="30"/>
  <c r="B43" i="30" s="1"/>
  <c r="B29" i="30"/>
  <c r="B28" i="30"/>
  <c r="B27" i="30"/>
  <c r="B26" i="30"/>
  <c r="B25" i="30"/>
  <c r="B24" i="30"/>
  <c r="B23" i="30"/>
  <c r="B22" i="30"/>
  <c r="B21" i="30"/>
  <c r="B20" i="30"/>
  <c r="B19" i="30"/>
  <c r="B18" i="30"/>
  <c r="B30" i="30" s="1"/>
  <c r="B16" i="30"/>
  <c r="B15" i="30"/>
  <c r="B14" i="30"/>
  <c r="B13" i="30"/>
  <c r="B12" i="30"/>
  <c r="B11" i="30"/>
  <c r="B10" i="30"/>
  <c r="B9" i="30"/>
  <c r="B8" i="30"/>
  <c r="B7" i="30"/>
  <c r="B6" i="30"/>
  <c r="B5" i="30"/>
  <c r="B17" i="30" s="1"/>
  <c r="E23" i="29"/>
  <c r="D23" i="29"/>
  <c r="C23" i="29"/>
  <c r="F22" i="29"/>
  <c r="F23" i="29" s="1"/>
  <c r="F21" i="29"/>
  <c r="E20" i="29"/>
  <c r="D20" i="29"/>
  <c r="C20" i="29"/>
  <c r="F19" i="29"/>
  <c r="F18" i="29"/>
  <c r="F17" i="29"/>
  <c r="F20" i="29" s="1"/>
  <c r="E16" i="29"/>
  <c r="D16" i="29"/>
  <c r="C16" i="29"/>
  <c r="F15" i="29"/>
  <c r="F14" i="29"/>
  <c r="F13" i="29"/>
  <c r="F16" i="29" s="1"/>
  <c r="E12" i="29"/>
  <c r="E24" i="29" s="1"/>
  <c r="D12" i="29"/>
  <c r="D24" i="29" s="1"/>
  <c r="C12" i="29"/>
  <c r="C24" i="29" s="1"/>
  <c r="F11" i="29"/>
  <c r="F10" i="29"/>
  <c r="F9" i="29"/>
  <c r="F8" i="29"/>
  <c r="F7" i="29"/>
  <c r="F6" i="29"/>
  <c r="F5" i="29"/>
  <c r="AE24" i="25"/>
  <c r="AF24" i="25" s="1"/>
  <c r="AF23" i="25"/>
  <c r="AE23" i="25"/>
  <c r="B23" i="25"/>
  <c r="D17" i="25" s="1"/>
  <c r="AE22" i="25"/>
  <c r="AF22" i="25" s="1"/>
  <c r="AE21" i="25"/>
  <c r="AF21" i="25" s="1"/>
  <c r="AF20" i="25"/>
  <c r="AE20" i="25"/>
  <c r="AF19" i="25"/>
  <c r="AE19" i="25"/>
  <c r="D18" i="25"/>
  <c r="AF14" i="25"/>
  <c r="AE14" i="25"/>
  <c r="D14" i="25"/>
  <c r="AE13" i="25"/>
  <c r="AF13" i="25" s="1"/>
  <c r="AE12" i="25"/>
  <c r="AF12" i="25" s="1"/>
  <c r="Q12" i="25"/>
  <c r="D12" i="25"/>
  <c r="AE11" i="25"/>
  <c r="AF11" i="25" s="1"/>
  <c r="AF10" i="25"/>
  <c r="AE10" i="25"/>
  <c r="I10" i="25"/>
  <c r="D10" i="25"/>
  <c r="BA9" i="25"/>
  <c r="BB9" i="25" s="1"/>
  <c r="BC9" i="25" s="1"/>
  <c r="BD9" i="25" s="1"/>
  <c r="BE9" i="25" s="1"/>
  <c r="BF9" i="25" s="1"/>
  <c r="BG9" i="25" s="1"/>
  <c r="BH9" i="25" s="1"/>
  <c r="BI9" i="25" s="1"/>
  <c r="AZ9" i="25"/>
  <c r="AZ10" i="25" s="1"/>
  <c r="AZ11" i="25" s="1"/>
  <c r="AL9" i="25"/>
  <c r="AL10" i="25" s="1"/>
  <c r="AL11" i="25" s="1"/>
  <c r="AL12" i="25" s="1"/>
  <c r="AL13" i="25" s="1"/>
  <c r="AL14" i="25" s="1"/>
  <c r="AL15" i="25" s="1"/>
  <c r="AL16" i="25" s="1"/>
  <c r="AL17" i="25" s="1"/>
  <c r="AL18" i="25" s="1"/>
  <c r="AL19" i="25" s="1"/>
  <c r="AL20" i="25" s="1"/>
  <c r="AL21" i="25" s="1"/>
  <c r="AL22" i="25" s="1"/>
  <c r="AL23" i="25" s="1"/>
  <c r="AL24" i="25" s="1"/>
  <c r="AL25" i="25" s="1"/>
  <c r="AL26" i="25" s="1"/>
  <c r="AL27" i="25" s="1"/>
  <c r="AL28" i="25" s="1"/>
  <c r="AL29" i="25" s="1"/>
  <c r="AL30" i="25" s="1"/>
  <c r="AL31" i="25" s="1"/>
  <c r="AL32" i="25" s="1"/>
  <c r="AL33" i="25" s="1"/>
  <c r="AL34" i="25" s="1"/>
  <c r="AL35" i="25" s="1"/>
  <c r="AM6" i="25" s="1"/>
  <c r="AM7" i="25" s="1"/>
  <c r="AM8" i="25" s="1"/>
  <c r="AM9" i="25" s="1"/>
  <c r="AM10" i="25" s="1"/>
  <c r="AM11" i="25" s="1"/>
  <c r="AM12" i="25" s="1"/>
  <c r="AM13" i="25" s="1"/>
  <c r="AM14" i="25" s="1"/>
  <c r="AM15" i="25" s="1"/>
  <c r="AM16" i="25" s="1"/>
  <c r="AM17" i="25" s="1"/>
  <c r="AM18" i="25" s="1"/>
  <c r="AM19" i="25" s="1"/>
  <c r="AM20" i="25" s="1"/>
  <c r="AM21" i="25" s="1"/>
  <c r="AM22" i="25" s="1"/>
  <c r="AM23" i="25" s="1"/>
  <c r="AM24" i="25" s="1"/>
  <c r="AM25" i="25" s="1"/>
  <c r="AM26" i="25" s="1"/>
  <c r="AM27" i="25" s="1"/>
  <c r="AM28" i="25" s="1"/>
  <c r="AM29" i="25" s="1"/>
  <c r="AM30" i="25" s="1"/>
  <c r="AM31" i="25" s="1"/>
  <c r="AM32" i="25" s="1"/>
  <c r="AM33" i="25" s="1"/>
  <c r="AM34" i="25" s="1"/>
  <c r="AM35" i="25" s="1"/>
  <c r="AN6" i="25" s="1"/>
  <c r="AN7" i="25" s="1"/>
  <c r="AN8" i="25" s="1"/>
  <c r="AN9" i="25" s="1"/>
  <c r="AN10" i="25" s="1"/>
  <c r="AN11" i="25" s="1"/>
  <c r="AN12" i="25" s="1"/>
  <c r="AN13" i="25" s="1"/>
  <c r="AN14" i="25" s="1"/>
  <c r="AN15" i="25" s="1"/>
  <c r="AN16" i="25" s="1"/>
  <c r="AN17" i="25" s="1"/>
  <c r="AN18" i="25" s="1"/>
  <c r="AN19" i="25" s="1"/>
  <c r="AN20" i="25" s="1"/>
  <c r="AN21" i="25" s="1"/>
  <c r="AN22" i="25" s="1"/>
  <c r="AN23" i="25" s="1"/>
  <c r="AN24" i="25" s="1"/>
  <c r="AN25" i="25" s="1"/>
  <c r="AN26" i="25" s="1"/>
  <c r="AN27" i="25" s="1"/>
  <c r="AN28" i="25" s="1"/>
  <c r="AN29" i="25" s="1"/>
  <c r="AN30" i="25" s="1"/>
  <c r="AN31" i="25" s="1"/>
  <c r="AN32" i="25" s="1"/>
  <c r="AN33" i="25" s="1"/>
  <c r="AN34" i="25" s="1"/>
  <c r="AN35" i="25" s="1"/>
  <c r="AO6" i="25" s="1"/>
  <c r="AO7" i="25" s="1"/>
  <c r="AO8" i="25" s="1"/>
  <c r="AO9" i="25" s="1"/>
  <c r="AO10" i="25" s="1"/>
  <c r="AO11" i="25" s="1"/>
  <c r="AO12" i="25" s="1"/>
  <c r="AO13" i="25" s="1"/>
  <c r="AO14" i="25" s="1"/>
  <c r="AO15" i="25" s="1"/>
  <c r="AO16" i="25" s="1"/>
  <c r="AO17" i="25" s="1"/>
  <c r="AO18" i="25" s="1"/>
  <c r="AO19" i="25" s="1"/>
  <c r="AO20" i="25" s="1"/>
  <c r="AO21" i="25" s="1"/>
  <c r="AO22" i="25" s="1"/>
  <c r="AO23" i="25" s="1"/>
  <c r="AO24" i="25" s="1"/>
  <c r="AO25" i="25" s="1"/>
  <c r="AO26" i="25" s="1"/>
  <c r="AO27" i="25" s="1"/>
  <c r="AO28" i="25" s="1"/>
  <c r="AO29" i="25" s="1"/>
  <c r="AO30" i="25" s="1"/>
  <c r="AO31" i="25" s="1"/>
  <c r="AO32" i="25" s="1"/>
  <c r="AO33" i="25" s="1"/>
  <c r="AO34" i="25" s="1"/>
  <c r="AO35" i="25" s="1"/>
  <c r="AP6" i="25" s="1"/>
  <c r="AP7" i="25" s="1"/>
  <c r="AP8" i="25" s="1"/>
  <c r="AP9" i="25" s="1"/>
  <c r="AP10" i="25" s="1"/>
  <c r="AP11" i="25" s="1"/>
  <c r="AP12" i="25" s="1"/>
  <c r="AP13" i="25" s="1"/>
  <c r="AP14" i="25" s="1"/>
  <c r="AP15" i="25" s="1"/>
  <c r="AP16" i="25" s="1"/>
  <c r="AP17" i="25" s="1"/>
  <c r="AP18" i="25" s="1"/>
  <c r="AP19" i="25" s="1"/>
  <c r="AP20" i="25" s="1"/>
  <c r="AP21" i="25" s="1"/>
  <c r="AP22" i="25" s="1"/>
  <c r="AP23" i="25" s="1"/>
  <c r="AP24" i="25" s="1"/>
  <c r="AP25" i="25" s="1"/>
  <c r="AP26" i="25" s="1"/>
  <c r="AP27" i="25" s="1"/>
  <c r="AP28" i="25" s="1"/>
  <c r="AP29" i="25" s="1"/>
  <c r="AP30" i="25" s="1"/>
  <c r="AP31" i="25" s="1"/>
  <c r="AP32" i="25" s="1"/>
  <c r="AP33" i="25" s="1"/>
  <c r="AP34" i="25" s="1"/>
  <c r="AP35" i="25" s="1"/>
  <c r="AQ6" i="25" s="1"/>
  <c r="AQ7" i="25" s="1"/>
  <c r="AQ8" i="25" s="1"/>
  <c r="AQ9" i="25" s="1"/>
  <c r="AQ10" i="25" s="1"/>
  <c r="AQ11" i="25" s="1"/>
  <c r="AQ12" i="25" s="1"/>
  <c r="AQ13" i="25" s="1"/>
  <c r="AQ14" i="25" s="1"/>
  <c r="AQ15" i="25" s="1"/>
  <c r="AQ16" i="25" s="1"/>
  <c r="AQ17" i="25" s="1"/>
  <c r="AQ18" i="25" s="1"/>
  <c r="AQ19" i="25" s="1"/>
  <c r="AQ20" i="25" s="1"/>
  <c r="AQ21" i="25" s="1"/>
  <c r="AQ22" i="25" s="1"/>
  <c r="AQ23" i="25" s="1"/>
  <c r="AQ24" i="25" s="1"/>
  <c r="AQ25" i="25" s="1"/>
  <c r="AQ26" i="25" s="1"/>
  <c r="AQ27" i="25" s="1"/>
  <c r="AQ28" i="25" s="1"/>
  <c r="AQ29" i="25" s="1"/>
  <c r="AQ30" i="25" s="1"/>
  <c r="AQ31" i="25" s="1"/>
  <c r="AQ32" i="25" s="1"/>
  <c r="AQ33" i="25" s="1"/>
  <c r="AQ34" i="25" s="1"/>
  <c r="AQ35" i="25" s="1"/>
  <c r="AR6" i="25" s="1"/>
  <c r="AR7" i="25" s="1"/>
  <c r="AR8" i="25" s="1"/>
  <c r="AE9" i="25"/>
  <c r="AF9" i="25" s="1"/>
  <c r="D9" i="25"/>
  <c r="BA8" i="25"/>
  <c r="BB8" i="25" s="1"/>
  <c r="BC8" i="25" s="1"/>
  <c r="BD8" i="25" s="1"/>
  <c r="BE8" i="25" s="1"/>
  <c r="BF8" i="25" s="1"/>
  <c r="BG8" i="25" s="1"/>
  <c r="BH8" i="25" s="1"/>
  <c r="BI8" i="25" s="1"/>
  <c r="AL8" i="25"/>
  <c r="AL7" i="25"/>
  <c r="D7" i="25"/>
  <c r="C29" i="28"/>
  <c r="C27" i="28"/>
  <c r="BG25" i="28"/>
  <c r="C25" i="28"/>
  <c r="C23" i="28"/>
  <c r="C21" i="28"/>
  <c r="BA20" i="28"/>
  <c r="BA21" i="28" s="1"/>
  <c r="BA22" i="28" s="1"/>
  <c r="BA23" i="28" s="1"/>
  <c r="BA24" i="28" s="1"/>
  <c r="BA25" i="28" s="1"/>
  <c r="BA26" i="28" s="1"/>
  <c r="BA27" i="28" s="1"/>
  <c r="BG19" i="28"/>
  <c r="BA19" i="28"/>
  <c r="AZ19" i="28"/>
  <c r="AZ20" i="28" s="1"/>
  <c r="AZ21" i="28" s="1"/>
  <c r="AZ22" i="28" s="1"/>
  <c r="AZ23" i="28" s="1"/>
  <c r="AZ24" i="28" s="1"/>
  <c r="AZ25" i="28" s="1"/>
  <c r="AZ26" i="28" s="1"/>
  <c r="AZ27" i="28" s="1"/>
  <c r="K16" i="28"/>
  <c r="L15" i="28"/>
  <c r="K15" i="28"/>
  <c r="AS14" i="28"/>
  <c r="AS15" i="28" s="1"/>
  <c r="AR15" i="28" s="1"/>
  <c r="L14" i="28"/>
  <c r="K14" i="28"/>
  <c r="C14" i="28"/>
  <c r="BG13" i="28"/>
  <c r="AS13" i="28"/>
  <c r="AR13" i="28" s="1"/>
  <c r="AN13" i="28"/>
  <c r="AF13" i="28"/>
  <c r="AF14" i="28" s="1"/>
  <c r="AF15" i="28" s="1"/>
  <c r="AF16" i="28" s="1"/>
  <c r="AF17" i="28" s="1"/>
  <c r="AF18" i="28" s="1"/>
  <c r="AF19" i="28" s="1"/>
  <c r="AF20" i="28" s="1"/>
  <c r="U13" i="28"/>
  <c r="T13" i="28"/>
  <c r="S13" i="28"/>
  <c r="L13" i="28"/>
  <c r="K13" i="28"/>
  <c r="AS12" i="28"/>
  <c r="AR12" i="28"/>
  <c r="AN12" i="28"/>
  <c r="AE12" i="28"/>
  <c r="AE13" i="28" s="1"/>
  <c r="AE14" i="28" s="1"/>
  <c r="AE15" i="28" s="1"/>
  <c r="AE16" i="28" s="1"/>
  <c r="AE17" i="28" s="1"/>
  <c r="AE18" i="28" s="1"/>
  <c r="AE19" i="28" s="1"/>
  <c r="AE20" i="28" s="1"/>
  <c r="AD12" i="28"/>
  <c r="AD13" i="28" s="1"/>
  <c r="AD14" i="28" s="1"/>
  <c r="AD15" i="28" s="1"/>
  <c r="AD16" i="28" s="1"/>
  <c r="AD17" i="28" s="1"/>
  <c r="AD18" i="28" s="1"/>
  <c r="AD19" i="28" s="1"/>
  <c r="AD20" i="28" s="1"/>
  <c r="U12" i="28"/>
  <c r="T12" i="28"/>
  <c r="S12" i="28"/>
  <c r="L12" i="28"/>
  <c r="K12" i="28"/>
  <c r="C12" i="28"/>
  <c r="AS11" i="28"/>
  <c r="AR11" i="28"/>
  <c r="AN11" i="28"/>
  <c r="AD11" i="28"/>
  <c r="Z11" i="28"/>
  <c r="Y12" i="28" s="1"/>
  <c r="Z12" i="28" s="1"/>
  <c r="Y13" i="28" s="1"/>
  <c r="Z13" i="28" s="1"/>
  <c r="Y14" i="28" s="1"/>
  <c r="Z14" i="28" s="1"/>
  <c r="Y15" i="28" s="1"/>
  <c r="Z15" i="28" s="1"/>
  <c r="Y16" i="28" s="1"/>
  <c r="Z16" i="28" s="1"/>
  <c r="Y17" i="28" s="1"/>
  <c r="Z17" i="28" s="1"/>
  <c r="Y18" i="28" s="1"/>
  <c r="Z18" i="28" s="1"/>
  <c r="Y19" i="28" s="1"/>
  <c r="Z19" i="28" s="1"/>
  <c r="Y20" i="28" s="1"/>
  <c r="Z20" i="28" s="1"/>
  <c r="Y21" i="28" s="1"/>
  <c r="Z21" i="28" s="1"/>
  <c r="Y22" i="28" s="1"/>
  <c r="Z22" i="28" s="1"/>
  <c r="Y11" i="28"/>
  <c r="U11" i="28"/>
  <c r="T11" i="28"/>
  <c r="S11" i="28"/>
  <c r="L11" i="28"/>
  <c r="K11" i="28"/>
  <c r="AN10" i="28"/>
  <c r="AG10" i="28"/>
  <c r="AG11" i="28" s="1"/>
  <c r="AG12" i="28" s="1"/>
  <c r="AG13" i="28" s="1"/>
  <c r="AG14" i="28" s="1"/>
  <c r="AG15" i="28" s="1"/>
  <c r="AG16" i="28" s="1"/>
  <c r="AG17" i="28" s="1"/>
  <c r="AG18" i="28" s="1"/>
  <c r="AG19" i="28" s="1"/>
  <c r="AG20" i="28" s="1"/>
  <c r="AE10" i="28"/>
  <c r="AE11" i="28" s="1"/>
  <c r="AD10" i="28"/>
  <c r="U10" i="28"/>
  <c r="T10" i="28"/>
  <c r="S10" i="28"/>
  <c r="L10" i="28"/>
  <c r="K10" i="28"/>
  <c r="C10" i="28"/>
  <c r="AN9" i="28"/>
  <c r="AG9" i="28"/>
  <c r="AF9" i="28"/>
  <c r="AF10" i="28" s="1"/>
  <c r="AF11" i="28" s="1"/>
  <c r="AF12" i="28" s="1"/>
  <c r="AE9" i="28"/>
  <c r="AD9" i="28"/>
  <c r="U9" i="28"/>
  <c r="T9" i="28"/>
  <c r="S9" i="28"/>
  <c r="L9" i="28"/>
  <c r="K9" i="28"/>
  <c r="C9" i="28"/>
  <c r="AN8" i="28"/>
  <c r="AN14" i="28" s="1"/>
  <c r="U8" i="28"/>
  <c r="T8" i="28"/>
  <c r="S8" i="28"/>
  <c r="C7" i="28"/>
  <c r="C6" i="28"/>
  <c r="L5" i="28"/>
  <c r="S33" i="27"/>
  <c r="H30" i="27"/>
  <c r="K18" i="27" s="1"/>
  <c r="E30" i="27"/>
  <c r="B30" i="27"/>
  <c r="S28" i="27"/>
  <c r="S27" i="27"/>
  <c r="S26" i="27"/>
  <c r="S25" i="27"/>
  <c r="S24" i="27"/>
  <c r="S23" i="27"/>
  <c r="S22" i="27"/>
  <c r="S21" i="27"/>
  <c r="S20" i="27"/>
  <c r="S19" i="27"/>
  <c r="S18" i="27"/>
  <c r="H18" i="27"/>
  <c r="K14" i="27" s="1"/>
  <c r="E18" i="27"/>
  <c r="B18" i="27"/>
  <c r="S17" i="27"/>
  <c r="K17" i="27"/>
  <c r="S16" i="27"/>
  <c r="K16" i="27"/>
  <c r="S15" i="27"/>
  <c r="K15" i="27"/>
  <c r="S14" i="27"/>
  <c r="S13" i="27"/>
  <c r="K13" i="27"/>
  <c r="S12" i="27"/>
  <c r="S11" i="27"/>
  <c r="S10" i="27"/>
  <c r="S9" i="27"/>
  <c r="S8" i="27"/>
  <c r="S7" i="27"/>
  <c r="C21" i="26"/>
  <c r="C20" i="26"/>
  <c r="C19" i="26"/>
  <c r="C18" i="26"/>
  <c r="C17" i="26"/>
  <c r="C16" i="26"/>
  <c r="AB15" i="26"/>
  <c r="N15" i="26"/>
  <c r="C15" i="26"/>
  <c r="AB14" i="26"/>
  <c r="C14" i="26"/>
  <c r="AB13" i="26"/>
  <c r="J13" i="26"/>
  <c r="C13" i="26"/>
  <c r="AB12" i="26"/>
  <c r="V12" i="26"/>
  <c r="U12" i="26"/>
  <c r="J12" i="26"/>
  <c r="C12" i="26"/>
  <c r="AB11" i="26"/>
  <c r="V11" i="26"/>
  <c r="U11" i="26"/>
  <c r="J11" i="26"/>
  <c r="AB10" i="26"/>
  <c r="V10" i="26"/>
  <c r="U10" i="26"/>
  <c r="J10" i="26"/>
  <c r="AB9" i="26"/>
  <c r="V9" i="26"/>
  <c r="U9" i="26"/>
  <c r="J9" i="26"/>
  <c r="AB8" i="26"/>
  <c r="V8" i="26"/>
  <c r="U8" i="26"/>
  <c r="J8" i="26"/>
  <c r="V7" i="26"/>
  <c r="U7" i="26"/>
  <c r="J7" i="26"/>
  <c r="O36" i="24"/>
  <c r="O30" i="24"/>
  <c r="O24" i="24"/>
  <c r="O17" i="24"/>
  <c r="O10" i="24"/>
  <c r="O3" i="24"/>
  <c r="B18" i="23"/>
  <c r="G15" i="22"/>
  <c r="G14" i="22"/>
  <c r="G13" i="22"/>
  <c r="G12" i="22"/>
  <c r="G11" i="22"/>
  <c r="G10" i="22"/>
  <c r="G9" i="22"/>
  <c r="G8" i="22"/>
  <c r="G7" i="22"/>
  <c r="BF18" i="19"/>
  <c r="BC18" i="19"/>
  <c r="BB18" i="19"/>
  <c r="BA18" i="19"/>
  <c r="AN18" i="19"/>
  <c r="AL18" i="19"/>
  <c r="AH18" i="19"/>
  <c r="AG18" i="19"/>
  <c r="AF18" i="19"/>
  <c r="AE18" i="19"/>
  <c r="BF17" i="19"/>
  <c r="BC17" i="19"/>
  <c r="BB17" i="19"/>
  <c r="BA17" i="19"/>
  <c r="AK17" i="19"/>
  <c r="AK18" i="19" s="1"/>
  <c r="AI17" i="19"/>
  <c r="AI18" i="19" s="1"/>
  <c r="AH17" i="19"/>
  <c r="W17" i="19"/>
  <c r="V17" i="19"/>
  <c r="U17" i="19"/>
  <c r="T17" i="19"/>
  <c r="BF16" i="19"/>
  <c r="BC16" i="19"/>
  <c r="BB16" i="19"/>
  <c r="BA16" i="19"/>
  <c r="AN16" i="19"/>
  <c r="AK16" i="19"/>
  <c r="AI16" i="19"/>
  <c r="AH16" i="19"/>
  <c r="AG16" i="19"/>
  <c r="AF16" i="19"/>
  <c r="AE16" i="19"/>
  <c r="BF15" i="19"/>
  <c r="BC15" i="19"/>
  <c r="BB15" i="19"/>
  <c r="BA15" i="19"/>
  <c r="AM15" i="19"/>
  <c r="AM16" i="19" s="1"/>
  <c r="BF14" i="19"/>
  <c r="BC14" i="19"/>
  <c r="BB14" i="19"/>
  <c r="BA14" i="19"/>
  <c r="AN14" i="19"/>
  <c r="AM14" i="19"/>
  <c r="AI14" i="19"/>
  <c r="AH14" i="19"/>
  <c r="AE14" i="19"/>
  <c r="BF13" i="19"/>
  <c r="BC13" i="19"/>
  <c r="BB13" i="19"/>
  <c r="BA13" i="19"/>
  <c r="AP13" i="19"/>
  <c r="AP15" i="19" s="1"/>
  <c r="AO13" i="19"/>
  <c r="AO15" i="19" s="1"/>
  <c r="AM13" i="19"/>
  <c r="AL13" i="19"/>
  <c r="AL15" i="19" s="1"/>
  <c r="AL17" i="19" s="1"/>
  <c r="AK13" i="19"/>
  <c r="AK14" i="19" s="1"/>
  <c r="AJ13" i="19"/>
  <c r="AJ14" i="19" s="1"/>
  <c r="AI13" i="19"/>
  <c r="AH13" i="19"/>
  <c r="AG13" i="19"/>
  <c r="AG14" i="19" s="1"/>
  <c r="AF13" i="19"/>
  <c r="AF14" i="19" s="1"/>
  <c r="BF12" i="19"/>
  <c r="BC12" i="19"/>
  <c r="BB12" i="19"/>
  <c r="BA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L12" i="18"/>
  <c r="AL7" i="18"/>
  <c r="F12" i="29" l="1"/>
  <c r="F24" i="29" s="1"/>
  <c r="AM40" i="25"/>
  <c r="AR9" i="25"/>
  <c r="AR10" i="25" s="1"/>
  <c r="AR11" i="25" s="1"/>
  <c r="AR12" i="25" s="1"/>
  <c r="AR13" i="25" s="1"/>
  <c r="AR14" i="25" s="1"/>
  <c r="AR15" i="25" s="1"/>
  <c r="AR16" i="25" s="1"/>
  <c r="AR17" i="25" s="1"/>
  <c r="AR18" i="25" s="1"/>
  <c r="AR19" i="25" s="1"/>
  <c r="AR20" i="25" s="1"/>
  <c r="AR21" i="25" s="1"/>
  <c r="AR22" i="25" s="1"/>
  <c r="AR23" i="25" s="1"/>
  <c r="AR24" i="25" s="1"/>
  <c r="AR25" i="25" s="1"/>
  <c r="AR26" i="25" s="1"/>
  <c r="AR27" i="25" s="1"/>
  <c r="AR28" i="25" s="1"/>
  <c r="AR29" i="25" s="1"/>
  <c r="AR30" i="25" s="1"/>
  <c r="AR31" i="25" s="1"/>
  <c r="AR32" i="25" s="1"/>
  <c r="AR33" i="25" s="1"/>
  <c r="AR34" i="25" s="1"/>
  <c r="AR35" i="25" s="1"/>
  <c r="AS6" i="25" s="1"/>
  <c r="AS7" i="25" s="1"/>
  <c r="AS8" i="25" s="1"/>
  <c r="AS9" i="25" s="1"/>
  <c r="AS10" i="25" s="1"/>
  <c r="AS11" i="25" s="1"/>
  <c r="AS12" i="25" s="1"/>
  <c r="AS13" i="25" s="1"/>
  <c r="AS14" i="25" s="1"/>
  <c r="AS15" i="25" s="1"/>
  <c r="AS16" i="25" s="1"/>
  <c r="AS17" i="25" s="1"/>
  <c r="AS18" i="25" s="1"/>
  <c r="AS19" i="25" s="1"/>
  <c r="AS20" i="25" s="1"/>
  <c r="AS21" i="25" s="1"/>
  <c r="AS22" i="25" s="1"/>
  <c r="AS23" i="25" s="1"/>
  <c r="AS24" i="25" s="1"/>
  <c r="AS25" i="25" s="1"/>
  <c r="AS26" i="25" s="1"/>
  <c r="AS27" i="25" s="1"/>
  <c r="AS28" i="25" s="1"/>
  <c r="AS29" i="25" s="1"/>
  <c r="AS30" i="25" s="1"/>
  <c r="AS31" i="25" s="1"/>
  <c r="AS32" i="25" s="1"/>
  <c r="AS33" i="25" s="1"/>
  <c r="AS34" i="25" s="1"/>
  <c r="AS35" i="25" s="1"/>
  <c r="AT6" i="25" s="1"/>
  <c r="AT7" i="25" s="1"/>
  <c r="AT8" i="25" s="1"/>
  <c r="AT9" i="25" s="1"/>
  <c r="AT10" i="25" s="1"/>
  <c r="AT11" i="25" s="1"/>
  <c r="AT12" i="25" s="1"/>
  <c r="AT13" i="25" s="1"/>
  <c r="AT14" i="25" s="1"/>
  <c r="AT15" i="25" s="1"/>
  <c r="AT16" i="25" s="1"/>
  <c r="AT17" i="25" s="1"/>
  <c r="AT18" i="25" s="1"/>
  <c r="AT19" i="25" s="1"/>
  <c r="AT20" i="25" s="1"/>
  <c r="AT21" i="25" s="1"/>
  <c r="AT22" i="25" s="1"/>
  <c r="AT23" i="25" s="1"/>
  <c r="AT24" i="25" s="1"/>
  <c r="AT25" i="25" s="1"/>
  <c r="AT26" i="25" s="1"/>
  <c r="AT27" i="25" s="1"/>
  <c r="AT28" i="25" s="1"/>
  <c r="AT29" i="25" s="1"/>
  <c r="AT30" i="25" s="1"/>
  <c r="AT31" i="25" s="1"/>
  <c r="AT32" i="25" s="1"/>
  <c r="AT33" i="25" s="1"/>
  <c r="AT34" i="25" s="1"/>
  <c r="AT35" i="25" s="1"/>
  <c r="AU6" i="25" s="1"/>
  <c r="AU7" i="25" s="1"/>
  <c r="AU8" i="25" s="1"/>
  <c r="AU9" i="25" s="1"/>
  <c r="AU10" i="25" s="1"/>
  <c r="AU11" i="25" s="1"/>
  <c r="AU12" i="25" s="1"/>
  <c r="AU13" i="25" s="1"/>
  <c r="AU14" i="25" s="1"/>
  <c r="AU15" i="25" s="1"/>
  <c r="AU16" i="25" s="1"/>
  <c r="AU17" i="25" s="1"/>
  <c r="AU18" i="25" s="1"/>
  <c r="AU19" i="25" s="1"/>
  <c r="AU20" i="25" s="1"/>
  <c r="AU21" i="25" s="1"/>
  <c r="AU22" i="25" s="1"/>
  <c r="AU23" i="25" s="1"/>
  <c r="AU24" i="25" s="1"/>
  <c r="AU25" i="25" s="1"/>
  <c r="AU26" i="25" s="1"/>
  <c r="AU27" i="25" s="1"/>
  <c r="AU28" i="25" s="1"/>
  <c r="AU29" i="25" s="1"/>
  <c r="AU30" i="25" s="1"/>
  <c r="AU31" i="25" s="1"/>
  <c r="AU32" i="25" s="1"/>
  <c r="AU33" i="25" s="1"/>
  <c r="AU34" i="25" s="1"/>
  <c r="AU35" i="25" s="1"/>
  <c r="BA11" i="25"/>
  <c r="BB11" i="25" s="1"/>
  <c r="BC11" i="25" s="1"/>
  <c r="BD11" i="25" s="1"/>
  <c r="BE11" i="25" s="1"/>
  <c r="BF11" i="25" s="1"/>
  <c r="BG11" i="25" s="1"/>
  <c r="BH11" i="25" s="1"/>
  <c r="BI11" i="25" s="1"/>
  <c r="AZ12" i="25"/>
  <c r="BA10" i="25"/>
  <c r="BB10" i="25" s="1"/>
  <c r="BC10" i="25" s="1"/>
  <c r="BD10" i="25" s="1"/>
  <c r="D15" i="25"/>
  <c r="D13" i="25"/>
  <c r="B24" i="25"/>
  <c r="D16" i="25"/>
  <c r="AO16" i="19"/>
  <c r="AO17" i="19"/>
  <c r="AO18" i="19" s="1"/>
  <c r="AP16" i="19"/>
  <c r="AP17" i="19"/>
  <c r="AP18" i="19" s="1"/>
  <c r="AJ15" i="19"/>
  <c r="K19" i="27"/>
  <c r="AO14" i="19"/>
  <c r="AL18" i="18"/>
  <c r="AL14" i="19"/>
  <c r="AP14" i="19"/>
  <c r="AL16" i="19"/>
  <c r="AM17" i="19"/>
  <c r="AM18" i="19" s="1"/>
  <c r="S29" i="27"/>
  <c r="AR14" i="28"/>
  <c r="AS16" i="28"/>
  <c r="AZ13" i="25" l="1"/>
  <c r="BA13" i="25" s="1"/>
  <c r="BB13" i="25" s="1"/>
  <c r="BC13" i="25" s="1"/>
  <c r="BD13" i="25" s="1"/>
  <c r="BE13" i="25" s="1"/>
  <c r="BF13" i="25" s="1"/>
  <c r="BG13" i="25" s="1"/>
  <c r="BH13" i="25" s="1"/>
  <c r="BI13" i="25" s="1"/>
  <c r="BA12" i="25"/>
  <c r="BB12" i="25" s="1"/>
  <c r="BC12" i="25" s="1"/>
  <c r="BD12" i="25" s="1"/>
  <c r="BE12" i="25" s="1"/>
  <c r="BF12" i="25" s="1"/>
  <c r="BG12" i="25" s="1"/>
  <c r="BH12" i="25" s="1"/>
  <c r="BI12" i="25" s="1"/>
  <c r="B25" i="25"/>
  <c r="B26" i="25" s="1"/>
  <c r="B27" i="25" s="1"/>
  <c r="D19" i="25"/>
  <c r="D8" i="25"/>
  <c r="D11" i="25"/>
  <c r="D6" i="25"/>
  <c r="BB20" i="25"/>
  <c r="BE10" i="25"/>
  <c r="BF10" i="25" s="1"/>
  <c r="BG10" i="25" s="1"/>
  <c r="BH10" i="25" s="1"/>
  <c r="BI10" i="25" s="1"/>
  <c r="S30" i="27"/>
  <c r="S31" i="27" s="1"/>
  <c r="AR16" i="28"/>
  <c r="AS17" i="28"/>
  <c r="AJ17" i="19"/>
  <c r="AJ18" i="19" s="1"/>
  <c r="AJ16" i="19"/>
  <c r="AR17" i="28" l="1"/>
  <c r="AS18" i="28"/>
  <c r="AR18" i="28" l="1"/>
  <c r="AS19" i="28"/>
  <c r="AS20" i="28" l="1"/>
  <c r="AR19" i="28"/>
  <c r="AS21" i="28" l="1"/>
  <c r="AR20" i="28"/>
  <c r="AR21" i="28" l="1"/>
  <c r="AS22" i="28"/>
  <c r="AR22" i="28" l="1"/>
  <c r="AS23" i="28"/>
  <c r="AR23" i="28" l="1"/>
  <c r="AS24" i="28"/>
  <c r="AS25" i="28" l="1"/>
  <c r="AR24" i="28"/>
  <c r="AS26" i="28" l="1"/>
  <c r="AR25" i="28"/>
  <c r="AR26" i="28" l="1"/>
  <c r="AS27" i="28"/>
  <c r="AR27" i="28" l="1"/>
  <c r="AS28" i="28"/>
  <c r="AS29" i="28" l="1"/>
  <c r="AR28" i="28"/>
  <c r="AR29" i="28" l="1"/>
  <c r="AS30" i="28"/>
  <c r="AS31" i="28" l="1"/>
  <c r="AR30" i="28"/>
  <c r="AR31" i="28" l="1"/>
  <c r="AS32" i="28"/>
  <c r="AS33" i="28" l="1"/>
  <c r="AR32" i="28"/>
  <c r="AR33" i="28" l="1"/>
  <c r="AS34" i="28"/>
  <c r="AS35" i="28" l="1"/>
  <c r="AR34" i="28"/>
  <c r="AR35" i="28" l="1"/>
  <c r="AS36" i="28"/>
  <c r="AS37" i="28" l="1"/>
  <c r="AR36" i="28"/>
  <c r="AR37" i="28" l="1"/>
  <c r="AS38" i="28"/>
  <c r="AS39" i="28" l="1"/>
  <c r="AR38" i="28"/>
  <c r="AR39" i="28" l="1"/>
  <c r="AS40" i="28"/>
  <c r="AS41" i="28" l="1"/>
  <c r="AR41" i="28" s="1"/>
  <c r="AR40" i="28"/>
  <c r="C37" i="13" l="1"/>
  <c r="C35" i="13"/>
  <c r="C34" i="13"/>
  <c r="L12" i="13"/>
  <c r="L11" i="13"/>
  <c r="L7" i="13"/>
  <c r="L6" i="13"/>
  <c r="DQ10" i="7" l="1"/>
  <c r="DR10" i="7"/>
  <c r="DQ11" i="7"/>
  <c r="DR11" i="7"/>
  <c r="DQ12" i="7"/>
  <c r="DR12" i="7"/>
  <c r="DQ13" i="7"/>
  <c r="DR13" i="7"/>
  <c r="DQ14" i="7"/>
  <c r="DR14" i="7"/>
  <c r="DQ15" i="7"/>
  <c r="DR15" i="7"/>
  <c r="DQ16" i="7"/>
  <c r="DR16" i="7"/>
  <c r="DQ17" i="7"/>
  <c r="DR17" i="7"/>
  <c r="DQ18" i="7"/>
  <c r="DR18" i="7"/>
  <c r="DQ19" i="7"/>
  <c r="DR19" i="7"/>
  <c r="DR9" i="7"/>
  <c r="DQ9" i="7"/>
  <c r="DN10" i="7"/>
  <c r="DO10" i="7"/>
  <c r="DN11" i="7"/>
  <c r="DO11" i="7"/>
  <c r="DN12" i="7"/>
  <c r="DO12" i="7"/>
  <c r="DN13" i="7"/>
  <c r="DO13" i="7"/>
  <c r="DN14" i="7"/>
  <c r="DO14" i="7"/>
  <c r="DN15" i="7"/>
  <c r="DO15" i="7"/>
  <c r="DN16" i="7"/>
  <c r="DO16" i="7"/>
  <c r="DN17" i="7"/>
  <c r="DO17" i="7"/>
  <c r="DN18" i="7"/>
  <c r="DO18" i="7"/>
  <c r="DN19" i="7"/>
  <c r="DO19" i="7"/>
  <c r="DO9" i="7"/>
  <c r="DN9" i="7"/>
  <c r="DL9" i="7"/>
  <c r="DL10" i="7"/>
  <c r="DL11" i="7"/>
  <c r="DL12" i="7"/>
  <c r="DL13" i="7"/>
  <c r="DL14" i="7"/>
  <c r="DL15" i="7"/>
  <c r="DL16" i="7"/>
  <c r="DL17" i="7"/>
  <c r="DL18" i="7"/>
  <c r="DL19" i="7"/>
  <c r="DK10" i="7"/>
  <c r="DK11" i="7"/>
  <c r="DK12" i="7"/>
  <c r="DK13" i="7"/>
  <c r="DK14" i="7"/>
  <c r="DK15" i="7"/>
  <c r="DK16" i="7"/>
  <c r="DK17" i="7"/>
  <c r="DK18" i="7"/>
  <c r="DK19" i="7"/>
  <c r="DK9" i="7"/>
  <c r="AC19" i="17" l="1"/>
  <c r="AA19" i="17"/>
  <c r="Y19" i="17"/>
  <c r="W19" i="17"/>
  <c r="U19" i="17"/>
  <c r="S19" i="17"/>
  <c r="AD18" i="17"/>
  <c r="AD19" i="17" s="1"/>
  <c r="AC18" i="17"/>
  <c r="AC20" i="17" s="1"/>
  <c r="AB18" i="17"/>
  <c r="AB19" i="17" s="1"/>
  <c r="AA18" i="17"/>
  <c r="AA20" i="17" s="1"/>
  <c r="Z18" i="17"/>
  <c r="Z19" i="17" s="1"/>
  <c r="Y18" i="17"/>
  <c r="Y20" i="17" s="1"/>
  <c r="X18" i="17"/>
  <c r="X19" i="17" s="1"/>
  <c r="W18" i="17"/>
  <c r="W20" i="17" s="1"/>
  <c r="V18" i="17"/>
  <c r="V19" i="17" s="1"/>
  <c r="U18" i="17"/>
  <c r="U20" i="17" s="1"/>
  <c r="T18" i="17"/>
  <c r="T19" i="17" s="1"/>
  <c r="S18" i="17"/>
  <c r="AE18" i="17" s="1"/>
  <c r="AE19" i="17" s="1"/>
  <c r="M18" i="17"/>
  <c r="L18" i="17"/>
  <c r="K18" i="17"/>
  <c r="J18" i="17"/>
  <c r="I18" i="17"/>
  <c r="H18" i="17"/>
  <c r="G18" i="17"/>
  <c r="F18" i="17"/>
  <c r="E18" i="17"/>
  <c r="D18" i="17"/>
  <c r="C18" i="17"/>
  <c r="B18" i="17"/>
  <c r="N18" i="17" s="1"/>
  <c r="AF17" i="17"/>
  <c r="AG17" i="17" s="1"/>
  <c r="AE17" i="17"/>
  <c r="N17" i="17"/>
  <c r="AF16" i="17"/>
  <c r="AG16" i="17" s="1"/>
  <c r="AE16" i="17"/>
  <c r="N16" i="17"/>
  <c r="AF15" i="17"/>
  <c r="AG15" i="17" s="1"/>
  <c r="AE15" i="17"/>
  <c r="N15" i="17"/>
  <c r="AF14" i="17"/>
  <c r="AG14" i="17" s="1"/>
  <c r="AE14" i="17"/>
  <c r="N14" i="17"/>
  <c r="AF13" i="17"/>
  <c r="AG13" i="17" s="1"/>
  <c r="AE13" i="17"/>
  <c r="N13" i="17"/>
  <c r="AF12" i="17"/>
  <c r="AE12" i="17"/>
  <c r="AE20" i="17" s="1"/>
  <c r="N12" i="17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AF19" i="17" l="1"/>
  <c r="AG19" i="17"/>
  <c r="AF18" i="17"/>
  <c r="AF20" i="17" s="1"/>
  <c r="V20" i="17"/>
  <c r="Z20" i="17"/>
  <c r="AD20" i="17"/>
  <c r="AG12" i="17"/>
  <c r="S20" i="17"/>
  <c r="T20" i="17"/>
  <c r="X20" i="17"/>
  <c r="AB20" i="17"/>
  <c r="AG20" i="17" l="1"/>
  <c r="AG18" i="17"/>
  <c r="DF11" i="7" l="1"/>
  <c r="DF10" i="7"/>
  <c r="DD11" i="7"/>
  <c r="DD10" i="7"/>
  <c r="DE11" i="7"/>
  <c r="DE10" i="7"/>
  <c r="L8" i="6" l="1"/>
  <c r="M8" i="6"/>
  <c r="N8" i="6"/>
  <c r="O8" i="6"/>
  <c r="P8" i="6"/>
  <c r="Q8" i="6"/>
  <c r="R8" i="6"/>
  <c r="S8" i="6"/>
  <c r="T8" i="6"/>
  <c r="L9" i="6"/>
  <c r="M9" i="6"/>
  <c r="N9" i="6"/>
  <c r="O9" i="6"/>
  <c r="P9" i="6"/>
  <c r="Q9" i="6"/>
  <c r="R9" i="6"/>
  <c r="S9" i="6"/>
  <c r="T9" i="6"/>
  <c r="L10" i="6"/>
  <c r="M10" i="6"/>
  <c r="N10" i="6"/>
  <c r="O10" i="6"/>
  <c r="P10" i="6"/>
  <c r="Q10" i="6"/>
  <c r="R10" i="6"/>
  <c r="S10" i="6"/>
  <c r="T10" i="6"/>
  <c r="L11" i="6"/>
  <c r="M11" i="6"/>
  <c r="N11" i="6"/>
  <c r="O11" i="6"/>
  <c r="P11" i="6"/>
  <c r="Q11" i="6"/>
  <c r="R11" i="6"/>
  <c r="S11" i="6"/>
  <c r="T11" i="6"/>
  <c r="L12" i="6"/>
  <c r="M12" i="6"/>
  <c r="N12" i="6"/>
  <c r="O12" i="6"/>
  <c r="P12" i="6"/>
  <c r="Q12" i="6"/>
  <c r="R12" i="6"/>
  <c r="S12" i="6"/>
  <c r="T12" i="6"/>
  <c r="L13" i="6"/>
  <c r="M13" i="6"/>
  <c r="N13" i="6"/>
  <c r="O13" i="6"/>
  <c r="P13" i="6"/>
  <c r="Q13" i="6"/>
  <c r="R13" i="6"/>
  <c r="S13" i="6"/>
  <c r="T13" i="6"/>
  <c r="L14" i="6"/>
  <c r="M14" i="6"/>
  <c r="N14" i="6"/>
  <c r="O14" i="6"/>
  <c r="P14" i="6"/>
  <c r="Q14" i="6"/>
  <c r="R14" i="6"/>
  <c r="S14" i="6"/>
  <c r="T14" i="6"/>
  <c r="L15" i="6"/>
  <c r="M15" i="6"/>
  <c r="N15" i="6"/>
  <c r="O15" i="6"/>
  <c r="P15" i="6"/>
  <c r="Q15" i="6"/>
  <c r="R15" i="6"/>
  <c r="S15" i="6"/>
  <c r="T15" i="6"/>
  <c r="M7" i="6"/>
  <c r="N7" i="6"/>
  <c r="O7" i="6"/>
  <c r="P7" i="6"/>
  <c r="Q7" i="6"/>
  <c r="R7" i="6"/>
  <c r="S7" i="6"/>
  <c r="T7" i="6"/>
  <c r="L7" i="6"/>
  <c r="D20" i="6"/>
  <c r="D21" i="6"/>
  <c r="D22" i="6"/>
  <c r="D19" i="6"/>
  <c r="B10" i="6"/>
  <c r="C10" i="6" s="1"/>
  <c r="D10" i="6" s="1"/>
  <c r="E10" i="6" s="1"/>
  <c r="F10" i="6" s="1"/>
  <c r="AN15" i="7" l="1"/>
  <c r="AN16" i="7"/>
  <c r="AN17" i="7"/>
  <c r="AN18" i="7"/>
  <c r="AN19" i="7"/>
  <c r="AN20" i="7"/>
  <c r="AN21" i="7"/>
  <c r="AN22" i="7"/>
  <c r="AN23" i="7"/>
  <c r="AN14" i="7"/>
  <c r="K11" i="7"/>
  <c r="K12" i="7"/>
  <c r="K13" i="7"/>
  <c r="K14" i="7"/>
  <c r="K15" i="7"/>
  <c r="K16" i="7"/>
  <c r="K17" i="7"/>
  <c r="K18" i="7"/>
  <c r="K10" i="7"/>
  <c r="CU11" i="7" l="1"/>
  <c r="CU12" i="7"/>
  <c r="CU13" i="7"/>
  <c r="CU14" i="7"/>
  <c r="CU15" i="7"/>
  <c r="CU16" i="7"/>
  <c r="CU17" i="7"/>
  <c r="CU18" i="7"/>
  <c r="CU10" i="7"/>
  <c r="BX11" i="7"/>
  <c r="BX12" i="7"/>
  <c r="BX13" i="7"/>
  <c r="BX14" i="7"/>
  <c r="BX15" i="7"/>
  <c r="BX16" i="7"/>
  <c r="BX17" i="7"/>
  <c r="BX18" i="7"/>
  <c r="BX10" i="7"/>
  <c r="BY9" i="7"/>
  <c r="BY13" i="7" s="1"/>
  <c r="AU11" i="7"/>
  <c r="AU12" i="7"/>
  <c r="AU13" i="7"/>
  <c r="AU14" i="7"/>
  <c r="AU15" i="7"/>
  <c r="AU16" i="7"/>
  <c r="AU17" i="7"/>
  <c r="AU18" i="7"/>
  <c r="AU19" i="7"/>
  <c r="AU20" i="7"/>
  <c r="AU10" i="7"/>
  <c r="AV9" i="7"/>
  <c r="AV10" i="7" s="1"/>
  <c r="BY12" i="7" l="1"/>
  <c r="AV20" i="7"/>
  <c r="BZ9" i="7"/>
  <c r="BZ17" i="7" s="1"/>
  <c r="BY16" i="7"/>
  <c r="AV18" i="7"/>
  <c r="BZ13" i="7"/>
  <c r="BZ18" i="7"/>
  <c r="AW9" i="7"/>
  <c r="AV13" i="7"/>
  <c r="AV17" i="7"/>
  <c r="AV12" i="7"/>
  <c r="AV16" i="7"/>
  <c r="AV11" i="7"/>
  <c r="AV15" i="7"/>
  <c r="AV19" i="7"/>
  <c r="AV14" i="7"/>
  <c r="BY15" i="7"/>
  <c r="BY11" i="7"/>
  <c r="BY10" i="7"/>
  <c r="BY18" i="7"/>
  <c r="BY14" i="7"/>
  <c r="BY17" i="7"/>
  <c r="AU21" i="7"/>
  <c r="BZ11" i="7" l="1"/>
  <c r="BZ16" i="7"/>
  <c r="BZ10" i="7"/>
  <c r="BZ15" i="7"/>
  <c r="BZ14" i="7"/>
  <c r="BZ12" i="7"/>
  <c r="AV21" i="7"/>
  <c r="CA9" i="7"/>
  <c r="CB9" i="7" s="1"/>
  <c r="AX9" i="7"/>
  <c r="AW14" i="7"/>
  <c r="AW18" i="7"/>
  <c r="AW13" i="7"/>
  <c r="AW17" i="7"/>
  <c r="AW12" i="7"/>
  <c r="AW16" i="7"/>
  <c r="AW20" i="7"/>
  <c r="AW15" i="7"/>
  <c r="AW11" i="7"/>
  <c r="AW19" i="7"/>
  <c r="AW10" i="7"/>
  <c r="CA12" i="7"/>
  <c r="CA14" i="7"/>
  <c r="AB11" i="7"/>
  <c r="AC11" i="7"/>
  <c r="AD11" i="7"/>
  <c r="AE11" i="7"/>
  <c r="AF11" i="7"/>
  <c r="AB12" i="7"/>
  <c r="AC12" i="7"/>
  <c r="AD12" i="7"/>
  <c r="AE12" i="7"/>
  <c r="AF12" i="7"/>
  <c r="AB13" i="7"/>
  <c r="AC13" i="7"/>
  <c r="AD13" i="7"/>
  <c r="AE13" i="7"/>
  <c r="AF13" i="7"/>
  <c r="AB14" i="7"/>
  <c r="AC14" i="7"/>
  <c r="AD14" i="7"/>
  <c r="AE14" i="7"/>
  <c r="AF14" i="7"/>
  <c r="AB15" i="7"/>
  <c r="AC15" i="7"/>
  <c r="AD15" i="7"/>
  <c r="AE15" i="7"/>
  <c r="AF15" i="7"/>
  <c r="AB16" i="7"/>
  <c r="AC16" i="7"/>
  <c r="AD16" i="7"/>
  <c r="AE16" i="7"/>
  <c r="AF16" i="7"/>
  <c r="AB17" i="7"/>
  <c r="AC17" i="7"/>
  <c r="AD17" i="7"/>
  <c r="AE17" i="7"/>
  <c r="AF17" i="7"/>
  <c r="AB18" i="7"/>
  <c r="AC18" i="7"/>
  <c r="AD18" i="7"/>
  <c r="AE18" i="7"/>
  <c r="AF18" i="7"/>
  <c r="AB19" i="7"/>
  <c r="AC19" i="7"/>
  <c r="AD19" i="7"/>
  <c r="AE19" i="7"/>
  <c r="AF19" i="7"/>
  <c r="AB20" i="7"/>
  <c r="AC20" i="7"/>
  <c r="AD20" i="7"/>
  <c r="AE20" i="7"/>
  <c r="AF20" i="7"/>
  <c r="AB21" i="7"/>
  <c r="AC21" i="7"/>
  <c r="AD21" i="7"/>
  <c r="AE21" i="7"/>
  <c r="AF21" i="7"/>
  <c r="AB22" i="7"/>
  <c r="AC22" i="7"/>
  <c r="AD22" i="7"/>
  <c r="AE22" i="7"/>
  <c r="AF22" i="7"/>
  <c r="AC10" i="7"/>
  <c r="AD10" i="7"/>
  <c r="AE10" i="7"/>
  <c r="AF10" i="7"/>
  <c r="AB10" i="7"/>
  <c r="X11" i="7"/>
  <c r="X12" i="7" s="1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10" i="7"/>
  <c r="D18" i="7"/>
  <c r="D17" i="7"/>
  <c r="D16" i="7"/>
  <c r="D15" i="7"/>
  <c r="D14" i="7"/>
  <c r="D13" i="7"/>
  <c r="D12" i="7"/>
  <c r="D11" i="7"/>
  <c r="D10" i="7"/>
  <c r="CA10" i="7" l="1"/>
  <c r="CA13" i="7"/>
  <c r="CA11" i="7"/>
  <c r="CA17" i="7"/>
  <c r="CA15" i="7"/>
  <c r="CA18" i="7"/>
  <c r="CA16" i="7"/>
  <c r="AW21" i="7"/>
  <c r="CC9" i="7"/>
  <c r="CB14" i="7"/>
  <c r="CB18" i="7"/>
  <c r="CB10" i="7"/>
  <c r="CB11" i="7"/>
  <c r="CB15" i="7"/>
  <c r="CB12" i="7"/>
  <c r="CB16" i="7"/>
  <c r="CB13" i="7"/>
  <c r="CB17" i="7"/>
  <c r="AY9" i="7"/>
  <c r="AX11" i="7"/>
  <c r="AX15" i="7"/>
  <c r="AX19" i="7"/>
  <c r="AX14" i="7"/>
  <c r="AX18" i="7"/>
  <c r="AX13" i="7"/>
  <c r="AX17" i="7"/>
  <c r="AX12" i="7"/>
  <c r="AX20" i="7"/>
  <c r="AX10" i="7"/>
  <c r="AX16" i="7"/>
  <c r="AF23" i="7"/>
  <c r="AB23" i="7"/>
  <c r="AC23" i="7"/>
  <c r="AD23" i="7"/>
  <c r="AE23" i="7"/>
  <c r="AZ9" i="7" l="1"/>
  <c r="AY12" i="7"/>
  <c r="AY16" i="7"/>
  <c r="AY11" i="7"/>
  <c r="AY15" i="7"/>
  <c r="AY19" i="7"/>
  <c r="AY14" i="7"/>
  <c r="AY18" i="7"/>
  <c r="AY17" i="7"/>
  <c r="AY10" i="7"/>
  <c r="AY13" i="7"/>
  <c r="AY20" i="7"/>
  <c r="AX21" i="7"/>
  <c r="CD9" i="7"/>
  <c r="CC13" i="7"/>
  <c r="CC17" i="7"/>
  <c r="CC14" i="7"/>
  <c r="CC18" i="7"/>
  <c r="CC10" i="7"/>
  <c r="CC11" i="7"/>
  <c r="CC15" i="7"/>
  <c r="CC12" i="7"/>
  <c r="CC16" i="7"/>
  <c r="AY21" i="7" l="1"/>
  <c r="CE9" i="7"/>
  <c r="CD12" i="7"/>
  <c r="CD16" i="7"/>
  <c r="CD13" i="7"/>
  <c r="CD17" i="7"/>
  <c r="CD14" i="7"/>
  <c r="CD18" i="7"/>
  <c r="CD10" i="7"/>
  <c r="CD11" i="7"/>
  <c r="CD15" i="7"/>
  <c r="BA9" i="7"/>
  <c r="AZ13" i="7"/>
  <c r="AZ17" i="7"/>
  <c r="AZ12" i="7"/>
  <c r="AZ16" i="7"/>
  <c r="AZ11" i="7"/>
  <c r="AZ15" i="7"/>
  <c r="AZ19" i="7"/>
  <c r="AZ18" i="7"/>
  <c r="AZ14" i="7"/>
  <c r="AZ10" i="7"/>
  <c r="AZ20" i="7"/>
  <c r="BB9" i="7" l="1"/>
  <c r="BA14" i="7"/>
  <c r="BA18" i="7"/>
  <c r="BA13" i="7"/>
  <c r="BA17" i="7"/>
  <c r="BA12" i="7"/>
  <c r="BA16" i="7"/>
  <c r="BA15" i="7"/>
  <c r="BA20" i="7"/>
  <c r="BA11" i="7"/>
  <c r="BA19" i="7"/>
  <c r="BA10" i="7"/>
  <c r="AZ21" i="7"/>
  <c r="CF9" i="7"/>
  <c r="CE11" i="7"/>
  <c r="CE15" i="7"/>
  <c r="CE12" i="7"/>
  <c r="CE16" i="7"/>
  <c r="CE13" i="7"/>
  <c r="CE17" i="7"/>
  <c r="CE14" i="7"/>
  <c r="CE18" i="7"/>
  <c r="CE10" i="7"/>
  <c r="BA21" i="7" l="1"/>
  <c r="CG9" i="7"/>
  <c r="CF14" i="7"/>
  <c r="CF18" i="7"/>
  <c r="CF10" i="7"/>
  <c r="CF11" i="7"/>
  <c r="CF15" i="7"/>
  <c r="CF12" i="7"/>
  <c r="CF16" i="7"/>
  <c r="CF13" i="7"/>
  <c r="CF17" i="7"/>
  <c r="BC9" i="7"/>
  <c r="BB11" i="7"/>
  <c r="BB15" i="7"/>
  <c r="BB19" i="7"/>
  <c r="BB14" i="7"/>
  <c r="BB18" i="7"/>
  <c r="BB13" i="7"/>
  <c r="BB17" i="7"/>
  <c r="BB16" i="7"/>
  <c r="BB10" i="7"/>
  <c r="BB12" i="7"/>
  <c r="BB20" i="7"/>
  <c r="BB21" i="7" l="1"/>
  <c r="BD9" i="7"/>
  <c r="BC12" i="7"/>
  <c r="BC16" i="7"/>
  <c r="BC11" i="7"/>
  <c r="BC15" i="7"/>
  <c r="BC19" i="7"/>
  <c r="BC14" i="7"/>
  <c r="BC18" i="7"/>
  <c r="BC10" i="7"/>
  <c r="BC13" i="7"/>
  <c r="BC17" i="7"/>
  <c r="BC20" i="7"/>
  <c r="CH9" i="7"/>
  <c r="CG13" i="7"/>
  <c r="CG17" i="7"/>
  <c r="CG14" i="7"/>
  <c r="CG18" i="7"/>
  <c r="CG10" i="7"/>
  <c r="CG11" i="7"/>
  <c r="CG15" i="7"/>
  <c r="CG12" i="7"/>
  <c r="CG16" i="7"/>
  <c r="CI9" i="7" l="1"/>
  <c r="CH12" i="7"/>
  <c r="CH16" i="7"/>
  <c r="CH13" i="7"/>
  <c r="CH17" i="7"/>
  <c r="CH14" i="7"/>
  <c r="CH18" i="7"/>
  <c r="CH10" i="7"/>
  <c r="CH11" i="7"/>
  <c r="CH15" i="7"/>
  <c r="BC21" i="7"/>
  <c r="BE9" i="7"/>
  <c r="BD13" i="7"/>
  <c r="BD17" i="7"/>
  <c r="BD12" i="7"/>
  <c r="BD16" i="7"/>
  <c r="BD11" i="7"/>
  <c r="BD15" i="7"/>
  <c r="BD19" i="7"/>
  <c r="BD18" i="7"/>
  <c r="BD10" i="7"/>
  <c r="BD20" i="7"/>
  <c r="BD14" i="7"/>
  <c r="BD21" i="7" l="1"/>
  <c r="BF9" i="7"/>
  <c r="BE14" i="7"/>
  <c r="BE18" i="7"/>
  <c r="BE13" i="7"/>
  <c r="BE17" i="7"/>
  <c r="BE12" i="7"/>
  <c r="BE16" i="7"/>
  <c r="BE20" i="7"/>
  <c r="BE19" i="7"/>
  <c r="BE15" i="7"/>
  <c r="BE11" i="7"/>
  <c r="BE10" i="7"/>
  <c r="CJ9" i="7"/>
  <c r="CI11" i="7"/>
  <c r="CI15" i="7"/>
  <c r="CI12" i="7"/>
  <c r="CI16" i="7"/>
  <c r="CI13" i="7"/>
  <c r="CI17" i="7"/>
  <c r="CI14" i="7"/>
  <c r="CI18" i="7"/>
  <c r="CI10" i="7"/>
  <c r="CK9" i="7" l="1"/>
  <c r="CJ14" i="7"/>
  <c r="CJ18" i="7"/>
  <c r="CJ10" i="7"/>
  <c r="CJ11" i="7"/>
  <c r="CJ15" i="7"/>
  <c r="CJ12" i="7"/>
  <c r="CJ16" i="7"/>
  <c r="CJ13" i="7"/>
  <c r="CJ17" i="7"/>
  <c r="BG9" i="7"/>
  <c r="BF11" i="7"/>
  <c r="BF15" i="7"/>
  <c r="BF19" i="7"/>
  <c r="BF14" i="7"/>
  <c r="BF18" i="7"/>
  <c r="BF13" i="7"/>
  <c r="BF17" i="7"/>
  <c r="BF16" i="7"/>
  <c r="BF20" i="7"/>
  <c r="BF10" i="7"/>
  <c r="BF12" i="7"/>
  <c r="BE21" i="7"/>
  <c r="BH9" i="7" l="1"/>
  <c r="BG12" i="7"/>
  <c r="BG16" i="7"/>
  <c r="BG11" i="7"/>
  <c r="BG15" i="7"/>
  <c r="BG19" i="7"/>
  <c r="BG14" i="7"/>
  <c r="BG18" i="7"/>
  <c r="BG13" i="7"/>
  <c r="BG10" i="7"/>
  <c r="BG17" i="7"/>
  <c r="BG20" i="7"/>
  <c r="BF21" i="7"/>
  <c r="CL9" i="7"/>
  <c r="CK13" i="7"/>
  <c r="CK17" i="7"/>
  <c r="CK14" i="7"/>
  <c r="CK18" i="7"/>
  <c r="CK10" i="7"/>
  <c r="CK11" i="7"/>
  <c r="CK15" i="7"/>
  <c r="CK12" i="7"/>
  <c r="CK16" i="7"/>
  <c r="BG21" i="7" l="1"/>
  <c r="CM9" i="7"/>
  <c r="CL12" i="7"/>
  <c r="CL16" i="7"/>
  <c r="CL13" i="7"/>
  <c r="CL17" i="7"/>
  <c r="CL14" i="7"/>
  <c r="CL18" i="7"/>
  <c r="CL10" i="7"/>
  <c r="CL11" i="7"/>
  <c r="CL15" i="7"/>
  <c r="BI9" i="7"/>
  <c r="BH13" i="7"/>
  <c r="BH17" i="7"/>
  <c r="BH12" i="7"/>
  <c r="BH16" i="7"/>
  <c r="BH11" i="7"/>
  <c r="BH15" i="7"/>
  <c r="BH19" i="7"/>
  <c r="BH20" i="7"/>
  <c r="BH18" i="7"/>
  <c r="BH10" i="7"/>
  <c r="BH14" i="7"/>
  <c r="BJ9" i="7" l="1"/>
  <c r="BI14" i="7"/>
  <c r="BI18" i="7"/>
  <c r="BI13" i="7"/>
  <c r="BI17" i="7"/>
  <c r="BI12" i="7"/>
  <c r="BI16" i="7"/>
  <c r="BI11" i="7"/>
  <c r="BI19" i="7"/>
  <c r="BI20" i="7"/>
  <c r="BI15" i="7"/>
  <c r="BI10" i="7"/>
  <c r="BH21" i="7"/>
  <c r="CN9" i="7"/>
  <c r="CM11" i="7"/>
  <c r="CM15" i="7"/>
  <c r="CM12" i="7"/>
  <c r="CM16" i="7"/>
  <c r="CM13" i="7"/>
  <c r="CM17" i="7"/>
  <c r="CM14" i="7"/>
  <c r="CM18" i="7"/>
  <c r="CM10" i="7"/>
  <c r="BI21" i="7" l="1"/>
  <c r="CN14" i="7"/>
  <c r="CN18" i="7"/>
  <c r="CN10" i="7"/>
  <c r="CN11" i="7"/>
  <c r="CN15" i="7"/>
  <c r="CN12" i="7"/>
  <c r="CN16" i="7"/>
  <c r="CN13" i="7"/>
  <c r="CN17" i="7"/>
  <c r="BK9" i="7"/>
  <c r="BJ11" i="7"/>
  <c r="BJ15" i="7"/>
  <c r="BJ19" i="7"/>
  <c r="BJ14" i="7"/>
  <c r="BJ18" i="7"/>
  <c r="BJ13" i="7"/>
  <c r="BJ17" i="7"/>
  <c r="BJ10" i="7"/>
  <c r="BJ16" i="7"/>
  <c r="BJ20" i="7"/>
  <c r="BJ12" i="7"/>
  <c r="BJ21" i="7" l="1"/>
  <c r="BL9" i="7"/>
  <c r="BK12" i="7"/>
  <c r="BK16" i="7"/>
  <c r="BK11" i="7"/>
  <c r="BK15" i="7"/>
  <c r="BK19" i="7"/>
  <c r="BK14" i="7"/>
  <c r="BK18" i="7"/>
  <c r="BK10" i="7"/>
  <c r="BK17" i="7"/>
  <c r="BK13" i="7"/>
  <c r="BK20" i="7"/>
  <c r="BK21" i="7" l="1"/>
  <c r="BM9" i="7"/>
  <c r="BL13" i="7"/>
  <c r="BL17" i="7"/>
  <c r="BL12" i="7"/>
  <c r="BL16" i="7"/>
  <c r="BL11" i="7"/>
  <c r="BL15" i="7"/>
  <c r="BL14" i="7"/>
  <c r="BL10" i="7"/>
  <c r="BL19" i="7"/>
  <c r="BL20" i="7"/>
  <c r="BL18" i="7"/>
  <c r="BL21" i="7" l="1"/>
  <c r="BN9" i="7"/>
  <c r="BM14" i="7"/>
  <c r="BM18" i="7"/>
  <c r="BM13" i="7"/>
  <c r="BM17" i="7"/>
  <c r="BM12" i="7"/>
  <c r="BM16" i="7"/>
  <c r="BM20" i="7"/>
  <c r="BM11" i="7"/>
  <c r="BM15" i="7"/>
  <c r="BM19" i="7"/>
  <c r="BM10" i="7"/>
  <c r="BM21" i="7" l="1"/>
  <c r="BO9" i="7"/>
  <c r="BN11" i="7"/>
  <c r="BN15" i="7"/>
  <c r="BN19" i="7"/>
  <c r="BN14" i="7"/>
  <c r="BN18" i="7"/>
  <c r="BN13" i="7"/>
  <c r="BN17" i="7"/>
  <c r="BN12" i="7"/>
  <c r="BN20" i="7"/>
  <c r="BN10" i="7"/>
  <c r="BN21" i="7" s="1"/>
  <c r="BN16" i="7"/>
  <c r="BP9" i="7" l="1"/>
  <c r="BO12" i="7"/>
  <c r="BO16" i="7"/>
  <c r="BO11" i="7"/>
  <c r="BO15" i="7"/>
  <c r="BO14" i="7"/>
  <c r="BO18" i="7"/>
  <c r="BO17" i="7"/>
  <c r="BO10" i="7"/>
  <c r="BO19" i="7"/>
  <c r="BO13" i="7"/>
  <c r="BO20" i="7"/>
  <c r="BO21" i="7" l="1"/>
  <c r="BQ9" i="7"/>
  <c r="BP13" i="7"/>
  <c r="BP17" i="7"/>
  <c r="BP12" i="7"/>
  <c r="BP16" i="7"/>
  <c r="BP11" i="7"/>
  <c r="BP15" i="7"/>
  <c r="BP19" i="7"/>
  <c r="BP20" i="7"/>
  <c r="BP14" i="7"/>
  <c r="BP10" i="7"/>
  <c r="BP18" i="7"/>
  <c r="BP21" i="7" l="1"/>
  <c r="BQ14" i="7"/>
  <c r="BQ18" i="7"/>
  <c r="BQ13" i="7"/>
  <c r="BQ17" i="7"/>
  <c r="BQ12" i="7"/>
  <c r="BQ16" i="7"/>
  <c r="BQ15" i="7"/>
  <c r="BQ20" i="7"/>
  <c r="BQ19" i="7"/>
  <c r="BQ11" i="7"/>
  <c r="BQ10" i="7"/>
  <c r="BQ21" i="7" s="1"/>
</calcChain>
</file>

<file path=xl/sharedStrings.xml><?xml version="1.0" encoding="utf-8"?>
<sst xmlns="http://schemas.openxmlformats.org/spreadsheetml/2006/main" count="2566" uniqueCount="988">
  <si>
    <t xml:space="preserve">francais </t>
  </si>
  <si>
    <t>anglais</t>
  </si>
  <si>
    <t>histoire geographie</t>
  </si>
  <si>
    <t>math</t>
  </si>
  <si>
    <t>1- mettre un dégradé de couleur du rouge au bleu de 0 à 20</t>
  </si>
  <si>
    <t>3- mettre la mise en forme suivante</t>
  </si>
  <si>
    <t>EMPLOYES</t>
  </si>
  <si>
    <t>STATUT</t>
  </si>
  <si>
    <t>PRIMES</t>
  </si>
  <si>
    <t>NOTES EVALUATION DES COMPETENCES</t>
  </si>
  <si>
    <t>BONNET</t>
  </si>
  <si>
    <t>CADRE</t>
  </si>
  <si>
    <t>BOUCHET</t>
  </si>
  <si>
    <t>AGENT MAITRISE</t>
  </si>
  <si>
    <t>CHANAL</t>
  </si>
  <si>
    <t>CORNUT</t>
  </si>
  <si>
    <t>OUVRIER</t>
  </si>
  <si>
    <t>FERRANDEZ</t>
  </si>
  <si>
    <t>GAUDIN</t>
  </si>
  <si>
    <t>GERMAIN</t>
  </si>
  <si>
    <t>HELLER</t>
  </si>
  <si>
    <t>LAMALLE</t>
  </si>
  <si>
    <t>MARTEL</t>
  </si>
  <si>
    <t>MEYER</t>
  </si>
  <si>
    <t>PETIT</t>
  </si>
  <si>
    <t>PININ</t>
  </si>
  <si>
    <t>RICHARD</t>
  </si>
  <si>
    <t>ROURE</t>
  </si>
  <si>
    <t>SAUDAVAL</t>
  </si>
  <si>
    <t>SILAT</t>
  </si>
  <si>
    <t>prénom</t>
  </si>
  <si>
    <t>Gertrude</t>
  </si>
  <si>
    <t>Cunégonde</t>
  </si>
  <si>
    <t>Albert</t>
  </si>
  <si>
    <t>Louis</t>
  </si>
  <si>
    <t>Auguste</t>
  </si>
  <si>
    <t>Jean</t>
  </si>
  <si>
    <t>Marguerite</t>
  </si>
  <si>
    <t>Lucien</t>
  </si>
  <si>
    <t>CODE ETUDIANT</t>
  </si>
  <si>
    <t>CREDITS VALIDES</t>
  </si>
  <si>
    <t>ETU-724</t>
  </si>
  <si>
    <t>ETU-725</t>
  </si>
  <si>
    <t>ETU-726</t>
  </si>
  <si>
    <t>ETU-727</t>
  </si>
  <si>
    <t>ETU-728</t>
  </si>
  <si>
    <t>ETU-729</t>
  </si>
  <si>
    <t>ETU-730</t>
  </si>
  <si>
    <t>ETU-731</t>
  </si>
  <si>
    <t>ETU-732</t>
  </si>
  <si>
    <t>ETU-733</t>
  </si>
  <si>
    <t>ETU-734</t>
  </si>
  <si>
    <r>
      <t xml:space="preserve"> </t>
    </r>
    <r>
      <rPr>
        <sz val="11"/>
        <color theme="1"/>
        <rFont val="Symbol"/>
        <family val="1"/>
        <charset val="2"/>
      </rPr>
      <t xml:space="preserve">* </t>
    </r>
    <r>
      <rPr>
        <sz val="11"/>
        <color theme="1"/>
        <rFont val="Calibri"/>
        <family val="2"/>
        <scheme val="minor"/>
      </rPr>
      <t>en rouge de 0 à 6</t>
    </r>
  </si>
  <si>
    <r>
      <t xml:space="preserve"> </t>
    </r>
    <r>
      <rPr>
        <sz val="11"/>
        <color theme="1"/>
        <rFont val="Symbol"/>
        <family val="1"/>
        <charset val="2"/>
      </rPr>
      <t>*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en orange de 7 à 10</t>
    </r>
  </si>
  <si>
    <r>
      <t xml:space="preserve"> </t>
    </r>
    <r>
      <rPr>
        <sz val="11"/>
        <color theme="1"/>
        <rFont val="Symbol"/>
        <family val="1"/>
        <charset val="2"/>
      </rPr>
      <t>*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en jaune de 11 à 13</t>
    </r>
  </si>
  <si>
    <r>
      <t xml:space="preserve"> </t>
    </r>
    <r>
      <rPr>
        <sz val="11"/>
        <color theme="1"/>
        <rFont val="Symbol"/>
        <family val="1"/>
        <charset val="2"/>
      </rPr>
      <t>*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en vert de 14 à 20</t>
    </r>
  </si>
  <si>
    <r>
      <t xml:space="preserve"> </t>
    </r>
    <r>
      <rPr>
        <sz val="11"/>
        <color theme="1"/>
        <rFont val="Symbol"/>
        <family val="1"/>
        <charset val="2"/>
      </rPr>
      <t>*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une croix rouge de 0 à 9</t>
    </r>
  </si>
  <si>
    <r>
      <t xml:space="preserve"> </t>
    </r>
    <r>
      <rPr>
        <sz val="11"/>
        <color theme="1"/>
        <rFont val="Symbol"/>
        <family val="1"/>
        <charset val="2"/>
      </rPr>
      <t>*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un point d'exclamation orange de 10 à 12</t>
    </r>
  </si>
  <si>
    <r>
      <t xml:space="preserve"> </t>
    </r>
    <r>
      <rPr>
        <sz val="11"/>
        <color theme="1"/>
        <rFont val="Symbol"/>
        <family val="1"/>
        <charset val="2"/>
      </rPr>
      <t>*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un validé vert de 13 à 20</t>
    </r>
  </si>
  <si>
    <t>taux</t>
  </si>
  <si>
    <t>L'objectif étant atteint en 2022, le pdg décide de verser une prime de Noël à chacun de ses employés.</t>
  </si>
  <si>
    <t>prime</t>
  </si>
  <si>
    <t>salaire sans prime</t>
  </si>
  <si>
    <t>salaire avec prime</t>
  </si>
  <si>
    <t>Amandine</t>
  </si>
  <si>
    <t>Sandrine</t>
  </si>
  <si>
    <t>Marion</t>
  </si>
  <si>
    <t>Nicolas</t>
  </si>
  <si>
    <t>COMMERCIAL</t>
  </si>
  <si>
    <t>OBJECTIF</t>
  </si>
  <si>
    <t>REALISE</t>
  </si>
  <si>
    <t>PRIME</t>
  </si>
  <si>
    <t>CHALAVERT</t>
  </si>
  <si>
    <t>CONVENT</t>
  </si>
  <si>
    <t>JUMOT</t>
  </si>
  <si>
    <t>LEBEGUE</t>
  </si>
  <si>
    <t>RAMONET</t>
  </si>
  <si>
    <t>RUIZ</t>
  </si>
  <si>
    <t>VOLLE</t>
  </si>
  <si>
    <t>VIROLET</t>
  </si>
  <si>
    <t>PABON</t>
  </si>
  <si>
    <t>SUIVI D'OBJECTIFS</t>
  </si>
  <si>
    <t>Faites apparaître le message ATTENTION en colonne D si le chiffre d'affaires réalisé est inférieur à l'objectif</t>
  </si>
  <si>
    <t>BLANC</t>
  </si>
  <si>
    <t>CASANOVA</t>
  </si>
  <si>
    <t>MARRONI</t>
  </si>
  <si>
    <t>MOROT</t>
  </si>
  <si>
    <t>MEVEL</t>
  </si>
  <si>
    <t>GUINARDI</t>
  </si>
  <si>
    <t>LAVIGNE</t>
  </si>
  <si>
    <t>BOULET</t>
  </si>
  <si>
    <t>SERVOZ</t>
  </si>
  <si>
    <t>RELEVE DE TEMPERATURES</t>
  </si>
  <si>
    <t>Le tableau ci-dessous représente les relevés de températures dans une salle. Un message doit être affiché automatiquement en colonne C en fonction des critères du tableau de droite</t>
  </si>
  <si>
    <t>DATES</t>
  </si>
  <si>
    <t>TEMPERATURES RELEVEES</t>
  </si>
  <si>
    <t>TEMPERATURE</t>
  </si>
  <si>
    <t>MESSAGE</t>
  </si>
  <si>
    <t>INFERIEURE A 3°</t>
  </si>
  <si>
    <t>TROP FROID</t>
  </si>
  <si>
    <t>ENTRE 3° ET 9°</t>
  </si>
  <si>
    <t>OK</t>
  </si>
  <si>
    <t>SUPERIEURE A 9°</t>
  </si>
  <si>
    <t>TROP CHAUD</t>
  </si>
  <si>
    <t>VENTILATION AUTOMATIQUE</t>
  </si>
  <si>
    <t>CODE CLIENT</t>
  </si>
  <si>
    <t>MONTANTS</t>
  </si>
  <si>
    <t>CHEQUE</t>
  </si>
  <si>
    <t>VIREMENT</t>
  </si>
  <si>
    <t>ESPECES</t>
  </si>
  <si>
    <t>TRAITE</t>
  </si>
  <si>
    <t>CB</t>
  </si>
  <si>
    <t>Type de règlement</t>
  </si>
  <si>
    <t>NOTE</t>
  </si>
  <si>
    <t>Pour que vos salariés touchent une prime de 500€, les trois conditions ci-après doivent être satisfaites.
- Le salarié doit avoir plus de 7 ans d'ancienneté,
- Sa note doit être au moins égale à 10,
- Le nombre d'incident doit être égal à zéro.
Affichez les primes à verser en colonne E</t>
  </si>
  <si>
    <t>matricule employé</t>
  </si>
  <si>
    <t>ancienneté</t>
  </si>
  <si>
    <t>nombre d'incidents</t>
  </si>
  <si>
    <t>ECHEANCIER DE REGLEMENTS FOURNISSEURS</t>
  </si>
  <si>
    <t>N° FACT</t>
  </si>
  <si>
    <t>SEMAINE DE LIVRAISON</t>
  </si>
  <si>
    <t>Montant</t>
  </si>
  <si>
    <t>PLANNING DE CONGES</t>
  </si>
  <si>
    <t>SALARIE</t>
  </si>
  <si>
    <t>DEBUT</t>
  </si>
  <si>
    <t>FIN</t>
  </si>
  <si>
    <t>MANGIN</t>
  </si>
  <si>
    <t>TOMATE</t>
  </si>
  <si>
    <t>SIGNORET</t>
  </si>
  <si>
    <t>CANDELA</t>
  </si>
  <si>
    <t>SILVE</t>
  </si>
  <si>
    <t>VINEL</t>
  </si>
  <si>
    <t>GARCIA</t>
  </si>
  <si>
    <t>DETOMASO</t>
  </si>
  <si>
    <t>CLEMENT</t>
  </si>
  <si>
    <t>COURS DE LANGUE</t>
  </si>
  <si>
    <t>CANDIDATS</t>
  </si>
  <si>
    <t>ANGLAIS</t>
  </si>
  <si>
    <t>ALLEMAND</t>
  </si>
  <si>
    <t>RETENU</t>
  </si>
  <si>
    <t>GREGOIRE</t>
  </si>
  <si>
    <t>OUI</t>
  </si>
  <si>
    <t>YOHAN</t>
  </si>
  <si>
    <t>PAUL</t>
  </si>
  <si>
    <t>MARIE</t>
  </si>
  <si>
    <t>NINA</t>
  </si>
  <si>
    <t>MARJORIE</t>
  </si>
  <si>
    <t>ALEXIS</t>
  </si>
  <si>
    <t>LUCILE</t>
  </si>
  <si>
    <t>GAELLE</t>
  </si>
  <si>
    <t>Montant de la prime :</t>
  </si>
  <si>
    <t>Ancienneté minimum :</t>
  </si>
  <si>
    <t>Note minimum :</t>
  </si>
  <si>
    <t>Nombre d'incident :</t>
  </si>
  <si>
    <t>% de la prime :</t>
  </si>
  <si>
    <t>table de multiplication</t>
  </si>
  <si>
    <t>La société JAILAGNAC a réalisé un chiffre d'affaire en 2017 de 154 000€, ils sont en pleine expension et espèrent une progression de 3% par an, calculer le CA objectif jusqu'en 2022</t>
  </si>
  <si>
    <t>Vos commerciaux perçoivent une prime égale à 3% du chiffre d'affaire supplémentaire réalisé au-dessus de l'objectif.</t>
  </si>
  <si>
    <t>Calculez le montant de la prime.</t>
  </si>
  <si>
    <t>salariés</t>
  </si>
  <si>
    <t>Ventillez les montants automatiquement en fonction du type de règlement. Attention, la formule doit être calculée en AB10 et copié sur les autres cellules. Faites la somme en ligne 23.</t>
  </si>
  <si>
    <t>Vous réglez vos fournisseurs en 3 fois, un règlement par semaine, à partir de la semaine de livraison. 
Construisez la formule de calcul en cellule AU10, que vous recopierez sur tout le tableau. Faites la somme en ligne 21.</t>
  </si>
  <si>
    <t>Représentez automatiquement les congés de vos employés par "===".</t>
  </si>
  <si>
    <t>Vous donnez des cours à des personnes qui ne parlent qu'une langue.
Mettre OK dans la colonne retenu pour les personnes participant aux cours.</t>
  </si>
  <si>
    <t>2- Mettre la mise en forme suivante</t>
  </si>
  <si>
    <t>geographie</t>
  </si>
  <si>
    <r>
      <rPr>
        <b/>
        <sz val="20"/>
        <rFont val="Arial"/>
        <family val="2"/>
      </rPr>
      <t>EVALINFO France</t>
    </r>
    <r>
      <rPr>
        <b/>
        <sz val="10"/>
        <rFont val="Arial"/>
        <family val="2"/>
      </rPr>
      <t xml:space="preserve">
Le tableau ci-dessous représente les notes obtenues par certains salariés à un test d'évaluation des compétences,
Insérez dans les cellules des notes, des barres de données dégradées violettes. La barre la plus courte correspond à la plus petite note te la barre la plus longue correspond à la note la plus élevée.</t>
    </r>
  </si>
  <si>
    <t>Le tableau ci-dessous présente les crédits que doivent valider des étudiants d'école supérieur. Mettre un fond dégradé du bleu au vert sur les lignes des étudiants n'ayant pas validé tous leurs crédits.</t>
  </si>
  <si>
    <t>FAMILLES DE PRODUITS</t>
  </si>
  <si>
    <t>PRODUIT</t>
  </si>
  <si>
    <t>VENTES</t>
  </si>
  <si>
    <t>TOTAL DES VENTES</t>
  </si>
  <si>
    <t>NOMBRE DE VENTES</t>
  </si>
  <si>
    <t>VENTE MOYENNE</t>
  </si>
  <si>
    <t>FRUITS</t>
  </si>
  <si>
    <t>POMME</t>
  </si>
  <si>
    <t>LEGUMES</t>
  </si>
  <si>
    <t>SALADE</t>
  </si>
  <si>
    <t>BANANE</t>
  </si>
  <si>
    <t>FRAMBOISE</t>
  </si>
  <si>
    <t>CHOUX</t>
  </si>
  <si>
    <t>ABRICOT</t>
  </si>
  <si>
    <t>SALSIFI</t>
  </si>
  <si>
    <t>ANANAS</t>
  </si>
  <si>
    <t>RAISIN</t>
  </si>
  <si>
    <t>CERISE</t>
  </si>
  <si>
    <t>NAVET</t>
  </si>
  <si>
    <t>POIRE</t>
  </si>
  <si>
    <t>PETIT-POIS</t>
  </si>
  <si>
    <t>CAROTTE</t>
  </si>
  <si>
    <t>MYRTILLE</t>
  </si>
  <si>
    <t>VENTE DES FRUITS ET LEGUMES</t>
  </si>
  <si>
    <t>Calculez pour les fruits et pour les légumes, le chiffre d'affaire, le nombre de vente et le montant moyen de vente,</t>
  </si>
  <si>
    <t>MATRICULES SALARIES</t>
  </si>
  <si>
    <t>SEXES</t>
  </si>
  <si>
    <t>NOTES TESTS EVALUATIONS</t>
  </si>
  <si>
    <t>MA-001</t>
  </si>
  <si>
    <t>F</t>
  </si>
  <si>
    <t>Elève</t>
  </si>
  <si>
    <t>note</t>
  </si>
  <si>
    <t>MA-002</t>
  </si>
  <si>
    <t>H</t>
  </si>
  <si>
    <t>Nombre de personnes</t>
  </si>
  <si>
    <t>MA-003</t>
  </si>
  <si>
    <t>MA-004</t>
  </si>
  <si>
    <t>abs</t>
  </si>
  <si>
    <t>MA-005</t>
  </si>
  <si>
    <t>Nombre de femmes</t>
  </si>
  <si>
    <t>MA-006</t>
  </si>
  <si>
    <t>Nombre d'hommes</t>
  </si>
  <si>
    <t>calculez :</t>
  </si>
  <si>
    <t>MA-007</t>
  </si>
  <si>
    <t xml:space="preserve"> - nbre d'élèves ayant une note</t>
  </si>
  <si>
    <t>MA-008</t>
  </si>
  <si>
    <t>MA-009</t>
  </si>
  <si>
    <t>MA-010</t>
  </si>
  <si>
    <t>ABS</t>
  </si>
  <si>
    <t>MA-011</t>
  </si>
  <si>
    <t>MA-012</t>
  </si>
  <si>
    <t>MA-013</t>
  </si>
  <si>
    <t>MA-014</t>
  </si>
  <si>
    <t>MA-015</t>
  </si>
  <si>
    <t>MA-016</t>
  </si>
  <si>
    <t>MA-017</t>
  </si>
  <si>
    <t>MA-018</t>
  </si>
  <si>
    <t>MA-019</t>
  </si>
  <si>
    <t>MA-020</t>
  </si>
  <si>
    <t>MA-021</t>
  </si>
  <si>
    <t>Excusée</t>
  </si>
  <si>
    <t>MA-022</t>
  </si>
  <si>
    <t>MA-023</t>
  </si>
  <si>
    <t xml:space="preserve"> - nbre d'élève qui vont au ratrappage
(n'ont ni note &amp; ne sont pas excusés)</t>
  </si>
  <si>
    <t>SUIVI DE DEPENSES PERSONNELLES</t>
  </si>
  <si>
    <t>Le tableau du bas comporte la liste des frais engagés par un couple. Pour chaque personne et par poste de dépense, calculez :
- le montant total des dépenses
- le montant de dépenses réglées
- le montant moyen
Prendre en compte dans les formules la possibilité de saisir des dépenses jusqu'à la ligne 1000.</t>
  </si>
  <si>
    <t>TOTAL DES DEPENSES</t>
  </si>
  <si>
    <t>NOMBRE DE DEPENSES</t>
  </si>
  <si>
    <t>DEPENSES MOYENNES</t>
  </si>
  <si>
    <t>POSTES</t>
  </si>
  <si>
    <t>LAURENT</t>
  </si>
  <si>
    <t>AMELIE</t>
  </si>
  <si>
    <t>ALIMENTATION</t>
  </si>
  <si>
    <t>ASSURANCES</t>
  </si>
  <si>
    <t>DIVERS</t>
  </si>
  <si>
    <t>ENFANTS</t>
  </si>
  <si>
    <t>EPARGNE</t>
  </si>
  <si>
    <t>HABILLEMENT</t>
  </si>
  <si>
    <t>IMPOTS</t>
  </si>
  <si>
    <t>LOGEMENT</t>
  </si>
  <si>
    <t>LOISIRS</t>
  </si>
  <si>
    <t>MUTUELLE</t>
  </si>
  <si>
    <t>VOITURE</t>
  </si>
  <si>
    <t>COMPTE PAYEUR</t>
  </si>
  <si>
    <t>MONTANT</t>
  </si>
  <si>
    <t>Accueil/Mise en forme conditionnelle</t>
  </si>
  <si>
    <t>Poignée de recopie</t>
  </si>
  <si>
    <t>Saisie + calcul rapide</t>
  </si>
  <si>
    <t>qté vendues</t>
  </si>
  <si>
    <t>prix d'achat</t>
  </si>
  <si>
    <t>prix de vente HT marge 20%</t>
  </si>
  <si>
    <t>Total achat</t>
  </si>
  <si>
    <t>Total vente HT</t>
  </si>
  <si>
    <t>trimestre 1</t>
  </si>
  <si>
    <t>trimestre 2</t>
  </si>
  <si>
    <t>trimestre 3</t>
  </si>
  <si>
    <t>trimestre 4</t>
  </si>
  <si>
    <t>N°1</t>
  </si>
  <si>
    <t>lundi</t>
  </si>
  <si>
    <t>janvier</t>
  </si>
  <si>
    <t>produit 1</t>
  </si>
  <si>
    <t>produit 2</t>
  </si>
  <si>
    <t>produit 3</t>
  </si>
  <si>
    <t>produit 4</t>
  </si>
  <si>
    <t>produit 5</t>
  </si>
  <si>
    <t>N°4</t>
  </si>
  <si>
    <t>mercredi</t>
  </si>
  <si>
    <t>mars</t>
  </si>
  <si>
    <t>donnée à saisir</t>
  </si>
  <si>
    <t>à vous de jouer</t>
  </si>
  <si>
    <t>25/09/2018</t>
  </si>
  <si>
    <t>12/02/2012</t>
  </si>
  <si>
    <t>08:45</t>
  </si>
  <si>
    <t>Bilan trimestriel des dépenses</t>
  </si>
  <si>
    <t>dépense</t>
  </si>
  <si>
    <t xml:space="preserve">janvier </t>
  </si>
  <si>
    <t>février</t>
  </si>
  <si>
    <t>TOTAL</t>
  </si>
  <si>
    <t>leclerc</t>
  </si>
  <si>
    <t>auchan</t>
  </si>
  <si>
    <t>carrefour</t>
  </si>
  <si>
    <t>super U</t>
  </si>
  <si>
    <t>boulangerie</t>
  </si>
  <si>
    <t>boucherie</t>
  </si>
  <si>
    <t>bio</t>
  </si>
  <si>
    <t>voiture Mme</t>
  </si>
  <si>
    <t>habitation</t>
  </si>
  <si>
    <t>voiture M</t>
  </si>
  <si>
    <t>scooter Nico</t>
  </si>
  <si>
    <t>tel maison</t>
  </si>
  <si>
    <t>tels portables</t>
  </si>
  <si>
    <t>box</t>
  </si>
  <si>
    <t>essence / gasoil</t>
  </si>
  <si>
    <t>autoroute</t>
  </si>
  <si>
    <t>EFFECTIFS INTERIMAIRES SUR LES DIFFERENTS SITES</t>
  </si>
  <si>
    <t>Insérez rapidement les totaux</t>
  </si>
  <si>
    <t>calculer la moyenne, la valeur mini, la valeur max</t>
  </si>
  <si>
    <t>janv</t>
  </si>
  <si>
    <t>févr</t>
  </si>
  <si>
    <t>avr</t>
  </si>
  <si>
    <t>mai</t>
  </si>
  <si>
    <t>juin</t>
  </si>
  <si>
    <t>juil</t>
  </si>
  <si>
    <t>août</t>
  </si>
  <si>
    <t>sept</t>
  </si>
  <si>
    <t>oct</t>
  </si>
  <si>
    <t>nov</t>
  </si>
  <si>
    <t>déc</t>
  </si>
  <si>
    <t>total</t>
  </si>
  <si>
    <t>moyenne</t>
  </si>
  <si>
    <t>min</t>
  </si>
  <si>
    <t>max</t>
  </si>
  <si>
    <t>AVIGNON</t>
  </si>
  <si>
    <t>APT</t>
  </si>
  <si>
    <t>MALAUCENE</t>
  </si>
  <si>
    <t>VEDENE</t>
  </si>
  <si>
    <t>VIENNE</t>
  </si>
  <si>
    <t>BOURGOIN</t>
  </si>
  <si>
    <t>incrémentation unitaire</t>
  </si>
  <si>
    <t>N°2</t>
  </si>
  <si>
    <t>mardi</t>
  </si>
  <si>
    <t>N°3</t>
  </si>
  <si>
    <t>jeudi</t>
  </si>
  <si>
    <t>avril</t>
  </si>
  <si>
    <t>incrémentation avec pas</t>
  </si>
  <si>
    <t>N°7</t>
  </si>
  <si>
    <t>vendredi</t>
  </si>
  <si>
    <t>N°10</t>
  </si>
  <si>
    <t>dimanche</t>
  </si>
  <si>
    <t>juillet</t>
  </si>
  <si>
    <t>N°13</t>
  </si>
  <si>
    <t>septembre</t>
  </si>
  <si>
    <t>N°16</t>
  </si>
  <si>
    <t>novembre</t>
  </si>
  <si>
    <t>N°19</t>
  </si>
  <si>
    <t>samedi</t>
  </si>
  <si>
    <t>N°22</t>
  </si>
  <si>
    <t>N°25</t>
  </si>
  <si>
    <t>1 x F4 : §B§3   fige les lignes et les colonnes 
2 x F4 : B§3   fige les lignes          
3 x F4 : §B3   fige les colonnes         
4 x F4 : B3   libère les lignes et les colonnes</t>
  </si>
  <si>
    <t>Pour incrémenter avec un pas de 1, utiliser la poignet de recopie</t>
  </si>
  <si>
    <t>Pour incrémenter avec un pas n, entrer les deux premières valeur donnant le pas, puis utiliser la poignée de recopie</t>
  </si>
  <si>
    <r>
      <rPr>
        <b/>
        <sz val="14"/>
        <color rgb="FFFF0000"/>
        <rFont val="Wingdings"/>
        <charset val="2"/>
      </rPr>
      <t>è</t>
    </r>
    <r>
      <rPr>
        <b/>
        <sz val="14.55"/>
        <color rgb="FFFF0000"/>
        <rFont val="Calibri"/>
        <family val="2"/>
      </rPr>
      <t xml:space="preserve"> </t>
    </r>
    <r>
      <rPr>
        <b/>
        <sz val="14"/>
        <color rgb="FFFF0000"/>
        <rFont val="Calibri"/>
        <family val="2"/>
        <scheme val="minor"/>
      </rPr>
      <t>saisie rapide à l'aide de tab</t>
    </r>
  </si>
  <si>
    <r>
      <rPr>
        <b/>
        <sz val="14"/>
        <color rgb="FFFF0000"/>
        <rFont val="Wingdings"/>
        <charset val="2"/>
      </rPr>
      <t>è</t>
    </r>
    <r>
      <rPr>
        <b/>
        <sz val="14.55"/>
        <color rgb="FFFF0000"/>
        <rFont val="Calibri"/>
        <family val="2"/>
      </rPr>
      <t xml:space="preserve"> </t>
    </r>
    <r>
      <rPr>
        <b/>
        <sz val="14"/>
        <color rgb="FFFF0000"/>
        <rFont val="Calibri"/>
        <family val="2"/>
        <scheme val="minor"/>
      </rPr>
      <t>Calcul rapide : sélection de toutes les cellules ayant la même formule à calculer + CTRL entrée</t>
    </r>
  </si>
  <si>
    <r>
      <rPr>
        <b/>
        <sz val="12"/>
        <color rgb="FFFF0000"/>
        <rFont val="Wingdings"/>
        <charset val="2"/>
      </rPr>
      <t>è</t>
    </r>
    <r>
      <rPr>
        <b/>
        <sz val="13.9"/>
        <color rgb="FFFF0000"/>
        <rFont val="Calibri"/>
        <family val="2"/>
      </rPr>
      <t xml:space="preserve"> </t>
    </r>
    <r>
      <rPr>
        <b/>
        <sz val="12"/>
        <color rgb="FFFF0000"/>
        <rFont val="Calibri"/>
        <family val="2"/>
        <scheme val="minor"/>
      </rPr>
      <t>Format de cellule</t>
    </r>
  </si>
  <si>
    <r>
      <rPr>
        <b/>
        <sz val="14"/>
        <color rgb="FFFF0000"/>
        <rFont val="Wingdings"/>
        <charset val="2"/>
      </rPr>
      <t>è</t>
    </r>
    <r>
      <rPr>
        <b/>
        <sz val="14"/>
        <color rgb="FFFF0000"/>
        <rFont val="Calibri"/>
        <family val="2"/>
      </rPr>
      <t xml:space="preserve"> </t>
    </r>
    <r>
      <rPr>
        <b/>
        <sz val="14"/>
        <color rgb="FFFF0000"/>
        <rFont val="Calibri"/>
        <family val="2"/>
        <scheme val="minor"/>
      </rPr>
      <t>sélection d'un tableau entier : CTRL + A</t>
    </r>
  </si>
  <si>
    <r>
      <rPr>
        <b/>
        <sz val="14"/>
        <color rgb="FFFF0000"/>
        <rFont val="Wingdings"/>
        <charset val="2"/>
      </rPr>
      <t>è</t>
    </r>
    <r>
      <rPr>
        <b/>
        <sz val="14"/>
        <color rgb="FFFF0000"/>
        <rFont val="Calibri"/>
        <family val="2"/>
      </rPr>
      <t xml:space="preserve"> </t>
    </r>
    <r>
      <rPr>
        <b/>
        <sz val="14"/>
        <color rgb="FFFF0000"/>
        <rFont val="Calibri"/>
        <family val="2"/>
        <scheme val="minor"/>
      </rPr>
      <t>il existe plusieurs type de collage</t>
    </r>
  </si>
  <si>
    <r>
      <rPr>
        <b/>
        <sz val="14"/>
        <color rgb="FFFF0000"/>
        <rFont val="Wingdings"/>
        <charset val="2"/>
      </rPr>
      <t>è</t>
    </r>
    <r>
      <rPr>
        <b/>
        <sz val="14"/>
        <color rgb="FFFF0000"/>
        <rFont val="Calibri"/>
        <family val="2"/>
      </rPr>
      <t xml:space="preserve"> utiliser les fonctions rapides</t>
    </r>
  </si>
  <si>
    <r>
      <t xml:space="preserve">COMPTER LES CELLULES : 
- NB </t>
    </r>
    <r>
      <rPr>
        <sz val="12"/>
        <color rgb="FFFF0000"/>
        <rFont val="Calibri"/>
        <family val="2"/>
        <scheme val="minor"/>
      </rPr>
      <t>compte les cellules avec des</t>
    </r>
    <r>
      <rPr>
        <b/>
        <sz val="12"/>
        <color rgb="FFFF0000"/>
        <rFont val="Calibri"/>
        <family val="2"/>
        <scheme val="minor"/>
      </rPr>
      <t xml:space="preserve"> chiffres ; 
- NBVAL </t>
    </r>
    <r>
      <rPr>
        <sz val="12"/>
        <color rgb="FFFF0000"/>
        <rFont val="Calibri"/>
        <family val="2"/>
        <scheme val="minor"/>
      </rPr>
      <t>compte les cellules avec</t>
    </r>
    <r>
      <rPr>
        <b/>
        <sz val="12"/>
        <color rgb="FFFF0000"/>
        <rFont val="Calibri"/>
        <family val="2"/>
        <scheme val="minor"/>
      </rPr>
      <t xml:space="preserve"> chiffres </t>
    </r>
    <r>
      <rPr>
        <sz val="12"/>
        <color rgb="FFFF0000"/>
        <rFont val="Calibri"/>
        <family val="2"/>
        <scheme val="minor"/>
      </rPr>
      <t xml:space="preserve">et / ou </t>
    </r>
    <r>
      <rPr>
        <b/>
        <sz val="12"/>
        <color rgb="FFFF0000"/>
        <rFont val="Calibri"/>
        <family val="2"/>
        <scheme val="minor"/>
      </rPr>
      <t xml:space="preserve">lettres ; 
- NB.SI </t>
    </r>
    <r>
      <rPr>
        <sz val="12"/>
        <color rgb="FFFF0000"/>
        <rFont val="Calibri"/>
        <family val="2"/>
        <scheme val="minor"/>
      </rPr>
      <t>compte les cellules répondant à une</t>
    </r>
    <r>
      <rPr>
        <b/>
        <sz val="12"/>
        <color rgb="FFFF0000"/>
        <rFont val="Calibri"/>
        <family val="2"/>
        <scheme val="minor"/>
      </rPr>
      <t xml:space="preserve"> condition ; 
- NB.VIDE </t>
    </r>
    <r>
      <rPr>
        <sz val="12"/>
        <color rgb="FFFF0000"/>
        <rFont val="Calibri"/>
        <family val="2"/>
        <scheme val="minor"/>
      </rPr>
      <t>compte les cellules</t>
    </r>
    <r>
      <rPr>
        <b/>
        <sz val="12"/>
        <color rgb="FFFF0000"/>
        <rFont val="Calibri"/>
        <family val="2"/>
        <scheme val="minor"/>
      </rPr>
      <t xml:space="preserve"> vides</t>
    </r>
  </si>
  <si>
    <r>
      <t>condition SI                     =SI(test;valeur si test vrai;valeur si test faux)                    
imbrication de SI             =</t>
    </r>
    <r>
      <rPr>
        <b/>
        <sz val="16"/>
        <color rgb="FFFF0000"/>
        <rFont val="Calibri"/>
        <family val="2"/>
        <scheme val="minor"/>
      </rPr>
      <t>SI(test1;valeur si test1 vrai;</t>
    </r>
    <r>
      <rPr>
        <b/>
        <sz val="16"/>
        <color rgb="FF00B050"/>
        <rFont val="Calibri"/>
        <family val="2"/>
        <scheme val="minor"/>
      </rPr>
      <t>SI(test2;valeur si test2 vrai;valeur si</t>
    </r>
    <r>
      <rPr>
        <b/>
        <sz val="16"/>
        <color theme="1"/>
        <rFont val="Calibri"/>
        <family val="2"/>
        <scheme val="minor"/>
      </rPr>
      <t xml:space="preserve"> </t>
    </r>
    <r>
      <rPr>
        <b/>
        <sz val="16"/>
        <color rgb="FFFF0000"/>
        <rFont val="Calibri"/>
        <family val="2"/>
        <scheme val="minor"/>
      </rPr>
      <t>test1</t>
    </r>
    <r>
      <rPr>
        <b/>
        <sz val="16"/>
        <color rgb="FF00B050"/>
        <rFont val="Calibri"/>
        <family val="2"/>
        <scheme val="minor"/>
      </rPr>
      <t>&amp;2 faux)</t>
    </r>
    <r>
      <rPr>
        <b/>
        <sz val="16"/>
        <color rgb="FFFF0000"/>
        <rFont val="Calibri"/>
        <family val="2"/>
        <scheme val="minor"/>
      </rPr>
      <t>)</t>
    </r>
    <r>
      <rPr>
        <b/>
        <sz val="16"/>
        <color theme="1"/>
        <rFont val="Calibri"/>
        <family val="2"/>
        <scheme val="minor"/>
      </rPr>
      <t xml:space="preserve">                    
imbrication de SI &amp; ET   =</t>
    </r>
    <r>
      <rPr>
        <b/>
        <sz val="16"/>
        <color rgb="FF00B050"/>
        <rFont val="Calibri"/>
        <family val="2"/>
        <scheme val="minor"/>
      </rPr>
      <t>SI(</t>
    </r>
    <r>
      <rPr>
        <b/>
        <sz val="16"/>
        <color rgb="FFFF0000"/>
        <rFont val="Calibri"/>
        <family val="2"/>
        <scheme val="minor"/>
      </rPr>
      <t>ET(cond1;cond2;cond3…)</t>
    </r>
    <r>
      <rPr>
        <b/>
        <sz val="16"/>
        <color rgb="FF00B050"/>
        <rFont val="Calibri"/>
        <family val="2"/>
        <scheme val="minor"/>
      </rPr>
      <t xml:space="preserve">;valeur si vrai;valeur si faux)                    
</t>
    </r>
    <r>
      <rPr>
        <b/>
        <sz val="16"/>
        <rFont val="Calibri"/>
        <family val="2"/>
        <scheme val="minor"/>
      </rPr>
      <t>imbrication de SI &amp; OU  =</t>
    </r>
    <r>
      <rPr>
        <b/>
        <sz val="16"/>
        <color rgb="FF00B050"/>
        <rFont val="Calibri"/>
        <family val="2"/>
        <scheme val="minor"/>
      </rPr>
      <t>SI(</t>
    </r>
    <r>
      <rPr>
        <b/>
        <sz val="16"/>
        <color rgb="FFFF0000"/>
        <rFont val="Calibri"/>
        <family val="2"/>
        <scheme val="minor"/>
      </rPr>
      <t>OU(cond1;cond2;cond3…)</t>
    </r>
    <r>
      <rPr>
        <b/>
        <sz val="16"/>
        <color rgb="FF00B050"/>
        <rFont val="Calibri"/>
        <family val="2"/>
        <scheme val="minor"/>
      </rPr>
      <t>;valeur si vrai;valeur si faux)</t>
    </r>
  </si>
  <si>
    <t>La fonction SOMME.SI additionne des cellules selon un certain critère SOMME.SI(plage_critère;crière;plage_somme)
La fonction SOMME.SI.ENS additionne des cellules selon un ensemble de critères SOMME.SI.ENS(plage_somme;plage_critère1;crière1;plage_critère2;crière2;...)
La fonction MOYENNE.SI.ENS fait la moyenne des cellules selon un ensemble de critères MOYENNE.SI.ENS(plage_moyenne;plage_critère1;crière1;plage_critère2;crière2;...)
La fonction NB.SI.ENS compte le nombre de cellules selon un ensemble de critère NB.SI.ENS(plage_critère1;crière1;plage_critère2;crière2;...)</t>
  </si>
  <si>
    <t>Nombre de personnes évaluées 
(ont une note)</t>
  </si>
  <si>
    <t>Stephanie</t>
  </si>
  <si>
    <t>Laurent</t>
  </si>
  <si>
    <t>Sabine</t>
  </si>
  <si>
    <t>Maud</t>
  </si>
  <si>
    <t>David</t>
  </si>
  <si>
    <t>Herve</t>
  </si>
  <si>
    <t>Carole</t>
  </si>
  <si>
    <t>Romain</t>
  </si>
  <si>
    <t>Philippe</t>
  </si>
  <si>
    <t>Sebastien</t>
  </si>
  <si>
    <t>Cedric</t>
  </si>
  <si>
    <t>Liliane</t>
  </si>
  <si>
    <t>Catherine</t>
  </si>
  <si>
    <t>Alain</t>
  </si>
  <si>
    <t>Samuel</t>
  </si>
  <si>
    <t>Frederic</t>
  </si>
  <si>
    <t>MA-024</t>
  </si>
  <si>
    <t>Gilberte</t>
  </si>
  <si>
    <t>MA-025</t>
  </si>
  <si>
    <t>MA-026</t>
  </si>
  <si>
    <t>Yann</t>
  </si>
  <si>
    <t>MA-027</t>
  </si>
  <si>
    <t>MA-028</t>
  </si>
  <si>
    <t>MA-029</t>
  </si>
  <si>
    <t>MA-030</t>
  </si>
  <si>
    <t xml:space="preserve"> - nbre d'élèves qui ne vont pas au ratrappage
 (ont une note ou sont excusés)</t>
  </si>
  <si>
    <t>MA-031</t>
  </si>
  <si>
    <t>MA-032</t>
  </si>
  <si>
    <t>MA-033</t>
  </si>
  <si>
    <t>MA-034</t>
  </si>
  <si>
    <t>NB CREDITS Total à valider</t>
  </si>
  <si>
    <t>ETU-735</t>
  </si>
  <si>
    <t>ETU-736</t>
  </si>
  <si>
    <t>--&gt; Sélectionner les données sur lesquelles vous souhaitez votre mise en forme, ici toutes les données sans l'en-tête.</t>
  </si>
  <si>
    <t>--&gt; Mise en forme conditionnelle / Gérer les règles / Nouvelle règle</t>
  </si>
  <si>
    <t>Mise en forme conditionnelle / Gérer les règles</t>
  </si>
  <si>
    <t>Mise en forme conditionnelle / Gérer les règles / Nouvelle règle</t>
  </si>
  <si>
    <t>--&gt; Cliquer sur Format</t>
  </si>
  <si>
    <t>--&gt; Cliquer sur Motifs et texture</t>
  </si>
  <si>
    <t>Insertion/Graphiques</t>
  </si>
  <si>
    <t>GRAPHIQUE BARRES GROUPEES</t>
  </si>
  <si>
    <t>GRAPHIQUE RAYONS DE SOLEIL</t>
  </si>
  <si>
    <t>GRAPHIQUE COMPARTIMENTS</t>
  </si>
  <si>
    <t>GRAPHIQUE TYPE CASCADE</t>
  </si>
  <si>
    <t>GRAPHIQUE STATISTIQUE PARETO</t>
  </si>
  <si>
    <t>GRAPHIQUE COMPOSE</t>
  </si>
  <si>
    <t>Nombre d'inscrits par tranche d'âge</t>
  </si>
  <si>
    <t>Le graphique pareto illustre la loi de Paretto, également appelée "loi des 20/80", selon laquelle 80% des problèmes résultent de 20% des causes.</t>
  </si>
  <si>
    <t>années</t>
  </si>
  <si>
    <t>Etape 1</t>
  </si>
  <si>
    <t>DEPARTEMENTS</t>
  </si>
  <si>
    <t>AGENCES</t>
  </si>
  <si>
    <t>Type</t>
  </si>
  <si>
    <t>Papier</t>
  </si>
  <si>
    <t>CALCUL DU BENEFICE NET</t>
  </si>
  <si>
    <t>vélo vendus</t>
  </si>
  <si>
    <t>Sélectionner les 2 premières lignes du tableau ; insertion graph histogramme groupé</t>
  </si>
  <si>
    <t>SPORT</t>
  </si>
  <si>
    <t>4 - 8 ans</t>
  </si>
  <si>
    <t>9 - 12 ans</t>
  </si>
  <si>
    <t>13 -17 ans</t>
  </si>
  <si>
    <t>18 - 25 ans</t>
  </si>
  <si>
    <t>26 - 40 ans</t>
  </si>
  <si>
    <t>41 - 55 ans</t>
  </si>
  <si>
    <t>+ 56 ans</t>
  </si>
  <si>
    <t>VAUCLUSE</t>
  </si>
  <si>
    <t>Papier à textures</t>
  </si>
  <si>
    <t>Translucide</t>
  </si>
  <si>
    <t>prix moyen par vélo</t>
  </si>
  <si>
    <t>Equitation</t>
  </si>
  <si>
    <t>Métallisé</t>
  </si>
  <si>
    <t>Bénéfice Brut</t>
  </si>
  <si>
    <t>Machine Presse</t>
  </si>
  <si>
    <t>Boxe</t>
  </si>
  <si>
    <t>Velin</t>
  </si>
  <si>
    <t>Produits</t>
  </si>
  <si>
    <t>Ventes Produits</t>
  </si>
  <si>
    <t>Problèmes signalés</t>
  </si>
  <si>
    <t>Foot</t>
  </si>
  <si>
    <t>Toilé</t>
  </si>
  <si>
    <t>Danse</t>
  </si>
  <si>
    <t>ISERE</t>
  </si>
  <si>
    <t>Nacré</t>
  </si>
  <si>
    <t>Achats Produits</t>
  </si>
  <si>
    <t>Causes de l'arrêt machine</t>
  </si>
  <si>
    <t>Fréquence</t>
  </si>
  <si>
    <t>Gym</t>
  </si>
  <si>
    <t>Papier couché</t>
  </si>
  <si>
    <t>Two-tone</t>
  </si>
  <si>
    <t>Panne de la machine</t>
  </si>
  <si>
    <t>Natation</t>
  </si>
  <si>
    <t>GRENOBLE</t>
  </si>
  <si>
    <t>Brillant</t>
  </si>
  <si>
    <t>Total charges</t>
  </si>
  <si>
    <t>Approvisionnement</t>
  </si>
  <si>
    <t>CREMIEU</t>
  </si>
  <si>
    <t>Mat</t>
  </si>
  <si>
    <t>Charges</t>
  </si>
  <si>
    <t>Frais de fonctionnement</t>
  </si>
  <si>
    <t>Changement série</t>
  </si>
  <si>
    <t>Sélectionner le graphique + onglet création / sélection de données</t>
  </si>
  <si>
    <t>GARD</t>
  </si>
  <si>
    <t>NIMES</t>
  </si>
  <si>
    <t>Satiné</t>
  </si>
  <si>
    <t>Frais financiers</t>
  </si>
  <si>
    <t>Défauts qualité</t>
  </si>
  <si>
    <t>faire le même graphique dans le cadre ci-dessous</t>
  </si>
  <si>
    <t>ALES</t>
  </si>
  <si>
    <t>Papier non couché</t>
  </si>
  <si>
    <t>Sans bois</t>
  </si>
  <si>
    <t>Personnel</t>
  </si>
  <si>
    <t>Manque d'outillage</t>
  </si>
  <si>
    <t>UZES</t>
  </si>
  <si>
    <t>Avec bois</t>
  </si>
  <si>
    <t>Recherche</t>
  </si>
  <si>
    <t>Formation</t>
  </si>
  <si>
    <t>Autres</t>
  </si>
  <si>
    <t>Rechargement</t>
  </si>
  <si>
    <t>Bénéfice Net</t>
  </si>
  <si>
    <t>Micros arrêts</t>
  </si>
  <si>
    <t>Règlages</t>
  </si>
  <si>
    <t>Ajouter</t>
  </si>
  <si>
    <t>Sélectionner le graphique + onglet création / modifier le type de graphique</t>
  </si>
  <si>
    <t>Insertion/Graphiques sparkline</t>
  </si>
  <si>
    <t>REPARTITION CHIFFRE D'AFFAIRE DE L'HOTEL "ON DORT BIEN"</t>
  </si>
  <si>
    <t>ANALYSE CHIFFRE D'AFFAIRE COMMERCIAUX</t>
  </si>
  <si>
    <t>EVOLUTION DES COTISATIONS SPORTIVE de la ville de LYON</t>
  </si>
  <si>
    <t>Insérez en colonne O les petits graphiques représentatifs des effectifs mensuel.
Représentez sur les courbes les valeurs minimales avec un point vert et maximale avec un point rouge.</t>
  </si>
  <si>
    <t>Calculer le total du chiffre d'affaire par trimestre. 
Représenter en colonne Y la progression du CA par désignation sur les 4 semestres en histogramme.</t>
  </si>
  <si>
    <t>Calculer le pourcentage de chaque commerciaux au dessus ou en dessous de l'objectif. 
Représenter en colonne AH le pourcentage de réussite en graphique positif / négatif</t>
  </si>
  <si>
    <t>Calculez l'évolution du nombre de cotisation d'une année à l'autre en pourcentage. Représentez cette évolution par un graphique dans la colonne Evolution + et - (faire apparaitre l'axe de 0%, le point le plus haut en bleu et les point négatif en rouge). Dans la colonne "sur 4 ans", afficher en pourcentage le taux de croissance sur 4 ans, un histogramme positif / négatif ainsi qu'un symbole fléché coloré représentant une baisse ou une hausse.</t>
  </si>
  <si>
    <t>Désignation</t>
  </si>
  <si>
    <t>trim 1</t>
  </si>
  <si>
    <t>trim 2</t>
  </si>
  <si>
    <t>trim 3</t>
  </si>
  <si>
    <t>trim 4</t>
  </si>
  <si>
    <t>Commerciaux</t>
  </si>
  <si>
    <t>Janv.</t>
  </si>
  <si>
    <t>Févr</t>
  </si>
  <si>
    <t>Mars</t>
  </si>
  <si>
    <t>Avr</t>
  </si>
  <si>
    <t>Mai</t>
  </si>
  <si>
    <t>Juin</t>
  </si>
  <si>
    <t>Juil</t>
  </si>
  <si>
    <t>Août</t>
  </si>
  <si>
    <t>Sept</t>
  </si>
  <si>
    <t>Oct</t>
  </si>
  <si>
    <t>Nov</t>
  </si>
  <si>
    <t>Déc</t>
  </si>
  <si>
    <t>Chambre simple</t>
  </si>
  <si>
    <t>JELAGNACK</t>
  </si>
  <si>
    <t>CA</t>
  </si>
  <si>
    <t>SPORTS</t>
  </si>
  <si>
    <t>Année 1</t>
  </si>
  <si>
    <t>Année 2</t>
  </si>
  <si>
    <t>Année 3</t>
  </si>
  <si>
    <t>Année 4</t>
  </si>
  <si>
    <r>
      <t xml:space="preserve">A1 </t>
    </r>
    <r>
      <rPr>
        <sz val="12"/>
        <color theme="3"/>
        <rFont val="Wingdings"/>
        <charset val="2"/>
      </rPr>
      <t>ð</t>
    </r>
    <r>
      <rPr>
        <sz val="12"/>
        <color theme="3"/>
        <rFont val="Century Gothic"/>
        <family val="2"/>
      </rPr>
      <t>A2</t>
    </r>
  </si>
  <si>
    <r>
      <t xml:space="preserve">A2 </t>
    </r>
    <r>
      <rPr>
        <sz val="12"/>
        <color theme="3"/>
        <rFont val="Wingdings"/>
        <charset val="2"/>
      </rPr>
      <t>ð</t>
    </r>
    <r>
      <rPr>
        <sz val="12"/>
        <color theme="3"/>
        <rFont val="Century Gothic"/>
        <family val="2"/>
      </rPr>
      <t>A3</t>
    </r>
  </si>
  <si>
    <r>
      <t xml:space="preserve">A3 </t>
    </r>
    <r>
      <rPr>
        <sz val="12"/>
        <color theme="3"/>
        <rFont val="Wingdings"/>
        <charset val="2"/>
      </rPr>
      <t>ð</t>
    </r>
    <r>
      <rPr>
        <sz val="12"/>
        <color theme="3"/>
        <rFont val="Century Gothic"/>
        <family val="2"/>
      </rPr>
      <t>A4</t>
    </r>
  </si>
  <si>
    <t>Evolution + et -</t>
  </si>
  <si>
    <t>Sur 4 ans</t>
  </si>
  <si>
    <t>Chambre double</t>
  </si>
  <si>
    <t>% de réussite</t>
  </si>
  <si>
    <t>Acrobatie</t>
  </si>
  <si>
    <t>Petit déjeuner</t>
  </si>
  <si>
    <t>TOUMOU</t>
  </si>
  <si>
    <t>Aérobic</t>
  </si>
  <si>
    <t>Demi-pension</t>
  </si>
  <si>
    <t>Gym Sportive</t>
  </si>
  <si>
    <t>Pension complète</t>
  </si>
  <si>
    <t>BOGOSS</t>
  </si>
  <si>
    <t>Gym Rythmique</t>
  </si>
  <si>
    <t>Supplément enfant</t>
  </si>
  <si>
    <t>Karaté</t>
  </si>
  <si>
    <t xml:space="preserve">TOTAL </t>
  </si>
  <si>
    <t>LASTAR</t>
  </si>
  <si>
    <t>Objectif :</t>
  </si>
  <si>
    <t>Accueil/Edition/tri</t>
  </si>
  <si>
    <t>1- Trier le tableau pour avoir les fruits de la colonne A en ordre alphabétique</t>
  </si>
  <si>
    <t>2- Trier ce stock de tôles par Nuance / épaisseur / largeur / longueur</t>
  </si>
  <si>
    <t>3- note de frais : trier votre note de frais par date</t>
  </si>
  <si>
    <t>4- Trier ce stock de tôles : en haut les nuances saumons, en dessous les jaunes puis les bleus</t>
  </si>
  <si>
    <t>5- trier par jeu d'icône le valider vert en haut, plus bas, le point d'exclamation puis en bas la croix</t>
  </si>
  <si>
    <t>ventes en kg</t>
  </si>
  <si>
    <t>nuance</t>
  </si>
  <si>
    <t>épaisseur</t>
  </si>
  <si>
    <t>largeur</t>
  </si>
  <si>
    <t>longueur</t>
  </si>
  <si>
    <t>stock</t>
  </si>
  <si>
    <t>date</t>
  </si>
  <si>
    <t>objet</t>
  </si>
  <si>
    <t xml:space="preserve">nom </t>
  </si>
  <si>
    <t xml:space="preserve">note francais </t>
  </si>
  <si>
    <t>abricots</t>
  </si>
  <si>
    <t>H400</t>
  </si>
  <si>
    <t>restaurant</t>
  </si>
  <si>
    <t>corry</t>
  </si>
  <si>
    <t>bananes</t>
  </si>
  <si>
    <t xml:space="preserve">gastien </t>
  </si>
  <si>
    <t>figues</t>
  </si>
  <si>
    <t>gasoil</t>
  </si>
  <si>
    <t>cortene</t>
  </si>
  <si>
    <t>fraises</t>
  </si>
  <si>
    <t xml:space="preserve">dubois </t>
  </si>
  <si>
    <t>framboises</t>
  </si>
  <si>
    <t>hôtel</t>
  </si>
  <si>
    <t>ramoi</t>
  </si>
  <si>
    <t>nectarines</t>
  </si>
  <si>
    <t>siorne</t>
  </si>
  <si>
    <t>oranges</t>
  </si>
  <si>
    <t>bonue</t>
  </si>
  <si>
    <t>pèches</t>
  </si>
  <si>
    <t>lobert</t>
  </si>
  <si>
    <t>poires</t>
  </si>
  <si>
    <t>pommes</t>
  </si>
  <si>
    <t>prunes</t>
  </si>
  <si>
    <t>H450</t>
  </si>
  <si>
    <t>S700</t>
  </si>
  <si>
    <t>Accueil/Edition/filtre</t>
  </si>
  <si>
    <t>1- N'afficher que les tôles de nuance H400 ép 15</t>
  </si>
  <si>
    <t>2- Afficher les 10 meilleures ventes</t>
  </si>
  <si>
    <t>3- N'afficher que les tôles de nuance  d'épaisseur 15 à 25</t>
  </si>
  <si>
    <t>4- n'afficher que les nuances en jaune</t>
  </si>
  <si>
    <t>5- n'afficher que les les icônes avec la croix</t>
  </si>
  <si>
    <t xml:space="preserve">VILLE </t>
  </si>
  <si>
    <t>vente</t>
  </si>
  <si>
    <t>Marseille</t>
  </si>
  <si>
    <t>Montpellier</t>
  </si>
  <si>
    <t>Annecy</t>
  </si>
  <si>
    <t xml:space="preserve">Thonon les bains </t>
  </si>
  <si>
    <t xml:space="preserve">Evian </t>
  </si>
  <si>
    <t>Bordeaux</t>
  </si>
  <si>
    <t xml:space="preserve">Dax </t>
  </si>
  <si>
    <t>Strasbourg</t>
  </si>
  <si>
    <t>Lyon</t>
  </si>
  <si>
    <t>Nantes</t>
  </si>
  <si>
    <t>Chambéry</t>
  </si>
  <si>
    <t>Valence</t>
  </si>
  <si>
    <t>Angers</t>
  </si>
  <si>
    <t>Tours</t>
  </si>
  <si>
    <t>Narbonne</t>
  </si>
  <si>
    <t>Niors</t>
  </si>
  <si>
    <t>Données/Trier et filtrer/Avancé</t>
  </si>
  <si>
    <t xml:space="preserve"> Bâtir un tableau à partir du tableau de gauche avec les filtres suivant :</t>
  </si>
  <si>
    <t>- 1 : Les élèves de Valence ayant une moyenne en math supérieur à 13 ou les prénoms commençant par M ayant une moyenne supérieur à 12</t>
  </si>
  <si>
    <t>Prénom</t>
  </si>
  <si>
    <t>Lieu</t>
  </si>
  <si>
    <t>Naissance</t>
  </si>
  <si>
    <t>Math</t>
  </si>
  <si>
    <t>Français</t>
  </si>
  <si>
    <t>Sciences</t>
  </si>
  <si>
    <t>Moyenne</t>
  </si>
  <si>
    <t>Tanguy</t>
  </si>
  <si>
    <t>Bruxelles</t>
  </si>
  <si>
    <t>Magali</t>
  </si>
  <si>
    <t>Mons</t>
  </si>
  <si>
    <t>&gt;13</t>
  </si>
  <si>
    <t>Loïs</t>
  </si>
  <si>
    <t>M*</t>
  </si>
  <si>
    <t>&gt;12</t>
  </si>
  <si>
    <t>Léonie</t>
  </si>
  <si>
    <t>Lille</t>
  </si>
  <si>
    <t>Mathéo</t>
  </si>
  <si>
    <t>Dan</t>
  </si>
  <si>
    <t>- 2 : Les élèves néent en 2000, ayant une moyenne supérieur à 14 ou les élèves de 1999 ayant une moyenne supérieur à 15</t>
  </si>
  <si>
    <t>&gt;=01/01/2000</t>
  </si>
  <si>
    <t>&lt;=31/12/2000</t>
  </si>
  <si>
    <t>&gt;14</t>
  </si>
  <si>
    <t>&gt;=01/01/1999</t>
  </si>
  <si>
    <t>&lt;=31/12/1999</t>
  </si>
  <si>
    <t>&gt;15</t>
  </si>
  <si>
    <t>Arbre</t>
  </si>
  <si>
    <t>Hauteur</t>
  </si>
  <si>
    <t>Age</t>
  </si>
  <si>
    <t>Rendement</t>
  </si>
  <si>
    <t>Bénéfice</t>
  </si>
  <si>
    <t>Répertorier dans un tableau à partir de la ligne 20, la liste des pommiers dont la hauteur est comprise entre 10 et 15 ou des poiriers âgés de plus de 10 ans</t>
  </si>
  <si>
    <t>Pomme</t>
  </si>
  <si>
    <t>&gt;10</t>
  </si>
  <si>
    <t>&lt;15</t>
  </si>
  <si>
    <t>Poire</t>
  </si>
  <si>
    <t>Cerise</t>
  </si>
  <si>
    <t>Formules BDSOMME, BDMOYENNE, BDNBVAL…</t>
  </si>
  <si>
    <t>STAGE</t>
  </si>
  <si>
    <t>DATE</t>
  </si>
  <si>
    <t>NIVEAU</t>
  </si>
  <si>
    <t>CENTRE</t>
  </si>
  <si>
    <t>NB PERSONNES</t>
  </si>
  <si>
    <t>DUREE</t>
  </si>
  <si>
    <t>MONTANT FACTURE</t>
  </si>
  <si>
    <t>PLONGEE</t>
  </si>
  <si>
    <t>CASSIS</t>
  </si>
  <si>
    <t>1- Donner le chiffre d'affaire des sports de plongée (plongée + apnée) au premier trimestre</t>
  </si>
  <si>
    <t>KITE SURF</t>
  </si>
  <si>
    <t>ARGELES</t>
  </si>
  <si>
    <t>JET SKI</t>
  </si>
  <si>
    <t>NICE</t>
  </si>
  <si>
    <t>VOILE</t>
  </si>
  <si>
    <t>&gt;=01/01/2017</t>
  </si>
  <si>
    <t>&lt;=31/03/2017</t>
  </si>
  <si>
    <t>APNEE</t>
  </si>
  <si>
    <t>2- Donner le nombre de stage de jet ski à Cassis et Nice au trimestre 2</t>
  </si>
  <si>
    <t>&gt;=01/04/2017</t>
  </si>
  <si>
    <t>&lt;=30/06/2017</t>
  </si>
  <si>
    <t>KAYAK DE MER</t>
  </si>
  <si>
    <t>3- Donner le montant moyen facturé en Plongée à Argeles et Nice en niveau 1</t>
  </si>
  <si>
    <t>4- Donner l'effectifs maximum des stages de plongée d'une durée de 3 à 5 heures</t>
  </si>
  <si>
    <t>&gt;=3</t>
  </si>
  <si>
    <t>&lt;=5</t>
  </si>
  <si>
    <t>5- Donner l'effectif minimum des stages de voile de niveau 1 &amp; 2.</t>
  </si>
  <si>
    <t>6- Donner le nombre de stage en période estivale (du 1ier mai au 30 septembre) en Kite Surf à Nice et Argelès</t>
  </si>
  <si>
    <t>&gt;=01/05/2017</t>
  </si>
  <si>
    <t>&lt;=30/09/2017</t>
  </si>
  <si>
    <t>VENTE DE CUISINES</t>
  </si>
  <si>
    <t>REMISES CLIENTS</t>
  </si>
  <si>
    <t>EFFECTIFS DE DIFFERENTS SITES DE PRODUCTION</t>
  </si>
  <si>
    <t>Les vendeurs de votre entreprise touchent une prime en fonction du nombre de ventes réalisées.
Calculez les primes.</t>
  </si>
  <si>
    <t>Vous attribuez des remises à vos clients en fonction de leur type d'activité.
En B4, sélectionner le type de client à l'aide d'une liste déroulante puis calculez le montant total net.</t>
  </si>
  <si>
    <t>A partir du choix du site sélectionné dans une liste déroulante, calculez en l'effectf.</t>
  </si>
  <si>
    <t>Comparaison des fonctions RECHERCHE() et SI()</t>
  </si>
  <si>
    <t>Code TVA</t>
  </si>
  <si>
    <t>VENDEUR</t>
  </si>
  <si>
    <t>MONTANT TOTAL</t>
  </si>
  <si>
    <t xml:space="preserve"> TOTAL HT</t>
  </si>
  <si>
    <t>TYPES CLIENTS</t>
  </si>
  <si>
    <t>TX REMISE</t>
  </si>
  <si>
    <t>AGEN</t>
  </si>
  <si>
    <t>ALBI</t>
  </si>
  <si>
    <t>AMIEN</t>
  </si>
  <si>
    <t>CAEN</t>
  </si>
  <si>
    <t>DIJON</t>
  </si>
  <si>
    <t>LILLE</t>
  </si>
  <si>
    <t>NANTES</t>
  </si>
  <si>
    <t>PERPIGNAN</t>
  </si>
  <si>
    <t>VANNES</t>
  </si>
  <si>
    <t>Taux TVA</t>
  </si>
  <si>
    <t>ALBERTI</t>
  </si>
  <si>
    <t>COMMERCANT</t>
  </si>
  <si>
    <t>EFFECTIFS</t>
  </si>
  <si>
    <t>BOUSSY</t>
  </si>
  <si>
    <t>TYPE CLIENT</t>
  </si>
  <si>
    <t>INDUSTRIEL</t>
  </si>
  <si>
    <t>Fonction SI</t>
  </si>
  <si>
    <t>CHANTET</t>
  </si>
  <si>
    <t>ARTISAN</t>
  </si>
  <si>
    <t>Ventes HT</t>
  </si>
  <si>
    <t>Montant TVA</t>
  </si>
  <si>
    <t>CORENTIN</t>
  </si>
  <si>
    <t>GROSSISTE</t>
  </si>
  <si>
    <t>SITE</t>
  </si>
  <si>
    <t>Produit 1</t>
  </si>
  <si>
    <t>COULONGE</t>
  </si>
  <si>
    <t>TOTAL NET</t>
  </si>
  <si>
    <t>IMPORTATEUR</t>
  </si>
  <si>
    <t>Produit 2</t>
  </si>
  <si>
    <t>DEWAERE</t>
  </si>
  <si>
    <t>Produit 3</t>
  </si>
  <si>
    <t>GAUDE</t>
  </si>
  <si>
    <t>EFFECTIF</t>
  </si>
  <si>
    <t>Produit 4</t>
  </si>
  <si>
    <t>IBANEZ</t>
  </si>
  <si>
    <t>Produit 5</t>
  </si>
  <si>
    <t>MARVEL</t>
  </si>
  <si>
    <t>Produit 6</t>
  </si>
  <si>
    <t>MOLINAS</t>
  </si>
  <si>
    <t>QUINTET</t>
  </si>
  <si>
    <t>SAUVAGE</t>
  </si>
  <si>
    <t>Fonction RECHERCHE</t>
  </si>
  <si>
    <t>SONDAZ</t>
  </si>
  <si>
    <t>VEYNAND</t>
  </si>
  <si>
    <t>Nbre de ventes</t>
  </si>
  <si>
    <t>Taux de prime</t>
  </si>
  <si>
    <t>Extraction d'une chaine de caractères</t>
  </si>
  <si>
    <t>Calcul de la position de départ d'une chaine</t>
  </si>
  <si>
    <t>A l'aide d'une formule, contaténez les données de la colonne B pour obtenir la phrase ci-dessous</t>
  </si>
  <si>
    <t>Séparer le nom et le prénom</t>
  </si>
  <si>
    <r>
      <t>Calcul d'adresse Email :</t>
    </r>
    <r>
      <rPr>
        <sz val="10"/>
        <color theme="4" tint="-0.249977111117893"/>
        <rFont val="Arial"/>
        <family val="2"/>
      </rPr>
      <t xml:space="preserve"> 1ière lettre prénom en minuscule "." nom en minuscule @eurotrans.com</t>
    </r>
  </si>
  <si>
    <t>Extraire, une chaîne de caractères d'une taille donnée à partir de la position précise.</t>
  </si>
  <si>
    <t>TEXTES</t>
  </si>
  <si>
    <t>CHAINE A CHERCHER</t>
  </si>
  <si>
    <t>POSITION DE DEPART</t>
  </si>
  <si>
    <t>NOM PRENOM</t>
  </si>
  <si>
    <t>PRENOM</t>
  </si>
  <si>
    <t>NOM</t>
  </si>
  <si>
    <t>MISE EN FORME</t>
  </si>
  <si>
    <t>FORME</t>
  </si>
  <si>
    <t>Nombre de vendeurs</t>
  </si>
  <si>
    <t>Thierry CORENTIN</t>
  </si>
  <si>
    <t>EMAIL</t>
  </si>
  <si>
    <t>Position</t>
  </si>
  <si>
    <t>FEUILLE DE CALCUL EXCEL</t>
  </si>
  <si>
    <t>CALC</t>
  </si>
  <si>
    <t>anne-catherine demange</t>
  </si>
  <si>
    <t>Thierry</t>
  </si>
  <si>
    <t>Taille</t>
  </si>
  <si>
    <t>FORMULES DE CALCUL</t>
  </si>
  <si>
    <t>LES</t>
  </si>
  <si>
    <t>TOTAL HT</t>
  </si>
  <si>
    <t>laura kieffer</t>
  </si>
  <si>
    <t>Anne-Catherine</t>
  </si>
  <si>
    <t>DEMANGE</t>
  </si>
  <si>
    <t>jean.88@gmail.com</t>
  </si>
  <si>
    <t>@</t>
  </si>
  <si>
    <t>COLETTE Chamard</t>
  </si>
  <si>
    <t>Laura</t>
  </si>
  <si>
    <t>KIEFFER</t>
  </si>
  <si>
    <t>mascaldumartin@yahoo.fr</t>
  </si>
  <si>
    <t>Date</t>
  </si>
  <si>
    <t>marie Gleyze</t>
  </si>
  <si>
    <t>Colette</t>
  </si>
  <si>
    <t>CHAMARD</t>
  </si>
  <si>
    <t>CCL-INDU-432</t>
  </si>
  <si>
    <t>FOURNITURES BOIS</t>
  </si>
  <si>
    <t>BOIS</t>
  </si>
  <si>
    <t>véronique moulin</t>
  </si>
  <si>
    <t>Marie</t>
  </si>
  <si>
    <t>GLEYZE</t>
  </si>
  <si>
    <t>CCL-PROF-433</t>
  </si>
  <si>
    <t>CAHIERS D'EXERCICES</t>
  </si>
  <si>
    <t>EXCEL</t>
  </si>
  <si>
    <t>Véronique</t>
  </si>
  <si>
    <t>MOULIN</t>
  </si>
  <si>
    <t>CCL-PART-834</t>
  </si>
  <si>
    <t>TOULOUZE</t>
  </si>
  <si>
    <t>CCL-PROF-435</t>
  </si>
  <si>
    <t>Lucile</t>
  </si>
  <si>
    <t>LAGRANGE</t>
  </si>
  <si>
    <t>CCL-PROF-436</t>
  </si>
  <si>
    <t>CCL-SERV-232</t>
  </si>
  <si>
    <t>CCL-PROF-438</t>
  </si>
  <si>
    <t>CCL-PROF-439</t>
  </si>
  <si>
    <t>CCL-PART-228</t>
  </si>
  <si>
    <t>CCL-PART-229</t>
  </si>
  <si>
    <t>Fonctions</t>
  </si>
  <si>
    <r>
      <t>=STXT(</t>
    </r>
    <r>
      <rPr>
        <sz val="18"/>
        <color rgb="FFFF0000"/>
        <rFont val="Calibri"/>
        <family val="2"/>
        <scheme val="minor"/>
      </rPr>
      <t>texte</t>
    </r>
    <r>
      <rPr>
        <sz val="18"/>
        <color theme="1"/>
        <rFont val="Calibri"/>
        <family val="2"/>
        <scheme val="minor"/>
      </rPr>
      <t>;</t>
    </r>
    <r>
      <rPr>
        <sz val="18"/>
        <color rgb="FF00B050"/>
        <rFont val="Calibri"/>
        <family val="2"/>
        <scheme val="minor"/>
      </rPr>
      <t>no_départ</t>
    </r>
    <r>
      <rPr>
        <sz val="18"/>
        <color theme="1"/>
        <rFont val="Calibri"/>
        <family val="2"/>
        <scheme val="minor"/>
      </rPr>
      <t>;</t>
    </r>
    <r>
      <rPr>
        <sz val="18"/>
        <color rgb="FF0070C0"/>
        <rFont val="Calibri"/>
        <family val="2"/>
        <scheme val="minor"/>
      </rPr>
      <t>no_car</t>
    </r>
    <r>
      <rPr>
        <sz val="18"/>
        <color theme="1"/>
        <rFont val="Calibri"/>
        <family val="2"/>
        <scheme val="minor"/>
      </rPr>
      <t>)</t>
    </r>
  </si>
  <si>
    <r>
      <t>Renvoie</t>
    </r>
    <r>
      <rPr>
        <sz val="16"/>
        <color rgb="FF0070C0"/>
        <rFont val="Calibri"/>
        <family val="2"/>
        <scheme val="minor"/>
      </rPr>
      <t xml:space="preserve"> un nombre déterminé de caractères</t>
    </r>
    <r>
      <rPr>
        <sz val="16"/>
        <color theme="1"/>
        <rFont val="Calibri"/>
        <family val="2"/>
        <scheme val="minor"/>
      </rPr>
      <t xml:space="preserve"> d'</t>
    </r>
    <r>
      <rPr>
        <sz val="16"/>
        <color rgb="FFFF0000"/>
        <rFont val="Calibri"/>
        <family val="2"/>
        <scheme val="minor"/>
      </rPr>
      <t xml:space="preserve">une chaine de texte </t>
    </r>
    <r>
      <rPr>
        <sz val="16"/>
        <color theme="1"/>
        <rFont val="Calibri"/>
        <family val="2"/>
        <scheme val="minor"/>
      </rPr>
      <t>à partir de la</t>
    </r>
    <r>
      <rPr>
        <sz val="16"/>
        <color rgb="FF00B050"/>
        <rFont val="Calibri"/>
        <family val="2"/>
        <scheme val="minor"/>
      </rPr>
      <t xml:space="preserve"> position</t>
    </r>
    <r>
      <rPr>
        <sz val="16"/>
        <color theme="1"/>
        <rFont val="Calibri"/>
        <family val="2"/>
        <scheme val="minor"/>
      </rPr>
      <t xml:space="preserve"> que vous indiquez</t>
    </r>
  </si>
  <si>
    <r>
      <t xml:space="preserve">Renvoie le numéro du caractère au niveau duquel est trouvé </t>
    </r>
    <r>
      <rPr>
        <sz val="16"/>
        <color rgb="FF00B050"/>
        <rFont val="Calibri"/>
        <family val="2"/>
        <scheme val="minor"/>
      </rPr>
      <t>un caractère ou le début d'une chaîne de caractères</t>
    </r>
    <r>
      <rPr>
        <sz val="16"/>
        <color theme="1"/>
        <rFont val="Calibri"/>
        <family val="2"/>
        <scheme val="minor"/>
      </rPr>
      <t>, en lisant de la gauche à droite (pas de distinction entre majuscule et minuscule)</t>
    </r>
  </si>
  <si>
    <r>
      <t>=CHERCHE(</t>
    </r>
    <r>
      <rPr>
        <sz val="18"/>
        <color rgb="FF00B050"/>
        <rFont val="Calibri"/>
        <family val="2"/>
        <scheme val="minor"/>
      </rPr>
      <t>texte_cherché</t>
    </r>
    <r>
      <rPr>
        <sz val="18"/>
        <color theme="1"/>
        <rFont val="Calibri"/>
        <family val="2"/>
        <scheme val="minor"/>
      </rPr>
      <t>;</t>
    </r>
    <r>
      <rPr>
        <sz val="18"/>
        <color rgb="FFFF0000"/>
        <rFont val="Calibri"/>
        <family val="2"/>
        <scheme val="minor"/>
      </rPr>
      <t>texte</t>
    </r>
    <r>
      <rPr>
        <sz val="18"/>
        <color theme="1"/>
        <rFont val="Calibri"/>
        <family val="2"/>
        <scheme val="minor"/>
      </rPr>
      <t>;</t>
    </r>
    <r>
      <rPr>
        <sz val="18"/>
        <color rgb="FF0070C0"/>
        <rFont val="Calibri"/>
        <family val="2"/>
        <scheme val="minor"/>
      </rPr>
      <t>no_départ</t>
    </r>
    <r>
      <rPr>
        <sz val="18"/>
        <color theme="1"/>
        <rFont val="Calibri"/>
        <family val="2"/>
        <scheme val="minor"/>
      </rPr>
      <t>)</t>
    </r>
  </si>
  <si>
    <t>=NBCAR(texte)</t>
  </si>
  <si>
    <t>Renvoie le nombre  de caractères contenus dans une chaine de texte.</t>
  </si>
  <si>
    <r>
      <t>=TEXTE(</t>
    </r>
    <r>
      <rPr>
        <sz val="18"/>
        <color rgb="FF00B050"/>
        <rFont val="Calibri"/>
        <family val="2"/>
        <scheme val="minor"/>
      </rPr>
      <t>Valeur</t>
    </r>
    <r>
      <rPr>
        <sz val="18"/>
        <color theme="1"/>
        <rFont val="Calibri"/>
        <family val="2"/>
        <scheme val="minor"/>
      </rPr>
      <t>;format_texte)</t>
    </r>
  </si>
  <si>
    <r>
      <t xml:space="preserve">Convertit un </t>
    </r>
    <r>
      <rPr>
        <sz val="16"/>
        <color rgb="FF00B050"/>
        <rFont val="Calibri"/>
        <family val="2"/>
        <scheme val="minor"/>
      </rPr>
      <t>nombre</t>
    </r>
    <r>
      <rPr>
        <sz val="16"/>
        <color theme="1"/>
        <rFont val="Calibri"/>
        <family val="2"/>
        <scheme val="minor"/>
      </rPr>
      <t xml:space="preserve"> en texte ("jjjj jj mmmm aaaa" pour écrire une date en toute lettre, ex: vendredi 11 janvier 2019)</t>
    </r>
  </si>
  <si>
    <t>=NOMPROPRE(texte)</t>
  </si>
  <si>
    <t>Met en majuscule la première lettre de chaque mot dans une chaîne de texte et met toutes les autres lettres en minuscules.</t>
  </si>
  <si>
    <t>=MAJUSCULE(texte)</t>
  </si>
  <si>
    <t>=MINUSCULE(texte)</t>
  </si>
  <si>
    <r>
      <t>=GAUCHE(</t>
    </r>
    <r>
      <rPr>
        <sz val="18"/>
        <color rgb="FF00B050"/>
        <rFont val="Calibri"/>
        <family val="2"/>
        <scheme val="minor"/>
      </rPr>
      <t>texte</t>
    </r>
    <r>
      <rPr>
        <sz val="18"/>
        <color theme="1"/>
        <rFont val="Calibri"/>
        <family val="2"/>
        <scheme val="minor"/>
      </rPr>
      <t>;</t>
    </r>
    <r>
      <rPr>
        <sz val="18"/>
        <color rgb="FFFF0000"/>
        <rFont val="Calibri"/>
        <family val="2"/>
        <scheme val="minor"/>
      </rPr>
      <t>no_car</t>
    </r>
    <r>
      <rPr>
        <sz val="18"/>
        <color theme="1"/>
        <rFont val="Calibri"/>
        <family val="2"/>
        <scheme val="minor"/>
      </rPr>
      <t>)</t>
    </r>
  </si>
  <si>
    <r>
      <t>Extrait les</t>
    </r>
    <r>
      <rPr>
        <sz val="16"/>
        <color rgb="FFFF0000"/>
        <rFont val="Calibri"/>
        <family val="2"/>
        <scheme val="minor"/>
      </rPr>
      <t xml:space="preserve"> n caractères</t>
    </r>
    <r>
      <rPr>
        <sz val="16"/>
        <color theme="1"/>
        <rFont val="Calibri"/>
        <family val="2"/>
        <scheme val="minor"/>
      </rPr>
      <t xml:space="preserve"> à l'extrême gauche d'une </t>
    </r>
    <r>
      <rPr>
        <sz val="16"/>
        <color rgb="FF00B050"/>
        <rFont val="Calibri"/>
        <family val="2"/>
        <scheme val="minor"/>
      </rPr>
      <t>chaîne de caractère de texte</t>
    </r>
    <r>
      <rPr>
        <sz val="16"/>
        <color theme="1"/>
        <rFont val="Calibri"/>
        <family val="2"/>
        <scheme val="minor"/>
      </rPr>
      <t>.</t>
    </r>
  </si>
  <si>
    <r>
      <t>=DROITE(</t>
    </r>
    <r>
      <rPr>
        <sz val="18"/>
        <color rgb="FF00B050"/>
        <rFont val="Calibri"/>
        <family val="2"/>
        <scheme val="minor"/>
      </rPr>
      <t>texte</t>
    </r>
    <r>
      <rPr>
        <sz val="18"/>
        <color theme="1"/>
        <rFont val="Calibri"/>
        <family val="2"/>
        <scheme val="minor"/>
      </rPr>
      <t>;</t>
    </r>
    <r>
      <rPr>
        <sz val="18"/>
        <color rgb="FFFF0000"/>
        <rFont val="Calibri"/>
        <family val="2"/>
        <scheme val="minor"/>
      </rPr>
      <t>no_car</t>
    </r>
    <r>
      <rPr>
        <sz val="18"/>
        <color theme="1"/>
        <rFont val="Calibri"/>
        <family val="2"/>
        <scheme val="minor"/>
      </rPr>
      <t>)</t>
    </r>
  </si>
  <si>
    <r>
      <t>Extrait les</t>
    </r>
    <r>
      <rPr>
        <sz val="16"/>
        <color rgb="FFFF0000"/>
        <rFont val="Calibri"/>
        <family val="2"/>
        <scheme val="minor"/>
      </rPr>
      <t xml:space="preserve"> n caractères</t>
    </r>
    <r>
      <rPr>
        <sz val="16"/>
        <color theme="1"/>
        <rFont val="Calibri"/>
        <family val="2"/>
        <scheme val="minor"/>
      </rPr>
      <t xml:space="preserve"> à l'extrême droite d'une </t>
    </r>
    <r>
      <rPr>
        <sz val="16"/>
        <color rgb="FF00B050"/>
        <rFont val="Calibri"/>
        <family val="2"/>
        <scheme val="minor"/>
      </rPr>
      <t>chaîne de caractère de texte</t>
    </r>
    <r>
      <rPr>
        <sz val="16"/>
        <color theme="1"/>
        <rFont val="Calibri"/>
        <family val="2"/>
        <scheme val="minor"/>
      </rPr>
      <t>.</t>
    </r>
  </si>
  <si>
    <t>FACTURE N°</t>
  </si>
  <si>
    <t>Pour ajouter ou modifier des noms de cellules ou plage de cellule / Onglet Formules / Noms définis / gestionnaire de noms</t>
  </si>
  <si>
    <t>TAUX TVA</t>
  </si>
  <si>
    <t>VENTES 2017</t>
  </si>
  <si>
    <t>CODE PRODUIT</t>
  </si>
  <si>
    <t>DESIGNATION</t>
  </si>
  <si>
    <t>PRIX</t>
  </si>
  <si>
    <t>QUANTITE</t>
  </si>
  <si>
    <t>LYON</t>
  </si>
  <si>
    <t>GAP</t>
  </si>
  <si>
    <t>PRODUITS</t>
  </si>
  <si>
    <t>VENTES (K€)</t>
  </si>
  <si>
    <t>BOISSONS</t>
  </si>
  <si>
    <t>ANNEE</t>
  </si>
  <si>
    <t>DROGUERIE</t>
  </si>
  <si>
    <t>LAITAGES</t>
  </si>
  <si>
    <t>TOTAUX</t>
  </si>
  <si>
    <t>POISSONS</t>
  </si>
  <si>
    <t>ANNECY</t>
  </si>
  <si>
    <t>SALADES</t>
  </si>
  <si>
    <t>TERRINES</t>
  </si>
  <si>
    <t>VETEMENTS</t>
  </si>
  <si>
    <t>VIANDES</t>
  </si>
  <si>
    <t>REIMS</t>
  </si>
  <si>
    <t>TVA</t>
  </si>
  <si>
    <t>TOTAL TTC</t>
  </si>
  <si>
    <t>ECHEANCE</t>
  </si>
  <si>
    <t>FONCTIONS DE DATES</t>
  </si>
  <si>
    <t>CALCUL SUR DATES</t>
  </si>
  <si>
    <t>CALCULS DIVERS</t>
  </si>
  <si>
    <t>DATE DU JOUR</t>
  </si>
  <si>
    <t>CALCULS DE DATES</t>
  </si>
  <si>
    <t>PLANNINGS HORAIRES</t>
  </si>
  <si>
    <t>CALCUL DU NOMBRE D'HEURES JOURNALIERES</t>
  </si>
  <si>
    <t>Aujourd'hui avec l'heure</t>
  </si>
  <si>
    <t>MOIS</t>
  </si>
  <si>
    <t>Aujourd'hui</t>
  </si>
  <si>
    <t>CHANTIER</t>
  </si>
  <si>
    <t>DATE DE DEBUT</t>
  </si>
  <si>
    <t>DATE DE FIN PREVUE</t>
  </si>
  <si>
    <t>DATE DE FIN REELLE</t>
  </si>
  <si>
    <t>TYPE</t>
  </si>
  <si>
    <t>ECART EN JOURS</t>
  </si>
  <si>
    <t>NE(E) LE</t>
  </si>
  <si>
    <t>EMBAUCHE(E) LE</t>
  </si>
  <si>
    <t>JOUR DE NAISSANCE</t>
  </si>
  <si>
    <t>AGE</t>
  </si>
  <si>
    <t>ANCIENNETE</t>
  </si>
  <si>
    <t>TOUTES LES 2 HEURES</t>
  </si>
  <si>
    <t>TOUTES LES HEURES</t>
  </si>
  <si>
    <t>TOUS LES 1/4 D'HEURE</t>
  </si>
  <si>
    <t>TOUTES LES 10 MINUTES</t>
  </si>
  <si>
    <t>Arrivée</t>
  </si>
  <si>
    <t>Départ</t>
  </si>
  <si>
    <t>Nb Heures</t>
  </si>
  <si>
    <t>A partir des la saisie de l'année et du numéro de mois, concevez un planning automatique. Faîtes apparaître sur fond bleu les lignes qui correspondent aux week end</t>
  </si>
  <si>
    <t>Vous souhaitez planifier des dates de maintenance sur vos machines tous les X mois. Si une maintenance se retrouve programmée un samedi ou un dimanche, elle doit être décalée au lundi suivant.</t>
  </si>
  <si>
    <t>Nombre de jours ouvrés</t>
  </si>
  <si>
    <t>LEPETIT</t>
  </si>
  <si>
    <t>LUNDI</t>
  </si>
  <si>
    <t>Mois de la date d'aujourd'hui</t>
  </si>
  <si>
    <t>LES MERISIERS</t>
  </si>
  <si>
    <t>DEBUT DU MOIS</t>
  </si>
  <si>
    <t>FIN DU MOIS</t>
  </si>
  <si>
    <t>MARDI</t>
  </si>
  <si>
    <t>ENTRE DEUX DATES</t>
  </si>
  <si>
    <t>Prochains Jours fériés en France</t>
  </si>
  <si>
    <t>Année en cours</t>
  </si>
  <si>
    <t>LE PLAN</t>
  </si>
  <si>
    <t>HENRY</t>
  </si>
  <si>
    <t>MERCREDI</t>
  </si>
  <si>
    <t>Client</t>
  </si>
  <si>
    <t>Responsable</t>
  </si>
  <si>
    <t>Date de début</t>
  </si>
  <si>
    <t>Jour de l'an</t>
  </si>
  <si>
    <t>ROUTE D 223</t>
  </si>
  <si>
    <t>MARCELIN</t>
  </si>
  <si>
    <t>JEUDI</t>
  </si>
  <si>
    <t>PREVISIONS DE MAINTENANCE</t>
  </si>
  <si>
    <t>Date de fin</t>
  </si>
  <si>
    <t>Lundi de Pâques</t>
  </si>
  <si>
    <t>N° du jour dans le mois</t>
  </si>
  <si>
    <t>RONT POINT 300</t>
  </si>
  <si>
    <t>31/11/2018</t>
  </si>
  <si>
    <t>PONS</t>
  </si>
  <si>
    <t>VENDREDI</t>
  </si>
  <si>
    <t>Fête du Travail</t>
  </si>
  <si>
    <t>RONT POINT 301</t>
  </si>
  <si>
    <t>CHEMIN</t>
  </si>
  <si>
    <t>SAMEDI</t>
  </si>
  <si>
    <t>Tous les</t>
  </si>
  <si>
    <t>mois</t>
  </si>
  <si>
    <t>Armistice 8 mai</t>
  </si>
  <si>
    <t>N° du jour dans la semaine</t>
  </si>
  <si>
    <t>RONT POINT 302</t>
  </si>
  <si>
    <t>total heures</t>
  </si>
  <si>
    <t>Jeudi de l'Ascension</t>
  </si>
  <si>
    <t>RONT POINT 303</t>
  </si>
  <si>
    <t>3/4 d'heure de pause déjeuner</t>
  </si>
  <si>
    <t>Lundi de Pentecôte</t>
  </si>
  <si>
    <t>POUR UNE ANNEE</t>
  </si>
  <si>
    <t>Fête Nationale</t>
  </si>
  <si>
    <t>Calculer une date à partir des jours, mois et années.</t>
  </si>
  <si>
    <t>attention au format de la cellule du total heure, comme le total dépasse 24h, il faut mettre en format personnalisé le type [h] :mm ;@</t>
  </si>
  <si>
    <t>dates maintenance</t>
  </si>
  <si>
    <t>Assomption</t>
  </si>
  <si>
    <t>JOUR</t>
  </si>
  <si>
    <t>En colonne K, inscrire "AVANCE" ou "RETARD" selon le cas et calculer en colonne L l'écart en nombre de jours</t>
  </si>
  <si>
    <t>La Toussaint</t>
  </si>
  <si>
    <t>Armistice</t>
  </si>
  <si>
    <t>Noël</t>
  </si>
  <si>
    <t>FIN DE TRAVAUX</t>
  </si>
  <si>
    <t>HEURE ACTUELLE (Nbre Entier)</t>
  </si>
  <si>
    <t>HEURE ACTUELLE (Format horaire)</t>
  </si>
  <si>
    <t>MINUTES ACTUELLES (Nbre entier)</t>
  </si>
  <si>
    <t>SECONDES ACTUELLES (Nbre entier)</t>
  </si>
  <si>
    <t>=MAINTENANT() : renvoie la date et l'heure du jour, sous la forme d'une date et d'une heure.</t>
  </si>
  <si>
    <t>=AUJOURDHUI() : renvoie la date du jour au format date</t>
  </si>
  <si>
    <t>=MOIS(cellule) : donne le mois, un nombre de 1 (janvier) à 12 (décembre)</t>
  </si>
  <si>
    <t>=ANNEE(cellule) : donne l'année un entier entre 1900 et 9999</t>
  </si>
  <si>
    <t>=JOUR(cellule) : donne le jour du mois (de 1 à 31)</t>
  </si>
  <si>
    <t>=JOURSEM(cellule;type_retour) : Renvoie un chiffre entre 1 et 7 désignant le jour de la semaine. 
          Type_retour est un nombre si dimanche=1 et samedi =7, utilisez 1
                                                         si lundi=1 et dimanche =7, utilisez 2,
                                                         si lundi=0 et dimmanche=6, utilisez 3....</t>
  </si>
  <si>
    <t>=DATE(année;mois;jour) : Renvoie un numéro qui représente la date dans un code de date et d'heure de Microsoft Excel. Peut se mettre au format date pour avoir une date</t>
  </si>
  <si>
    <t>=HEURE(cellule) : Renvoie l'heure, un nombre entier entre 0 (12:00 A.M.) et 23 (11:00 P.M.) ou une heure en format heure</t>
  </si>
  <si>
    <t>=MINUTE(cellule) : Renvoie les minutes, un nombre entier entre 0 et 60</t>
  </si>
  <si>
    <r>
      <t>=FIN.MOIS(date_de départ;</t>
    </r>
    <r>
      <rPr>
        <sz val="14"/>
        <color rgb="FF00B050"/>
        <rFont val="Calibri"/>
        <family val="2"/>
        <scheme val="minor"/>
      </rPr>
      <t>x</t>
    </r>
    <r>
      <rPr>
        <sz val="14"/>
        <color rgb="FFFF0000"/>
        <rFont val="Calibri"/>
        <family val="2"/>
        <scheme val="minor"/>
      </rPr>
      <t xml:space="preserve">) : Donne la date du dernier jour du mois; on peut déclaler de </t>
    </r>
    <r>
      <rPr>
        <sz val="14"/>
        <color rgb="FF00B050"/>
        <rFont val="Calibri"/>
        <family val="2"/>
        <scheme val="minor"/>
      </rPr>
      <t>x</t>
    </r>
    <r>
      <rPr>
        <sz val="14"/>
        <color rgb="FFFF0000"/>
        <rFont val="Calibri"/>
        <family val="2"/>
        <scheme val="minor"/>
      </rPr>
      <t xml:space="preserve"> mois (en &gt;0 ou &lt;0)</t>
    </r>
  </si>
  <si>
    <r>
      <t>=MOIS.DECALER(</t>
    </r>
    <r>
      <rPr>
        <sz val="14"/>
        <color rgb="FF00B0F0"/>
        <rFont val="Calibri"/>
        <family val="2"/>
        <scheme val="minor"/>
      </rPr>
      <t>date_départ</t>
    </r>
    <r>
      <rPr>
        <sz val="14"/>
        <color rgb="FFFF0000"/>
        <rFont val="Calibri"/>
        <family val="2"/>
        <scheme val="minor"/>
      </rPr>
      <t>;</t>
    </r>
    <r>
      <rPr>
        <sz val="14"/>
        <color rgb="FF00B050"/>
        <rFont val="Calibri"/>
        <family val="2"/>
        <scheme val="minor"/>
      </rPr>
      <t>Xmois</t>
    </r>
    <r>
      <rPr>
        <sz val="14"/>
        <color rgb="FFFF0000"/>
        <rFont val="Calibri"/>
        <family val="2"/>
        <scheme val="minor"/>
      </rPr>
      <t>) : Renvoie la date décalée de</t>
    </r>
    <r>
      <rPr>
        <sz val="14"/>
        <color rgb="FF00B050"/>
        <rFont val="Calibri"/>
        <family val="2"/>
        <scheme val="minor"/>
      </rPr>
      <t xml:space="preserve"> Xmois</t>
    </r>
    <r>
      <rPr>
        <sz val="14"/>
        <color rgb="FFFF0000"/>
        <rFont val="Calibri"/>
        <family val="2"/>
        <scheme val="minor"/>
      </rPr>
      <t xml:space="preserve"> dans le futur ou dans le passé à partir d'une </t>
    </r>
    <r>
      <rPr>
        <sz val="14"/>
        <color rgb="FF00B0F0"/>
        <rFont val="Calibri"/>
        <family val="2"/>
        <scheme val="minor"/>
      </rPr>
      <t>date de départ</t>
    </r>
  </si>
  <si>
    <t>=NB.JOURS.OUVRES(date_départ;date_fin;jours_fériés) : Renvoie le nombre de jours ouvrés compris entre deux dates.</t>
  </si>
  <si>
    <r>
      <t>=SERIE.JOUR.OUVRE(</t>
    </r>
    <r>
      <rPr>
        <sz val="14"/>
        <color rgb="FF00B050"/>
        <rFont val="Calibri"/>
        <family val="2"/>
        <scheme val="minor"/>
      </rPr>
      <t>date_départ</t>
    </r>
    <r>
      <rPr>
        <sz val="14"/>
        <color rgb="FFFF0000"/>
        <rFont val="Calibri"/>
        <family val="2"/>
        <scheme val="minor"/>
      </rPr>
      <t>;</t>
    </r>
    <r>
      <rPr>
        <sz val="14"/>
        <color rgb="FF00B0F0"/>
        <rFont val="Calibri"/>
        <family val="2"/>
        <scheme val="minor"/>
      </rPr>
      <t>nb_jours</t>
    </r>
    <r>
      <rPr>
        <sz val="14"/>
        <color rgb="FFFF0000"/>
        <rFont val="Calibri"/>
        <family val="2"/>
        <scheme val="minor"/>
      </rPr>
      <t>;jours_fériés) : Renvoie la date située à un</t>
    </r>
    <r>
      <rPr>
        <sz val="14"/>
        <color rgb="FF00B0F0"/>
        <rFont val="Calibri"/>
        <family val="2"/>
        <scheme val="minor"/>
      </rPr>
      <t xml:space="preserve"> nombre de jours ouvrés</t>
    </r>
    <r>
      <rPr>
        <sz val="14"/>
        <color rgb="FFFF0000"/>
        <rFont val="Calibri"/>
        <family val="2"/>
        <scheme val="minor"/>
      </rPr>
      <t xml:space="preserve"> avant ou après une </t>
    </r>
    <r>
      <rPr>
        <sz val="14"/>
        <color rgb="FF00B050"/>
        <rFont val="Calibri"/>
        <family val="2"/>
        <scheme val="minor"/>
      </rPr>
      <t>date de départ donnée</t>
    </r>
    <r>
      <rPr>
        <sz val="14"/>
        <color rgb="FFFF0000"/>
        <rFont val="Calibri"/>
        <family val="2"/>
        <scheme val="minor"/>
      </rPr>
      <t>)</t>
    </r>
  </si>
  <si>
    <t xml:space="preserve">Fonction RECHERCHEV, RECHERCHEH,                             </t>
  </si>
  <si>
    <t>Fonction INDEX</t>
  </si>
  <si>
    <t>PRIME EN FONCTION DE L'ANCIENNETE ET DE LA NOTE D'EVALUATION</t>
  </si>
  <si>
    <t>NOTE D'EVALUATION DU SALARIE</t>
  </si>
  <si>
    <t>COUTS DE LIVRAISONS</t>
  </si>
  <si>
    <t>MACON</t>
  </si>
  <si>
    <t>MULHOUSE</t>
  </si>
  <si>
    <t>PARIS</t>
  </si>
  <si>
    <t>VALENCE</t>
  </si>
  <si>
    <t>J+6</t>
  </si>
  <si>
    <t>J+5</t>
  </si>
  <si>
    <t>J+4</t>
  </si>
  <si>
    <t>J+3</t>
  </si>
  <si>
    <t>J+2</t>
  </si>
  <si>
    <t>J+1</t>
  </si>
  <si>
    <t xml:space="preserve"> liste déroulantes : Données/Outils de données/Validation des données/Liste</t>
  </si>
  <si>
    <t>DELAI DE LIVRAISON</t>
  </si>
  <si>
    <t>SITE LOGISTIQUE</t>
  </si>
  <si>
    <t>COUT TOTAL</t>
  </si>
  <si>
    <t>Données/Plan/Sous total ou Grouper</t>
  </si>
  <si>
    <t>Enregistrement des vues : Affichage/Modes d'affichage/Personnalisé</t>
  </si>
  <si>
    <t>alimentaire</t>
  </si>
  <si>
    <t>Total alimentaire</t>
  </si>
  <si>
    <t>assurance</t>
  </si>
  <si>
    <t>Total assurance</t>
  </si>
  <si>
    <t>téléphonie/internet</t>
  </si>
  <si>
    <t>Total téléphonie/internet</t>
  </si>
  <si>
    <t>voiture</t>
  </si>
  <si>
    <t>Total voiture</t>
  </si>
  <si>
    <t>Total général</t>
  </si>
  <si>
    <t>Données/Outils de données/Consolider</t>
  </si>
  <si>
    <t>FAMILLES CONTRATS</t>
  </si>
  <si>
    <t>NBRE DE CONTRATS</t>
  </si>
  <si>
    <t>MADELIN</t>
  </si>
  <si>
    <t>PERCO</t>
  </si>
  <si>
    <t>OPCI</t>
  </si>
  <si>
    <t>PEL</t>
  </si>
  <si>
    <t>LMNP</t>
  </si>
  <si>
    <t>PERP</t>
  </si>
  <si>
    <t>NOMBRE D'INTERVENTIONS</t>
  </si>
  <si>
    <t>ADMINISTRATION</t>
  </si>
  <si>
    <t>AERONAUTIQUE</t>
  </si>
  <si>
    <t>AGROALIMENTAIRE</t>
  </si>
  <si>
    <t>AUTOMOBILE</t>
  </si>
  <si>
    <t>BTP</t>
  </si>
  <si>
    <t>CONSTRUCTION NAVALE</t>
  </si>
  <si>
    <t>SANTE</t>
  </si>
  <si>
    <t>SERVICE</t>
  </si>
  <si>
    <t>MOYENNE D'INTERVENTIONS par trimestre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</si>
</sst>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6" formatCode="#,##0\ &quot;€&quot;;[Red]\-#,##0\ &quot;€&quot;"/>
    <numFmt numFmtId="44" formatCode="_-* #,##0.00\ &quot;€&quot;_-;\-* #,##0.00\ &quot;€&quot;_-;_-* &quot;-&quot;??\ &quot;€&quot;_-;_-@_-"/>
    <numFmt numFmtId="164" formatCode="_-* #,##0.00\ _€_-;\-* #,##0.00\ _€_-;_-* &quot;-&quot;??\ _€_-;_-@_-"/>
    <numFmt numFmtId="165" formatCode="_-* #,##0.00\ [$€-1]_-;\-* #,##0.00\ [$€-1]_-;_-* &quot;-&quot;??\ [$€-1]_-"/>
    <numFmt numFmtId="166" formatCode="_-* #,##0\ _€_-;\-* #,##0\ _€_-;_-* &quot;-&quot;??\ _€_-;_-@_-"/>
    <numFmt numFmtId="167" formatCode="_-* #,##0\ &quot;€&quot;_-;\-* #,##0\ &quot;€&quot;_-;_-* &quot;-&quot;??\ &quot;€&quot;_-;_-@_-"/>
    <numFmt numFmtId="168" formatCode="_-* #,##0\ [$€-1]_-;\-* #,##0\ [$€-1]_-;_-* &quot;-&quot;??\ [$€-1]_-"/>
    <numFmt numFmtId="169" formatCode="#,##0&quot; &quot;\ \k&quot;€&quot;"/>
    <numFmt numFmtId="170" formatCode="0.0%"/>
    <numFmt numFmtId="171" formatCode="\+#,##0;\-#,##0"/>
    <numFmt numFmtId="172" formatCode="#,##0.00\ &quot;€&quot;"/>
    <numFmt numFmtId="173" formatCode="dd/mm/yy;@"/>
    <numFmt numFmtId="174" formatCode="dddd"/>
    <numFmt numFmtId="175" formatCode="[$-F800]dddd\,\ mmmm\ dd\,\ yyyy"/>
    <numFmt numFmtId="176" formatCode="h:mm;@"/>
  </numFmts>
  <fonts count="82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rgb="FF3F3F76"/>
      <name val="Calibri"/>
      <family val="2"/>
      <scheme val="minor"/>
    </font>
    <font>
      <b/>
      <sz val="20"/>
      <name val="Arial"/>
      <family val="2"/>
    </font>
    <font>
      <sz val="11"/>
      <color theme="1"/>
      <name val="Calibri"/>
      <family val="2"/>
    </font>
    <font>
      <sz val="11"/>
      <color theme="1"/>
      <name val="Symbol"/>
      <family val="1"/>
      <charset val="2"/>
    </font>
    <font>
      <sz val="14"/>
      <color theme="4" tint="-0.249977111117893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sz val="10"/>
      <color rgb="FF0070C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color rgb="FF00B05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rgb="FFFF0000"/>
      <name val="Wingdings"/>
      <charset val="2"/>
    </font>
    <font>
      <b/>
      <sz val="14.55"/>
      <color rgb="FFFF0000"/>
      <name val="Calibri"/>
      <family val="2"/>
    </font>
    <font>
      <b/>
      <sz val="12"/>
      <color rgb="FFFF0000"/>
      <name val="Wingdings"/>
      <charset val="2"/>
    </font>
    <font>
      <b/>
      <sz val="13.9"/>
      <color rgb="FFFF0000"/>
      <name val="Calibri"/>
      <family val="2"/>
    </font>
    <font>
      <b/>
      <sz val="12"/>
      <color rgb="FFFF0000"/>
      <name val="Calibri"/>
      <family val="2"/>
      <charset val="2"/>
      <scheme val="minor"/>
    </font>
    <font>
      <b/>
      <sz val="14"/>
      <color rgb="FFFF0000"/>
      <name val="Calibri"/>
      <family val="2"/>
      <charset val="2"/>
      <scheme val="minor"/>
    </font>
    <font>
      <b/>
      <sz val="14"/>
      <color rgb="FFFF0000"/>
      <name val="Calibri"/>
      <family val="2"/>
    </font>
    <font>
      <b/>
      <sz val="14"/>
      <color rgb="FFFF0000"/>
      <name val="Calibri"/>
      <family val="2"/>
      <charset val="2"/>
    </font>
    <font>
      <b/>
      <sz val="18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3"/>
      <name val="Century Gothic"/>
      <family val="2"/>
    </font>
    <font>
      <sz val="12"/>
      <color theme="3"/>
      <name val="Wingdings"/>
      <charset val="2"/>
    </font>
    <font>
      <b/>
      <sz val="11"/>
      <color theme="5" tint="-0.249977111117893"/>
      <name val="Century Gothic"/>
      <family val="2"/>
    </font>
    <font>
      <b/>
      <sz val="11"/>
      <color theme="1"/>
      <name val="Century Gothic"/>
      <family val="2"/>
    </font>
    <font>
      <b/>
      <sz val="22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4" tint="-0.249977111117893"/>
      <name val="Arial"/>
      <family val="2"/>
    </font>
    <font>
      <sz val="10"/>
      <color theme="4" tint="-0.249977111117893"/>
      <name val="Arial"/>
      <family val="2"/>
    </font>
    <font>
      <sz val="9"/>
      <name val="Helv"/>
    </font>
    <font>
      <b/>
      <i/>
      <sz val="10"/>
      <color theme="8" tint="-0.249977111117893"/>
      <name val="Arial"/>
      <family val="2"/>
    </font>
    <font>
      <sz val="9"/>
      <name val="Arial"/>
      <family val="2"/>
    </font>
    <font>
      <sz val="10"/>
      <color indexed="9"/>
      <name val="Arial"/>
      <family val="2"/>
    </font>
    <font>
      <sz val="10"/>
      <name val="Helv"/>
    </font>
    <font>
      <u/>
      <sz val="11"/>
      <color theme="10"/>
      <name val="Calibri"/>
      <family val="2"/>
      <scheme val="minor"/>
    </font>
    <font>
      <b/>
      <sz val="11"/>
      <color theme="4" tint="-0.249977111117893"/>
      <name val="Arial"/>
      <family val="2"/>
    </font>
    <font>
      <b/>
      <sz val="10"/>
      <color theme="4" tint="-0.249977111117893"/>
      <name val="Calibri"/>
      <family val="2"/>
      <scheme val="minor"/>
    </font>
    <font>
      <b/>
      <sz val="10"/>
      <color theme="0"/>
      <name val="Arial"/>
      <family val="2"/>
    </font>
    <font>
      <sz val="10"/>
      <name val="Tahoma"/>
      <family val="2"/>
    </font>
    <font>
      <sz val="18"/>
      <color theme="1"/>
      <name val="Calibri"/>
      <family val="2"/>
      <scheme val="minor"/>
    </font>
    <font>
      <sz val="18"/>
      <color rgb="FFFF0000"/>
      <name val="Calibri"/>
      <family val="2"/>
      <scheme val="minor"/>
    </font>
    <font>
      <sz val="18"/>
      <color rgb="FF00B050"/>
      <name val="Calibri"/>
      <family val="2"/>
      <scheme val="minor"/>
    </font>
    <font>
      <sz val="18"/>
      <color rgb="FF0070C0"/>
      <name val="Calibri"/>
      <family val="2"/>
      <scheme val="minor"/>
    </font>
    <font>
      <sz val="16"/>
      <color rgb="FF0070C0"/>
      <name val="Calibri"/>
      <family val="2"/>
      <scheme val="minor"/>
    </font>
    <font>
      <sz val="16"/>
      <color rgb="FFFF0000"/>
      <name val="Calibri"/>
      <family val="2"/>
      <scheme val="minor"/>
    </font>
    <font>
      <sz val="16"/>
      <color rgb="FF00B050"/>
      <name val="Calibri"/>
      <family val="2"/>
      <scheme val="minor"/>
    </font>
    <font>
      <b/>
      <sz val="12"/>
      <name val="Arial"/>
      <family val="2"/>
    </font>
    <font>
      <sz val="14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00B050"/>
      <name val="Calibri"/>
      <family val="2"/>
      <scheme val="minor"/>
    </font>
    <font>
      <sz val="14"/>
      <color rgb="FF00B0F0"/>
      <name val="Calibri"/>
      <family val="2"/>
      <scheme val="minor"/>
    </font>
    <font>
      <b/>
      <sz val="10"/>
      <color rgb="FF0070C0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8" tint="0.79998168889431442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8" tint="0.39997558519241921"/>
        <bgColor theme="4" tint="0.79998168889431442"/>
      </patternFill>
    </fill>
    <fill>
      <patternFill patternType="solid">
        <fgColor theme="8" tint="-0.249977111117893"/>
        <bgColor theme="4" tint="0.79998168889431442"/>
      </patternFill>
    </fill>
  </fills>
  <borders count="8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rgb="FF0070C0"/>
      </left>
      <right style="thick">
        <color rgb="FF0070C0"/>
      </right>
      <top style="thick">
        <color rgb="FF0070C0"/>
      </top>
      <bottom style="thick">
        <color rgb="FF0070C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/>
      <top style="thin">
        <color theme="4" tint="-0.24994659260841701"/>
      </top>
      <bottom style="thin">
        <color theme="4" tint="-0.24994659260841701"/>
      </bottom>
      <diagonal/>
    </border>
    <border>
      <left/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medium">
        <color indexed="64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 style="thin">
        <color rgb="FF7F7F7F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thin">
        <color rgb="FF7F7F7F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rgb="FF0070C0"/>
      </right>
      <top/>
      <bottom/>
      <diagonal/>
    </border>
    <border>
      <left style="medium">
        <color rgb="FF0070C0"/>
      </left>
      <right/>
      <top style="medium">
        <color rgb="FF0070C0"/>
      </top>
      <bottom style="medium">
        <color rgb="FF0070C0"/>
      </bottom>
      <diagonal/>
    </border>
    <border>
      <left/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 style="thick">
        <color rgb="FF0070C0"/>
      </left>
      <right style="thin">
        <color indexed="64"/>
      </right>
      <top style="thick">
        <color rgb="FF0070C0"/>
      </top>
      <bottom/>
      <diagonal/>
    </border>
    <border>
      <left style="thin">
        <color indexed="64"/>
      </left>
      <right style="thin">
        <color indexed="64"/>
      </right>
      <top style="thick">
        <color rgb="FF0070C0"/>
      </top>
      <bottom/>
      <diagonal/>
    </border>
    <border>
      <left style="thin">
        <color indexed="64"/>
      </left>
      <right style="thick">
        <color rgb="FF0070C0"/>
      </right>
      <top style="thick">
        <color rgb="FF0070C0"/>
      </top>
      <bottom/>
      <diagonal/>
    </border>
    <border>
      <left style="thick">
        <color rgb="FF0070C0"/>
      </left>
      <right style="thick">
        <color rgb="FF0070C0"/>
      </right>
      <top style="thick">
        <color rgb="FF0070C0"/>
      </top>
      <bottom/>
      <diagonal/>
    </border>
    <border>
      <left style="medium">
        <color rgb="FF0070C0"/>
      </left>
      <right/>
      <top style="medium">
        <color rgb="FF0070C0"/>
      </top>
      <bottom style="thin">
        <color indexed="64"/>
      </bottom>
      <diagonal/>
    </border>
    <border>
      <left/>
      <right style="medium">
        <color rgb="FF0070C0"/>
      </right>
      <top style="medium">
        <color rgb="FF0070C0"/>
      </top>
      <bottom style="thin">
        <color indexed="64"/>
      </bottom>
      <diagonal/>
    </border>
    <border>
      <left style="thick">
        <color rgb="FF0070C0"/>
      </left>
      <right style="thin">
        <color indexed="64"/>
      </right>
      <top/>
      <bottom/>
      <diagonal/>
    </border>
    <border>
      <left style="thin">
        <color indexed="64"/>
      </left>
      <right style="thick">
        <color rgb="FF0070C0"/>
      </right>
      <top/>
      <bottom/>
      <diagonal/>
    </border>
    <border>
      <left style="thick">
        <color rgb="FF0070C0"/>
      </left>
      <right style="thick">
        <color rgb="FF0070C0"/>
      </right>
      <top/>
      <bottom style="thick">
        <color rgb="FF0070C0"/>
      </bottom>
      <diagonal/>
    </border>
    <border>
      <left style="medium">
        <color rgb="FF0070C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70C0"/>
      </right>
      <top style="thin">
        <color indexed="64"/>
      </top>
      <bottom style="thin">
        <color indexed="64"/>
      </bottom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 style="thin">
        <color indexed="64"/>
      </right>
      <top style="thin">
        <color indexed="64"/>
      </top>
      <bottom style="medium">
        <color rgb="FF0070C0"/>
      </bottom>
      <diagonal/>
    </border>
    <border>
      <left style="thin">
        <color indexed="64"/>
      </left>
      <right style="medium">
        <color rgb="FF0070C0"/>
      </right>
      <top style="thin">
        <color indexed="64"/>
      </top>
      <bottom style="medium">
        <color rgb="FF0070C0"/>
      </bottom>
      <diagonal/>
    </border>
    <border>
      <left style="thick">
        <color rgb="FF0070C0"/>
      </left>
      <right style="thin">
        <color indexed="64"/>
      </right>
      <top/>
      <bottom style="thick">
        <color rgb="FF0070C0"/>
      </bottom>
      <diagonal/>
    </border>
    <border>
      <left style="thin">
        <color indexed="64"/>
      </left>
      <right style="thin">
        <color indexed="64"/>
      </right>
      <top/>
      <bottom style="thick">
        <color rgb="FF0070C0"/>
      </bottom>
      <diagonal/>
    </border>
    <border>
      <left style="thin">
        <color indexed="64"/>
      </left>
      <right style="thick">
        <color rgb="FF0070C0"/>
      </right>
      <top/>
      <bottom style="thick">
        <color rgb="FF0070C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0">
    <xf numFmtId="0" fontId="0" fillId="0" borderId="0"/>
    <xf numFmtId="0" fontId="1" fillId="2" borderId="1" applyNumberFormat="0" applyAlignment="0" applyProtection="0"/>
    <xf numFmtId="16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5" fillId="0" borderId="0"/>
    <xf numFmtId="0" fontId="59" fillId="0" borderId="0"/>
    <xf numFmtId="0" fontId="60" fillId="0" borderId="0" applyNumberFormat="0" applyFill="0" applyBorder="0" applyAlignment="0" applyProtection="0"/>
  </cellStyleXfs>
  <cellXfs count="573">
    <xf numFmtId="0" fontId="0" fillId="0" borderId="0" xfId="0"/>
    <xf numFmtId="0" fontId="0" fillId="0" borderId="0" xfId="0" applyAlignment="1">
      <alignment horizontal="center"/>
    </xf>
    <xf numFmtId="0" fontId="1" fillId="2" borderId="3" xfId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4" fillId="0" borderId="0" xfId="4"/>
    <xf numFmtId="0" fontId="5" fillId="0" borderId="4" xfId="4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4" fillId="0" borderId="4" xfId="4" applyBorder="1"/>
    <xf numFmtId="0" fontId="4" fillId="0" borderId="4" xfId="4" applyBorder="1" applyAlignment="1">
      <alignment horizontal="left"/>
    </xf>
    <xf numFmtId="165" fontId="0" fillId="0" borderId="4" xfId="5" applyFont="1" applyBorder="1" applyAlignment="1">
      <alignment horizontal="center"/>
    </xf>
    <xf numFmtId="166" fontId="0" fillId="0" borderId="4" xfId="2" applyNumberFormat="1" applyFont="1" applyBorder="1"/>
    <xf numFmtId="0" fontId="6" fillId="2" borderId="1" xfId="1" applyFont="1" applyAlignment="1">
      <alignment horizontal="center"/>
    </xf>
    <xf numFmtId="0" fontId="6" fillId="2" borderId="2" xfId="1" applyFont="1" applyBorder="1" applyAlignment="1">
      <alignment horizontal="center"/>
    </xf>
    <xf numFmtId="0" fontId="6" fillId="2" borderId="2" xfId="1" applyFont="1" applyBorder="1" applyAlignment="1">
      <alignment horizontal="center" wrapText="1"/>
    </xf>
    <xf numFmtId="0" fontId="3" fillId="0" borderId="0" xfId="0" applyFont="1"/>
    <xf numFmtId="0" fontId="0" fillId="0" borderId="4" xfId="0" applyBorder="1"/>
    <xf numFmtId="0" fontId="0" fillId="0" borderId="0" xfId="0" applyAlignment="1">
      <alignment wrapText="1"/>
    </xf>
    <xf numFmtId="0" fontId="0" fillId="4" borderId="0" xfId="0" applyFill="1"/>
    <xf numFmtId="0" fontId="5" fillId="0" borderId="0" xfId="4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66" fontId="0" fillId="0" borderId="0" xfId="2" applyNumberFormat="1" applyFont="1"/>
    <xf numFmtId="0" fontId="5" fillId="4" borderId="0" xfId="4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 wrapText="1"/>
    </xf>
    <xf numFmtId="166" fontId="0" fillId="4" borderId="0" xfId="2" applyNumberFormat="1" applyFont="1" applyFill="1"/>
    <xf numFmtId="0" fontId="0" fillId="0" borderId="0" xfId="0" quotePrefix="1"/>
    <xf numFmtId="0" fontId="0" fillId="5" borderId="0" xfId="0" applyFill="1"/>
    <xf numFmtId="0" fontId="0" fillId="0" borderId="5" xfId="0" applyBorder="1" applyAlignment="1">
      <alignment horizontal="center"/>
    </xf>
    <xf numFmtId="167" fontId="0" fillId="0" borderId="10" xfId="3" applyNumberFormat="1" applyFont="1" applyBorder="1" applyAlignment="1">
      <alignment horizontal="center"/>
    </xf>
    <xf numFmtId="167" fontId="0" fillId="0" borderId="11" xfId="0" applyNumberFormat="1" applyBorder="1" applyAlignment="1">
      <alignment horizontal="center"/>
    </xf>
    <xf numFmtId="44" fontId="0" fillId="0" borderId="0" xfId="0" applyNumberFormat="1"/>
    <xf numFmtId="0" fontId="0" fillId="0" borderId="8" xfId="0" applyBorder="1" applyAlignment="1">
      <alignment horizontal="center"/>
    </xf>
    <xf numFmtId="167" fontId="0" fillId="0" borderId="4" xfId="3" applyNumberFormat="1" applyFont="1" applyBorder="1" applyAlignment="1">
      <alignment horizontal="center"/>
    </xf>
    <xf numFmtId="0" fontId="0" fillId="0" borderId="10" xfId="0" applyBorder="1" applyAlignment="1">
      <alignment horizontal="center"/>
    </xf>
    <xf numFmtId="167" fontId="0" fillId="0" borderId="11" xfId="3" applyNumberFormat="1" applyFont="1" applyBorder="1" applyAlignment="1">
      <alignment horizontal="center"/>
    </xf>
    <xf numFmtId="0" fontId="0" fillId="0" borderId="4" xfId="0" applyBorder="1" applyAlignment="1">
      <alignment horizontal="center" vertical="center"/>
    </xf>
    <xf numFmtId="44" fontId="0" fillId="6" borderId="4" xfId="3" applyFont="1" applyFill="1" applyBorder="1"/>
    <xf numFmtId="167" fontId="0" fillId="0" borderId="4" xfId="3" applyNumberFormat="1" applyFont="1" applyBorder="1"/>
    <xf numFmtId="0" fontId="0" fillId="0" borderId="0" xfId="0" applyAlignment="1">
      <alignment horizontal="center" vertical="center"/>
    </xf>
    <xf numFmtId="0" fontId="0" fillId="6" borderId="4" xfId="0" applyFill="1" applyBorder="1" applyAlignment="1">
      <alignment horizontal="center"/>
    </xf>
    <xf numFmtId="0" fontId="12" fillId="0" borderId="0" xfId="0" applyFont="1" applyAlignment="1">
      <alignment horizontal="left" wrapText="1"/>
    </xf>
    <xf numFmtId="0" fontId="0" fillId="0" borderId="0" xfId="0" applyAlignment="1">
      <alignment horizontal="center" vertical="center" wrapText="1"/>
    </xf>
    <xf numFmtId="14" fontId="0" fillId="0" borderId="4" xfId="0" applyNumberFormat="1" applyBorder="1"/>
    <xf numFmtId="0" fontId="0" fillId="6" borderId="4" xfId="0" applyFill="1" applyBorder="1"/>
    <xf numFmtId="0" fontId="0" fillId="0" borderId="4" xfId="0" applyBorder="1" applyAlignment="1">
      <alignment horizontal="center"/>
    </xf>
    <xf numFmtId="14" fontId="4" fillId="0" borderId="13" xfId="4" applyNumberFormat="1" applyBorder="1"/>
    <xf numFmtId="166" fontId="4" fillId="0" borderId="13" xfId="2" applyNumberFormat="1" applyFont="1" applyBorder="1"/>
    <xf numFmtId="0" fontId="4" fillId="0" borderId="13" xfId="4" applyBorder="1" applyAlignment="1">
      <alignment horizontal="center"/>
    </xf>
    <xf numFmtId="165" fontId="13" fillId="7" borderId="14" xfId="5" applyFont="1" applyFill="1" applyBorder="1"/>
    <xf numFmtId="14" fontId="4" fillId="0" borderId="14" xfId="4" applyNumberFormat="1" applyBorder="1"/>
    <xf numFmtId="166" fontId="4" fillId="0" borderId="14" xfId="2" applyNumberFormat="1" applyFont="1" applyBorder="1"/>
    <xf numFmtId="0" fontId="4" fillId="0" borderId="14" xfId="4" applyBorder="1" applyAlignment="1">
      <alignment horizontal="center"/>
    </xf>
    <xf numFmtId="14" fontId="4" fillId="0" borderId="15" xfId="4" applyNumberFormat="1" applyBorder="1"/>
    <xf numFmtId="166" fontId="4" fillId="0" borderId="15" xfId="2" applyNumberFormat="1" applyFont="1" applyBorder="1"/>
    <xf numFmtId="0" fontId="4" fillId="0" borderId="15" xfId="4" applyBorder="1" applyAlignment="1">
      <alignment horizontal="center"/>
    </xf>
    <xf numFmtId="44" fontId="14" fillId="6" borderId="4" xfId="4" applyNumberFormat="1" applyFont="1" applyFill="1" applyBorder="1"/>
    <xf numFmtId="0" fontId="3" fillId="0" borderId="0" xfId="0" applyFont="1" applyAlignment="1">
      <alignment horizontal="center"/>
    </xf>
    <xf numFmtId="0" fontId="12" fillId="5" borderId="0" xfId="0" applyFont="1" applyFill="1" applyAlignment="1">
      <alignment horizontal="left" wrapText="1"/>
    </xf>
    <xf numFmtId="0" fontId="0" fillId="5" borderId="0" xfId="0" applyFill="1" applyAlignment="1">
      <alignment horizontal="center" vertical="center" wrapText="1"/>
    </xf>
    <xf numFmtId="0" fontId="3" fillId="5" borderId="0" xfId="0" applyFont="1" applyFill="1" applyAlignment="1">
      <alignment horizontal="center"/>
    </xf>
    <xf numFmtId="168" fontId="0" fillId="0" borderId="13" xfId="5" applyNumberFormat="1" applyFont="1" applyBorder="1"/>
    <xf numFmtId="168" fontId="0" fillId="0" borderId="14" xfId="5" applyNumberFormat="1" applyFont="1" applyBorder="1"/>
    <xf numFmtId="168" fontId="0" fillId="0" borderId="15" xfId="5" applyNumberFormat="1" applyFont="1" applyBorder="1"/>
    <xf numFmtId="0" fontId="3" fillId="0" borderId="0" xfId="0" quotePrefix="1" applyFont="1" applyAlignment="1">
      <alignment wrapText="1"/>
    </xf>
    <xf numFmtId="44" fontId="0" fillId="6" borderId="4" xfId="3" applyFont="1" applyFill="1" applyBorder="1" applyAlignment="1">
      <alignment horizontal="center"/>
    </xf>
    <xf numFmtId="0" fontId="12" fillId="0" borderId="0" xfId="0" applyFont="1" applyAlignment="1">
      <alignment wrapText="1"/>
    </xf>
    <xf numFmtId="0" fontId="0" fillId="8" borderId="0" xfId="0" applyFill="1"/>
    <xf numFmtId="0" fontId="16" fillId="0" borderId="14" xfId="4" applyFont="1" applyBorder="1"/>
    <xf numFmtId="0" fontId="16" fillId="0" borderId="15" xfId="4" applyFont="1" applyBorder="1"/>
    <xf numFmtId="167" fontId="16" fillId="0" borderId="14" xfId="3" applyNumberFormat="1" applyFont="1" applyBorder="1"/>
    <xf numFmtId="167" fontId="16" fillId="9" borderId="14" xfId="3" applyNumberFormat="1" applyFont="1" applyFill="1" applyBorder="1"/>
    <xf numFmtId="167" fontId="16" fillId="9" borderId="4" xfId="3" applyNumberFormat="1" applyFont="1" applyFill="1" applyBorder="1"/>
    <xf numFmtId="0" fontId="16" fillId="0" borderId="13" xfId="4" applyFont="1" applyBorder="1"/>
    <xf numFmtId="167" fontId="16" fillId="0" borderId="13" xfId="3" applyNumberFormat="1" applyFont="1" applyBorder="1"/>
    <xf numFmtId="167" fontId="16" fillId="0" borderId="15" xfId="3" applyNumberFormat="1" applyFont="1" applyBorder="1"/>
    <xf numFmtId="0" fontId="3" fillId="8" borderId="0" xfId="0" quotePrefix="1" applyFont="1" applyFill="1" applyAlignment="1">
      <alignment wrapText="1"/>
    </xf>
    <xf numFmtId="0" fontId="0" fillId="8" borderId="0" xfId="0" applyFill="1" applyAlignment="1">
      <alignment wrapText="1"/>
    </xf>
    <xf numFmtId="0" fontId="0" fillId="0" borderId="14" xfId="0" applyBorder="1"/>
    <xf numFmtId="0" fontId="0" fillId="0" borderId="14" xfId="0" applyBorder="1" applyAlignment="1">
      <alignment horizontal="center"/>
    </xf>
    <xf numFmtId="0" fontId="0" fillId="0" borderId="13" xfId="0" applyBorder="1"/>
    <xf numFmtId="0" fontId="0" fillId="0" borderId="13" xfId="0" applyBorder="1" applyAlignment="1">
      <alignment horizontal="center"/>
    </xf>
    <xf numFmtId="0" fontId="17" fillId="0" borderId="13" xfId="0" applyFont="1" applyBorder="1"/>
    <xf numFmtId="0" fontId="0" fillId="0" borderId="15" xfId="0" applyBorder="1"/>
    <xf numFmtId="0" fontId="0" fillId="0" borderId="15" xfId="0" applyBorder="1" applyAlignment="1">
      <alignment horizontal="center"/>
    </xf>
    <xf numFmtId="0" fontId="17" fillId="0" borderId="4" xfId="0" applyFont="1" applyBorder="1"/>
    <xf numFmtId="0" fontId="0" fillId="9" borderId="4" xfId="0" applyFill="1" applyBorder="1" applyAlignment="1">
      <alignment horizontal="center" vertical="center"/>
    </xf>
    <xf numFmtId="0" fontId="12" fillId="8" borderId="0" xfId="0" applyFont="1" applyFill="1" applyAlignment="1">
      <alignment wrapText="1"/>
    </xf>
    <xf numFmtId="0" fontId="12" fillId="0" borderId="0" xfId="0" applyFont="1" applyAlignment="1">
      <alignment horizontal="right"/>
    </xf>
    <xf numFmtId="6" fontId="12" fillId="0" borderId="0" xfId="0" applyNumberFormat="1" applyFont="1"/>
    <xf numFmtId="0" fontId="12" fillId="0" borderId="0" xfId="0" applyFont="1" applyAlignment="1">
      <alignment horizontal="center"/>
    </xf>
    <xf numFmtId="9" fontId="12" fillId="0" borderId="0" xfId="0" applyNumberFormat="1" applyFont="1" applyAlignment="1">
      <alignment horizontal="center"/>
    </xf>
    <xf numFmtId="9" fontId="12" fillId="0" borderId="0" xfId="0" applyNumberFormat="1" applyFont="1" applyAlignment="1">
      <alignment horizontal="left"/>
    </xf>
    <xf numFmtId="6" fontId="12" fillId="0" borderId="0" xfId="0" applyNumberFormat="1" applyFont="1" applyAlignment="1">
      <alignment horizontal="left"/>
    </xf>
    <xf numFmtId="0" fontId="3" fillId="10" borderId="4" xfId="0" applyFont="1" applyFill="1" applyBorder="1" applyAlignment="1">
      <alignment horizontal="center" vertical="center"/>
    </xf>
    <xf numFmtId="0" fontId="0" fillId="10" borderId="4" xfId="0" applyFill="1" applyBorder="1" applyAlignment="1">
      <alignment horizontal="center" vertical="center"/>
    </xf>
    <xf numFmtId="0" fontId="3" fillId="10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/>
    </xf>
    <xf numFmtId="0" fontId="5" fillId="10" borderId="4" xfId="4" applyFont="1" applyFill="1" applyBorder="1" applyAlignment="1">
      <alignment horizontal="center" vertical="center" wrapText="1"/>
    </xf>
    <xf numFmtId="0" fontId="0" fillId="11" borderId="0" xfId="0" applyFill="1"/>
    <xf numFmtId="0" fontId="0" fillId="10" borderId="5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6" fontId="0" fillId="0" borderId="9" xfId="0" applyNumberFormat="1" applyBorder="1" applyAlignment="1">
      <alignment horizontal="center"/>
    </xf>
    <xf numFmtId="0" fontId="3" fillId="10" borderId="18" xfId="0" applyFont="1" applyFill="1" applyBorder="1" applyAlignment="1">
      <alignment horizontal="center" vertical="center"/>
    </xf>
    <xf numFmtId="0" fontId="3" fillId="10" borderId="19" xfId="0" applyFont="1" applyFill="1" applyBorder="1" applyAlignment="1">
      <alignment horizontal="center" wrapText="1"/>
    </xf>
    <xf numFmtId="0" fontId="3" fillId="10" borderId="20" xfId="0" applyFont="1" applyFill="1" applyBorder="1" applyAlignment="1">
      <alignment horizontal="center" wrapText="1"/>
    </xf>
    <xf numFmtId="167" fontId="0" fillId="0" borderId="6" xfId="3" applyNumberFormat="1" applyFont="1" applyBorder="1" applyAlignment="1">
      <alignment horizontal="center"/>
    </xf>
    <xf numFmtId="6" fontId="0" fillId="0" borderId="7" xfId="0" applyNumberFormat="1" applyBorder="1" applyAlignment="1">
      <alignment horizontal="center"/>
    </xf>
    <xf numFmtId="6" fontId="0" fillId="0" borderId="12" xfId="0" applyNumberFormat="1" applyBorder="1" applyAlignment="1">
      <alignment horizontal="center"/>
    </xf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10" xfId="0" applyFill="1" applyBorder="1"/>
    <xf numFmtId="164" fontId="0" fillId="0" borderId="0" xfId="0" applyNumberFormat="1"/>
    <xf numFmtId="166" fontId="0" fillId="9" borderId="4" xfId="2" applyNumberFormat="1" applyFont="1" applyFill="1" applyBorder="1"/>
    <xf numFmtId="0" fontId="15" fillId="10" borderId="4" xfId="4" applyFont="1" applyFill="1" applyBorder="1" applyAlignment="1">
      <alignment horizontal="center" vertical="center" wrapText="1"/>
    </xf>
    <xf numFmtId="0" fontId="5" fillId="10" borderId="4" xfId="0" applyFont="1" applyFill="1" applyBorder="1" applyAlignment="1">
      <alignment horizontal="center" vertical="center"/>
    </xf>
    <xf numFmtId="0" fontId="3" fillId="10" borderId="13" xfId="0" applyFont="1" applyFill="1" applyBorder="1" applyAlignment="1">
      <alignment horizontal="center" vertical="center" wrapText="1"/>
    </xf>
    <xf numFmtId="0" fontId="0" fillId="10" borderId="4" xfId="0" applyFill="1" applyBorder="1"/>
    <xf numFmtId="44" fontId="0" fillId="0" borderId="4" xfId="3" applyFont="1" applyBorder="1"/>
    <xf numFmtId="44" fontId="0" fillId="9" borderId="4" xfId="3" applyFont="1" applyFill="1" applyBorder="1"/>
    <xf numFmtId="0" fontId="0" fillId="12" borderId="4" xfId="0" applyFill="1" applyBorder="1"/>
    <xf numFmtId="0" fontId="0" fillId="0" borderId="0" xfId="0" applyAlignment="1">
      <alignment vertical="center" wrapText="1"/>
    </xf>
    <xf numFmtId="0" fontId="0" fillId="0" borderId="17" xfId="0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5" xfId="0" applyBorder="1" applyAlignment="1">
      <alignment horizontal="left"/>
    </xf>
    <xf numFmtId="0" fontId="0" fillId="0" borderId="4" xfId="0" quotePrefix="1" applyBorder="1" applyAlignment="1">
      <alignment horizontal="left"/>
    </xf>
    <xf numFmtId="0" fontId="0" fillId="14" borderId="4" xfId="0" applyFill="1" applyBorder="1" applyAlignment="1">
      <alignment horizontal="center"/>
    </xf>
    <xf numFmtId="44" fontId="0" fillId="0" borderId="0" xfId="3" applyFont="1"/>
    <xf numFmtId="0" fontId="3" fillId="14" borderId="4" xfId="0" applyFont="1" applyFill="1" applyBorder="1" applyAlignment="1">
      <alignment horizontal="center" vertical="center"/>
    </xf>
    <xf numFmtId="44" fontId="0" fillId="15" borderId="4" xfId="3" applyFont="1" applyFill="1" applyBorder="1" applyAlignment="1">
      <alignment horizontal="center"/>
    </xf>
    <xf numFmtId="166" fontId="0" fillId="15" borderId="4" xfId="2" applyNumberFormat="1" applyFont="1" applyFill="1" applyBorder="1" applyAlignment="1">
      <alignment horizontal="center"/>
    </xf>
    <xf numFmtId="44" fontId="0" fillId="15" borderId="4" xfId="3" applyFont="1" applyFill="1" applyBorder="1"/>
    <xf numFmtId="0" fontId="3" fillId="14" borderId="29" xfId="0" applyFont="1" applyFill="1" applyBorder="1" applyAlignment="1">
      <alignment horizontal="center"/>
    </xf>
    <xf numFmtId="44" fontId="3" fillId="14" borderId="29" xfId="3" applyFont="1" applyFill="1" applyBorder="1" applyAlignment="1">
      <alignment horizontal="center"/>
    </xf>
    <xf numFmtId="14" fontId="0" fillId="0" borderId="29" xfId="0" applyNumberFormat="1" applyBorder="1" applyAlignment="1">
      <alignment horizontal="center"/>
    </xf>
    <xf numFmtId="0" fontId="0" fillId="0" borderId="29" xfId="0" applyBorder="1" applyAlignment="1">
      <alignment horizontal="center"/>
    </xf>
    <xf numFmtId="44" fontId="0" fillId="0" borderId="29" xfId="3" applyFont="1" applyBorder="1"/>
    <xf numFmtId="0" fontId="0" fillId="12" borderId="4" xfId="0" applyFill="1" applyBorder="1" applyAlignment="1">
      <alignment horizontal="center" vertical="center" textRotation="90"/>
    </xf>
    <xf numFmtId="16" fontId="0" fillId="0" borderId="0" xfId="0" applyNumberFormat="1"/>
    <xf numFmtId="14" fontId="0" fillId="0" borderId="0" xfId="0" applyNumberFormat="1"/>
    <xf numFmtId="20" fontId="0" fillId="0" borderId="0" xfId="0" applyNumberFormat="1"/>
    <xf numFmtId="167" fontId="0" fillId="0" borderId="4" xfId="3" applyNumberFormat="1" applyFont="1" applyBorder="1" applyAlignment="1">
      <alignment horizontal="center" vertical="center"/>
    </xf>
    <xf numFmtId="1" fontId="0" fillId="0" borderId="4" xfId="3" applyNumberFormat="1" applyFon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" fontId="0" fillId="0" borderId="4" xfId="0" applyNumberFormat="1" applyBorder="1"/>
    <xf numFmtId="0" fontId="3" fillId="10" borderId="33" xfId="0" applyFont="1" applyFill="1" applyBorder="1" applyAlignment="1">
      <alignment horizontal="center"/>
    </xf>
    <xf numFmtId="0" fontId="3" fillId="10" borderId="34" xfId="0" applyFont="1" applyFill="1" applyBorder="1" applyAlignment="1">
      <alignment horizontal="center"/>
    </xf>
    <xf numFmtId="0" fontId="3" fillId="10" borderId="35" xfId="0" applyFont="1" applyFill="1" applyBorder="1" applyAlignment="1">
      <alignment horizontal="center"/>
    </xf>
    <xf numFmtId="0" fontId="0" fillId="0" borderId="36" xfId="0" quotePrefix="1" applyBorder="1" applyAlignment="1">
      <alignment horizontal="center"/>
    </xf>
    <xf numFmtId="0" fontId="0" fillId="0" borderId="37" xfId="0" applyBorder="1"/>
    <xf numFmtId="0" fontId="0" fillId="0" borderId="8" xfId="0" quotePrefix="1" applyBorder="1" applyAlignment="1">
      <alignment horizontal="center"/>
    </xf>
    <xf numFmtId="0" fontId="0" fillId="0" borderId="9" xfId="0" applyBorder="1"/>
    <xf numFmtId="20" fontId="0" fillId="0" borderId="8" xfId="0" quotePrefix="1" applyNumberFormat="1" applyBorder="1" applyAlignment="1">
      <alignment horizontal="center"/>
    </xf>
    <xf numFmtId="9" fontId="0" fillId="0" borderId="8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/>
    <xf numFmtId="0" fontId="12" fillId="0" borderId="0" xfId="0" applyFont="1" applyAlignment="1">
      <alignment vertical="center" wrapText="1"/>
    </xf>
    <xf numFmtId="0" fontId="12" fillId="0" borderId="21" xfId="0" applyFont="1" applyBorder="1" applyAlignment="1">
      <alignment horizontal="center" vertical="center" wrapText="1"/>
    </xf>
    <xf numFmtId="0" fontId="24" fillId="16" borderId="34" xfId="0" applyFont="1" applyFill="1" applyBorder="1" applyAlignment="1">
      <alignment horizontal="center"/>
    </xf>
    <xf numFmtId="0" fontId="24" fillId="16" borderId="35" xfId="0" applyFont="1" applyFill="1" applyBorder="1" applyAlignment="1">
      <alignment horizontal="center"/>
    </xf>
    <xf numFmtId="0" fontId="0" fillId="17" borderId="15" xfId="0" applyFill="1" applyBorder="1" applyAlignment="1">
      <alignment horizontal="center"/>
    </xf>
    <xf numFmtId="0" fontId="0" fillId="17" borderId="37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11" borderId="9" xfId="0" applyFill="1" applyBorder="1" applyAlignment="1">
      <alignment horizontal="center"/>
    </xf>
    <xf numFmtId="0" fontId="0" fillId="17" borderId="4" xfId="0" applyFill="1" applyBorder="1" applyAlignment="1">
      <alignment horizontal="center"/>
    </xf>
    <xf numFmtId="0" fontId="0" fillId="17" borderId="9" xfId="0" applyFill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5" borderId="0" xfId="0" applyFill="1" applyAlignment="1">
      <alignment vertical="center"/>
    </xf>
    <xf numFmtId="0" fontId="0" fillId="10" borderId="13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13" fillId="10" borderId="4" xfId="0" applyFont="1" applyFill="1" applyBorder="1" applyAlignment="1">
      <alignment horizontal="center" vertical="center"/>
    </xf>
    <xf numFmtId="0" fontId="13" fillId="0" borderId="4" xfId="0" applyFont="1" applyBorder="1" applyAlignment="1">
      <alignment vertical="center"/>
    </xf>
    <xf numFmtId="0" fontId="0" fillId="12" borderId="4" xfId="0" applyFill="1" applyBorder="1" applyAlignment="1">
      <alignment vertical="center"/>
    </xf>
    <xf numFmtId="14" fontId="3" fillId="0" borderId="0" xfId="0" applyNumberFormat="1" applyFont="1"/>
    <xf numFmtId="20" fontId="3" fillId="0" borderId="0" xfId="0" applyNumberFormat="1" applyFont="1"/>
    <xf numFmtId="0" fontId="31" fillId="0" borderId="0" xfId="0" applyFont="1"/>
    <xf numFmtId="0" fontId="25" fillId="0" borderId="0" xfId="0" applyFont="1"/>
    <xf numFmtId="0" fontId="25" fillId="0" borderId="0" xfId="0" quotePrefix="1" applyFont="1" applyAlignment="1">
      <alignment horizontal="left" vertical="center"/>
    </xf>
    <xf numFmtId="0" fontId="25" fillId="11" borderId="0" xfId="0" quotePrefix="1" applyFont="1" applyFill="1"/>
    <xf numFmtId="0" fontId="36" fillId="0" borderId="0" xfId="0" applyFont="1"/>
    <xf numFmtId="0" fontId="37" fillId="0" borderId="0" xfId="0" applyFont="1"/>
    <xf numFmtId="0" fontId="39" fillId="0" borderId="0" xfId="0" applyFont="1"/>
    <xf numFmtId="0" fontId="0" fillId="12" borderId="4" xfId="0" applyFill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28" xfId="0" applyBorder="1" applyAlignment="1">
      <alignment horizontal="center" vertical="center"/>
    </xf>
    <xf numFmtId="0" fontId="0" fillId="0" borderId="37" xfId="2" applyNumberFormat="1" applyFont="1" applyBorder="1" applyAlignment="1">
      <alignment horizontal="center" vertical="center"/>
    </xf>
    <xf numFmtId="0" fontId="0" fillId="0" borderId="41" xfId="0" applyBorder="1" applyAlignment="1">
      <alignment horizontal="center"/>
    </xf>
    <xf numFmtId="0" fontId="0" fillId="0" borderId="9" xfId="2" applyNumberFormat="1" applyFont="1" applyBorder="1" applyAlignment="1">
      <alignment horizontal="center" vertical="center"/>
    </xf>
    <xf numFmtId="0" fontId="0" fillId="9" borderId="4" xfId="0" applyFill="1" applyBorder="1" applyAlignment="1">
      <alignment horizontal="center"/>
    </xf>
    <xf numFmtId="0" fontId="0" fillId="0" borderId="9" xfId="0" applyBorder="1" applyAlignment="1">
      <alignment horizontal="center" vertical="center"/>
    </xf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40" fillId="0" borderId="0" xfId="0" applyFont="1" applyAlignment="1">
      <alignment vertical="top"/>
    </xf>
    <xf numFmtId="0" fontId="0" fillId="0" borderId="4" xfId="2" applyNumberFormat="1" applyFont="1" applyBorder="1" applyAlignment="1">
      <alignment horizontal="center"/>
    </xf>
    <xf numFmtId="0" fontId="0" fillId="0" borderId="4" xfId="0" applyNumberFormat="1" applyBorder="1" applyAlignment="1">
      <alignment horizontal="center"/>
    </xf>
    <xf numFmtId="0" fontId="0" fillId="0" borderId="8" xfId="0" applyBorder="1"/>
    <xf numFmtId="0" fontId="0" fillId="0" borderId="9" xfId="0" applyNumberFormat="1" applyBorder="1" applyAlignment="1">
      <alignment horizontal="center"/>
    </xf>
    <xf numFmtId="0" fontId="0" fillId="0" borderId="10" xfId="0" applyBorder="1"/>
    <xf numFmtId="0" fontId="0" fillId="0" borderId="11" xfId="0" applyNumberFormat="1" applyBorder="1" applyAlignment="1">
      <alignment horizontal="center"/>
    </xf>
    <xf numFmtId="0" fontId="0" fillId="0" borderId="12" xfId="0" applyNumberFormat="1" applyBorder="1" applyAlignment="1">
      <alignment horizontal="center"/>
    </xf>
    <xf numFmtId="0" fontId="41" fillId="0" borderId="0" xfId="0" quotePrefix="1" applyFont="1"/>
    <xf numFmtId="0" fontId="41" fillId="0" borderId="0" xfId="0" applyFont="1"/>
    <xf numFmtId="0" fontId="40" fillId="0" borderId="0" xfId="0" applyFont="1"/>
    <xf numFmtId="3" fontId="0" fillId="0" borderId="0" xfId="0" applyNumberFormat="1"/>
    <xf numFmtId="0" fontId="0" fillId="18" borderId="0" xfId="0" applyFill="1"/>
    <xf numFmtId="0" fontId="3" fillId="18" borderId="0" xfId="0" applyFont="1" applyFill="1" applyAlignment="1">
      <alignment horizontal="center" vertical="center"/>
    </xf>
    <xf numFmtId="0" fontId="0" fillId="19" borderId="4" xfId="0" applyFill="1" applyBorder="1" applyAlignment="1">
      <alignment horizontal="center"/>
    </xf>
    <xf numFmtId="0" fontId="0" fillId="13" borderId="4" xfId="0" applyFill="1" applyBorder="1" applyAlignment="1">
      <alignment horizontal="center"/>
    </xf>
    <xf numFmtId="0" fontId="0" fillId="14" borderId="4" xfId="0" quotePrefix="1" applyFill="1" applyBorder="1" applyAlignment="1">
      <alignment horizontal="center"/>
    </xf>
    <xf numFmtId="0" fontId="0" fillId="18" borderId="0" xfId="0" applyFill="1" applyAlignment="1">
      <alignment vertical="center"/>
    </xf>
    <xf numFmtId="0" fontId="3" fillId="13" borderId="4" xfId="0" applyFont="1" applyFill="1" applyBorder="1"/>
    <xf numFmtId="169" fontId="3" fillId="13" borderId="4" xfId="0" applyNumberFormat="1" applyFont="1" applyFill="1" applyBorder="1"/>
    <xf numFmtId="0" fontId="44" fillId="0" borderId="0" xfId="0" applyFont="1" applyAlignment="1">
      <alignment horizontal="center"/>
    </xf>
    <xf numFmtId="0" fontId="45" fillId="14" borderId="4" xfId="0" applyFont="1" applyFill="1" applyBorder="1" applyAlignment="1">
      <alignment horizontal="center"/>
    </xf>
    <xf numFmtId="169" fontId="0" fillId="0" borderId="4" xfId="0" applyNumberFormat="1" applyBorder="1" applyAlignment="1">
      <alignment vertical="center"/>
    </xf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25" xfId="0" applyBorder="1"/>
    <xf numFmtId="16" fontId="0" fillId="0" borderId="4" xfId="0" applyNumberFormat="1" applyBorder="1" applyAlignment="1">
      <alignment horizontal="center"/>
    </xf>
    <xf numFmtId="0" fontId="0" fillId="0" borderId="28" xfId="0" applyBorder="1"/>
    <xf numFmtId="0" fontId="0" fillId="0" borderId="16" xfId="0" applyBorder="1"/>
    <xf numFmtId="0" fontId="0" fillId="0" borderId="48" xfId="0" applyBorder="1"/>
    <xf numFmtId="0" fontId="46" fillId="10" borderId="4" xfId="0" applyFont="1" applyFill="1" applyBorder="1" applyAlignment="1">
      <alignment horizontal="center" vertical="center"/>
    </xf>
    <xf numFmtId="0" fontId="46" fillId="10" borderId="49" xfId="0" applyFont="1" applyFill="1" applyBorder="1" applyAlignment="1">
      <alignment horizontal="center" vertical="center"/>
    </xf>
    <xf numFmtId="0" fontId="46" fillId="10" borderId="17" xfId="0" applyFont="1" applyFill="1" applyBorder="1" applyAlignment="1">
      <alignment horizontal="center" vertical="center"/>
    </xf>
    <xf numFmtId="167" fontId="13" fillId="0" borderId="4" xfId="3" applyNumberFormat="1" applyFont="1" applyBorder="1" applyAlignment="1">
      <alignment vertical="center"/>
    </xf>
    <xf numFmtId="0" fontId="0" fillId="0" borderId="4" xfId="0" applyBorder="1" applyAlignment="1">
      <alignment vertical="center"/>
    </xf>
    <xf numFmtId="0" fontId="47" fillId="10" borderId="50" xfId="0" applyFont="1" applyFill="1" applyBorder="1" applyAlignment="1">
      <alignment horizontal="left" vertical="center" indent="1"/>
    </xf>
    <xf numFmtId="0" fontId="47" fillId="10" borderId="50" xfId="0" applyFont="1" applyFill="1" applyBorder="1" applyAlignment="1">
      <alignment horizontal="center" vertical="center"/>
    </xf>
    <xf numFmtId="9" fontId="13" fillId="0" borderId="4" xfId="6" applyFont="1" applyBorder="1" applyAlignment="1">
      <alignment vertical="center"/>
    </xf>
    <xf numFmtId="0" fontId="47" fillId="21" borderId="50" xfId="0" applyFont="1" applyFill="1" applyBorder="1" applyAlignment="1">
      <alignment horizontal="left" vertical="center" indent="1"/>
    </xf>
    <xf numFmtId="166" fontId="49" fillId="0" borderId="50" xfId="2" applyNumberFormat="1" applyFont="1" applyBorder="1" applyAlignment="1">
      <alignment horizontal="center" vertical="center"/>
    </xf>
    <xf numFmtId="166" fontId="49" fillId="21" borderId="50" xfId="2" applyNumberFormat="1" applyFont="1" applyFill="1" applyBorder="1" applyAlignment="1">
      <alignment horizontal="center" vertical="center"/>
    </xf>
    <xf numFmtId="170" fontId="49" fillId="0" borderId="50" xfId="6" applyNumberFormat="1" applyFont="1" applyBorder="1" applyAlignment="1">
      <alignment horizontal="center" vertical="center"/>
    </xf>
    <xf numFmtId="170" fontId="50" fillId="21" borderId="50" xfId="6" applyNumberFormat="1" applyFont="1" applyFill="1" applyBorder="1" applyAlignment="1">
      <alignment horizontal="right" vertical="center"/>
    </xf>
    <xf numFmtId="167" fontId="13" fillId="0" borderId="4" xfId="0" applyNumberFormat="1" applyFont="1" applyBorder="1" applyAlignment="1">
      <alignment vertical="center"/>
    </xf>
    <xf numFmtId="0" fontId="46" fillId="10" borderId="4" xfId="0" applyFont="1" applyFill="1" applyBorder="1" applyAlignment="1">
      <alignment horizontal="right" vertical="center"/>
    </xf>
    <xf numFmtId="167" fontId="46" fillId="0" borderId="4" xfId="0" applyNumberFormat="1" applyFont="1" applyBorder="1" applyAlignment="1">
      <alignment vertical="center"/>
    </xf>
    <xf numFmtId="0" fontId="12" fillId="0" borderId="0" xfId="0" applyFont="1"/>
    <xf numFmtId="10" fontId="0" fillId="0" borderId="0" xfId="6" applyNumberFormat="1" applyFont="1"/>
    <xf numFmtId="0" fontId="12" fillId="18" borderId="0" xfId="0" applyFont="1" applyFill="1" applyAlignment="1">
      <alignment vertical="center" wrapText="1"/>
    </xf>
    <xf numFmtId="0" fontId="0" fillId="13" borderId="4" xfId="0" applyFill="1" applyBorder="1"/>
    <xf numFmtId="0" fontId="0" fillId="13" borderId="5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/>
    </xf>
    <xf numFmtId="0" fontId="0" fillId="13" borderId="7" xfId="0" applyFill="1" applyBorder="1" applyAlignment="1">
      <alignment horizontal="center"/>
    </xf>
    <xf numFmtId="0" fontId="1" fillId="13" borderId="53" xfId="1" applyFill="1" applyBorder="1" applyAlignment="1">
      <alignment horizontal="center"/>
    </xf>
    <xf numFmtId="0" fontId="1" fillId="13" borderId="54" xfId="1" applyFill="1" applyBorder="1" applyAlignment="1">
      <alignment horizontal="center" wrapText="1"/>
    </xf>
    <xf numFmtId="0" fontId="0" fillId="0" borderId="8" xfId="0" applyBorder="1" applyAlignment="1">
      <alignment horizontal="center" vertical="center"/>
    </xf>
    <xf numFmtId="14" fontId="0" fillId="0" borderId="8" xfId="0" applyNumberFormat="1" applyBorder="1"/>
    <xf numFmtId="44" fontId="0" fillId="0" borderId="9" xfId="3" applyFont="1" applyBorder="1"/>
    <xf numFmtId="0" fontId="0" fillId="23" borderId="8" xfId="0" applyFill="1" applyBorder="1" applyAlignment="1">
      <alignment horizontal="center" vertical="center"/>
    </xf>
    <xf numFmtId="0" fontId="1" fillId="13" borderId="55" xfId="1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44" fontId="0" fillId="0" borderId="4" xfId="3" applyFont="1" applyBorder="1" applyAlignment="1">
      <alignment horizontal="center"/>
    </xf>
    <xf numFmtId="0" fontId="1" fillId="13" borderId="56" xfId="1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14" fontId="0" fillId="0" borderId="10" xfId="0" applyNumberFormat="1" applyBorder="1"/>
    <xf numFmtId="44" fontId="0" fillId="0" borderId="12" xfId="3" applyFont="1" applyBorder="1"/>
    <xf numFmtId="0" fontId="0" fillId="24" borderId="8" xfId="0" applyFill="1" applyBorder="1" applyAlignment="1">
      <alignment horizontal="center" vertical="center"/>
    </xf>
    <xf numFmtId="0" fontId="0" fillId="14" borderId="8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14" borderId="10" xfId="0" applyFill="1" applyBorder="1" applyAlignment="1">
      <alignment horizontal="center" vertical="center"/>
    </xf>
    <xf numFmtId="0" fontId="28" fillId="0" borderId="0" xfId="0" applyFont="1" applyAlignment="1">
      <alignment vertical="top"/>
    </xf>
    <xf numFmtId="0" fontId="0" fillId="0" borderId="0" xfId="0" quotePrefix="1" applyAlignment="1">
      <alignment horizontal="left" vertical="center"/>
    </xf>
    <xf numFmtId="0" fontId="24" fillId="13" borderId="4" xfId="0" applyFont="1" applyFill="1" applyBorder="1" applyAlignment="1">
      <alignment horizontal="center"/>
    </xf>
    <xf numFmtId="0" fontId="0" fillId="13" borderId="33" xfId="0" applyFill="1" applyBorder="1" applyAlignment="1">
      <alignment horizontal="center" vertical="center"/>
    </xf>
    <xf numFmtId="0" fontId="0" fillId="13" borderId="34" xfId="0" applyFill="1" applyBorder="1" applyAlignment="1">
      <alignment horizontal="center" vertical="center"/>
    </xf>
    <xf numFmtId="0" fontId="0" fillId="13" borderId="35" xfId="0" applyFill="1" applyBorder="1" applyAlignment="1">
      <alignment horizontal="center" vertical="center"/>
    </xf>
    <xf numFmtId="0" fontId="1" fillId="13" borderId="30" xfId="1" applyFill="1" applyBorder="1" applyAlignment="1">
      <alignment horizontal="center" vertical="center"/>
    </xf>
    <xf numFmtId="0" fontId="1" fillId="13" borderId="57" xfId="1" applyFill="1" applyBorder="1" applyAlignment="1">
      <alignment horizontal="center" vertical="center" wrapText="1"/>
    </xf>
    <xf numFmtId="0" fontId="0" fillId="25" borderId="4" xfId="0" applyFill="1" applyBorder="1" applyAlignment="1">
      <alignment horizontal="center"/>
    </xf>
    <xf numFmtId="0" fontId="0" fillId="0" borderId="36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23" borderId="36" xfId="0" applyFill="1" applyBorder="1" applyAlignment="1">
      <alignment horizontal="center" vertical="center"/>
    </xf>
    <xf numFmtId="0" fontId="1" fillId="13" borderId="58" xfId="1" applyFill="1" applyBorder="1" applyAlignment="1">
      <alignment horizontal="center"/>
    </xf>
    <xf numFmtId="0" fontId="0" fillId="3" borderId="38" xfId="0" applyFill="1" applyBorder="1" applyAlignment="1">
      <alignment horizontal="center"/>
    </xf>
    <xf numFmtId="0" fontId="0" fillId="3" borderId="59" xfId="0" applyFill="1" applyBorder="1" applyAlignment="1">
      <alignment horizontal="center"/>
    </xf>
    <xf numFmtId="0" fontId="0" fillId="3" borderId="39" xfId="0" applyFill="1" applyBorder="1" applyAlignment="1">
      <alignment horizontal="center"/>
    </xf>
    <xf numFmtId="0" fontId="0" fillId="24" borderId="10" xfId="0" applyFill="1" applyBorder="1" applyAlignment="1">
      <alignment horizontal="center" vertical="center"/>
    </xf>
    <xf numFmtId="0" fontId="51" fillId="0" borderId="0" xfId="0" applyFont="1" applyAlignment="1">
      <alignment vertical="top"/>
    </xf>
    <xf numFmtId="0" fontId="0" fillId="13" borderId="33" xfId="0" applyFill="1" applyBorder="1"/>
    <xf numFmtId="0" fontId="0" fillId="13" borderId="34" xfId="0" applyFill="1" applyBorder="1"/>
    <xf numFmtId="0" fontId="0" fillId="13" borderId="35" xfId="0" applyFill="1" applyBorder="1"/>
    <xf numFmtId="0" fontId="0" fillId="0" borderId="36" xfId="0" applyBorder="1"/>
    <xf numFmtId="14" fontId="0" fillId="0" borderId="15" xfId="0" applyNumberFormat="1" applyBorder="1"/>
    <xf numFmtId="2" fontId="0" fillId="0" borderId="37" xfId="0" applyNumberFormat="1" applyBorder="1"/>
    <xf numFmtId="2" fontId="0" fillId="0" borderId="9" xfId="0" applyNumberFormat="1" applyBorder="1"/>
    <xf numFmtId="0" fontId="52" fillId="0" borderId="0" xfId="0" applyFont="1"/>
    <xf numFmtId="0" fontId="0" fillId="0" borderId="11" xfId="0" applyBorder="1"/>
    <xf numFmtId="14" fontId="0" fillId="0" borderId="11" xfId="0" applyNumberFormat="1" applyBorder="1"/>
    <xf numFmtId="2" fontId="0" fillId="0" borderId="12" xfId="0" applyNumberFormat="1" applyBorder="1"/>
    <xf numFmtId="2" fontId="0" fillId="0" borderId="0" xfId="0" applyNumberFormat="1"/>
    <xf numFmtId="6" fontId="0" fillId="0" borderId="4" xfId="0" applyNumberFormat="1" applyBorder="1"/>
    <xf numFmtId="44" fontId="3" fillId="0" borderId="4" xfId="3" applyFont="1" applyBorder="1" applyAlignment="1">
      <alignment horizontal="center" vertical="center" wrapText="1"/>
    </xf>
    <xf numFmtId="14" fontId="0" fillId="0" borderId="14" xfId="0" applyNumberFormat="1" applyBorder="1"/>
    <xf numFmtId="44" fontId="0" fillId="0" borderId="14" xfId="3" applyFont="1" applyBorder="1"/>
    <xf numFmtId="0" fontId="0" fillId="0" borderId="60" xfId="0" applyBorder="1"/>
    <xf numFmtId="0" fontId="0" fillId="0" borderId="29" xfId="0" applyBorder="1"/>
    <xf numFmtId="0" fontId="21" fillId="5" borderId="0" xfId="0" applyFont="1" applyFill="1"/>
    <xf numFmtId="0" fontId="5" fillId="0" borderId="0" xfId="7" applyFont="1" applyAlignment="1" applyProtection="1">
      <alignment horizontal="centerContinuous" vertical="center"/>
      <protection hidden="1"/>
    </xf>
    <xf numFmtId="0" fontId="5" fillId="14" borderId="4" xfId="7" applyFont="1" applyFill="1" applyBorder="1" applyAlignment="1" applyProtection="1">
      <alignment horizontal="left" vertical="center" wrapText="1"/>
      <protection hidden="1"/>
    </xf>
    <xf numFmtId="0" fontId="4" fillId="14" borderId="4" xfId="7" applyFont="1" applyFill="1" applyBorder="1" applyAlignment="1" applyProtection="1">
      <alignment horizontal="center" vertical="center"/>
      <protection hidden="1"/>
    </xf>
    <xf numFmtId="0" fontId="5" fillId="13" borderId="13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0" fontId="0" fillId="13" borderId="57" xfId="0" applyFill="1" applyBorder="1" applyAlignment="1">
      <alignment vertical="center"/>
    </xf>
    <xf numFmtId="165" fontId="0" fillId="0" borderId="57" xfId="5" applyFont="1" applyBorder="1" applyAlignment="1">
      <alignment vertical="center"/>
    </xf>
    <xf numFmtId="0" fontId="5" fillId="13" borderId="4" xfId="0" applyFont="1" applyFill="1" applyBorder="1" applyAlignment="1">
      <alignment horizontal="center" vertical="center"/>
    </xf>
    <xf numFmtId="10" fontId="4" fillId="0" borderId="4" xfId="7" applyNumberFormat="1" applyFont="1" applyBorder="1" applyAlignment="1" applyProtection="1">
      <alignment horizontal="center" vertical="center"/>
      <protection hidden="1"/>
    </xf>
    <xf numFmtId="0" fontId="4" fillId="0" borderId="13" xfId="0" applyFont="1" applyBorder="1"/>
    <xf numFmtId="0" fontId="0" fillId="0" borderId="25" xfId="0" applyBorder="1" applyAlignment="1">
      <alignment horizontal="center"/>
    </xf>
    <xf numFmtId="167" fontId="0" fillId="0" borderId="14" xfId="3" applyNumberFormat="1" applyFont="1" applyBorder="1"/>
    <xf numFmtId="165" fontId="0" fillId="15" borderId="4" xfId="5" applyFont="1" applyFill="1" applyBorder="1"/>
    <xf numFmtId="9" fontId="0" fillId="0" borderId="4" xfId="0" applyNumberFormat="1" applyBorder="1" applyAlignment="1">
      <alignment horizontal="center"/>
    </xf>
    <xf numFmtId="0" fontId="4" fillId="13" borderId="4" xfId="0" applyFont="1" applyFill="1" applyBorder="1"/>
    <xf numFmtId="166" fontId="57" fillId="0" borderId="4" xfId="2" applyNumberFormat="1" applyFont="1" applyBorder="1"/>
    <xf numFmtId="0" fontId="4" fillId="0" borderId="0" xfId="7" applyFont="1" applyProtection="1">
      <protection hidden="1"/>
    </xf>
    <xf numFmtId="0" fontId="4" fillId="13" borderId="17" xfId="0" applyFont="1" applyFill="1" applyBorder="1"/>
    <xf numFmtId="0" fontId="0" fillId="15" borderId="4" xfId="0" applyFill="1" applyBorder="1"/>
    <xf numFmtId="0" fontId="58" fillId="0" borderId="0" xfId="0" applyFont="1"/>
    <xf numFmtId="0" fontId="4" fillId="0" borderId="14" xfId="0" applyFont="1" applyBorder="1"/>
    <xf numFmtId="0" fontId="5" fillId="14" borderId="4" xfId="7" applyFont="1" applyFill="1" applyBorder="1" applyAlignment="1" applyProtection="1">
      <alignment horizontal="center" vertical="center"/>
      <protection hidden="1"/>
    </xf>
    <xf numFmtId="0" fontId="4" fillId="0" borderId="4" xfId="7" applyFont="1" applyBorder="1" applyProtection="1">
      <protection hidden="1"/>
    </xf>
    <xf numFmtId="172" fontId="4" fillId="0" borderId="4" xfId="7" applyNumberFormat="1" applyFont="1" applyBorder="1" applyProtection="1">
      <protection hidden="1"/>
    </xf>
    <xf numFmtId="0" fontId="4" fillId="0" borderId="4" xfId="7" applyFont="1" applyBorder="1" applyAlignment="1" applyProtection="1">
      <alignment horizontal="center"/>
      <protection hidden="1"/>
    </xf>
    <xf numFmtId="10" fontId="5" fillId="15" borderId="4" xfId="6" applyNumberFormat="1" applyFont="1" applyFill="1" applyBorder="1" applyProtection="1">
      <protection hidden="1"/>
    </xf>
    <xf numFmtId="44" fontId="5" fillId="15" borderId="4" xfId="3" applyFont="1" applyFill="1" applyBorder="1" applyProtection="1">
      <protection hidden="1"/>
    </xf>
    <xf numFmtId="0" fontId="0" fillId="13" borderId="57" xfId="0" applyFill="1" applyBorder="1"/>
    <xf numFmtId="165" fontId="0" fillId="15" borderId="57" xfId="5" applyFont="1" applyFill="1" applyBorder="1"/>
    <xf numFmtId="166" fontId="0" fillId="15" borderId="4" xfId="2" applyNumberFormat="1" applyFont="1" applyFill="1" applyBorder="1"/>
    <xf numFmtId="0" fontId="0" fillId="0" borderId="0" xfId="0" applyAlignment="1" applyProtection="1">
      <alignment horizontal="right" wrapText="1"/>
      <protection hidden="1"/>
    </xf>
    <xf numFmtId="0" fontId="0" fillId="0" borderId="0" xfId="0" applyProtection="1">
      <protection hidden="1"/>
    </xf>
    <xf numFmtId="172" fontId="0" fillId="0" borderId="0" xfId="0" applyNumberFormat="1" applyProtection="1">
      <protection hidden="1"/>
    </xf>
    <xf numFmtId="0" fontId="0" fillId="0" borderId="48" xfId="0" applyBorder="1" applyAlignment="1">
      <alignment horizontal="center"/>
    </xf>
    <xf numFmtId="167" fontId="0" fillId="0" borderId="15" xfId="3" applyNumberFormat="1" applyFont="1" applyBorder="1"/>
    <xf numFmtId="165" fontId="4" fillId="13" borderId="4" xfId="5" applyFill="1" applyBorder="1"/>
    <xf numFmtId="167" fontId="0" fillId="0" borderId="0" xfId="0" applyNumberFormat="1"/>
    <xf numFmtId="166" fontId="4" fillId="0" borderId="4" xfId="5" applyNumberFormat="1" applyBorder="1"/>
    <xf numFmtId="9" fontId="0" fillId="0" borderId="4" xfId="5" applyNumberFormat="1" applyFont="1" applyBorder="1"/>
    <xf numFmtId="0" fontId="62" fillId="0" borderId="0" xfId="4" applyFont="1"/>
    <xf numFmtId="0" fontId="14" fillId="0" borderId="0" xfId="4" applyFont="1"/>
    <xf numFmtId="0" fontId="53" fillId="0" borderId="0" xfId="0" applyFont="1"/>
    <xf numFmtId="0" fontId="63" fillId="5" borderId="4" xfId="0" applyFont="1" applyFill="1" applyBorder="1" applyAlignment="1">
      <alignment horizontal="center"/>
    </xf>
    <xf numFmtId="0" fontId="63" fillId="5" borderId="4" xfId="0" applyFont="1" applyFill="1" applyBorder="1" applyAlignment="1">
      <alignment horizontal="center" wrapText="1"/>
    </xf>
    <xf numFmtId="0" fontId="4" fillId="0" borderId="4" xfId="0" applyFont="1" applyBorder="1"/>
    <xf numFmtId="0" fontId="64" fillId="15" borderId="4" xfId="0" applyFont="1" applyFill="1" applyBorder="1" applyAlignment="1">
      <alignment horizontal="center" vertical="center"/>
    </xf>
    <xf numFmtId="0" fontId="14" fillId="0" borderId="4" xfId="4" applyFont="1" applyBorder="1"/>
    <xf numFmtId="0" fontId="52" fillId="15" borderId="4" xfId="0" applyFont="1" applyFill="1" applyBorder="1"/>
    <xf numFmtId="0" fontId="5" fillId="0" borderId="4" xfId="0" applyFont="1" applyBorder="1"/>
    <xf numFmtId="0" fontId="60" fillId="0" borderId="4" xfId="9" applyBorder="1"/>
    <xf numFmtId="0" fontId="5" fillId="0" borderId="0" xfId="0" applyFont="1" applyAlignment="1">
      <alignment horizontal="center" vertical="center" wrapText="1"/>
    </xf>
    <xf numFmtId="14" fontId="0" fillId="0" borderId="4" xfId="0" applyNumberFormat="1" applyBorder="1" applyAlignment="1">
      <alignment horizontal="center"/>
    </xf>
    <xf numFmtId="0" fontId="64" fillId="15" borderId="4" xfId="0" applyFont="1" applyFill="1" applyBorder="1" applyAlignment="1">
      <alignment horizontal="center"/>
    </xf>
    <xf numFmtId="0" fontId="64" fillId="15" borderId="4" xfId="0" applyFont="1" applyFill="1" applyBorder="1"/>
    <xf numFmtId="0" fontId="65" fillId="0" borderId="0" xfId="0" applyFont="1"/>
    <xf numFmtId="0" fontId="65" fillId="0" borderId="0" xfId="0" quotePrefix="1" applyFont="1"/>
    <xf numFmtId="0" fontId="23" fillId="0" borderId="0" xfId="0" applyFont="1"/>
    <xf numFmtId="0" fontId="23" fillId="0" borderId="0" xfId="0" applyFont="1" applyAlignment="1">
      <alignment horizontal="left" wrapText="1"/>
    </xf>
    <xf numFmtId="9" fontId="0" fillId="0" borderId="4" xfId="6" applyFont="1" applyBorder="1"/>
    <xf numFmtId="0" fontId="0" fillId="0" borderId="4" xfId="0" applyBorder="1" applyAlignment="1">
      <alignment horizontal="center" vertical="center" wrapText="1"/>
    </xf>
    <xf numFmtId="44" fontId="0" fillId="0" borderId="13" xfId="3" applyFont="1" applyBorder="1"/>
    <xf numFmtId="44" fontId="0" fillId="6" borderId="14" xfId="3" applyFont="1" applyFill="1" applyBorder="1"/>
    <xf numFmtId="166" fontId="0" fillId="0" borderId="4" xfId="2" applyNumberFormat="1" applyFont="1" applyBorder="1" applyAlignment="1">
      <alignment horizontal="center" vertical="center" wrapText="1"/>
    </xf>
    <xf numFmtId="0" fontId="0" fillId="6" borderId="14" xfId="0" applyFill="1" applyBorder="1"/>
    <xf numFmtId="0" fontId="3" fillId="0" borderId="4" xfId="0" applyFont="1" applyBorder="1" applyAlignment="1">
      <alignment horizontal="center" vertical="center"/>
    </xf>
    <xf numFmtId="166" fontId="0" fillId="6" borderId="4" xfId="2" applyNumberFormat="1" applyFont="1" applyFill="1" applyBorder="1"/>
    <xf numFmtId="44" fontId="0" fillId="0" borderId="15" xfId="3" applyFont="1" applyBorder="1"/>
    <xf numFmtId="14" fontId="0" fillId="6" borderId="4" xfId="0" applyNumberFormat="1" applyFill="1" applyBorder="1"/>
    <xf numFmtId="0" fontId="42" fillId="0" borderId="0" xfId="0" applyFont="1"/>
    <xf numFmtId="14" fontId="0" fillId="15" borderId="4" xfId="0" applyNumberFormat="1" applyFill="1" applyBorder="1"/>
    <xf numFmtId="0" fontId="21" fillId="0" borderId="0" xfId="0" applyFont="1"/>
    <xf numFmtId="0" fontId="5" fillId="14" borderId="4" xfId="0" applyFont="1" applyFill="1" applyBorder="1" applyAlignment="1">
      <alignment horizontal="center" vertical="center"/>
    </xf>
    <xf numFmtId="22" fontId="0" fillId="15" borderId="4" xfId="0" applyNumberFormat="1" applyFill="1" applyBorder="1"/>
    <xf numFmtId="0" fontId="0" fillId="0" borderId="0" xfId="0" applyAlignment="1">
      <alignment horizontal="right"/>
    </xf>
    <xf numFmtId="0" fontId="5" fillId="14" borderId="4" xfId="0" applyFont="1" applyFill="1" applyBorder="1" applyAlignment="1">
      <alignment horizontal="center" vertical="center" wrapText="1"/>
    </xf>
    <xf numFmtId="0" fontId="72" fillId="14" borderId="4" xfId="0" applyFont="1" applyFill="1" applyBorder="1" applyAlignment="1">
      <alignment horizontal="center" vertical="center"/>
    </xf>
    <xf numFmtId="0" fontId="72" fillId="15" borderId="4" xfId="0" applyFont="1" applyFill="1" applyBorder="1" applyAlignment="1">
      <alignment horizontal="center" vertical="center"/>
    </xf>
    <xf numFmtId="0" fontId="3" fillId="0" borderId="0" xfId="4" applyFont="1"/>
    <xf numFmtId="173" fontId="0" fillId="0" borderId="4" xfId="0" applyNumberFormat="1" applyBorder="1"/>
    <xf numFmtId="174" fontId="0" fillId="15" borderId="4" xfId="0" applyNumberFormat="1" applyFill="1" applyBorder="1" applyAlignment="1">
      <alignment horizontal="center"/>
    </xf>
    <xf numFmtId="1" fontId="0" fillId="15" borderId="4" xfId="0" applyNumberForma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20" fontId="0" fillId="0" borderId="4" xfId="0" applyNumberFormat="1" applyBorder="1"/>
    <xf numFmtId="20" fontId="0" fillId="15" borderId="4" xfId="0" applyNumberFormat="1" applyFill="1" applyBorder="1"/>
    <xf numFmtId="0" fontId="0" fillId="15" borderId="4" xfId="2" applyNumberFormat="1" applyFont="1" applyFill="1" applyBorder="1"/>
    <xf numFmtId="0" fontId="0" fillId="0" borderId="63" xfId="0" applyBorder="1"/>
    <xf numFmtId="14" fontId="0" fillId="0" borderId="64" xfId="0" applyNumberFormat="1" applyBorder="1"/>
    <xf numFmtId="14" fontId="0" fillId="15" borderId="64" xfId="0" applyNumberFormat="1" applyFill="1" applyBorder="1"/>
    <xf numFmtId="1" fontId="0" fillId="15" borderId="65" xfId="0" applyNumberFormat="1" applyFill="1" applyBorder="1"/>
    <xf numFmtId="0" fontId="0" fillId="0" borderId="69" xfId="0" applyBorder="1"/>
    <xf numFmtId="14" fontId="0" fillId="15" borderId="14" xfId="0" applyNumberFormat="1" applyFill="1" applyBorder="1"/>
    <xf numFmtId="1" fontId="0" fillId="15" borderId="70" xfId="0" applyNumberFormat="1" applyFill="1" applyBorder="1"/>
    <xf numFmtId="0" fontId="5" fillId="0" borderId="15" xfId="0" applyFont="1" applyBorder="1" applyAlignment="1">
      <alignment horizontal="center" wrapText="1"/>
    </xf>
    <xf numFmtId="0" fontId="5" fillId="0" borderId="4" xfId="0" applyFont="1" applyBorder="1" applyAlignment="1">
      <alignment horizontal="center" wrapText="1"/>
    </xf>
    <xf numFmtId="0" fontId="4" fillId="0" borderId="72" xfId="4" applyBorder="1"/>
    <xf numFmtId="175" fontId="4" fillId="0" borderId="73" xfId="4" applyNumberFormat="1" applyBorder="1"/>
    <xf numFmtId="0" fontId="4" fillId="0" borderId="0" xfId="4" applyAlignment="1">
      <alignment vertical="center" wrapText="1"/>
    </xf>
    <xf numFmtId="14" fontId="4" fillId="0" borderId="0" xfId="4" applyNumberFormat="1" applyAlignment="1">
      <alignment horizontal="center" vertical="center" wrapText="1"/>
    </xf>
    <xf numFmtId="14" fontId="0" fillId="15" borderId="15" xfId="0" applyNumberFormat="1" applyFill="1" applyBorder="1"/>
    <xf numFmtId="175" fontId="0" fillId="0" borderId="13" xfId="0" applyNumberFormat="1" applyBorder="1"/>
    <xf numFmtId="175" fontId="0" fillId="0" borderId="14" xfId="0" applyNumberFormat="1" applyBorder="1"/>
    <xf numFmtId="0" fontId="12" fillId="0" borderId="0" xfId="4" applyFont="1"/>
    <xf numFmtId="14" fontId="0" fillId="0" borderId="14" xfId="0" applyNumberFormat="1" applyBorder="1" applyAlignment="1">
      <alignment horizontal="right"/>
    </xf>
    <xf numFmtId="0" fontId="4" fillId="0" borderId="74" xfId="4" applyBorder="1"/>
    <xf numFmtId="0" fontId="4" fillId="0" borderId="75" xfId="4" applyBorder="1"/>
    <xf numFmtId="0" fontId="3" fillId="0" borderId="4" xfId="4" applyFont="1" applyBorder="1" applyAlignment="1">
      <alignment horizontal="center"/>
    </xf>
    <xf numFmtId="0" fontId="4" fillId="0" borderId="76" xfId="4" applyBorder="1"/>
    <xf numFmtId="0" fontId="4" fillId="15" borderId="77" xfId="4" applyFill="1" applyBorder="1"/>
    <xf numFmtId="15" fontId="4" fillId="0" borderId="0" xfId="4" applyNumberFormat="1" applyAlignment="1">
      <alignment vertical="center" wrapText="1"/>
    </xf>
    <xf numFmtId="175" fontId="4" fillId="0" borderId="0" xfId="4" applyNumberFormat="1"/>
    <xf numFmtId="0" fontId="0" fillId="0" borderId="78" xfId="0" applyBorder="1"/>
    <xf numFmtId="0" fontId="0" fillId="0" borderId="79" xfId="0" applyBorder="1"/>
    <xf numFmtId="14" fontId="0" fillId="15" borderId="79" xfId="0" applyNumberFormat="1" applyFill="1" applyBorder="1"/>
    <xf numFmtId="1" fontId="0" fillId="15" borderId="80" xfId="0" applyNumberFormat="1" applyFill="1" applyBorder="1"/>
    <xf numFmtId="0" fontId="4" fillId="0" borderId="29" xfId="4" applyBorder="1"/>
    <xf numFmtId="0" fontId="4" fillId="14" borderId="29" xfId="4" applyFill="1" applyBorder="1" applyAlignment="1">
      <alignment horizontal="center"/>
    </xf>
    <xf numFmtId="0" fontId="4" fillId="0" borderId="72" xfId="4" applyBorder="1" applyAlignment="1">
      <alignment horizontal="center"/>
    </xf>
    <xf numFmtId="0" fontId="4" fillId="0" borderId="73" xfId="4" applyBorder="1" applyAlignment="1">
      <alignment horizontal="center"/>
    </xf>
    <xf numFmtId="0" fontId="4" fillId="0" borderId="29" xfId="4" applyBorder="1" applyAlignment="1">
      <alignment horizontal="center"/>
    </xf>
    <xf numFmtId="175" fontId="4" fillId="0" borderId="29" xfId="4" applyNumberFormat="1" applyBorder="1"/>
    <xf numFmtId="175" fontId="4" fillId="15" borderId="29" xfId="4" applyNumberFormat="1" applyFill="1" applyBorder="1"/>
    <xf numFmtId="0" fontId="0" fillId="0" borderId="73" xfId="0" applyBorder="1"/>
    <xf numFmtId="176" fontId="0" fillId="15" borderId="4" xfId="0" applyNumberFormat="1" applyFill="1" applyBorder="1" applyAlignment="1">
      <alignment horizontal="center"/>
    </xf>
    <xf numFmtId="175" fontId="4" fillId="15" borderId="77" xfId="4" applyNumberFormat="1" applyFill="1" applyBorder="1"/>
    <xf numFmtId="0" fontId="73" fillId="0" borderId="0" xfId="0" quotePrefix="1" applyFont="1"/>
    <xf numFmtId="0" fontId="74" fillId="0" borderId="0" xfId="0" applyFont="1"/>
    <xf numFmtId="0" fontId="73" fillId="0" borderId="0" xfId="0" applyFont="1"/>
    <xf numFmtId="175" fontId="0" fillId="0" borderId="15" xfId="0" applyNumberFormat="1" applyBorder="1"/>
    <xf numFmtId="0" fontId="78" fillId="0" borderId="0" xfId="0" applyFont="1"/>
    <xf numFmtId="0" fontId="5" fillId="0" borderId="0" xfId="0" applyFont="1"/>
    <xf numFmtId="0" fontId="5" fillId="0" borderId="4" xfId="0" applyFont="1" applyBorder="1" applyAlignment="1">
      <alignment horizontal="center" vertical="center"/>
    </xf>
    <xf numFmtId="0" fontId="79" fillId="0" borderId="4" xfId="0" applyFont="1" applyBorder="1" applyAlignment="1">
      <alignment horizontal="center" vertical="center"/>
    </xf>
    <xf numFmtId="167" fontId="78" fillId="0" borderId="4" xfId="3" applyNumberFormat="1" applyFont="1" applyBorder="1"/>
    <xf numFmtId="164" fontId="0" fillId="0" borderId="4" xfId="2" applyFont="1" applyBorder="1"/>
    <xf numFmtId="164" fontId="0" fillId="0" borderId="4" xfId="0" applyNumberFormat="1" applyBorder="1"/>
    <xf numFmtId="164" fontId="4" fillId="0" borderId="4" xfId="0" applyNumberFormat="1" applyFont="1" applyBorder="1"/>
    <xf numFmtId="0" fontId="4" fillId="0" borderId="0" xfId="0" applyFont="1"/>
    <xf numFmtId="0" fontId="78" fillId="0" borderId="23" xfId="0" applyFont="1" applyBorder="1"/>
    <xf numFmtId="0" fontId="78" fillId="0" borderId="82" xfId="0" applyFont="1" applyBorder="1"/>
    <xf numFmtId="0" fontId="78" fillId="0" borderId="83" xfId="0" applyFont="1" applyBorder="1"/>
    <xf numFmtId="0" fontId="78" fillId="0" borderId="30" xfId="0" applyFont="1" applyBorder="1"/>
    <xf numFmtId="0" fontId="78" fillId="0" borderId="31" xfId="0" applyFont="1" applyBorder="1"/>
    <xf numFmtId="0" fontId="78" fillId="0" borderId="57" xfId="0" applyFont="1" applyBorder="1"/>
    <xf numFmtId="0" fontId="78" fillId="0" borderId="26" xfId="0" applyFont="1" applyBorder="1"/>
    <xf numFmtId="0" fontId="78" fillId="0" borderId="21" xfId="0" applyFont="1" applyBorder="1"/>
    <xf numFmtId="167" fontId="78" fillId="7" borderId="84" xfId="3" applyNumberFormat="1" applyFont="1" applyFill="1" applyBorder="1"/>
    <xf numFmtId="0" fontId="25" fillId="0" borderId="0" xfId="0" applyFont="1" applyAlignment="1">
      <alignment vertical="top"/>
    </xf>
    <xf numFmtId="0" fontId="19" fillId="26" borderId="33" xfId="0" applyFont="1" applyFill="1" applyBorder="1" applyAlignment="1">
      <alignment horizontal="center"/>
    </xf>
    <xf numFmtId="0" fontId="19" fillId="26" borderId="34" xfId="0" applyFont="1" applyFill="1" applyBorder="1" applyAlignment="1">
      <alignment horizontal="center"/>
    </xf>
    <xf numFmtId="0" fontId="19" fillId="26" borderId="35" xfId="0" applyFont="1" applyFill="1" applyBorder="1" applyAlignment="1">
      <alignment horizontal="center"/>
    </xf>
    <xf numFmtId="0" fontId="0" fillId="27" borderId="36" xfId="0" applyFill="1" applyBorder="1" applyAlignment="1">
      <alignment horizontal="center"/>
    </xf>
    <xf numFmtId="0" fontId="0" fillId="20" borderId="8" xfId="0" applyFill="1" applyBorder="1" applyAlignment="1">
      <alignment horizontal="center"/>
    </xf>
    <xf numFmtId="0" fontId="0" fillId="27" borderId="8" xfId="0" applyFill="1" applyBorder="1" applyAlignment="1">
      <alignment horizontal="center"/>
    </xf>
    <xf numFmtId="0" fontId="3" fillId="27" borderId="8" xfId="0" applyFont="1" applyFill="1" applyBorder="1" applyAlignment="1">
      <alignment horizontal="center"/>
    </xf>
    <xf numFmtId="0" fontId="0" fillId="14" borderId="8" xfId="0" applyFill="1" applyBorder="1" applyAlignment="1">
      <alignment horizontal="center"/>
    </xf>
    <xf numFmtId="0" fontId="0" fillId="28" borderId="8" xfId="0" applyFill="1" applyBorder="1" applyAlignment="1">
      <alignment horizontal="center"/>
    </xf>
    <xf numFmtId="0" fontId="3" fillId="14" borderId="8" xfId="0" applyFont="1" applyFill="1" applyBorder="1" applyAlignment="1">
      <alignment horizontal="center"/>
    </xf>
    <xf numFmtId="0" fontId="0" fillId="13" borderId="8" xfId="0" applyFill="1" applyBorder="1" applyAlignment="1">
      <alignment horizontal="center"/>
    </xf>
    <xf numFmtId="0" fontId="0" fillId="29" borderId="8" xfId="0" applyFill="1" applyBorder="1" applyAlignment="1">
      <alignment horizontal="center"/>
    </xf>
    <xf numFmtId="0" fontId="3" fillId="13" borderId="8" xfId="0" applyFont="1" applyFill="1" applyBorder="1" applyAlignment="1">
      <alignment horizontal="center"/>
    </xf>
    <xf numFmtId="0" fontId="0" fillId="30" borderId="8" xfId="0" applyFill="1" applyBorder="1" applyAlignment="1">
      <alignment horizontal="center"/>
    </xf>
    <xf numFmtId="0" fontId="0" fillId="18" borderId="8" xfId="0" applyFill="1" applyBorder="1" applyAlignment="1">
      <alignment horizontal="center"/>
    </xf>
    <xf numFmtId="0" fontId="3" fillId="18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80" fillId="0" borderId="0" xfId="0" applyFont="1"/>
    <xf numFmtId="0" fontId="0" fillId="0" borderId="4" xfId="0" applyBorder="1" applyAlignment="1">
      <alignment wrapText="1"/>
    </xf>
    <xf numFmtId="0" fontId="81" fillId="0" borderId="4" xfId="0" applyFont="1" applyBorder="1" applyAlignment="1">
      <alignment wrapText="1"/>
    </xf>
    <xf numFmtId="0" fontId="81" fillId="0" borderId="4" xfId="0" applyFont="1" applyBorder="1"/>
    <xf numFmtId="0" fontId="23" fillId="10" borderId="30" xfId="0" applyFont="1" applyFill="1" applyBorder="1" applyAlignment="1">
      <alignment horizontal="center"/>
    </xf>
    <xf numFmtId="0" fontId="23" fillId="10" borderId="31" xfId="0" applyFont="1" applyFill="1" applyBorder="1" applyAlignment="1">
      <alignment horizontal="center"/>
    </xf>
    <xf numFmtId="0" fontId="23" fillId="10" borderId="32" xfId="0" applyFont="1" applyFill="1" applyBorder="1" applyAlignment="1">
      <alignment horizontal="center"/>
    </xf>
    <xf numFmtId="0" fontId="23" fillId="10" borderId="22" xfId="0" applyFont="1" applyFill="1" applyBorder="1" applyAlignment="1">
      <alignment horizontal="center"/>
    </xf>
    <xf numFmtId="0" fontId="23" fillId="10" borderId="0" xfId="0" applyFont="1" applyFill="1" applyAlignment="1">
      <alignment horizontal="center"/>
    </xf>
    <xf numFmtId="0" fontId="0" fillId="12" borderId="4" xfId="0" applyFill="1" applyBorder="1" applyAlignment="1">
      <alignment horizontal="center" vertical="center"/>
    </xf>
    <xf numFmtId="0" fontId="0" fillId="12" borderId="4" xfId="0" applyFill="1" applyBorder="1" applyAlignment="1">
      <alignment horizontal="center" vertical="center" textRotation="90"/>
    </xf>
    <xf numFmtId="0" fontId="0" fillId="12" borderId="4" xfId="0" applyFill="1" applyBorder="1" applyAlignment="1">
      <alignment horizontal="center" vertical="center" textRotation="90" wrapText="1"/>
    </xf>
    <xf numFmtId="0" fontId="12" fillId="0" borderId="0" xfId="0" applyFont="1" applyAlignment="1">
      <alignment horizontal="center" vertical="center" wrapText="1"/>
    </xf>
    <xf numFmtId="0" fontId="11" fillId="5" borderId="0" xfId="0" applyFont="1" applyFill="1" applyAlignment="1">
      <alignment horizontal="center" vertical="top"/>
    </xf>
    <xf numFmtId="0" fontId="12" fillId="0" borderId="0" xfId="0" applyFont="1" applyAlignment="1">
      <alignment horizontal="left" wrapText="1"/>
    </xf>
    <xf numFmtId="0" fontId="22" fillId="0" borderId="0" xfId="0" applyFont="1" applyAlignment="1">
      <alignment horizontal="left" wrapText="1"/>
    </xf>
    <xf numFmtId="0" fontId="3" fillId="10" borderId="23" xfId="0" applyFont="1" applyFill="1" applyBorder="1" applyAlignment="1">
      <alignment horizontal="center" vertical="center" wrapText="1"/>
    </xf>
    <xf numFmtId="0" fontId="3" fillId="10" borderId="26" xfId="0" applyFont="1" applyFill="1" applyBorder="1" applyAlignment="1">
      <alignment horizontal="center" vertical="center" wrapText="1"/>
    </xf>
    <xf numFmtId="0" fontId="3" fillId="10" borderId="38" xfId="0" applyFont="1" applyFill="1" applyBorder="1" applyAlignment="1">
      <alignment horizontal="center" vertical="center" wrapText="1"/>
    </xf>
    <xf numFmtId="0" fontId="3" fillId="10" borderId="39" xfId="0" applyFont="1" applyFill="1" applyBorder="1" applyAlignment="1">
      <alignment horizontal="center" vertical="center" wrapText="1"/>
    </xf>
    <xf numFmtId="0" fontId="3" fillId="10" borderId="24" xfId="0" applyFont="1" applyFill="1" applyBorder="1" applyAlignment="1">
      <alignment horizontal="center" vertical="center" wrapText="1"/>
    </xf>
    <xf numFmtId="0" fontId="3" fillId="10" borderId="27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left" wrapText="1"/>
    </xf>
    <xf numFmtId="0" fontId="0" fillId="9" borderId="4" xfId="0" applyFill="1" applyBorder="1" applyAlignment="1">
      <alignment horizontal="center"/>
    </xf>
    <xf numFmtId="0" fontId="0" fillId="0" borderId="13" xfId="0" quotePrefix="1" applyBorder="1" applyAlignment="1">
      <alignment horizontal="left" wrapText="1"/>
    </xf>
    <xf numFmtId="0" fontId="0" fillId="0" borderId="15" xfId="0" quotePrefix="1" applyBorder="1" applyAlignment="1">
      <alignment horizontal="left" wrapText="1"/>
    </xf>
    <xf numFmtId="0" fontId="0" fillId="12" borderId="13" xfId="0" applyFill="1" applyBorder="1" applyAlignment="1">
      <alignment horizontal="center"/>
    </xf>
    <xf numFmtId="0" fontId="0" fillId="12" borderId="15" xfId="0" applyFill="1" applyBorder="1" applyAlignment="1">
      <alignment horizontal="center"/>
    </xf>
    <xf numFmtId="0" fontId="10" fillId="0" borderId="0" xfId="0" applyFont="1" applyAlignment="1">
      <alignment horizontal="left" wrapText="1"/>
    </xf>
    <xf numFmtId="0" fontId="18" fillId="8" borderId="0" xfId="0" applyFont="1" applyFill="1" applyAlignment="1">
      <alignment horizontal="center" vertical="center"/>
    </xf>
    <xf numFmtId="0" fontId="22" fillId="0" borderId="0" xfId="0" applyFont="1" applyAlignment="1">
      <alignment horizontal="left" vertical="top" wrapText="1"/>
    </xf>
    <xf numFmtId="0" fontId="12" fillId="0" borderId="16" xfId="0" applyFont="1" applyBorder="1" applyAlignment="1">
      <alignment horizontal="left" wrapText="1"/>
    </xf>
    <xf numFmtId="0" fontId="3" fillId="10" borderId="4" xfId="0" applyFont="1" applyFill="1" applyBorder="1" applyAlignment="1">
      <alignment horizontal="center" vertical="center" textRotation="45" wrapText="1"/>
    </xf>
    <xf numFmtId="0" fontId="3" fillId="14" borderId="0" xfId="0" applyFont="1" applyFill="1" applyAlignment="1">
      <alignment horizontal="center" vertical="center" wrapText="1"/>
    </xf>
    <xf numFmtId="0" fontId="27" fillId="0" borderId="0" xfId="0" quotePrefix="1" applyFont="1" applyAlignment="1">
      <alignment horizontal="left" vertical="top" wrapText="1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left" wrapText="1"/>
    </xf>
    <xf numFmtId="0" fontId="19" fillId="13" borderId="4" xfId="0" applyFont="1" applyFill="1" applyBorder="1" applyAlignment="1">
      <alignment horizontal="center"/>
    </xf>
    <xf numFmtId="0" fontId="0" fillId="0" borderId="0" xfId="0" quotePrefix="1" applyAlignment="1">
      <alignment horizontal="left" wrapText="1"/>
    </xf>
    <xf numFmtId="0" fontId="3" fillId="0" borderId="0" xfId="0" applyFont="1" applyAlignment="1">
      <alignment horizontal="left" vertical="center" wrapText="1"/>
    </xf>
    <xf numFmtId="0" fontId="5" fillId="0" borderId="0" xfId="4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41" fillId="0" borderId="0" xfId="0" quotePrefix="1" applyFont="1" applyAlignment="1">
      <alignment horizontal="left" wrapText="1"/>
    </xf>
    <xf numFmtId="0" fontId="41" fillId="0" borderId="0" xfId="0" applyFont="1" applyAlignment="1">
      <alignment horizontal="left" wrapText="1"/>
    </xf>
    <xf numFmtId="0" fontId="0" fillId="20" borderId="13" xfId="0" applyFill="1" applyBorder="1" applyAlignment="1">
      <alignment horizontal="center" vertical="center" textRotation="90"/>
    </xf>
    <xf numFmtId="0" fontId="0" fillId="20" borderId="14" xfId="0" applyFill="1" applyBorder="1" applyAlignment="1">
      <alignment horizontal="center" vertical="center" textRotation="90"/>
    </xf>
    <xf numFmtId="0" fontId="0" fillId="20" borderId="15" xfId="0" applyFill="1" applyBorder="1" applyAlignment="1">
      <alignment horizontal="center" vertical="center" textRotation="90"/>
    </xf>
    <xf numFmtId="0" fontId="12" fillId="0" borderId="0" xfId="0" applyFont="1" applyAlignment="1">
      <alignment horizontal="left" vertical="center" wrapText="1"/>
    </xf>
    <xf numFmtId="0" fontId="43" fillId="0" borderId="0" xfId="0" applyFont="1" applyAlignment="1">
      <alignment horizontal="center" wrapText="1"/>
    </xf>
    <xf numFmtId="0" fontId="0" fillId="20" borderId="4" xfId="0" applyFill="1" applyBorder="1" applyAlignment="1">
      <alignment horizontal="center" vertical="center" textRotation="90"/>
    </xf>
    <xf numFmtId="0" fontId="0" fillId="0" borderId="4" xfId="0" applyBorder="1" applyAlignment="1">
      <alignment horizontal="left" vertical="center"/>
    </xf>
    <xf numFmtId="169" fontId="0" fillId="0" borderId="4" xfId="0" applyNumberFormat="1" applyBorder="1" applyAlignment="1">
      <alignment horizontal="center" vertical="center"/>
    </xf>
    <xf numFmtId="0" fontId="19" fillId="18" borderId="0" xfId="0" applyFont="1" applyFill="1" applyAlignment="1">
      <alignment horizontal="center"/>
    </xf>
    <xf numFmtId="0" fontId="13" fillId="10" borderId="13" xfId="0" applyFont="1" applyFill="1" applyBorder="1" applyAlignment="1">
      <alignment horizontal="center" vertical="center"/>
    </xf>
    <xf numFmtId="0" fontId="13" fillId="10" borderId="15" xfId="0" applyFont="1" applyFill="1" applyBorder="1" applyAlignment="1">
      <alignment horizontal="center" vertical="center"/>
    </xf>
    <xf numFmtId="171" fontId="49" fillId="22" borderId="50" xfId="0" applyNumberFormat="1" applyFont="1" applyFill="1" applyBorder="1" applyAlignment="1">
      <alignment horizontal="center" vertical="center"/>
    </xf>
    <xf numFmtId="171" fontId="49" fillId="22" borderId="51" xfId="0" applyNumberFormat="1" applyFont="1" applyFill="1" applyBorder="1" applyAlignment="1">
      <alignment horizontal="center" vertical="center"/>
    </xf>
    <xf numFmtId="171" fontId="49" fillId="22" borderId="52" xfId="0" applyNumberFormat="1" applyFont="1" applyFill="1" applyBorder="1" applyAlignment="1">
      <alignment horizontal="center" vertical="center"/>
    </xf>
    <xf numFmtId="0" fontId="46" fillId="10" borderId="4" xfId="0" applyFont="1" applyFill="1" applyBorder="1" applyAlignment="1">
      <alignment horizontal="center" vertical="center"/>
    </xf>
    <xf numFmtId="0" fontId="47" fillId="10" borderId="50" xfId="0" applyFont="1" applyFill="1" applyBorder="1" applyAlignment="1">
      <alignment horizontal="center" vertical="center"/>
    </xf>
    <xf numFmtId="0" fontId="12" fillId="0" borderId="16" xfId="0" applyFont="1" applyBorder="1" applyAlignment="1">
      <alignment horizontal="center" vertical="center" wrapText="1"/>
    </xf>
    <xf numFmtId="0" fontId="12" fillId="0" borderId="21" xfId="0" applyFont="1" applyBorder="1" applyAlignment="1">
      <alignment horizontal="center" vertical="center" wrapText="1"/>
    </xf>
    <xf numFmtId="0" fontId="3" fillId="0" borderId="0" xfId="0" quotePrefix="1" applyFont="1" applyAlignment="1">
      <alignment horizontal="left" wrapText="1"/>
    </xf>
    <xf numFmtId="0" fontId="0" fillId="15" borderId="0" xfId="0" applyFill="1" applyAlignment="1">
      <alignment horizontal="center" wrapText="1"/>
    </xf>
    <xf numFmtId="0" fontId="4" fillId="0" borderId="4" xfId="0" applyFont="1" applyBorder="1" applyAlignment="1">
      <alignment horizontal="center"/>
    </xf>
    <xf numFmtId="0" fontId="56" fillId="0" borderId="0" xfId="7" applyFont="1" applyAlignment="1" applyProtection="1">
      <alignment horizontal="center" vertical="center"/>
      <protection hidden="1"/>
    </xf>
    <xf numFmtId="0" fontId="4" fillId="14" borderId="16" xfId="8" applyFont="1" applyFill="1" applyBorder="1" applyAlignment="1" applyProtection="1">
      <alignment horizontal="center" vertical="center"/>
      <protection hidden="1"/>
    </xf>
    <xf numFmtId="0" fontId="0" fillId="15" borderId="61" xfId="0" applyFill="1" applyBorder="1" applyAlignment="1">
      <alignment horizontal="center"/>
    </xf>
    <xf numFmtId="0" fontId="0" fillId="15" borderId="62" xfId="0" applyFill="1" applyBorder="1" applyAlignment="1">
      <alignment horizontal="center"/>
    </xf>
    <xf numFmtId="0" fontId="77" fillId="0" borderId="0" xfId="0" applyFont="1" applyAlignment="1">
      <alignment horizontal="center" vertical="center"/>
    </xf>
    <xf numFmtId="0" fontId="79" fillId="0" borderId="17" xfId="0" applyFont="1" applyBorder="1" applyAlignment="1">
      <alignment horizontal="center"/>
    </xf>
    <xf numFmtId="0" fontId="79" fillId="0" borderId="49" xfId="0" applyFont="1" applyBorder="1" applyAlignment="1">
      <alignment horizontal="center"/>
    </xf>
    <xf numFmtId="0" fontId="79" fillId="0" borderId="81" xfId="0" applyFont="1" applyBorder="1" applyAlignment="1">
      <alignment horizontal="center"/>
    </xf>
    <xf numFmtId="0" fontId="79" fillId="0" borderId="13" xfId="0" applyFont="1" applyBorder="1" applyAlignment="1">
      <alignment horizontal="center" vertical="center" textRotation="255"/>
    </xf>
    <xf numFmtId="0" fontId="79" fillId="0" borderId="14" xfId="0" applyFont="1" applyBorder="1" applyAlignment="1">
      <alignment horizontal="center" vertical="center" textRotation="255"/>
    </xf>
    <xf numFmtId="0" fontId="79" fillId="0" borderId="15" xfId="0" applyFont="1" applyBorder="1" applyAlignment="1">
      <alignment horizontal="center" vertical="center" textRotation="255"/>
    </xf>
    <xf numFmtId="0" fontId="53" fillId="0" borderId="0" xfId="0" applyFont="1" applyAlignment="1">
      <alignment horizontal="center"/>
    </xf>
    <xf numFmtId="0" fontId="54" fillId="0" borderId="0" xfId="0" applyFont="1" applyAlignment="1">
      <alignment horizontal="left" wrapText="1"/>
    </xf>
    <xf numFmtId="0" fontId="23" fillId="0" borderId="0" xfId="0" applyFont="1" applyAlignment="1">
      <alignment horizontal="left" wrapText="1"/>
    </xf>
    <xf numFmtId="0" fontId="61" fillId="0" borderId="0" xfId="0" applyFont="1" applyAlignment="1">
      <alignment horizontal="center"/>
    </xf>
    <xf numFmtId="0" fontId="53" fillId="0" borderId="0" xfId="0" applyFont="1" applyAlignment="1">
      <alignment horizontal="center" vertical="center" wrapText="1"/>
    </xf>
    <xf numFmtId="0" fontId="0" fillId="15" borderId="0" xfId="0" applyFill="1" applyAlignment="1">
      <alignment horizontal="left" wrapText="1"/>
    </xf>
    <xf numFmtId="0" fontId="3" fillId="0" borderId="4" xfId="0" applyFont="1" applyBorder="1" applyAlignment="1">
      <alignment horizontal="center"/>
    </xf>
    <xf numFmtId="0" fontId="3" fillId="14" borderId="0" xfId="4" applyFont="1" applyFill="1" applyAlignment="1">
      <alignment horizontal="center" vertical="center" wrapText="1"/>
    </xf>
    <xf numFmtId="0" fontId="3" fillId="14" borderId="67" xfId="4" applyFont="1" applyFill="1" applyBorder="1" applyAlignment="1">
      <alignment horizontal="center"/>
    </xf>
    <xf numFmtId="0" fontId="3" fillId="14" borderId="68" xfId="4" applyFont="1" applyFill="1" applyBorder="1" applyAlignment="1">
      <alignment horizontal="center"/>
    </xf>
    <xf numFmtId="0" fontId="25" fillId="0" borderId="0" xfId="0" applyFont="1" applyAlignment="1">
      <alignment horizontal="center" wrapText="1"/>
    </xf>
    <xf numFmtId="0" fontId="73" fillId="0" borderId="0" xfId="0" quotePrefix="1" applyFont="1" applyAlignment="1">
      <alignment horizontal="left" wrapText="1"/>
    </xf>
    <xf numFmtId="0" fontId="5" fillId="14" borderId="29" xfId="0" applyFont="1" applyFill="1" applyBorder="1" applyAlignment="1">
      <alignment horizontal="center" vertical="center" wrapText="1"/>
    </xf>
    <xf numFmtId="0" fontId="54" fillId="0" borderId="47" xfId="0" applyFont="1" applyBorder="1" applyAlignment="1">
      <alignment horizontal="left" vertical="center" wrapText="1"/>
    </xf>
    <xf numFmtId="0" fontId="54" fillId="0" borderId="0" xfId="0" applyFont="1" applyAlignment="1">
      <alignment horizontal="left" vertical="center" wrapText="1"/>
    </xf>
    <xf numFmtId="0" fontId="54" fillId="0" borderId="28" xfId="0" applyFont="1" applyBorder="1" applyAlignment="1">
      <alignment horizontal="left" vertical="center" wrapText="1"/>
    </xf>
    <xf numFmtId="0" fontId="54" fillId="0" borderId="16" xfId="0" applyFont="1" applyBorder="1" applyAlignment="1">
      <alignment horizontal="left" vertical="center" wrapText="1"/>
    </xf>
    <xf numFmtId="0" fontId="5" fillId="0" borderId="66" xfId="0" applyFont="1" applyBorder="1" applyAlignment="1">
      <alignment horizontal="center" vertical="center" wrapText="1"/>
    </xf>
    <xf numFmtId="0" fontId="5" fillId="0" borderId="71" xfId="0" applyFont="1" applyBorder="1" applyAlignment="1">
      <alignment horizontal="center" vertical="center" wrapText="1"/>
    </xf>
    <xf numFmtId="0" fontId="0" fillId="0" borderId="0" xfId="0" applyAlignment="1">
      <alignment horizontal="right"/>
    </xf>
    <xf numFmtId="0" fontId="0" fillId="0" borderId="25" xfId="0" applyBorder="1" applyAlignment="1">
      <alignment horizontal="right"/>
    </xf>
  </cellXfs>
  <cellStyles count="10">
    <cellStyle name="Entrée" xfId="1" builtinId="20"/>
    <cellStyle name="Euro" xfId="5" xr:uid="{00000000-0005-0000-0000-000001000000}"/>
    <cellStyle name="Lien hypertexte" xfId="9" builtinId="8"/>
    <cellStyle name="Milliers" xfId="2" builtinId="3"/>
    <cellStyle name="Monétaire" xfId="3" builtinId="4"/>
    <cellStyle name="Normal" xfId="0" builtinId="0"/>
    <cellStyle name="Normal 2" xfId="4" xr:uid="{00000000-0005-0000-0000-000005000000}"/>
    <cellStyle name="Normal_IV" xfId="8" xr:uid="{E74A066C-DC9A-42CC-9FB8-8FC1F097F5A8}"/>
    <cellStyle name="Normal_TVA" xfId="7" xr:uid="{9D5DFD35-C407-4EE5-B50F-B5E908555780}"/>
    <cellStyle name="Pourcentage" xfId="6" builtinId="5"/>
  </cellStyles>
  <dxfs count="7"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gradientFill degree="90">
          <stop position="0">
            <color theme="4" tint="0.40000610370189521"/>
          </stop>
          <stop position="1">
            <color rgb="FF92D050"/>
          </stop>
        </gradientFill>
      </fill>
    </dxf>
    <dxf>
      <fill>
        <patternFill>
          <bgColor rgb="FFFF0000"/>
        </patternFill>
      </fill>
    </dxf>
    <dxf>
      <fill>
        <patternFill>
          <bgColor rgb="FFFF9933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FF9933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'3collage'!$F$4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'3collage'!$B$5:$B$20</c:f>
              <c:strCache>
                <c:ptCount val="16"/>
                <c:pt idx="0">
                  <c:v>leclerc</c:v>
                </c:pt>
                <c:pt idx="1">
                  <c:v>auchan</c:v>
                </c:pt>
                <c:pt idx="2">
                  <c:v>carrefour</c:v>
                </c:pt>
                <c:pt idx="3">
                  <c:v>super U</c:v>
                </c:pt>
                <c:pt idx="4">
                  <c:v>boulangerie</c:v>
                </c:pt>
                <c:pt idx="5">
                  <c:v>boucherie</c:v>
                </c:pt>
                <c:pt idx="6">
                  <c:v>bio</c:v>
                </c:pt>
                <c:pt idx="7">
                  <c:v>voiture Mme</c:v>
                </c:pt>
                <c:pt idx="8">
                  <c:v>habitation</c:v>
                </c:pt>
                <c:pt idx="9">
                  <c:v>voiture M</c:v>
                </c:pt>
                <c:pt idx="10">
                  <c:v>scooter Nico</c:v>
                </c:pt>
                <c:pt idx="11">
                  <c:v>tel maison</c:v>
                </c:pt>
                <c:pt idx="12">
                  <c:v>tels portables</c:v>
                </c:pt>
                <c:pt idx="13">
                  <c:v>box</c:v>
                </c:pt>
                <c:pt idx="14">
                  <c:v>essence / gasoil</c:v>
                </c:pt>
                <c:pt idx="15">
                  <c:v>autoroute</c:v>
                </c:pt>
              </c:strCache>
            </c:strRef>
          </c:cat>
          <c:val>
            <c:numRef>
              <c:f>'3collage'!$F$5:$F$20</c:f>
              <c:numCache>
                <c:formatCode>General</c:formatCode>
                <c:ptCount val="16"/>
                <c:pt idx="0">
                  <c:v>635</c:v>
                </c:pt>
                <c:pt idx="1">
                  <c:v>1102</c:v>
                </c:pt>
                <c:pt idx="2">
                  <c:v>1008</c:v>
                </c:pt>
                <c:pt idx="3">
                  <c:v>1046</c:v>
                </c:pt>
                <c:pt idx="4">
                  <c:v>143</c:v>
                </c:pt>
                <c:pt idx="5">
                  <c:v>469</c:v>
                </c:pt>
                <c:pt idx="6">
                  <c:v>189</c:v>
                </c:pt>
                <c:pt idx="7">
                  <c:v>207</c:v>
                </c:pt>
                <c:pt idx="8">
                  <c:v>72</c:v>
                </c:pt>
                <c:pt idx="9">
                  <c:v>237</c:v>
                </c:pt>
                <c:pt idx="10">
                  <c:v>135</c:v>
                </c:pt>
                <c:pt idx="11">
                  <c:v>144</c:v>
                </c:pt>
                <c:pt idx="12">
                  <c:v>201</c:v>
                </c:pt>
                <c:pt idx="13">
                  <c:v>117</c:v>
                </c:pt>
                <c:pt idx="14">
                  <c:v>890</c:v>
                </c:pt>
                <c:pt idx="15">
                  <c:v>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1A-442E-8715-C8A5E4B25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34972952"/>
        <c:axId val="834973936"/>
      </c:barChart>
      <c:catAx>
        <c:axId val="834972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34973936"/>
        <c:crosses val="autoZero"/>
        <c:auto val="1"/>
        <c:lblAlgn val="ctr"/>
        <c:lblOffset val="100"/>
        <c:noMultiLvlLbl val="0"/>
      </c:catAx>
      <c:valAx>
        <c:axId val="83497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34972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Evolution des ventes Vélos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'9graphique_simple'!$BG$5</c:f>
              <c:strCache>
                <c:ptCount val="1"/>
                <c:pt idx="0">
                  <c:v>vélo vendus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'9graphique_simple'!$BG$4:$BM$4</c:f>
              <c:strCache>
                <c:ptCount val="7"/>
                <c:pt idx="0">
                  <c:v>années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strCache>
            </c:strRef>
          </c:cat>
          <c:val>
            <c:numRef>
              <c:f>'9graphique_simple'!$BH$5:$BM$5</c:f>
              <c:numCache>
                <c:formatCode>General</c:formatCode>
                <c:ptCount val="6"/>
                <c:pt idx="0">
                  <c:v>125</c:v>
                </c:pt>
                <c:pt idx="1">
                  <c:v>145</c:v>
                </c:pt>
                <c:pt idx="2">
                  <c:v>167</c:v>
                </c:pt>
                <c:pt idx="3">
                  <c:v>204</c:v>
                </c:pt>
                <c:pt idx="4">
                  <c:v>220</c:v>
                </c:pt>
                <c:pt idx="5">
                  <c:v>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06-4971-8543-95D8F2550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2628872"/>
        <c:axId val="912629200"/>
      </c:barChart>
      <c:lineChart>
        <c:grouping val="stacked"/>
        <c:varyColors val="0"/>
        <c:ser>
          <c:idx val="0"/>
          <c:order val="1"/>
          <c:tx>
            <c:strRef>
              <c:f>'9graphique_simple'!$BG$6</c:f>
              <c:strCache>
                <c:ptCount val="1"/>
                <c:pt idx="0">
                  <c:v>prix moyen par vélo</c:v>
                </c:pt>
              </c:strCache>
            </c:strRef>
          </c:tx>
          <c:spPr>
            <a:ln w="34925" cap="rnd">
              <a:solidFill>
                <a:schemeClr val="accent1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shade val="76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'9graphique_simple'!$BH$6:$BM$6</c:f>
              <c:numCache>
                <c:formatCode>_-* #\ ##0\ "€"_-;\-* #\ ##0\ "€"_-;_-* "-"??\ "€"_-;_-@_-</c:formatCode>
                <c:ptCount val="6"/>
                <c:pt idx="0">
                  <c:v>520</c:v>
                </c:pt>
                <c:pt idx="1">
                  <c:v>490</c:v>
                </c:pt>
                <c:pt idx="2">
                  <c:v>467</c:v>
                </c:pt>
                <c:pt idx="3">
                  <c:v>445</c:v>
                </c:pt>
                <c:pt idx="4">
                  <c:v>420</c:v>
                </c:pt>
                <c:pt idx="5">
                  <c:v>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06-4971-8543-95D8F2550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2627888"/>
        <c:axId val="912631496"/>
      </c:lineChart>
      <c:catAx>
        <c:axId val="912628872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12629200"/>
        <c:crosses val="autoZero"/>
        <c:auto val="1"/>
        <c:lblAlgn val="ctr"/>
        <c:lblOffset val="100"/>
        <c:noMultiLvlLbl val="0"/>
      </c:catAx>
      <c:valAx>
        <c:axId val="91262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Vélo vendus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12628872"/>
        <c:crosses val="autoZero"/>
        <c:crossBetween val="between"/>
      </c:valAx>
      <c:valAx>
        <c:axId val="912631496"/>
        <c:scaling>
          <c:orientation val="minMax"/>
          <c:min val="35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prix myen par vélo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_-* #\ ##0\ &quot;€&quot;_-;\-* #\ 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12627888"/>
        <c:crosses val="max"/>
        <c:crossBetween val="between"/>
      </c:valAx>
      <c:catAx>
        <c:axId val="912627888"/>
        <c:scaling>
          <c:orientation val="minMax"/>
        </c:scaling>
        <c:delete val="1"/>
        <c:axPos val="b"/>
        <c:majorTickMark val="none"/>
        <c:minorTickMark val="none"/>
        <c:tickLblPos val="nextTo"/>
        <c:crossAx val="9126314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Répartition par tranche d'âge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'9graphique_simple'!$B$6</c:f>
              <c:strCache>
                <c:ptCount val="1"/>
                <c:pt idx="0">
                  <c:v>4 - 8 ans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'9graphique_simple'!$A$7:$A$12</c:f>
              <c:strCache>
                <c:ptCount val="6"/>
                <c:pt idx="0">
                  <c:v>Equitation</c:v>
                </c:pt>
                <c:pt idx="1">
                  <c:v>Boxe</c:v>
                </c:pt>
                <c:pt idx="2">
                  <c:v>Foot</c:v>
                </c:pt>
                <c:pt idx="3">
                  <c:v>Danse</c:v>
                </c:pt>
                <c:pt idx="4">
                  <c:v>Gym</c:v>
                </c:pt>
                <c:pt idx="5">
                  <c:v>Natation</c:v>
                </c:pt>
              </c:strCache>
            </c:strRef>
          </c:cat>
          <c:val>
            <c:numRef>
              <c:f>'9graphique_simple'!$B$7:$B$12</c:f>
              <c:numCache>
                <c:formatCode>General</c:formatCode>
                <c:ptCount val="6"/>
                <c:pt idx="0">
                  <c:v>567</c:v>
                </c:pt>
                <c:pt idx="1">
                  <c:v>345</c:v>
                </c:pt>
                <c:pt idx="2">
                  <c:v>853</c:v>
                </c:pt>
                <c:pt idx="3">
                  <c:v>674</c:v>
                </c:pt>
                <c:pt idx="4">
                  <c:v>753</c:v>
                </c:pt>
                <c:pt idx="5">
                  <c:v>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8-47A7-B6A1-FA0E65A653AF}"/>
            </c:ext>
          </c:extLst>
        </c:ser>
        <c:ser>
          <c:idx val="1"/>
          <c:order val="1"/>
          <c:tx>
            <c:strRef>
              <c:f>'9graphique_simple'!$C$6</c:f>
              <c:strCache>
                <c:ptCount val="1"/>
                <c:pt idx="0">
                  <c:v>9 - 12 ans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'9graphique_simple'!$A$7:$A$12</c:f>
              <c:strCache>
                <c:ptCount val="6"/>
                <c:pt idx="0">
                  <c:v>Equitation</c:v>
                </c:pt>
                <c:pt idx="1">
                  <c:v>Boxe</c:v>
                </c:pt>
                <c:pt idx="2">
                  <c:v>Foot</c:v>
                </c:pt>
                <c:pt idx="3">
                  <c:v>Danse</c:v>
                </c:pt>
                <c:pt idx="4">
                  <c:v>Gym</c:v>
                </c:pt>
                <c:pt idx="5">
                  <c:v>Natation</c:v>
                </c:pt>
              </c:strCache>
            </c:strRef>
          </c:cat>
          <c:val>
            <c:numRef>
              <c:f>'9graphique_simple'!$C$7:$C$12</c:f>
              <c:numCache>
                <c:formatCode>General</c:formatCode>
                <c:ptCount val="6"/>
                <c:pt idx="0">
                  <c:v>754</c:v>
                </c:pt>
                <c:pt idx="1">
                  <c:v>485</c:v>
                </c:pt>
                <c:pt idx="2">
                  <c:v>1268</c:v>
                </c:pt>
                <c:pt idx="3">
                  <c:v>735</c:v>
                </c:pt>
                <c:pt idx="4">
                  <c:v>1278</c:v>
                </c:pt>
                <c:pt idx="5">
                  <c:v>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D8-47A7-B6A1-FA0E65A653AF}"/>
            </c:ext>
          </c:extLst>
        </c:ser>
        <c:ser>
          <c:idx val="2"/>
          <c:order val="2"/>
          <c:tx>
            <c:strRef>
              <c:f>'9graphique_simple'!$D$6</c:f>
              <c:strCache>
                <c:ptCount val="1"/>
                <c:pt idx="0">
                  <c:v>13 -17 ans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'9graphique_simple'!$A$7:$A$12</c:f>
              <c:strCache>
                <c:ptCount val="6"/>
                <c:pt idx="0">
                  <c:v>Equitation</c:v>
                </c:pt>
                <c:pt idx="1">
                  <c:v>Boxe</c:v>
                </c:pt>
                <c:pt idx="2">
                  <c:v>Foot</c:v>
                </c:pt>
                <c:pt idx="3">
                  <c:v>Danse</c:v>
                </c:pt>
                <c:pt idx="4">
                  <c:v>Gym</c:v>
                </c:pt>
                <c:pt idx="5">
                  <c:v>Natation</c:v>
                </c:pt>
              </c:strCache>
            </c:strRef>
          </c:cat>
          <c:val>
            <c:numRef>
              <c:f>'9graphique_simple'!$D$7:$D$12</c:f>
              <c:numCache>
                <c:formatCode>General</c:formatCode>
                <c:ptCount val="6"/>
                <c:pt idx="0">
                  <c:v>1234</c:v>
                </c:pt>
                <c:pt idx="1">
                  <c:v>597</c:v>
                </c:pt>
                <c:pt idx="2">
                  <c:v>1584</c:v>
                </c:pt>
                <c:pt idx="3">
                  <c:v>798</c:v>
                </c:pt>
                <c:pt idx="4">
                  <c:v>853</c:v>
                </c:pt>
                <c:pt idx="5">
                  <c:v>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D8-47A7-B6A1-FA0E65A653AF}"/>
            </c:ext>
          </c:extLst>
        </c:ser>
        <c:ser>
          <c:idx val="3"/>
          <c:order val="3"/>
          <c:tx>
            <c:strRef>
              <c:f>'9graphique_simple'!$E$6</c:f>
              <c:strCache>
                <c:ptCount val="1"/>
                <c:pt idx="0">
                  <c:v>18 - 25 ans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'9graphique_simple'!$A$7:$A$12</c:f>
              <c:strCache>
                <c:ptCount val="6"/>
                <c:pt idx="0">
                  <c:v>Equitation</c:v>
                </c:pt>
                <c:pt idx="1">
                  <c:v>Boxe</c:v>
                </c:pt>
                <c:pt idx="2">
                  <c:v>Foot</c:v>
                </c:pt>
                <c:pt idx="3">
                  <c:v>Danse</c:v>
                </c:pt>
                <c:pt idx="4">
                  <c:v>Gym</c:v>
                </c:pt>
                <c:pt idx="5">
                  <c:v>Natation</c:v>
                </c:pt>
              </c:strCache>
            </c:strRef>
          </c:cat>
          <c:val>
            <c:numRef>
              <c:f>'9graphique_simple'!$E$7:$E$12</c:f>
              <c:numCache>
                <c:formatCode>General</c:formatCode>
                <c:ptCount val="6"/>
                <c:pt idx="0">
                  <c:v>954</c:v>
                </c:pt>
                <c:pt idx="1">
                  <c:v>697</c:v>
                </c:pt>
                <c:pt idx="2">
                  <c:v>954</c:v>
                </c:pt>
                <c:pt idx="3">
                  <c:v>643</c:v>
                </c:pt>
                <c:pt idx="4">
                  <c:v>584</c:v>
                </c:pt>
                <c:pt idx="5">
                  <c:v>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D8-47A7-B6A1-FA0E65A653AF}"/>
            </c:ext>
          </c:extLst>
        </c:ser>
        <c:ser>
          <c:idx val="4"/>
          <c:order val="4"/>
          <c:tx>
            <c:strRef>
              <c:f>'9graphique_simple'!$F$6</c:f>
              <c:strCache>
                <c:ptCount val="1"/>
                <c:pt idx="0">
                  <c:v>26 - 40 ans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'9graphique_simple'!$A$7:$A$12</c:f>
              <c:strCache>
                <c:ptCount val="6"/>
                <c:pt idx="0">
                  <c:v>Equitation</c:v>
                </c:pt>
                <c:pt idx="1">
                  <c:v>Boxe</c:v>
                </c:pt>
                <c:pt idx="2">
                  <c:v>Foot</c:v>
                </c:pt>
                <c:pt idx="3">
                  <c:v>Danse</c:v>
                </c:pt>
                <c:pt idx="4">
                  <c:v>Gym</c:v>
                </c:pt>
                <c:pt idx="5">
                  <c:v>Natation</c:v>
                </c:pt>
              </c:strCache>
            </c:strRef>
          </c:cat>
          <c:val>
            <c:numRef>
              <c:f>'9graphique_simple'!$F$7:$F$12</c:f>
              <c:numCache>
                <c:formatCode>General</c:formatCode>
                <c:ptCount val="6"/>
                <c:pt idx="0">
                  <c:v>654</c:v>
                </c:pt>
                <c:pt idx="1">
                  <c:v>643</c:v>
                </c:pt>
                <c:pt idx="2">
                  <c:v>863</c:v>
                </c:pt>
                <c:pt idx="3">
                  <c:v>485</c:v>
                </c:pt>
                <c:pt idx="4">
                  <c:v>486</c:v>
                </c:pt>
                <c:pt idx="5">
                  <c:v>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7D8-47A7-B6A1-FA0E65A653AF}"/>
            </c:ext>
          </c:extLst>
        </c:ser>
        <c:ser>
          <c:idx val="5"/>
          <c:order val="5"/>
          <c:tx>
            <c:strRef>
              <c:f>'9graphique_simple'!$G$6</c:f>
              <c:strCache>
                <c:ptCount val="1"/>
                <c:pt idx="0">
                  <c:v>41 - 55 ans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'9graphique_simple'!$A$7:$A$12</c:f>
              <c:strCache>
                <c:ptCount val="6"/>
                <c:pt idx="0">
                  <c:v>Equitation</c:v>
                </c:pt>
                <c:pt idx="1">
                  <c:v>Boxe</c:v>
                </c:pt>
                <c:pt idx="2">
                  <c:v>Foot</c:v>
                </c:pt>
                <c:pt idx="3">
                  <c:v>Danse</c:v>
                </c:pt>
                <c:pt idx="4">
                  <c:v>Gym</c:v>
                </c:pt>
                <c:pt idx="5">
                  <c:v>Natation</c:v>
                </c:pt>
              </c:strCache>
            </c:strRef>
          </c:cat>
          <c:val>
            <c:numRef>
              <c:f>'9graphique_simple'!$G$7:$G$12</c:f>
              <c:numCache>
                <c:formatCode>General</c:formatCode>
                <c:ptCount val="6"/>
                <c:pt idx="0">
                  <c:v>538</c:v>
                </c:pt>
                <c:pt idx="1">
                  <c:v>468</c:v>
                </c:pt>
                <c:pt idx="2">
                  <c:v>632</c:v>
                </c:pt>
                <c:pt idx="3">
                  <c:v>257</c:v>
                </c:pt>
                <c:pt idx="4">
                  <c:v>385</c:v>
                </c:pt>
                <c:pt idx="5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7D8-47A7-B6A1-FA0E65A653AF}"/>
            </c:ext>
          </c:extLst>
        </c:ser>
        <c:ser>
          <c:idx val="6"/>
          <c:order val="6"/>
          <c:tx>
            <c:strRef>
              <c:f>'9graphique_simple'!$H$6</c:f>
              <c:strCache>
                <c:ptCount val="1"/>
                <c:pt idx="0">
                  <c:v>+ 56 ans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'9graphique_simple'!$A$7:$A$12</c:f>
              <c:strCache>
                <c:ptCount val="6"/>
                <c:pt idx="0">
                  <c:v>Equitation</c:v>
                </c:pt>
                <c:pt idx="1">
                  <c:v>Boxe</c:v>
                </c:pt>
                <c:pt idx="2">
                  <c:v>Foot</c:v>
                </c:pt>
                <c:pt idx="3">
                  <c:v>Danse</c:v>
                </c:pt>
                <c:pt idx="4">
                  <c:v>Gym</c:v>
                </c:pt>
                <c:pt idx="5">
                  <c:v>Natation</c:v>
                </c:pt>
              </c:strCache>
            </c:strRef>
          </c:cat>
          <c:val>
            <c:numRef>
              <c:f>'9graphique_simple'!$H$7:$H$12</c:f>
              <c:numCache>
                <c:formatCode>General</c:formatCode>
                <c:ptCount val="6"/>
                <c:pt idx="0">
                  <c:v>345</c:v>
                </c:pt>
                <c:pt idx="1">
                  <c:v>265</c:v>
                </c:pt>
                <c:pt idx="2">
                  <c:v>378</c:v>
                </c:pt>
                <c:pt idx="3">
                  <c:v>203</c:v>
                </c:pt>
                <c:pt idx="4">
                  <c:v>275</c:v>
                </c:pt>
                <c:pt idx="5">
                  <c:v>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7D8-47A7-B6A1-FA0E65A65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46117512"/>
        <c:axId val="646117840"/>
      </c:barChart>
      <c:catAx>
        <c:axId val="646117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46117840"/>
        <c:crosses val="autoZero"/>
        <c:auto val="1"/>
        <c:lblAlgn val="ctr"/>
        <c:lblOffset val="100"/>
        <c:noMultiLvlLbl val="0"/>
      </c:catAx>
      <c:valAx>
        <c:axId val="646117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46117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Evolution des ventes Vélos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'9graphique_simple'!$BG$5</c:f>
              <c:strCache>
                <c:ptCount val="1"/>
                <c:pt idx="0">
                  <c:v>vélo vendus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'9graphique_simple'!$BH$4:$BM$4</c:f>
              <c:numCache>
                <c:formatCode>General</c:formatCode>
                <c:ptCount val="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</c:numCache>
            </c:numRef>
          </c:cat>
          <c:val>
            <c:numRef>
              <c:f>'9graphique_simple'!$BH$5:$BM$5</c:f>
              <c:numCache>
                <c:formatCode>General</c:formatCode>
                <c:ptCount val="6"/>
                <c:pt idx="0">
                  <c:v>125</c:v>
                </c:pt>
                <c:pt idx="1">
                  <c:v>145</c:v>
                </c:pt>
                <c:pt idx="2">
                  <c:v>167</c:v>
                </c:pt>
                <c:pt idx="3">
                  <c:v>204</c:v>
                </c:pt>
                <c:pt idx="4">
                  <c:v>220</c:v>
                </c:pt>
                <c:pt idx="5">
                  <c:v>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DC-4426-9D4E-A6EBB9722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460137472"/>
        <c:axId val="460138128"/>
      </c:barChart>
      <c:lineChart>
        <c:grouping val="standard"/>
        <c:varyColors val="0"/>
        <c:ser>
          <c:idx val="1"/>
          <c:order val="1"/>
          <c:tx>
            <c:v>prix moyen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'9graphique_simple'!$BH$6:$BM$6</c:f>
              <c:numCache>
                <c:formatCode>_-* #\ ##0\ "€"_-;\-* #\ ##0\ "€"_-;_-* "-"??\ "€"_-;_-@_-</c:formatCode>
                <c:ptCount val="6"/>
                <c:pt idx="0">
                  <c:v>520</c:v>
                </c:pt>
                <c:pt idx="1">
                  <c:v>490</c:v>
                </c:pt>
                <c:pt idx="2">
                  <c:v>467</c:v>
                </c:pt>
                <c:pt idx="3">
                  <c:v>445</c:v>
                </c:pt>
                <c:pt idx="4">
                  <c:v>420</c:v>
                </c:pt>
                <c:pt idx="5">
                  <c:v>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DC-4426-9D4E-A6EBB9722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119432"/>
        <c:axId val="460123040"/>
      </c:lineChart>
      <c:catAx>
        <c:axId val="46013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60138128"/>
        <c:crosses val="autoZero"/>
        <c:auto val="1"/>
        <c:lblAlgn val="ctr"/>
        <c:lblOffset val="100"/>
        <c:noMultiLvlLbl val="0"/>
      </c:catAx>
      <c:valAx>
        <c:axId val="46013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velos vendus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60137472"/>
        <c:crosses val="autoZero"/>
        <c:crossBetween val="between"/>
      </c:valAx>
      <c:valAx>
        <c:axId val="460123040"/>
        <c:scaling>
          <c:orientation val="minMax"/>
          <c:min val="35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prix moyen /</a:t>
                </a:r>
                <a:r>
                  <a:rPr lang="fr-FR" baseline="0"/>
                  <a:t> velo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\ &quot;€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60119432"/>
        <c:crosses val="max"/>
        <c:crossBetween val="between"/>
      </c:valAx>
      <c:catAx>
        <c:axId val="460119432"/>
        <c:scaling>
          <c:orientation val="minMax"/>
        </c:scaling>
        <c:delete val="1"/>
        <c:axPos val="b"/>
        <c:majorTickMark val="out"/>
        <c:minorTickMark val="none"/>
        <c:tickLblPos val="nextTo"/>
        <c:crossAx val="4601230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'9graphique_simple'!$BG$5</c:f>
              <c:strCache>
                <c:ptCount val="1"/>
                <c:pt idx="0">
                  <c:v>vélo vendus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'9graphique_simple'!$BH$4:$BM$4</c:f>
              <c:numCache>
                <c:formatCode>General</c:formatCode>
                <c:ptCount val="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</c:numCache>
            </c:numRef>
          </c:cat>
          <c:val>
            <c:numRef>
              <c:f>'9graphique_simple'!$BH$5:$BM$5</c:f>
              <c:numCache>
                <c:formatCode>General</c:formatCode>
                <c:ptCount val="6"/>
                <c:pt idx="0">
                  <c:v>125</c:v>
                </c:pt>
                <c:pt idx="1">
                  <c:v>145</c:v>
                </c:pt>
                <c:pt idx="2">
                  <c:v>167</c:v>
                </c:pt>
                <c:pt idx="3">
                  <c:v>204</c:v>
                </c:pt>
                <c:pt idx="4">
                  <c:v>220</c:v>
                </c:pt>
                <c:pt idx="5">
                  <c:v>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91-41CD-950B-7CC77478C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1349256"/>
        <c:axId val="681354832"/>
      </c:barChart>
      <c:catAx>
        <c:axId val="681349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1354832"/>
        <c:crosses val="autoZero"/>
        <c:auto val="1"/>
        <c:lblAlgn val="ctr"/>
        <c:lblOffset val="100"/>
        <c:noMultiLvlLbl val="0"/>
      </c:catAx>
      <c:valAx>
        <c:axId val="68135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1349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'9graphique_simple'!$BG$5</c:f>
              <c:strCache>
                <c:ptCount val="1"/>
                <c:pt idx="0">
                  <c:v>vélo vendus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'9graphique_simple'!$BH$4:$BM$4</c:f>
              <c:numCache>
                <c:formatCode>General</c:formatCode>
                <c:ptCount val="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</c:numCache>
            </c:numRef>
          </c:cat>
          <c:val>
            <c:numRef>
              <c:f>'9graphique_simple'!$BH$5:$BM$5</c:f>
              <c:numCache>
                <c:formatCode>General</c:formatCode>
                <c:ptCount val="6"/>
                <c:pt idx="0">
                  <c:v>125</c:v>
                </c:pt>
                <c:pt idx="1">
                  <c:v>145</c:v>
                </c:pt>
                <c:pt idx="2">
                  <c:v>167</c:v>
                </c:pt>
                <c:pt idx="3">
                  <c:v>204</c:v>
                </c:pt>
                <c:pt idx="4">
                  <c:v>220</c:v>
                </c:pt>
                <c:pt idx="5">
                  <c:v>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17-4679-953E-D1CE4A495D3F}"/>
            </c:ext>
          </c:extLst>
        </c:ser>
        <c:ser>
          <c:idx val="1"/>
          <c:order val="1"/>
          <c:tx>
            <c:v>prix moyen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'9graphique_simple'!$BH$6:$BM$6</c:f>
              <c:numCache>
                <c:formatCode>_-* #\ ##0\ "€"_-;\-* #\ ##0\ "€"_-;_-* "-"??\ "€"_-;_-@_-</c:formatCode>
                <c:ptCount val="6"/>
                <c:pt idx="0">
                  <c:v>520</c:v>
                </c:pt>
                <c:pt idx="1">
                  <c:v>490</c:v>
                </c:pt>
                <c:pt idx="2">
                  <c:v>467</c:v>
                </c:pt>
                <c:pt idx="3">
                  <c:v>445</c:v>
                </c:pt>
                <c:pt idx="4">
                  <c:v>420</c:v>
                </c:pt>
                <c:pt idx="5">
                  <c:v>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17-4679-953E-D1CE4A495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1349256"/>
        <c:axId val="681354832"/>
      </c:barChart>
      <c:catAx>
        <c:axId val="681349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1354832"/>
        <c:crosses val="autoZero"/>
        <c:auto val="1"/>
        <c:lblAlgn val="ctr"/>
        <c:lblOffset val="100"/>
        <c:noMultiLvlLbl val="0"/>
      </c:catAx>
      <c:valAx>
        <c:axId val="68135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1349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'9graphique_simple'!$BG$5</c:f>
              <c:strCache>
                <c:ptCount val="1"/>
                <c:pt idx="0">
                  <c:v>vélo vendus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'9graphique_simple'!$BH$4:$BM$4</c:f>
              <c:numCache>
                <c:formatCode>General</c:formatCode>
                <c:ptCount val="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</c:numCache>
            </c:numRef>
          </c:cat>
          <c:val>
            <c:numRef>
              <c:f>'9graphique_simple'!$BH$5:$BM$5</c:f>
              <c:numCache>
                <c:formatCode>General</c:formatCode>
                <c:ptCount val="6"/>
                <c:pt idx="0">
                  <c:v>125</c:v>
                </c:pt>
                <c:pt idx="1">
                  <c:v>145</c:v>
                </c:pt>
                <c:pt idx="2">
                  <c:v>167</c:v>
                </c:pt>
                <c:pt idx="3">
                  <c:v>204</c:v>
                </c:pt>
                <c:pt idx="4">
                  <c:v>220</c:v>
                </c:pt>
                <c:pt idx="5">
                  <c:v>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F-4DE4-81B1-FAAEDA82F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81349256"/>
        <c:axId val="681354832"/>
      </c:barChart>
      <c:lineChart>
        <c:grouping val="standard"/>
        <c:varyColors val="0"/>
        <c:ser>
          <c:idx val="1"/>
          <c:order val="1"/>
          <c:tx>
            <c:v>prix moyen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'9graphique_simple'!$BH$6:$BM$6</c:f>
              <c:numCache>
                <c:formatCode>_-* #\ ##0\ "€"_-;\-* #\ ##0\ "€"_-;_-* "-"??\ "€"_-;_-@_-</c:formatCode>
                <c:ptCount val="6"/>
                <c:pt idx="0">
                  <c:v>520</c:v>
                </c:pt>
                <c:pt idx="1">
                  <c:v>490</c:v>
                </c:pt>
                <c:pt idx="2">
                  <c:v>467</c:v>
                </c:pt>
                <c:pt idx="3">
                  <c:v>445</c:v>
                </c:pt>
                <c:pt idx="4">
                  <c:v>420</c:v>
                </c:pt>
                <c:pt idx="5">
                  <c:v>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FF-4DE4-81B1-FAAEDA82F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947240"/>
        <c:axId val="539944288"/>
      </c:lineChart>
      <c:catAx>
        <c:axId val="681349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1354832"/>
        <c:crosses val="autoZero"/>
        <c:auto val="1"/>
        <c:lblAlgn val="ctr"/>
        <c:lblOffset val="100"/>
        <c:noMultiLvlLbl val="0"/>
      </c:catAx>
      <c:valAx>
        <c:axId val="68135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1349256"/>
        <c:crosses val="autoZero"/>
        <c:crossBetween val="between"/>
      </c:valAx>
      <c:valAx>
        <c:axId val="539944288"/>
        <c:scaling>
          <c:orientation val="minMax"/>
        </c:scaling>
        <c:delete val="0"/>
        <c:axPos val="r"/>
        <c:numFmt formatCode="_-* #\ ##0\ &quot;€&quot;_-;\-* #\ ##0\ &quot;€&quot;_-;_-* &quot;-&quot;??\ &quot;€&quot;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9947240"/>
        <c:crosses val="max"/>
        <c:crossBetween val="between"/>
      </c:valAx>
      <c:catAx>
        <c:axId val="539947240"/>
        <c:scaling>
          <c:orientation val="minMax"/>
        </c:scaling>
        <c:delete val="1"/>
        <c:axPos val="b"/>
        <c:majorTickMark val="out"/>
        <c:minorTickMark val="none"/>
        <c:tickLblPos val="nextTo"/>
        <c:crossAx val="5399442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Réparttion ventes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Réparttion ventes</a:t>
          </a:r>
        </a:p>
      </cx:txPr>
    </cx:title>
    <cx:plotArea>
      <cx:plotAreaRegion>
        <cx:series layoutId="sunburst" uniqueId="{C06E35E6-C391-4DCA-820B-DEB1D126C207}">
          <cx:tx>
            <cx:txData>
              <cx:f>_xlchart.v1.1</cx:f>
              <cx:v>VENTES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_xlchart.v1.5</cx:f>
      </cx:numDim>
    </cx:data>
  </cx:chartData>
  <cx:chart>
    <cx:title pos="t" align="ctr" overlay="0">
      <cx:tx>
        <cx:txData>
          <cx:v>Ventes Papiers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cap="none" spc="2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Calibri" panose="020F0502020204030204"/>
            </a:rPr>
            <a:t>Ventes Papiers</a:t>
          </a:r>
        </a:p>
      </cx:txPr>
    </cx:title>
    <cx:plotArea>
      <cx:plotAreaRegion>
        <cx:series layoutId="treemap" uniqueId="{492542FB-A448-40BA-B838-299E7F258027}">
          <cx:tx>
            <cx:txData>
              <cx:f>_xlchart.v1.4</cx:f>
              <cx:v>Montant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b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_xlchart.v1.7</cx:f>
      </cx:numDim>
    </cx:data>
  </cx:chartData>
  <cx:chart>
    <cx:plotArea>
      <cx:plotAreaRegion>
        <cx:series layoutId="waterfall" uniqueId="{877D797B-B2C2-4275-8943-35D2E56EFFBF}">
          <cx:dataLabels pos="outEnd">
            <cx:visibility seriesName="0" categoryName="0" value="1"/>
          </cx:dataLabels>
          <cx:dataId val="0"/>
          <cx:layoutPr>
            <cx:subtotals>
              <cx:idx val="0"/>
              <cx:idx val="5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val">
        <cx:f>_xlchart.v1.10</cx:f>
      </cx:numDim>
    </cx:data>
  </cx:chartData>
  <cx:chart>
    <cx:title pos="t" align="ctr" overlay="0">
      <cx:tx>
        <cx:txData>
          <cx:v>Arrêt Machines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fr-FR" sz="1400" b="1" i="0" u="none" strike="noStrike" cap="none" spc="0" baseline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  <a:latin typeface="Calibri" panose="020F0502020204030204"/>
            </a:rPr>
            <a:t>Arrêt Machines</a:t>
          </a:r>
        </a:p>
      </cx:txPr>
    </cx:title>
    <cx:plotArea>
      <cx:plotAreaRegion>
        <cx:plotSurface>
          <cx:spPr>
            <a:ln>
              <a:solidFill>
                <a:schemeClr val="accent4"/>
              </a:solidFill>
            </a:ln>
          </cx:spPr>
        </cx:plotSurface>
        <cx:series layoutId="clusteredColumn" uniqueId="{50598B58-4E86-4B5D-BEA4-5A9EF5E829C7}">
          <cx:tx>
            <cx:txData>
              <cx:f>_xlchart.v1.9</cx:f>
              <cx:v>Fréquence</cx:v>
            </cx:txData>
          </cx:tx>
          <cx:dataId val="0"/>
          <cx:layoutPr>
            <cx:aggregation/>
          </cx:layoutPr>
          <cx:axisId val="1"/>
        </cx:series>
        <cx:series layoutId="paretoLine" ownerIdx="0" uniqueId="{89E3D8B2-F5D7-471E-9494-ECEB0550B394}">
          <cx:spPr>
            <a:ln>
              <a:solidFill>
                <a:schemeClr val="accent4"/>
              </a:solidFill>
            </a:ln>
          </cx:spPr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12">
  <cs:axisTitle>
    <cs:lnRef idx="0"/>
    <cs:fillRef idx="0"/>
    <cs:effectRef idx="0"/>
    <cs:fontRef idx="minor">
      <a:schemeClr val="tx1">
        <a:lumMod val="50000"/>
        <a:lumOff val="50000"/>
      </a:schemeClr>
    </cs:fontRef>
    <cs:spPr>
      <a:solidFill>
        <a:schemeClr val="bg1">
          <a:lumMod val="85000"/>
        </a:schemeClr>
      </a:solidFill>
      <a:ln>
        <a:solidFill>
          <a:schemeClr val="bg1">
            <a:lumMod val="75000"/>
          </a:schemeClr>
        </a:solidFill>
      </a:ln>
    </cs:spPr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hyperlink" Target="http://www.becentsable.net/2011/12/saving-in-2012-store-incentives.html/" TargetMode="External"/><Relationship Id="rId1" Type="http://schemas.openxmlformats.org/officeDocument/2006/relationships/image" Target="../media/image3.jpe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gif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jpeg"/><Relationship Id="rId6" Type="http://schemas.openxmlformats.org/officeDocument/2006/relationships/image" Target="../media/image15.jpeg"/><Relationship Id="rId5" Type="http://schemas.openxmlformats.org/officeDocument/2006/relationships/image" Target="../media/image14.jpeg"/><Relationship Id="rId4" Type="http://schemas.openxmlformats.org/officeDocument/2006/relationships/image" Target="../media/image13.jpg"/><Relationship Id="rId9" Type="http://schemas.openxmlformats.org/officeDocument/2006/relationships/image" Target="../media/image18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13" Type="http://schemas.openxmlformats.org/officeDocument/2006/relationships/chart" Target="../charts/chart5.xml"/><Relationship Id="rId1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chart" Target="../charts/chart3.xml"/><Relationship Id="rId12" Type="http://schemas.openxmlformats.org/officeDocument/2006/relationships/chart" Target="../charts/chart4.xml"/><Relationship Id="rId17" Type="http://schemas.openxmlformats.org/officeDocument/2006/relationships/chart" Target="../charts/chart7.xml"/><Relationship Id="rId2" Type="http://schemas.openxmlformats.org/officeDocument/2006/relationships/image" Target="../media/image28.png"/><Relationship Id="rId16" Type="http://schemas.openxmlformats.org/officeDocument/2006/relationships/chart" Target="../charts/chart6.xml"/><Relationship Id="rId1" Type="http://schemas.openxmlformats.org/officeDocument/2006/relationships/image" Target="../media/image27.png"/><Relationship Id="rId6" Type="http://schemas.openxmlformats.org/officeDocument/2006/relationships/chart" Target="../charts/chart2.xml"/><Relationship Id="rId11" Type="http://schemas.microsoft.com/office/2014/relationships/chartEx" Target="../charts/chartEx4.xml"/><Relationship Id="rId5" Type="http://schemas.openxmlformats.org/officeDocument/2006/relationships/image" Target="../media/image31.png"/><Relationship Id="rId15" Type="http://schemas.openxmlformats.org/officeDocument/2006/relationships/image" Target="../media/image33.png"/><Relationship Id="rId10" Type="http://schemas.microsoft.com/office/2014/relationships/chartEx" Target="../charts/chartEx3.xml"/><Relationship Id="rId4" Type="http://schemas.openxmlformats.org/officeDocument/2006/relationships/image" Target="../media/image30.png"/><Relationship Id="rId9" Type="http://schemas.microsoft.com/office/2014/relationships/chartEx" Target="../charts/chartEx2.xml"/><Relationship Id="rId1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jpg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https://nl.wikipedia.org/wiki/Primaire_kleur" TargetMode="External"/><Relationship Id="rId3" Type="http://schemas.openxmlformats.org/officeDocument/2006/relationships/image" Target="../media/image40.jpeg"/><Relationship Id="rId7" Type="http://schemas.openxmlformats.org/officeDocument/2006/relationships/image" Target="../media/image41.png"/><Relationship Id="rId2" Type="http://schemas.openxmlformats.org/officeDocument/2006/relationships/hyperlink" Target="http://www.emmaslunch.com/2011/11/baby-food-fruits.html" TargetMode="External"/><Relationship Id="rId1" Type="http://schemas.openxmlformats.org/officeDocument/2006/relationships/image" Target="../media/image39.jpg"/><Relationship Id="rId6" Type="http://schemas.openxmlformats.org/officeDocument/2006/relationships/hyperlink" Target="http://www.becentsable.net/2011/12/saving-in-2012-store-incentives.html/" TargetMode="External"/><Relationship Id="rId5" Type="http://schemas.openxmlformats.org/officeDocument/2006/relationships/image" Target="../media/image3.jpeg"/><Relationship Id="rId4" Type="http://schemas.openxmlformats.org/officeDocument/2006/relationships/hyperlink" Target="https://pixabay.com/en/steel-stainless-steel-sheet-green-1138080/" TargetMode="External"/><Relationship Id="rId9" Type="http://schemas.openxmlformats.org/officeDocument/2006/relationships/image" Target="../media/image4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jpg"/><Relationship Id="rId7" Type="http://schemas.openxmlformats.org/officeDocument/2006/relationships/image" Target="../media/image47.jpg"/><Relationship Id="rId2" Type="http://schemas.openxmlformats.org/officeDocument/2006/relationships/hyperlink" Target="https://pixabay.com/en/steel-stainless-steel-sheet-green-1138080/" TargetMode="External"/><Relationship Id="rId1" Type="http://schemas.openxmlformats.org/officeDocument/2006/relationships/image" Target="../media/image43.jpeg"/><Relationship Id="rId6" Type="http://schemas.openxmlformats.org/officeDocument/2006/relationships/image" Target="../media/image46.jpg"/><Relationship Id="rId5" Type="http://schemas.openxmlformats.org/officeDocument/2006/relationships/image" Target="../media/image45.jpg"/><Relationship Id="rId4" Type="http://schemas.openxmlformats.org/officeDocument/2006/relationships/hyperlink" Target="http://iesalarnesfrances1.blogspot.ca/" TargetMode="Externa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hyperlink" Target="https://pxhere.com/en/photo/688776" TargetMode="External"/><Relationship Id="rId1" Type="http://schemas.openxmlformats.org/officeDocument/2006/relationships/image" Target="../media/image49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hyperlink" Target="http://www.cn-saintmandrier.fr/" TargetMode="External"/><Relationship Id="rId1" Type="http://schemas.openxmlformats.org/officeDocument/2006/relationships/image" Target="../media/image50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eg"/><Relationship Id="rId13" Type="http://schemas.openxmlformats.org/officeDocument/2006/relationships/image" Target="../media/image58.png"/><Relationship Id="rId3" Type="http://schemas.openxmlformats.org/officeDocument/2006/relationships/image" Target="../media/image3.jpeg"/><Relationship Id="rId7" Type="http://schemas.openxmlformats.org/officeDocument/2006/relationships/hyperlink" Target="http://su-fle.blogspot.com/2012/06/la-comparaison-des-adjectifs-et-des.html" TargetMode="External"/><Relationship Id="rId12" Type="http://schemas.openxmlformats.org/officeDocument/2006/relationships/image" Target="../media/image57.png"/><Relationship Id="rId2" Type="http://schemas.openxmlformats.org/officeDocument/2006/relationships/hyperlink" Target="https://pxhere.com/fr/photo/1061416" TargetMode="External"/><Relationship Id="rId1" Type="http://schemas.openxmlformats.org/officeDocument/2006/relationships/image" Target="../media/image51.jpeg"/><Relationship Id="rId6" Type="http://schemas.openxmlformats.org/officeDocument/2006/relationships/image" Target="../media/image53.png"/><Relationship Id="rId11" Type="http://schemas.openxmlformats.org/officeDocument/2006/relationships/image" Target="../media/image56.png"/><Relationship Id="rId5" Type="http://schemas.openxmlformats.org/officeDocument/2006/relationships/image" Target="../media/image52.png"/><Relationship Id="rId10" Type="http://schemas.openxmlformats.org/officeDocument/2006/relationships/image" Target="../media/image55.png"/><Relationship Id="rId4" Type="http://schemas.openxmlformats.org/officeDocument/2006/relationships/hyperlink" Target="http://www.becentsable.net/2011/12/saving-in-2012-store-incentives.html/" TargetMode="External"/><Relationship Id="rId9" Type="http://schemas.openxmlformats.org/officeDocument/2006/relationships/image" Target="../media/image5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3" Type="http://schemas.openxmlformats.org/officeDocument/2006/relationships/image" Target="../media/image60.png"/><Relationship Id="rId7" Type="http://schemas.openxmlformats.org/officeDocument/2006/relationships/hyperlink" Target="http://www.becentsable.net/2011/12/saving-in-2012-store-incentives.html/" TargetMode="External"/><Relationship Id="rId2" Type="http://schemas.openxmlformats.org/officeDocument/2006/relationships/hyperlink" Target="http://socialana.com/how-joint-ventures-can-increase-your-business/" TargetMode="External"/><Relationship Id="rId1" Type="http://schemas.openxmlformats.org/officeDocument/2006/relationships/image" Target="../media/image59.jpeg"/><Relationship Id="rId6" Type="http://schemas.openxmlformats.org/officeDocument/2006/relationships/image" Target="../media/image3.jpeg"/><Relationship Id="rId11" Type="http://schemas.openxmlformats.org/officeDocument/2006/relationships/image" Target="../media/image65.svg"/><Relationship Id="rId5" Type="http://schemas.openxmlformats.org/officeDocument/2006/relationships/image" Target="../media/image61.emf"/><Relationship Id="rId10" Type="http://schemas.openxmlformats.org/officeDocument/2006/relationships/image" Target="../media/image64.png"/><Relationship Id="rId4" Type="http://schemas.openxmlformats.org/officeDocument/2006/relationships/hyperlink" Target="https://pixabay.com/en/magnifying-glass-hand-glass-magnify-29398/" TargetMode="External"/><Relationship Id="rId9" Type="http://schemas.openxmlformats.org/officeDocument/2006/relationships/image" Target="../media/image63.sv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hyperlink" Target="http://commons.wikimedia.org/wiki/File:Calendrier-2015.jpg" TargetMode="External"/><Relationship Id="rId13" Type="http://schemas.openxmlformats.org/officeDocument/2006/relationships/image" Target="../media/image72.jpg"/><Relationship Id="rId18" Type="http://schemas.openxmlformats.org/officeDocument/2006/relationships/hyperlink" Target="http://commons.wikimedia.org/wiki/File:Hands_as2_and_3.svg" TargetMode="External"/><Relationship Id="rId3" Type="http://schemas.openxmlformats.org/officeDocument/2006/relationships/image" Target="../media/image67.png"/><Relationship Id="rId7" Type="http://schemas.openxmlformats.org/officeDocument/2006/relationships/image" Target="../media/image69.jpg"/><Relationship Id="rId12" Type="http://schemas.openxmlformats.org/officeDocument/2006/relationships/hyperlink" Target="http://engineering.electrical-equipment.org/panel-building/panel-builder-business-software-buy-and-existing-erp-package-or-develop-your-own-solution.html" TargetMode="External"/><Relationship Id="rId17" Type="http://schemas.openxmlformats.org/officeDocument/2006/relationships/image" Target="../media/image74.png"/><Relationship Id="rId2" Type="http://schemas.openxmlformats.org/officeDocument/2006/relationships/hyperlink" Target="http://www.bonjourdefrance.com/exercices/contenu/2/jeux/347.html" TargetMode="External"/><Relationship Id="rId16" Type="http://schemas.openxmlformats.org/officeDocument/2006/relationships/hyperlink" Target="http://shofriez.blogspot.com/2010/05/under-maintenance.html" TargetMode="External"/><Relationship Id="rId1" Type="http://schemas.openxmlformats.org/officeDocument/2006/relationships/image" Target="../media/image66.jpg"/><Relationship Id="rId6" Type="http://schemas.openxmlformats.org/officeDocument/2006/relationships/hyperlink" Target="https://commons.wikimedia.org/wiki/File:Red_clock.png" TargetMode="External"/><Relationship Id="rId11" Type="http://schemas.openxmlformats.org/officeDocument/2006/relationships/image" Target="../media/image71.jpeg"/><Relationship Id="rId5" Type="http://schemas.openxmlformats.org/officeDocument/2006/relationships/image" Target="../media/image68.png"/><Relationship Id="rId15" Type="http://schemas.openxmlformats.org/officeDocument/2006/relationships/image" Target="../media/image73.gif"/><Relationship Id="rId10" Type="http://schemas.openxmlformats.org/officeDocument/2006/relationships/hyperlink" Target="http://zona31teles.blogspot.com/2015_03_01_archive.html" TargetMode="External"/><Relationship Id="rId4" Type="http://schemas.openxmlformats.org/officeDocument/2006/relationships/hyperlink" Target="https://pixabay.com/en/icon-calendar-stylized-1549619/" TargetMode="External"/><Relationship Id="rId9" Type="http://schemas.openxmlformats.org/officeDocument/2006/relationships/image" Target="../media/image70.jpeg"/><Relationship Id="rId14" Type="http://schemas.openxmlformats.org/officeDocument/2006/relationships/hyperlink" Target="http://www.ipernity.com/blog/team/592949" TargetMode="Externa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hyperlink" Target="http://www.becentsable.net/2011/12/saving-in-2012-store-incentives.html/" TargetMode="External"/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125460</xdr:colOff>
      <xdr:row>24</xdr:row>
      <xdr:rowOff>0</xdr:rowOff>
    </xdr:from>
    <xdr:to>
      <xdr:col>11</xdr:col>
      <xdr:colOff>263529</xdr:colOff>
      <xdr:row>25</xdr:row>
      <xdr:rowOff>256442</xdr:rowOff>
    </xdr:to>
    <xdr:grpSp>
      <xdr:nvGrpSpPr>
        <xdr:cNvPr id="5" name="Groupe 4">
          <a:extLst>
            <a:ext uri="{FF2B5EF4-FFF2-40B4-BE49-F238E27FC236}">
              <a16:creationId xmlns:a16="http://schemas.microsoft.com/office/drawing/2014/main" id="{252062D8-9D61-4C1A-8BC7-16FE531B4C8B}"/>
            </a:ext>
          </a:extLst>
        </xdr:cNvPr>
        <xdr:cNvGrpSpPr/>
      </xdr:nvGrpSpPr>
      <xdr:grpSpPr>
        <a:xfrm>
          <a:off x="6628104" y="5266226"/>
          <a:ext cx="797492" cy="485408"/>
          <a:chOff x="6147288" y="5247909"/>
          <a:chExt cx="797492" cy="459103"/>
        </a:xfrm>
      </xdr:grpSpPr>
      <xdr:pic>
        <xdr:nvPicPr>
          <xdr:cNvPr id="2" name="Image 1">
            <a:extLst>
              <a:ext uri="{FF2B5EF4-FFF2-40B4-BE49-F238E27FC236}">
                <a16:creationId xmlns:a16="http://schemas.microsoft.com/office/drawing/2014/main" id="{82A03C60-B751-48DB-BC45-847C02D43C5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45616" t="76231" r="48197" b="19441"/>
          <a:stretch/>
        </xdr:blipFill>
        <xdr:spPr>
          <a:xfrm>
            <a:off x="6147288" y="5247909"/>
            <a:ext cx="674444" cy="352791"/>
          </a:xfrm>
          <a:prstGeom prst="rect">
            <a:avLst/>
          </a:prstGeom>
        </xdr:spPr>
      </xdr:pic>
      <xdr:sp macro="" textlink="">
        <xdr:nvSpPr>
          <xdr:cNvPr id="3" name="Croix 2">
            <a:extLst>
              <a:ext uri="{FF2B5EF4-FFF2-40B4-BE49-F238E27FC236}">
                <a16:creationId xmlns:a16="http://schemas.microsoft.com/office/drawing/2014/main" id="{A80CB006-B5B7-40DE-9B08-CAAA627FCF96}"/>
              </a:ext>
            </a:extLst>
          </xdr:cNvPr>
          <xdr:cNvSpPr/>
        </xdr:nvSpPr>
        <xdr:spPr>
          <a:xfrm>
            <a:off x="6712194" y="5438408"/>
            <a:ext cx="63103" cy="58707"/>
          </a:xfrm>
          <a:prstGeom prst="plus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  <xdr:sp macro="" textlink="">
        <xdr:nvSpPr>
          <xdr:cNvPr id="4" name="Flèche : haut 3">
            <a:extLst>
              <a:ext uri="{FF2B5EF4-FFF2-40B4-BE49-F238E27FC236}">
                <a16:creationId xmlns:a16="http://schemas.microsoft.com/office/drawing/2014/main" id="{951C645B-C061-46D3-A9C0-7304CC011B45}"/>
              </a:ext>
            </a:extLst>
          </xdr:cNvPr>
          <xdr:cNvSpPr/>
        </xdr:nvSpPr>
        <xdr:spPr>
          <a:xfrm rot="19167481">
            <a:off x="6779332" y="5481945"/>
            <a:ext cx="165448" cy="225067"/>
          </a:xfrm>
          <a:prstGeom prst="up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914183</xdr:colOff>
      <xdr:row>0</xdr:row>
      <xdr:rowOff>191598</xdr:rowOff>
    </xdr:from>
    <xdr:to>
      <xdr:col>3</xdr:col>
      <xdr:colOff>43794</xdr:colOff>
      <xdr:row>13</xdr:row>
      <xdr:rowOff>57184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A2D97BA-BC39-497B-B3B7-9E03E2548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7825" y="191598"/>
          <a:ext cx="1679191" cy="22755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445620</xdr:colOff>
      <xdr:row>0</xdr:row>
      <xdr:rowOff>91515</xdr:rowOff>
    </xdr:from>
    <xdr:to>
      <xdr:col>1</xdr:col>
      <xdr:colOff>674013</xdr:colOff>
      <xdr:row>1</xdr:row>
      <xdr:rowOff>116915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5D088EBA-75A1-41C6-AAFC-E4B9A4003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445620" y="91515"/>
          <a:ext cx="990393" cy="901700"/>
        </a:xfrm>
        <a:prstGeom prst="rect">
          <a:avLst/>
        </a:prstGeom>
      </xdr:spPr>
    </xdr:pic>
    <xdr:clientData/>
  </xdr:twoCellAnchor>
  <xdr:twoCellAnchor>
    <xdr:from>
      <xdr:col>6</xdr:col>
      <xdr:colOff>727075</xdr:colOff>
      <xdr:row>4</xdr:row>
      <xdr:rowOff>111125</xdr:rowOff>
    </xdr:from>
    <xdr:to>
      <xdr:col>12</xdr:col>
      <xdr:colOff>727075</xdr:colOff>
      <xdr:row>19</xdr:row>
      <xdr:rowOff>92075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C5DF2FFC-23ED-4275-8FF3-E34108A65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828675</xdr:colOff>
      <xdr:row>24</xdr:row>
      <xdr:rowOff>54343</xdr:rowOff>
    </xdr:from>
    <xdr:to>
      <xdr:col>8</xdr:col>
      <xdr:colOff>144638</xdr:colOff>
      <xdr:row>48</xdr:row>
      <xdr:rowOff>71436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C8A76AC8-279D-4324-948D-1127D19A5B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1250" t="34903" r="57730" b="23466"/>
        <a:stretch/>
      </xdr:blipFill>
      <xdr:spPr>
        <a:xfrm>
          <a:off x="1590675" y="5164506"/>
          <a:ext cx="4873801" cy="436049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0</xdr:row>
      <xdr:rowOff>19051</xdr:rowOff>
    </xdr:from>
    <xdr:to>
      <xdr:col>8</xdr:col>
      <xdr:colOff>133350</xdr:colOff>
      <xdr:row>4</xdr:row>
      <xdr:rowOff>124727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57963423-AD53-40F0-A3E9-95E8A4D7F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" y="19051"/>
          <a:ext cx="723900" cy="1239151"/>
        </a:xfrm>
        <a:prstGeom prst="rect">
          <a:avLst/>
        </a:prstGeom>
      </xdr:spPr>
    </xdr:pic>
    <xdr:clientData/>
  </xdr:twoCellAnchor>
  <xdr:oneCellAnchor>
    <xdr:from>
      <xdr:col>23</xdr:col>
      <xdr:colOff>114300</xdr:colOff>
      <xdr:row>0</xdr:row>
      <xdr:rowOff>19051</xdr:rowOff>
    </xdr:from>
    <xdr:ext cx="704850" cy="1248676"/>
    <xdr:pic>
      <xdr:nvPicPr>
        <xdr:cNvPr id="3" name="Image 2">
          <a:extLst>
            <a:ext uri="{FF2B5EF4-FFF2-40B4-BE49-F238E27FC236}">
              <a16:creationId xmlns:a16="http://schemas.microsoft.com/office/drawing/2014/main" id="{C834FB98-C4E4-4BAD-A671-1F69C996A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0163" y="19051"/>
          <a:ext cx="704850" cy="1248676"/>
        </a:xfrm>
        <a:prstGeom prst="rect">
          <a:avLst/>
        </a:prstGeom>
      </xdr:spPr>
    </xdr:pic>
    <xdr:clientData/>
  </xdr:oneCellAnchor>
  <xdr:twoCellAnchor editAs="oneCell">
    <xdr:from>
      <xdr:col>0</xdr:col>
      <xdr:colOff>511608</xdr:colOff>
      <xdr:row>21</xdr:row>
      <xdr:rowOff>100013</xdr:rowOff>
    </xdr:from>
    <xdr:to>
      <xdr:col>30</xdr:col>
      <xdr:colOff>396476</xdr:colOff>
      <xdr:row>32</xdr:row>
      <xdr:rowOff>4763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4308FB5C-67DF-47AB-A44B-301478753B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-576" t="-315" r="1118" b="74971"/>
        <a:stretch/>
      </xdr:blipFill>
      <xdr:spPr>
        <a:xfrm>
          <a:off x="511608" y="4395788"/>
          <a:ext cx="11157706" cy="1895475"/>
        </a:xfrm>
        <a:prstGeom prst="rect">
          <a:avLst/>
        </a:prstGeom>
      </xdr:spPr>
    </xdr:pic>
    <xdr:clientData/>
  </xdr:twoCellAnchor>
  <xdr:twoCellAnchor>
    <xdr:from>
      <xdr:col>7</xdr:col>
      <xdr:colOff>198265</xdr:colOff>
      <xdr:row>23</xdr:row>
      <xdr:rowOff>79756</xdr:rowOff>
    </xdr:from>
    <xdr:to>
      <xdr:col>24</xdr:col>
      <xdr:colOff>277139</xdr:colOff>
      <xdr:row>24</xdr:row>
      <xdr:rowOff>63563</xdr:rowOff>
    </xdr:to>
    <xdr:sp macro="" textlink="">
      <xdr:nvSpPr>
        <xdr:cNvPr id="5" name="Flèche : droite 4">
          <a:extLst>
            <a:ext uri="{FF2B5EF4-FFF2-40B4-BE49-F238E27FC236}">
              <a16:creationId xmlns:a16="http://schemas.microsoft.com/office/drawing/2014/main" id="{EE3C7BD3-AD65-44D5-997B-00F5BA44A19E}"/>
            </a:ext>
          </a:extLst>
        </xdr:cNvPr>
        <xdr:cNvSpPr/>
      </xdr:nvSpPr>
      <xdr:spPr>
        <a:xfrm rot="665405">
          <a:off x="3074815" y="4785106"/>
          <a:ext cx="6360612" cy="16478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366712</xdr:colOff>
      <xdr:row>0</xdr:row>
      <xdr:rowOff>440316</xdr:rowOff>
    </xdr:from>
    <xdr:to>
      <xdr:col>4</xdr:col>
      <xdr:colOff>937639</xdr:colOff>
      <xdr:row>2</xdr:row>
      <xdr:rowOff>317751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440316"/>
          <a:ext cx="3576064" cy="1801485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0</xdr:row>
      <xdr:rowOff>242896</xdr:rowOff>
    </xdr:from>
    <xdr:to>
      <xdr:col>19</xdr:col>
      <xdr:colOff>92515</xdr:colOff>
      <xdr:row>2</xdr:row>
      <xdr:rowOff>240161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8063" y="242896"/>
          <a:ext cx="2068952" cy="19213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742950</xdr:colOff>
      <xdr:row>0</xdr:row>
      <xdr:rowOff>862014</xdr:rowOff>
    </xdr:from>
    <xdr:to>
      <xdr:col>10</xdr:col>
      <xdr:colOff>133350</xdr:colOff>
      <xdr:row>4</xdr:row>
      <xdr:rowOff>126445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862014"/>
          <a:ext cx="2162175" cy="1478994"/>
        </a:xfrm>
        <a:prstGeom prst="rect">
          <a:avLst/>
        </a:prstGeom>
      </xdr:spPr>
    </xdr:pic>
    <xdr:clientData/>
  </xdr:twoCellAnchor>
  <xdr:twoCellAnchor editAs="oneCell">
    <xdr:from>
      <xdr:col>0</xdr:col>
      <xdr:colOff>976313</xdr:colOff>
      <xdr:row>0</xdr:row>
      <xdr:rowOff>1074446</xdr:rowOff>
    </xdr:from>
    <xdr:to>
      <xdr:col>2</xdr:col>
      <xdr:colOff>618967</xdr:colOff>
      <xdr:row>4</xdr:row>
      <xdr:rowOff>171456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3" y="1074446"/>
          <a:ext cx="1538129" cy="1311573"/>
        </a:xfrm>
        <a:prstGeom prst="rect">
          <a:avLst/>
        </a:prstGeom>
      </xdr:spPr>
    </xdr:pic>
    <xdr:clientData/>
  </xdr:twoCellAnchor>
  <xdr:twoCellAnchor editAs="oneCell">
    <xdr:from>
      <xdr:col>15</xdr:col>
      <xdr:colOff>633413</xdr:colOff>
      <xdr:row>0</xdr:row>
      <xdr:rowOff>214584</xdr:rowOff>
    </xdr:from>
    <xdr:to>
      <xdr:col>18</xdr:col>
      <xdr:colOff>881062</xdr:colOff>
      <xdr:row>2</xdr:row>
      <xdr:rowOff>142278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3538" y="214584"/>
          <a:ext cx="2566987" cy="1589807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0</xdr:row>
      <xdr:rowOff>262909</xdr:rowOff>
    </xdr:from>
    <xdr:to>
      <xdr:col>29</xdr:col>
      <xdr:colOff>590550</xdr:colOff>
      <xdr:row>2</xdr:row>
      <xdr:rowOff>33338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370" b="29166"/>
        <a:stretch/>
      </xdr:blipFill>
      <xdr:spPr>
        <a:xfrm>
          <a:off x="15563850" y="262909"/>
          <a:ext cx="2876550" cy="1432542"/>
        </a:xfrm>
        <a:prstGeom prst="rect">
          <a:avLst/>
        </a:prstGeom>
      </xdr:spPr>
    </xdr:pic>
    <xdr:clientData/>
  </xdr:twoCellAnchor>
  <xdr:twoCellAnchor editAs="oneCell">
    <xdr:from>
      <xdr:col>35</xdr:col>
      <xdr:colOff>185737</xdr:colOff>
      <xdr:row>0</xdr:row>
      <xdr:rowOff>185737</xdr:rowOff>
    </xdr:from>
    <xdr:to>
      <xdr:col>39</xdr:col>
      <xdr:colOff>653985</xdr:colOff>
      <xdr:row>1</xdr:row>
      <xdr:rowOff>265156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0225" y="185737"/>
          <a:ext cx="3782948" cy="1474832"/>
        </a:xfrm>
        <a:prstGeom prst="rect">
          <a:avLst/>
        </a:prstGeom>
      </xdr:spPr>
    </xdr:pic>
    <xdr:clientData/>
  </xdr:twoCellAnchor>
  <xdr:twoCellAnchor editAs="oneCell">
    <xdr:from>
      <xdr:col>52</xdr:col>
      <xdr:colOff>76200</xdr:colOff>
      <xdr:row>0</xdr:row>
      <xdr:rowOff>0</xdr:rowOff>
    </xdr:from>
    <xdr:to>
      <xdr:col>57</xdr:col>
      <xdr:colOff>28575</xdr:colOff>
      <xdr:row>2</xdr:row>
      <xdr:rowOff>69055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65725" y="0"/>
          <a:ext cx="2333625" cy="1750218"/>
        </a:xfrm>
        <a:prstGeom prst="rect">
          <a:avLst/>
        </a:prstGeom>
      </xdr:spPr>
    </xdr:pic>
    <xdr:clientData/>
  </xdr:twoCellAnchor>
  <xdr:twoCellAnchor editAs="oneCell">
    <xdr:from>
      <xdr:col>76</xdr:col>
      <xdr:colOff>28575</xdr:colOff>
      <xdr:row>0</xdr:row>
      <xdr:rowOff>9525</xdr:rowOff>
    </xdr:from>
    <xdr:to>
      <xdr:col>84</xdr:col>
      <xdr:colOff>185528</xdr:colOff>
      <xdr:row>2</xdr:row>
      <xdr:rowOff>75633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76350" y="9525"/>
          <a:ext cx="2138153" cy="1747271"/>
        </a:xfrm>
        <a:prstGeom prst="rect">
          <a:avLst/>
        </a:prstGeom>
      </xdr:spPr>
    </xdr:pic>
    <xdr:clientData/>
  </xdr:twoCellAnchor>
  <xdr:twoCellAnchor editAs="oneCell">
    <xdr:from>
      <xdr:col>94</xdr:col>
      <xdr:colOff>104774</xdr:colOff>
      <xdr:row>0</xdr:row>
      <xdr:rowOff>95250</xdr:rowOff>
    </xdr:from>
    <xdr:to>
      <xdr:col>98</xdr:col>
      <xdr:colOff>761999</xdr:colOff>
      <xdr:row>1</xdr:row>
      <xdr:rowOff>252412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97" b="15723"/>
        <a:stretch/>
      </xdr:blipFill>
      <xdr:spPr>
        <a:xfrm>
          <a:off x="43738799" y="95250"/>
          <a:ext cx="3286125" cy="1571625"/>
        </a:xfrm>
        <a:prstGeom prst="rect">
          <a:avLst/>
        </a:prstGeom>
      </xdr:spPr>
    </xdr:pic>
    <xdr:clientData/>
  </xdr:twoCellAnchor>
  <xdr:twoCellAnchor>
    <xdr:from>
      <xdr:col>15</xdr:col>
      <xdr:colOff>1038225</xdr:colOff>
      <xdr:row>6</xdr:row>
      <xdr:rowOff>600075</xdr:rowOff>
    </xdr:from>
    <xdr:to>
      <xdr:col>18</xdr:col>
      <xdr:colOff>981075</xdr:colOff>
      <xdr:row>10</xdr:row>
      <xdr:rowOff>28575</xdr:rowOff>
    </xdr:to>
    <xdr:cxnSp macro="">
      <xdr:nvCxnSpPr>
        <xdr:cNvPr id="11" name="Connecteur en angl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/>
      </xdr:nvCxnSpPr>
      <xdr:spPr>
        <a:xfrm>
          <a:off x="9096375" y="2638425"/>
          <a:ext cx="2105025" cy="866775"/>
        </a:xfrm>
        <a:prstGeom prst="bentConnector3">
          <a:avLst>
            <a:gd name="adj1" fmla="val 99774"/>
          </a:avLst>
        </a:prstGeom>
        <a:ln w="19050">
          <a:headEnd w="lg" len="lg"/>
          <a:tailEnd type="stealth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104</xdr:col>
      <xdr:colOff>9525</xdr:colOff>
      <xdr:row>0</xdr:row>
      <xdr:rowOff>0</xdr:rowOff>
    </xdr:from>
    <xdr:to>
      <xdr:col>107</xdr:col>
      <xdr:colOff>819149</xdr:colOff>
      <xdr:row>2</xdr:row>
      <xdr:rowOff>68637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87100" y="0"/>
          <a:ext cx="2352674" cy="1749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14</xdr:col>
      <xdr:colOff>304800</xdr:colOff>
      <xdr:row>1</xdr:row>
      <xdr:rowOff>0</xdr:rowOff>
    </xdr:to>
    <xdr:sp macro="" textlink="">
      <xdr:nvSpPr>
        <xdr:cNvPr id="1028" name="AutoShape 4" descr="RÃ©sultat de recherche d'images pour &quot;usine&quot;">
          <a:extLst>
            <a:ext uri="{FF2B5EF4-FFF2-40B4-BE49-F238E27FC236}">
              <a16:creationId xmlns:a16="http://schemas.microsoft.com/office/drawing/2014/main" id="{00000000-0008-0000-0200-000004040000}"/>
            </a:ext>
          </a:extLst>
        </xdr:cNvPr>
        <xdr:cNvSpPr>
          <a:spLocks noChangeAspect="1" noChangeArrowheads="1"/>
        </xdr:cNvSpPr>
      </xdr:nvSpPr>
      <xdr:spPr bwMode="auto">
        <a:xfrm>
          <a:off x="780097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0</xdr:colOff>
      <xdr:row>0</xdr:row>
      <xdr:rowOff>0</xdr:rowOff>
    </xdr:from>
    <xdr:to>
      <xdr:col>14</xdr:col>
      <xdr:colOff>304800</xdr:colOff>
      <xdr:row>1</xdr:row>
      <xdr:rowOff>0</xdr:rowOff>
    </xdr:to>
    <xdr:sp macro="" textlink="">
      <xdr:nvSpPr>
        <xdr:cNvPr id="8" name="AutoShape 4" descr="RÃ©sultat de recherche d'images pour &quot;usine&quot;">
          <a:extLst>
            <a:ext uri="{FF2B5EF4-FFF2-40B4-BE49-F238E27FC236}">
              <a16:creationId xmlns:a16="http://schemas.microsoft.com/office/drawing/2014/main" id="{F753AE92-2FC2-4430-88B8-27E283369041}"/>
            </a:ext>
          </a:extLst>
        </xdr:cNvPr>
        <xdr:cNvSpPr>
          <a:spLocks noChangeAspect="1" noChangeArrowheads="1"/>
        </xdr:cNvSpPr>
      </xdr:nvSpPr>
      <xdr:spPr bwMode="auto">
        <a:xfrm>
          <a:off x="101346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161926</xdr:colOff>
      <xdr:row>3</xdr:row>
      <xdr:rowOff>52388</xdr:rowOff>
    </xdr:from>
    <xdr:to>
      <xdr:col>10</xdr:col>
      <xdr:colOff>109538</xdr:colOff>
      <xdr:row>18</xdr:row>
      <xdr:rowOff>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86524390-A34A-4214-A9F7-1CE8017B4B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2082" t="6731" r="5578" b="55189"/>
        <a:stretch/>
      </xdr:blipFill>
      <xdr:spPr>
        <a:xfrm>
          <a:off x="3886201" y="1038226"/>
          <a:ext cx="4852987" cy="2909887"/>
        </a:xfrm>
        <a:prstGeom prst="rect">
          <a:avLst/>
        </a:prstGeom>
      </xdr:spPr>
    </xdr:pic>
    <xdr:clientData/>
  </xdr:twoCellAnchor>
  <xdr:twoCellAnchor editAs="oneCell">
    <xdr:from>
      <xdr:col>5</xdr:col>
      <xdr:colOff>42861</xdr:colOff>
      <xdr:row>25</xdr:row>
      <xdr:rowOff>44911</xdr:rowOff>
    </xdr:from>
    <xdr:to>
      <xdr:col>11</xdr:col>
      <xdr:colOff>6964</xdr:colOff>
      <xdr:row>35</xdr:row>
      <xdr:rowOff>114299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6A0C6877-A490-4ADE-9013-A7D193BA4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67136" y="5283661"/>
          <a:ext cx="5045691" cy="1883901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42</xdr:row>
      <xdr:rowOff>0</xdr:rowOff>
    </xdr:from>
    <xdr:to>
      <xdr:col>10</xdr:col>
      <xdr:colOff>166688</xdr:colOff>
      <xdr:row>64</xdr:row>
      <xdr:rowOff>122916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2AE5CCBB-7EEF-4739-A24B-7A81A3D12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24276" y="8339138"/>
          <a:ext cx="5072062" cy="4104366"/>
        </a:xfrm>
        <a:prstGeom prst="rect">
          <a:avLst/>
        </a:prstGeom>
      </xdr:spPr>
    </xdr:pic>
    <xdr:clientData/>
  </xdr:twoCellAnchor>
  <xdr:twoCellAnchor editAs="oneCell">
    <xdr:from>
      <xdr:col>13</xdr:col>
      <xdr:colOff>814388</xdr:colOff>
      <xdr:row>23</xdr:row>
      <xdr:rowOff>42862</xdr:rowOff>
    </xdr:from>
    <xdr:to>
      <xdr:col>16</xdr:col>
      <xdr:colOff>2266950</xdr:colOff>
      <xdr:row>42</xdr:row>
      <xdr:rowOff>4980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B6C0C666-3DF2-4D67-9BC4-8A1EDC662D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2276" t="6486" r="8901" b="51352"/>
        <a:stretch/>
      </xdr:blipFill>
      <xdr:spPr>
        <a:xfrm>
          <a:off x="9934576" y="4914900"/>
          <a:ext cx="4710112" cy="3410168"/>
        </a:xfrm>
        <a:prstGeom prst="rect">
          <a:avLst/>
        </a:prstGeom>
      </xdr:spPr>
    </xdr:pic>
    <xdr:clientData/>
  </xdr:twoCellAnchor>
  <xdr:twoCellAnchor editAs="oneCell">
    <xdr:from>
      <xdr:col>13</xdr:col>
      <xdr:colOff>816065</xdr:colOff>
      <xdr:row>42</xdr:row>
      <xdr:rowOff>161926</xdr:rowOff>
    </xdr:from>
    <xdr:to>
      <xdr:col>16</xdr:col>
      <xdr:colOff>2305050</xdr:colOff>
      <xdr:row>67</xdr:row>
      <xdr:rowOff>26966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601A4AF0-F501-4636-B12B-AC3CA6A42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36253" y="8501064"/>
          <a:ext cx="4746535" cy="4389415"/>
        </a:xfrm>
        <a:prstGeom prst="rect">
          <a:avLst/>
        </a:prstGeom>
      </xdr:spPr>
    </xdr:pic>
    <xdr:clientData/>
  </xdr:twoCellAnchor>
  <xdr:twoCellAnchor editAs="oneCell">
    <xdr:from>
      <xdr:col>18</xdr:col>
      <xdr:colOff>112685</xdr:colOff>
      <xdr:row>24</xdr:row>
      <xdr:rowOff>119062</xdr:rowOff>
    </xdr:from>
    <xdr:to>
      <xdr:col>26</xdr:col>
      <xdr:colOff>594833</xdr:colOff>
      <xdr:row>42</xdr:row>
      <xdr:rowOff>123823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F44BF5A4-C57E-4DD8-BE14-666A044B4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90960" y="5176837"/>
          <a:ext cx="4811261" cy="32670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44</xdr:row>
      <xdr:rowOff>1</xdr:rowOff>
    </xdr:from>
    <xdr:to>
      <xdr:col>25</xdr:col>
      <xdr:colOff>42862</xdr:colOff>
      <xdr:row>68</xdr:row>
      <xdr:rowOff>88595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1CD63FB0-2529-4580-AB0A-C32508097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02100" y="8701089"/>
          <a:ext cx="4124325" cy="4431994"/>
        </a:xfrm>
        <a:prstGeom prst="rect">
          <a:avLst/>
        </a:prstGeom>
      </xdr:spPr>
    </xdr:pic>
    <xdr:clientData/>
  </xdr:twoCellAnchor>
  <xdr:twoCellAnchor editAs="oneCell">
    <xdr:from>
      <xdr:col>19</xdr:col>
      <xdr:colOff>1</xdr:colOff>
      <xdr:row>70</xdr:row>
      <xdr:rowOff>90488</xdr:rowOff>
    </xdr:from>
    <xdr:to>
      <xdr:col>24</xdr:col>
      <xdr:colOff>17607</xdr:colOff>
      <xdr:row>98</xdr:row>
      <xdr:rowOff>119063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42B0A885-CA6A-49F3-A255-A2B03F159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802101" y="13496926"/>
          <a:ext cx="3975244" cy="50958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88901</xdr:colOff>
      <xdr:row>3</xdr:row>
      <xdr:rowOff>67655</xdr:rowOff>
    </xdr:from>
    <xdr:ext cx="4197350" cy="2478426"/>
    <xdr:pic>
      <xdr:nvPicPr>
        <xdr:cNvPr id="2" name="Image 1">
          <a:extLst>
            <a:ext uri="{FF2B5EF4-FFF2-40B4-BE49-F238E27FC236}">
              <a16:creationId xmlns:a16="http://schemas.microsoft.com/office/drawing/2014/main" id="{919C952B-D71B-44AC-9FCA-59A1D935D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03864" y="724880"/>
          <a:ext cx="4197350" cy="2478426"/>
        </a:xfrm>
        <a:prstGeom prst="rect">
          <a:avLst/>
        </a:prstGeom>
      </xdr:spPr>
    </xdr:pic>
    <xdr:clientData/>
  </xdr:oneCellAnchor>
  <xdr:oneCellAnchor>
    <xdr:from>
      <xdr:col>15</xdr:col>
      <xdr:colOff>63500</xdr:colOff>
      <xdr:row>3</xdr:row>
      <xdr:rowOff>0</xdr:rowOff>
    </xdr:from>
    <xdr:ext cx="3785944" cy="2924306"/>
    <xdr:pic>
      <xdr:nvPicPr>
        <xdr:cNvPr id="3" name="Image 2">
          <a:extLst>
            <a:ext uri="{FF2B5EF4-FFF2-40B4-BE49-F238E27FC236}">
              <a16:creationId xmlns:a16="http://schemas.microsoft.com/office/drawing/2014/main" id="{1EBD4EE0-E37C-4919-9BC5-554644878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79413" y="657225"/>
          <a:ext cx="3785944" cy="2924306"/>
        </a:xfrm>
        <a:prstGeom prst="rect">
          <a:avLst/>
        </a:prstGeom>
      </xdr:spPr>
    </xdr:pic>
    <xdr:clientData/>
  </xdr:oneCellAnchor>
  <xdr:oneCellAnchor>
    <xdr:from>
      <xdr:col>26</xdr:col>
      <xdr:colOff>184151</xdr:colOff>
      <xdr:row>2</xdr:row>
      <xdr:rowOff>171450</xdr:rowOff>
    </xdr:from>
    <xdr:ext cx="4413250" cy="2602675"/>
    <xdr:pic>
      <xdr:nvPicPr>
        <xdr:cNvPr id="4" name="Image 3">
          <a:extLst>
            <a:ext uri="{FF2B5EF4-FFF2-40B4-BE49-F238E27FC236}">
              <a16:creationId xmlns:a16="http://schemas.microsoft.com/office/drawing/2014/main" id="{612CC2C1-D142-4E38-8012-828AEFCE9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34289" y="647700"/>
          <a:ext cx="4413250" cy="2602675"/>
        </a:xfrm>
        <a:prstGeom prst="rect">
          <a:avLst/>
        </a:prstGeom>
      </xdr:spPr>
    </xdr:pic>
    <xdr:clientData/>
  </xdr:oneCellAnchor>
  <xdr:oneCellAnchor>
    <xdr:from>
      <xdr:col>38</xdr:col>
      <xdr:colOff>95250</xdr:colOff>
      <xdr:row>2</xdr:row>
      <xdr:rowOff>158750</xdr:rowOff>
    </xdr:from>
    <xdr:ext cx="4334632" cy="2875534"/>
    <xdr:pic>
      <xdr:nvPicPr>
        <xdr:cNvPr id="5" name="Image 4">
          <a:extLst>
            <a:ext uri="{FF2B5EF4-FFF2-40B4-BE49-F238E27FC236}">
              <a16:creationId xmlns:a16="http://schemas.microsoft.com/office/drawing/2014/main" id="{86A0EAEE-E32E-4D1F-9AED-18A871D0A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55863" y="635000"/>
          <a:ext cx="4334632" cy="2875534"/>
        </a:xfrm>
        <a:prstGeom prst="rect">
          <a:avLst/>
        </a:prstGeom>
      </xdr:spPr>
    </xdr:pic>
    <xdr:clientData/>
  </xdr:oneCellAnchor>
  <xdr:oneCellAnchor>
    <xdr:from>
      <xdr:col>49</xdr:col>
      <xdr:colOff>209550</xdr:colOff>
      <xdr:row>5</xdr:row>
      <xdr:rowOff>114300</xdr:rowOff>
    </xdr:from>
    <xdr:ext cx="4602305" cy="2701909"/>
    <xdr:pic>
      <xdr:nvPicPr>
        <xdr:cNvPr id="6" name="Image 5">
          <a:extLst>
            <a:ext uri="{FF2B5EF4-FFF2-40B4-BE49-F238E27FC236}">
              <a16:creationId xmlns:a16="http://schemas.microsoft.com/office/drawing/2014/main" id="{B59A398E-1A58-4175-9586-70E6D7E48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437763" y="1133475"/>
          <a:ext cx="4602305" cy="2701909"/>
        </a:xfrm>
        <a:prstGeom prst="rect">
          <a:avLst/>
        </a:prstGeom>
      </xdr:spPr>
    </xdr:pic>
    <xdr:clientData/>
  </xdr:oneCellAnchor>
  <xdr:twoCellAnchor>
    <xdr:from>
      <xdr:col>58</xdr:col>
      <xdr:colOff>6350</xdr:colOff>
      <xdr:row>7</xdr:row>
      <xdr:rowOff>3175</xdr:rowOff>
    </xdr:from>
    <xdr:to>
      <xdr:col>65</xdr:col>
      <xdr:colOff>615950</xdr:colOff>
      <xdr:row>21</xdr:row>
      <xdr:rowOff>168275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1FB70BAA-1FA1-459A-B8B7-3F36B008DE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288131</xdr:colOff>
      <xdr:row>16</xdr:row>
      <xdr:rowOff>21431</xdr:rowOff>
    </xdr:from>
    <xdr:to>
      <xdr:col>7</xdr:col>
      <xdr:colOff>121443</xdr:colOff>
      <xdr:row>31</xdr:row>
      <xdr:rowOff>50006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5C796DAD-3141-48FF-A7A8-C20874536D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173830</xdr:colOff>
      <xdr:row>18</xdr:row>
      <xdr:rowOff>173831</xdr:rowOff>
    </xdr:from>
    <xdr:to>
      <xdr:col>17</xdr:col>
      <xdr:colOff>664367</xdr:colOff>
      <xdr:row>34</xdr:row>
      <xdr:rowOff>21431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Graphique 8">
              <a:extLst>
                <a:ext uri="{FF2B5EF4-FFF2-40B4-BE49-F238E27FC236}">
                  <a16:creationId xmlns:a16="http://schemas.microsoft.com/office/drawing/2014/main" id="{648669FD-CAE1-4ABA-8303-AF1707A999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32280" y="3545681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23</xdr:col>
      <xdr:colOff>302418</xdr:colOff>
      <xdr:row>18</xdr:row>
      <xdr:rowOff>73819</xdr:rowOff>
    </xdr:from>
    <xdr:to>
      <xdr:col>28</xdr:col>
      <xdr:colOff>554830</xdr:colOff>
      <xdr:row>33</xdr:row>
      <xdr:rowOff>102394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aphique 9">
              <a:extLst>
                <a:ext uri="{FF2B5EF4-FFF2-40B4-BE49-F238E27FC236}">
                  <a16:creationId xmlns:a16="http://schemas.microsoft.com/office/drawing/2014/main" id="{399A4DD9-FF2E-483A-8C13-7A590E8284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656968" y="3445669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36</xdr:col>
      <xdr:colOff>869155</xdr:colOff>
      <xdr:row>20</xdr:row>
      <xdr:rowOff>11906</xdr:rowOff>
    </xdr:from>
    <xdr:to>
      <xdr:col>42</xdr:col>
      <xdr:colOff>59530</xdr:colOff>
      <xdr:row>35</xdr:row>
      <xdr:rowOff>40481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aphique 10">
              <a:extLst>
                <a:ext uri="{FF2B5EF4-FFF2-40B4-BE49-F238E27FC236}">
                  <a16:creationId xmlns:a16="http://schemas.microsoft.com/office/drawing/2014/main" id="{32893170-D6CD-4F26-817D-F415ECB985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296143" y="374570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47</xdr:col>
      <xdr:colOff>1278732</xdr:colOff>
      <xdr:row>25</xdr:row>
      <xdr:rowOff>169068</xdr:rowOff>
    </xdr:from>
    <xdr:to>
      <xdr:col>53</xdr:col>
      <xdr:colOff>164307</xdr:colOff>
      <xdr:row>41</xdr:row>
      <xdr:rowOff>16668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Graphique 11">
              <a:extLst>
                <a:ext uri="{FF2B5EF4-FFF2-40B4-BE49-F238E27FC236}">
                  <a16:creationId xmlns:a16="http://schemas.microsoft.com/office/drawing/2014/main" id="{EE372664-A94A-46E8-9FA9-6FE6386AD7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159032" y="4807743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58</xdr:col>
      <xdr:colOff>111917</xdr:colOff>
      <xdr:row>22</xdr:row>
      <xdr:rowOff>130968</xdr:rowOff>
    </xdr:from>
    <xdr:to>
      <xdr:col>65</xdr:col>
      <xdr:colOff>635792</xdr:colOff>
      <xdr:row>37</xdr:row>
      <xdr:rowOff>159543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6A08B43A-61B5-4EA9-BF87-8097163D4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66</xdr:col>
      <xdr:colOff>1171575</xdr:colOff>
      <xdr:row>5</xdr:row>
      <xdr:rowOff>128581</xdr:rowOff>
    </xdr:from>
    <xdr:to>
      <xdr:col>66</xdr:col>
      <xdr:colOff>3702843</xdr:colOff>
      <xdr:row>11</xdr:row>
      <xdr:rowOff>133344</xdr:rowOff>
    </xdr:to>
    <xdr:graphicFrame macro="">
      <xdr:nvGraphicFramePr>
        <xdr:cNvPr id="14" name="Graphique 13">
          <a:extLst>
            <a:ext uri="{FF2B5EF4-FFF2-40B4-BE49-F238E27FC236}">
              <a16:creationId xmlns:a16="http://schemas.microsoft.com/office/drawing/2014/main" id="{FD6CB86C-B10F-4E05-B286-7C69A0AD59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66</xdr:col>
      <xdr:colOff>952500</xdr:colOff>
      <xdr:row>13</xdr:row>
      <xdr:rowOff>13803</xdr:rowOff>
    </xdr:from>
    <xdr:to>
      <xdr:col>66</xdr:col>
      <xdr:colOff>3660978</xdr:colOff>
      <xdr:row>21</xdr:row>
      <xdr:rowOff>123028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5BF54A47-6C29-4382-AE30-BCE47DFF3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381988" y="2480778"/>
          <a:ext cx="2708478" cy="1557025"/>
        </a:xfrm>
        <a:prstGeom prst="rect">
          <a:avLst/>
        </a:prstGeom>
      </xdr:spPr>
    </xdr:pic>
    <xdr:clientData/>
  </xdr:twoCellAnchor>
  <xdr:twoCellAnchor editAs="oneCell">
    <xdr:from>
      <xdr:col>66</xdr:col>
      <xdr:colOff>1113078</xdr:colOff>
      <xdr:row>23</xdr:row>
      <xdr:rowOff>9526</xdr:rowOff>
    </xdr:from>
    <xdr:to>
      <xdr:col>66</xdr:col>
      <xdr:colOff>3295649</xdr:colOff>
      <xdr:row>29</xdr:row>
      <xdr:rowOff>66276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D18A89A8-6046-4446-9C5B-28C82B4DD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6542566" y="4286251"/>
          <a:ext cx="2182571" cy="1142600"/>
        </a:xfrm>
        <a:prstGeom prst="rect">
          <a:avLst/>
        </a:prstGeom>
      </xdr:spPr>
    </xdr:pic>
    <xdr:clientData/>
  </xdr:twoCellAnchor>
  <xdr:twoCellAnchor>
    <xdr:from>
      <xdr:col>66</xdr:col>
      <xdr:colOff>981075</xdr:colOff>
      <xdr:row>29</xdr:row>
      <xdr:rowOff>161925</xdr:rowOff>
    </xdr:from>
    <xdr:to>
      <xdr:col>66</xdr:col>
      <xdr:colOff>3512343</xdr:colOff>
      <xdr:row>35</xdr:row>
      <xdr:rowOff>166688</xdr:rowOff>
    </xdr:to>
    <xdr:graphicFrame macro="">
      <xdr:nvGraphicFramePr>
        <xdr:cNvPr id="17" name="Graphique 16">
          <a:extLst>
            <a:ext uri="{FF2B5EF4-FFF2-40B4-BE49-F238E27FC236}">
              <a16:creationId xmlns:a16="http://schemas.microsoft.com/office/drawing/2014/main" id="{50542C63-4A7F-4223-87ED-510C086F43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66</xdr:col>
      <xdr:colOff>876300</xdr:colOff>
      <xdr:row>50</xdr:row>
      <xdr:rowOff>52387</xdr:rowOff>
    </xdr:from>
    <xdr:to>
      <xdr:col>66</xdr:col>
      <xdr:colOff>3407568</xdr:colOff>
      <xdr:row>56</xdr:row>
      <xdr:rowOff>57150</xdr:rowOff>
    </xdr:to>
    <xdr:graphicFrame macro="">
      <xdr:nvGraphicFramePr>
        <xdr:cNvPr id="18" name="Graphique 17">
          <a:extLst>
            <a:ext uri="{FF2B5EF4-FFF2-40B4-BE49-F238E27FC236}">
              <a16:creationId xmlns:a16="http://schemas.microsoft.com/office/drawing/2014/main" id="{0293F6E3-28F7-4981-8FEF-06D34741EC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oneCell">
    <xdr:from>
      <xdr:col>66</xdr:col>
      <xdr:colOff>883317</xdr:colOff>
      <xdr:row>37</xdr:row>
      <xdr:rowOff>23813</xdr:rowOff>
    </xdr:from>
    <xdr:to>
      <xdr:col>66</xdr:col>
      <xdr:colOff>3514725</xdr:colOff>
      <xdr:row>49</xdr:row>
      <xdr:rowOff>96848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95B48073-2990-46D2-BFD6-6E4C6C7E2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312805" y="6834188"/>
          <a:ext cx="2631408" cy="224473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47625</xdr:colOff>
      <xdr:row>0</xdr:row>
      <xdr:rowOff>19050</xdr:rowOff>
    </xdr:from>
    <xdr:ext cx="1571625" cy="2627815"/>
    <xdr:pic>
      <xdr:nvPicPr>
        <xdr:cNvPr id="2" name="Image 1">
          <a:extLst>
            <a:ext uri="{FF2B5EF4-FFF2-40B4-BE49-F238E27FC236}">
              <a16:creationId xmlns:a16="http://schemas.microsoft.com/office/drawing/2014/main" id="{A1716EF9-BB26-40EE-9212-00DE394A5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1725" y="19050"/>
          <a:ext cx="1571625" cy="2627815"/>
        </a:xfrm>
        <a:prstGeom prst="rect">
          <a:avLst/>
        </a:prstGeom>
      </xdr:spPr>
    </xdr:pic>
    <xdr:clientData/>
  </xdr:oneCellAnchor>
  <xdr:oneCellAnchor>
    <xdr:from>
      <xdr:col>19</xdr:col>
      <xdr:colOff>542924</xdr:colOff>
      <xdr:row>0</xdr:row>
      <xdr:rowOff>38100</xdr:rowOff>
    </xdr:from>
    <xdr:ext cx="2963887" cy="2514600"/>
    <xdr:pic>
      <xdr:nvPicPr>
        <xdr:cNvPr id="3" name="Image 2">
          <a:extLst>
            <a:ext uri="{FF2B5EF4-FFF2-40B4-BE49-F238E27FC236}">
              <a16:creationId xmlns:a16="http://schemas.microsoft.com/office/drawing/2014/main" id="{9ABE78B3-B84B-4CED-B50E-B150C1951F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813"/>
        <a:stretch/>
      </xdr:blipFill>
      <xdr:spPr>
        <a:xfrm>
          <a:off x="9463087" y="38100"/>
          <a:ext cx="2963887" cy="2514600"/>
        </a:xfrm>
        <a:prstGeom prst="rect">
          <a:avLst/>
        </a:prstGeom>
      </xdr:spPr>
    </xdr:pic>
    <xdr:clientData/>
  </xdr:oneCellAnchor>
  <xdr:oneCellAnchor>
    <xdr:from>
      <xdr:col>31</xdr:col>
      <xdr:colOff>496060</xdr:colOff>
      <xdr:row>0</xdr:row>
      <xdr:rowOff>0</xdr:rowOff>
    </xdr:from>
    <xdr:ext cx="4902710" cy="2562225"/>
    <xdr:pic>
      <xdr:nvPicPr>
        <xdr:cNvPr id="4" name="Image 3">
          <a:extLst>
            <a:ext uri="{FF2B5EF4-FFF2-40B4-BE49-F238E27FC236}">
              <a16:creationId xmlns:a16="http://schemas.microsoft.com/office/drawing/2014/main" id="{8211C499-BD35-47BA-965D-5F566E103B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336" b="5850"/>
        <a:stretch/>
      </xdr:blipFill>
      <xdr:spPr>
        <a:xfrm>
          <a:off x="17188623" y="0"/>
          <a:ext cx="4902710" cy="2562225"/>
        </a:xfrm>
        <a:prstGeom prst="rect">
          <a:avLst/>
        </a:prstGeom>
      </xdr:spPr>
    </xdr:pic>
    <xdr:clientData/>
  </xdr:oneCellAnchor>
  <xdr:oneCellAnchor>
    <xdr:from>
      <xdr:col>20</xdr:col>
      <xdr:colOff>19050</xdr:colOff>
      <xdr:row>4</xdr:row>
      <xdr:rowOff>276225</xdr:rowOff>
    </xdr:from>
    <xdr:ext cx="2264979" cy="449995"/>
    <xdr:sp macro="" textlink="">
      <xdr:nvSpPr>
        <xdr:cNvPr id="5" name="ZoneTexte 4">
          <a:extLst>
            <a:ext uri="{FF2B5EF4-FFF2-40B4-BE49-F238E27FC236}">
              <a16:creationId xmlns:a16="http://schemas.microsoft.com/office/drawing/2014/main" id="{83228939-EBF9-45FA-9AE3-6CBF6A7DF70E}"/>
            </a:ext>
          </a:extLst>
        </xdr:cNvPr>
        <xdr:cNvSpPr txBox="1"/>
      </xdr:nvSpPr>
      <xdr:spPr>
        <a:xfrm>
          <a:off x="9758363" y="1819275"/>
          <a:ext cx="2264979" cy="4499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FR" sz="2400" b="1">
              <a:solidFill>
                <a:schemeClr val="bg1"/>
              </a:solidFill>
              <a:latin typeface="Brush Script Std" panose="03060802040607070404" pitchFamily="66" charset="0"/>
            </a:rPr>
            <a:t>On dort bien !!!</a:t>
          </a:r>
        </a:p>
      </xdr:txBody>
    </xdr:sp>
    <xdr:clientData/>
  </xdr:oneCellAnchor>
  <xdr:oneCellAnchor>
    <xdr:from>
      <xdr:col>48</xdr:col>
      <xdr:colOff>304801</xdr:colOff>
      <xdr:row>0</xdr:row>
      <xdr:rowOff>49866</xdr:rowOff>
    </xdr:from>
    <xdr:ext cx="5762624" cy="2577154"/>
    <xdr:pic>
      <xdr:nvPicPr>
        <xdr:cNvPr id="6" name="Image 5">
          <a:extLst>
            <a:ext uri="{FF2B5EF4-FFF2-40B4-BE49-F238E27FC236}">
              <a16:creationId xmlns:a16="http://schemas.microsoft.com/office/drawing/2014/main" id="{C97CAA87-B03D-4C86-A31D-6C056D156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12964" y="49866"/>
          <a:ext cx="5762624" cy="2577154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260350</xdr:colOff>
      <xdr:row>0</xdr:row>
      <xdr:rowOff>0</xdr:rowOff>
    </xdr:from>
    <xdr:to>
      <xdr:col>5</xdr:col>
      <xdr:colOff>46990</xdr:colOff>
      <xdr:row>1</xdr:row>
      <xdr:rowOff>129952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B48BFED8-BD75-466E-8922-A7D4CC1D9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1793875" y="0"/>
          <a:ext cx="1772603" cy="1144365"/>
        </a:xfrm>
        <a:prstGeom prst="rect">
          <a:avLst/>
        </a:prstGeom>
      </xdr:spPr>
    </xdr:pic>
    <xdr:clientData/>
  </xdr:twoCellAnchor>
  <xdr:twoCellAnchor editAs="oneCell">
    <xdr:from>
      <xdr:col>12</xdr:col>
      <xdr:colOff>488950</xdr:colOff>
      <xdr:row>0</xdr:row>
      <xdr:rowOff>0</xdr:rowOff>
    </xdr:from>
    <xdr:to>
      <xdr:col>14</xdr:col>
      <xdr:colOff>323850</xdr:colOff>
      <xdr:row>1</xdr:row>
      <xdr:rowOff>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9506DB89-9E42-415C-AFAF-851E75A83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7670800" y="0"/>
          <a:ext cx="1558925" cy="1014413"/>
        </a:xfrm>
        <a:prstGeom prst="rect">
          <a:avLst/>
        </a:prstGeom>
      </xdr:spPr>
    </xdr:pic>
    <xdr:clientData/>
  </xdr:twoCellAnchor>
  <xdr:twoCellAnchor editAs="oneCell">
    <xdr:from>
      <xdr:col>20</xdr:col>
      <xdr:colOff>79728</xdr:colOff>
      <xdr:row>0</xdr:row>
      <xdr:rowOff>0</xdr:rowOff>
    </xdr:from>
    <xdr:to>
      <xdr:col>21</xdr:col>
      <xdr:colOff>305506</xdr:colOff>
      <xdr:row>0</xdr:row>
      <xdr:rowOff>889000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82182C90-B0EC-4FB4-929C-294617686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12286016" y="0"/>
          <a:ext cx="987778" cy="889000"/>
        </a:xfrm>
        <a:prstGeom prst="rect">
          <a:avLst/>
        </a:prstGeom>
      </xdr:spPr>
    </xdr:pic>
    <xdr:clientData/>
  </xdr:twoCellAnchor>
  <xdr:twoCellAnchor editAs="oneCell">
    <xdr:from>
      <xdr:col>26</xdr:col>
      <xdr:colOff>514350</xdr:colOff>
      <xdr:row>0</xdr:row>
      <xdr:rowOff>0</xdr:rowOff>
    </xdr:from>
    <xdr:to>
      <xdr:col>28</xdr:col>
      <xdr:colOff>57150</xdr:colOff>
      <xdr:row>0</xdr:row>
      <xdr:rowOff>864744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E6254FD8-FA94-4B51-9FC3-5CA6E44E9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8"/>
            </a:ext>
          </a:extLst>
        </a:blip>
        <a:stretch>
          <a:fillRect/>
        </a:stretch>
      </xdr:blipFill>
      <xdr:spPr>
        <a:xfrm>
          <a:off x="15821025" y="0"/>
          <a:ext cx="1066800" cy="864744"/>
        </a:xfrm>
        <a:prstGeom prst="rect">
          <a:avLst/>
        </a:prstGeom>
      </xdr:spPr>
    </xdr:pic>
    <xdr:clientData/>
  </xdr:twoCellAnchor>
  <xdr:twoCellAnchor editAs="oneCell">
    <xdr:from>
      <xdr:col>34</xdr:col>
      <xdr:colOff>286886</xdr:colOff>
      <xdr:row>0</xdr:row>
      <xdr:rowOff>0</xdr:rowOff>
    </xdr:from>
    <xdr:to>
      <xdr:col>35</xdr:col>
      <xdr:colOff>524963</xdr:colOff>
      <xdr:row>1</xdr:row>
      <xdr:rowOff>10740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29BAAFD0-F1AB-4864-8C69-D22110F018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74" r="21666"/>
        <a:stretch/>
      </xdr:blipFill>
      <xdr:spPr>
        <a:xfrm>
          <a:off x="20217949" y="0"/>
          <a:ext cx="1000077" cy="102515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409574</xdr:colOff>
      <xdr:row>0</xdr:row>
      <xdr:rowOff>273050</xdr:rowOff>
    </xdr:from>
    <xdr:to>
      <xdr:col>2</xdr:col>
      <xdr:colOff>761999</xdr:colOff>
      <xdr:row>0</xdr:row>
      <xdr:rowOff>1016000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434FA79F-C8EF-4295-AF36-C67585018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1171574" y="273050"/>
          <a:ext cx="1114425" cy="742950"/>
        </a:xfrm>
        <a:prstGeom prst="rect">
          <a:avLst/>
        </a:prstGeom>
      </xdr:spPr>
    </xdr:pic>
    <xdr:clientData/>
  </xdr:twoCellAnchor>
  <xdr:twoCellAnchor editAs="oneCell">
    <xdr:from>
      <xdr:col>8</xdr:col>
      <xdr:colOff>463550</xdr:colOff>
      <xdr:row>0</xdr:row>
      <xdr:rowOff>0</xdr:rowOff>
    </xdr:from>
    <xdr:to>
      <xdr:col>9</xdr:col>
      <xdr:colOff>419100</xdr:colOff>
      <xdr:row>0</xdr:row>
      <xdr:rowOff>1049672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B74D1293-F206-410C-B31C-70D3E090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5202238" y="0"/>
          <a:ext cx="1012825" cy="1049672"/>
        </a:xfrm>
        <a:prstGeom prst="rect">
          <a:avLst/>
        </a:prstGeom>
      </xdr:spPr>
    </xdr:pic>
    <xdr:clientData/>
  </xdr:twoCellAnchor>
  <xdr:twoCellAnchor editAs="oneCell">
    <xdr:from>
      <xdr:col>15</xdr:col>
      <xdr:colOff>209550</xdr:colOff>
      <xdr:row>0</xdr:row>
      <xdr:rowOff>0</xdr:rowOff>
    </xdr:from>
    <xdr:to>
      <xdr:col>17</xdr:col>
      <xdr:colOff>714375</xdr:colOff>
      <xdr:row>0</xdr:row>
      <xdr:rowOff>1097561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1A57F27D-35DC-4625-B841-AD1203E51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05900" y="0"/>
          <a:ext cx="2028825" cy="1097561"/>
        </a:xfrm>
        <a:prstGeom prst="rect">
          <a:avLst/>
        </a:prstGeom>
      </xdr:spPr>
    </xdr:pic>
    <xdr:clientData/>
  </xdr:twoCellAnchor>
  <xdr:twoCellAnchor editAs="oneCell">
    <xdr:from>
      <xdr:col>23</xdr:col>
      <xdr:colOff>133350</xdr:colOff>
      <xdr:row>0</xdr:row>
      <xdr:rowOff>0</xdr:rowOff>
    </xdr:from>
    <xdr:to>
      <xdr:col>25</xdr:col>
      <xdr:colOff>647700</xdr:colOff>
      <xdr:row>0</xdr:row>
      <xdr:rowOff>1085355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4871247F-D08B-4769-9115-5513DA73B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4088" y="0"/>
          <a:ext cx="2038350" cy="1085355"/>
        </a:xfrm>
        <a:prstGeom prst="rect">
          <a:avLst/>
        </a:prstGeom>
      </xdr:spPr>
    </xdr:pic>
    <xdr:clientData/>
  </xdr:twoCellAnchor>
  <xdr:twoCellAnchor editAs="oneCell">
    <xdr:from>
      <xdr:col>31</xdr:col>
      <xdr:colOff>497489</xdr:colOff>
      <xdr:row>0</xdr:row>
      <xdr:rowOff>87033</xdr:rowOff>
    </xdr:from>
    <xdr:to>
      <xdr:col>32</xdr:col>
      <xdr:colOff>557588</xdr:colOff>
      <xdr:row>0</xdr:row>
      <xdr:rowOff>1025209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AA310FDA-C059-41C4-8ACF-29D2AADEE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741528">
          <a:off x="18504502" y="87033"/>
          <a:ext cx="822099" cy="93817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506413</xdr:colOff>
      <xdr:row>0</xdr:row>
      <xdr:rowOff>423863</xdr:rowOff>
    </xdr:from>
    <xdr:to>
      <xdr:col>2</xdr:col>
      <xdr:colOff>869951</xdr:colOff>
      <xdr:row>3</xdr:row>
      <xdr:rowOff>29458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24B55221-84BC-4E93-848C-DCC1F38FFF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74" r="21666"/>
        <a:stretch/>
      </xdr:blipFill>
      <xdr:spPr>
        <a:xfrm>
          <a:off x="1268413" y="423863"/>
          <a:ext cx="1125538" cy="1134358"/>
        </a:xfrm>
        <a:prstGeom prst="rect">
          <a:avLst/>
        </a:prstGeom>
      </xdr:spPr>
    </xdr:pic>
    <xdr:clientData/>
  </xdr:twoCellAnchor>
  <xdr:twoCellAnchor editAs="oneCell">
    <xdr:from>
      <xdr:col>3</xdr:col>
      <xdr:colOff>577850</xdr:colOff>
      <xdr:row>0</xdr:row>
      <xdr:rowOff>442913</xdr:rowOff>
    </xdr:from>
    <xdr:to>
      <xdr:col>5</xdr:col>
      <xdr:colOff>179388</xdr:colOff>
      <xdr:row>3</xdr:row>
      <xdr:rowOff>48508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972BC8F6-DF8C-446E-8F7E-C4F72EEDFE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74" r="21666"/>
        <a:stretch/>
      </xdr:blipFill>
      <xdr:spPr>
        <a:xfrm>
          <a:off x="3068638" y="442913"/>
          <a:ext cx="1125538" cy="113435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419100</xdr:colOff>
      <xdr:row>0</xdr:row>
      <xdr:rowOff>209401</xdr:rowOff>
    </xdr:from>
    <xdr:ext cx="3471864" cy="976461"/>
    <xdr:pic>
      <xdr:nvPicPr>
        <xdr:cNvPr id="2" name="Image 1">
          <a:extLst>
            <a:ext uri="{FF2B5EF4-FFF2-40B4-BE49-F238E27FC236}">
              <a16:creationId xmlns:a16="http://schemas.microsoft.com/office/drawing/2014/main" id="{3175907F-515A-4FB8-8B75-9562DD9DC4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rcRect t="9420" b="40578"/>
        <a:stretch/>
      </xdr:blipFill>
      <xdr:spPr>
        <a:xfrm>
          <a:off x="542925" y="209401"/>
          <a:ext cx="3471864" cy="976461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714378</xdr:colOff>
      <xdr:row>0</xdr:row>
      <xdr:rowOff>186143</xdr:rowOff>
    </xdr:from>
    <xdr:to>
      <xdr:col>5</xdr:col>
      <xdr:colOff>361953</xdr:colOff>
      <xdr:row>1</xdr:row>
      <xdr:rowOff>4550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276617A8-0CA5-42F7-932D-02D7FE3D3F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rcRect t="14348" b="10652"/>
        <a:stretch/>
      </xdr:blipFill>
      <xdr:spPr>
        <a:xfrm>
          <a:off x="1714503" y="186143"/>
          <a:ext cx="2695575" cy="87568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628649</xdr:colOff>
      <xdr:row>0</xdr:row>
      <xdr:rowOff>253023</xdr:rowOff>
    </xdr:from>
    <xdr:to>
      <xdr:col>2</xdr:col>
      <xdr:colOff>1000124</xdr:colOff>
      <xdr:row>0</xdr:row>
      <xdr:rowOff>1204918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98151ABB-0841-46E5-A6DD-AAB5FE54D6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rcRect t="15973" b="9409"/>
        <a:stretch/>
      </xdr:blipFill>
      <xdr:spPr>
        <a:xfrm>
          <a:off x="1814512" y="253023"/>
          <a:ext cx="1557337" cy="951895"/>
        </a:xfrm>
        <a:prstGeom prst="rect">
          <a:avLst/>
        </a:prstGeom>
      </xdr:spPr>
    </xdr:pic>
    <xdr:clientData/>
  </xdr:twoCellAnchor>
  <xdr:twoCellAnchor editAs="oneCell">
    <xdr:from>
      <xdr:col>8</xdr:col>
      <xdr:colOff>609600</xdr:colOff>
      <xdr:row>0</xdr:row>
      <xdr:rowOff>257199</xdr:rowOff>
    </xdr:from>
    <xdr:to>
      <xdr:col>10</xdr:col>
      <xdr:colOff>559138</xdr:colOff>
      <xdr:row>0</xdr:row>
      <xdr:rowOff>1227624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FBDEDEE3-2560-4210-BE9D-E719267BC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6786563" y="257199"/>
          <a:ext cx="1078250" cy="970425"/>
        </a:xfrm>
        <a:prstGeom prst="rect">
          <a:avLst/>
        </a:prstGeom>
      </xdr:spPr>
    </xdr:pic>
    <xdr:clientData/>
  </xdr:twoCellAnchor>
  <xdr:twoCellAnchor editAs="oneCell">
    <xdr:from>
      <xdr:col>19</xdr:col>
      <xdr:colOff>23820</xdr:colOff>
      <xdr:row>0</xdr:row>
      <xdr:rowOff>47626</xdr:rowOff>
    </xdr:from>
    <xdr:to>
      <xdr:col>22</xdr:col>
      <xdr:colOff>311156</xdr:colOff>
      <xdr:row>0</xdr:row>
      <xdr:rowOff>1214492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DA426FEC-6CC0-4FFB-994B-EB65EC6E34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34"/>
        <a:stretch/>
      </xdr:blipFill>
      <xdr:spPr>
        <a:xfrm>
          <a:off x="11739570" y="47626"/>
          <a:ext cx="1581149" cy="1166866"/>
        </a:xfrm>
        <a:prstGeom prst="rect">
          <a:avLst/>
        </a:prstGeom>
      </xdr:spPr>
    </xdr:pic>
    <xdr:clientData/>
  </xdr:twoCellAnchor>
  <xdr:twoCellAnchor editAs="oneCell">
    <xdr:from>
      <xdr:col>27</xdr:col>
      <xdr:colOff>398267</xdr:colOff>
      <xdr:row>0</xdr:row>
      <xdr:rowOff>9525</xdr:rowOff>
    </xdr:from>
    <xdr:to>
      <xdr:col>31</xdr:col>
      <xdr:colOff>146828</xdr:colOff>
      <xdr:row>1</xdr:row>
      <xdr:rowOff>166686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8E367B09-ADE0-4720-9475-287EB9F38B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7"/>
            </a:ext>
          </a:extLst>
        </a:blip>
        <a:srcRect t="12085"/>
        <a:stretch/>
      </xdr:blipFill>
      <xdr:spPr>
        <a:xfrm>
          <a:off x="14971517" y="9525"/>
          <a:ext cx="2977534" cy="1390649"/>
        </a:xfrm>
        <a:prstGeom prst="rect">
          <a:avLst/>
        </a:prstGeom>
      </xdr:spPr>
    </xdr:pic>
    <xdr:clientData/>
  </xdr:twoCellAnchor>
  <xdr:twoCellAnchor editAs="oneCell">
    <xdr:from>
      <xdr:col>1</xdr:col>
      <xdr:colOff>628649</xdr:colOff>
      <xdr:row>0</xdr:row>
      <xdr:rowOff>253023</xdr:rowOff>
    </xdr:from>
    <xdr:to>
      <xdr:col>2</xdr:col>
      <xdr:colOff>1000124</xdr:colOff>
      <xdr:row>0</xdr:row>
      <xdr:rowOff>1204918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95D8449C-129A-4427-82E3-EFA72C4CD6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rcRect t="15973" b="9409"/>
        <a:stretch/>
      </xdr:blipFill>
      <xdr:spPr>
        <a:xfrm>
          <a:off x="1814512" y="253023"/>
          <a:ext cx="1557337" cy="951895"/>
        </a:xfrm>
        <a:prstGeom prst="rect">
          <a:avLst/>
        </a:prstGeom>
      </xdr:spPr>
    </xdr:pic>
    <xdr:clientData/>
  </xdr:twoCellAnchor>
  <xdr:twoCellAnchor editAs="oneCell">
    <xdr:from>
      <xdr:col>8</xdr:col>
      <xdr:colOff>609600</xdr:colOff>
      <xdr:row>0</xdr:row>
      <xdr:rowOff>257199</xdr:rowOff>
    </xdr:from>
    <xdr:to>
      <xdr:col>10</xdr:col>
      <xdr:colOff>559138</xdr:colOff>
      <xdr:row>0</xdr:row>
      <xdr:rowOff>1227624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642D0354-5C23-40C8-827A-5EE7B2A8B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6786563" y="257199"/>
          <a:ext cx="1078250" cy="970425"/>
        </a:xfrm>
        <a:prstGeom prst="rect">
          <a:avLst/>
        </a:prstGeom>
      </xdr:spPr>
    </xdr:pic>
    <xdr:clientData/>
  </xdr:twoCellAnchor>
  <xdr:twoCellAnchor editAs="oneCell">
    <xdr:from>
      <xdr:col>19</xdr:col>
      <xdr:colOff>23820</xdr:colOff>
      <xdr:row>0</xdr:row>
      <xdr:rowOff>47626</xdr:rowOff>
    </xdr:from>
    <xdr:to>
      <xdr:col>22</xdr:col>
      <xdr:colOff>307981</xdr:colOff>
      <xdr:row>0</xdr:row>
      <xdr:rowOff>1214492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23E97186-228F-4665-8C9D-A2EEE056B5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34"/>
        <a:stretch/>
      </xdr:blipFill>
      <xdr:spPr>
        <a:xfrm>
          <a:off x="11768145" y="47626"/>
          <a:ext cx="1577974" cy="1166866"/>
        </a:xfrm>
        <a:prstGeom prst="rect">
          <a:avLst/>
        </a:prstGeom>
      </xdr:spPr>
    </xdr:pic>
    <xdr:clientData/>
  </xdr:twoCellAnchor>
  <xdr:twoCellAnchor editAs="oneCell">
    <xdr:from>
      <xdr:col>27</xdr:col>
      <xdr:colOff>398267</xdr:colOff>
      <xdr:row>0</xdr:row>
      <xdr:rowOff>9525</xdr:rowOff>
    </xdr:from>
    <xdr:to>
      <xdr:col>31</xdr:col>
      <xdr:colOff>146830</xdr:colOff>
      <xdr:row>1</xdr:row>
      <xdr:rowOff>166686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6AFCA706-205F-487F-A2F5-6160A0467C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7"/>
            </a:ext>
          </a:extLst>
        </a:blip>
        <a:srcRect t="12085"/>
        <a:stretch/>
      </xdr:blipFill>
      <xdr:spPr>
        <a:xfrm>
          <a:off x="15809717" y="9525"/>
          <a:ext cx="2977536" cy="1390649"/>
        </a:xfrm>
        <a:prstGeom prst="rect">
          <a:avLst/>
        </a:prstGeom>
      </xdr:spPr>
    </xdr:pic>
    <xdr:clientData/>
  </xdr:twoCellAnchor>
  <xdr:twoCellAnchor editAs="oneCell">
    <xdr:from>
      <xdr:col>38</xdr:col>
      <xdr:colOff>746969</xdr:colOff>
      <xdr:row>0</xdr:row>
      <xdr:rowOff>0</xdr:rowOff>
    </xdr:from>
    <xdr:to>
      <xdr:col>42</xdr:col>
      <xdr:colOff>638176</xdr:colOff>
      <xdr:row>2</xdr:row>
      <xdr:rowOff>241299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DC4F2843-1E9C-4B4B-9BF6-54B3C92EF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83094" y="0"/>
          <a:ext cx="2939207" cy="1655762"/>
        </a:xfrm>
        <a:prstGeom prst="rect">
          <a:avLst/>
        </a:prstGeom>
      </xdr:spPr>
    </xdr:pic>
    <xdr:clientData/>
  </xdr:twoCellAnchor>
  <xdr:twoCellAnchor editAs="oneCell">
    <xdr:from>
      <xdr:col>36</xdr:col>
      <xdr:colOff>88899</xdr:colOff>
      <xdr:row>40</xdr:row>
      <xdr:rowOff>58934</xdr:rowOff>
    </xdr:from>
    <xdr:to>
      <xdr:col>44</xdr:col>
      <xdr:colOff>323849</xdr:colOff>
      <xdr:row>60</xdr:row>
      <xdr:rowOff>93683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56968CAD-5EBF-4A77-8316-39C1BFD4A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901024" y="9212459"/>
          <a:ext cx="6330950" cy="3654249"/>
        </a:xfrm>
        <a:prstGeom prst="rect">
          <a:avLst/>
        </a:prstGeom>
      </xdr:spPr>
    </xdr:pic>
    <xdr:clientData/>
  </xdr:twoCellAnchor>
  <xdr:twoCellAnchor editAs="oneCell">
    <xdr:from>
      <xdr:col>51</xdr:col>
      <xdr:colOff>114300</xdr:colOff>
      <xdr:row>21</xdr:row>
      <xdr:rowOff>20497</xdr:rowOff>
    </xdr:from>
    <xdr:to>
      <xdr:col>62</xdr:col>
      <xdr:colOff>455781</xdr:colOff>
      <xdr:row>47</xdr:row>
      <xdr:rowOff>81763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F9B2E2E4-C2E9-4842-8551-0F9D5090A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627638" y="5716447"/>
          <a:ext cx="8723481" cy="47666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10</xdr:col>
      <xdr:colOff>695228</xdr:colOff>
      <xdr:row>58</xdr:row>
      <xdr:rowOff>177800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BA26A694-A1F7-4EE5-B7F7-0F4AD6925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143750"/>
          <a:ext cx="8000903" cy="54260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59</xdr:row>
      <xdr:rowOff>0</xdr:rowOff>
    </xdr:from>
    <xdr:to>
      <xdr:col>10</xdr:col>
      <xdr:colOff>908485</xdr:colOff>
      <xdr:row>104</xdr:row>
      <xdr:rowOff>146050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8E02CE6C-2261-4EAB-90E4-02CEFEDB1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12592050"/>
          <a:ext cx="8214159" cy="8289925"/>
        </a:xfrm>
        <a:prstGeom prst="rect">
          <a:avLst/>
        </a:prstGeom>
      </xdr:spPr>
    </xdr:pic>
    <xdr:clientData/>
  </xdr:twoCellAnchor>
  <xdr:twoCellAnchor editAs="oneCell">
    <xdr:from>
      <xdr:col>10</xdr:col>
      <xdr:colOff>76199</xdr:colOff>
      <xdr:row>14</xdr:row>
      <xdr:rowOff>19051</xdr:rowOff>
    </xdr:from>
    <xdr:to>
      <xdr:col>23</xdr:col>
      <xdr:colOff>441326</xdr:colOff>
      <xdr:row>33</xdr:row>
      <xdr:rowOff>38100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8144860A-BC37-45C4-9165-29781F57BD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8926" t="22413" r="24017" b="40520"/>
        <a:stretch/>
      </xdr:blipFill>
      <xdr:spPr>
        <a:xfrm>
          <a:off x="7381874" y="4448176"/>
          <a:ext cx="6700839" cy="3457574"/>
        </a:xfrm>
        <a:prstGeom prst="rect">
          <a:avLst/>
        </a:prstGeom>
      </xdr:spPr>
    </xdr:pic>
    <xdr:clientData/>
  </xdr:twoCellAnchor>
  <xdr:twoCellAnchor>
    <xdr:from>
      <xdr:col>9</xdr:col>
      <xdr:colOff>247649</xdr:colOff>
      <xdr:row>14</xdr:row>
      <xdr:rowOff>0</xdr:rowOff>
    </xdr:from>
    <xdr:to>
      <xdr:col>15</xdr:col>
      <xdr:colOff>609599</xdr:colOff>
      <xdr:row>23</xdr:row>
      <xdr:rowOff>19049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201A3D97-475F-46A2-985D-C4C8F68FECE9}"/>
            </a:ext>
          </a:extLst>
        </xdr:cNvPr>
        <xdr:cNvSpPr/>
      </xdr:nvSpPr>
      <xdr:spPr>
        <a:xfrm>
          <a:off x="7234237" y="4429125"/>
          <a:ext cx="3086100" cy="1647824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469900</xdr:colOff>
      <xdr:row>25</xdr:row>
      <xdr:rowOff>19049</xdr:rowOff>
    </xdr:from>
    <xdr:to>
      <xdr:col>15</xdr:col>
      <xdr:colOff>63499</xdr:colOff>
      <xdr:row>29</xdr:row>
      <xdr:rowOff>31749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5FFA3AE0-3795-498B-B300-593543645E78}"/>
            </a:ext>
          </a:extLst>
        </xdr:cNvPr>
        <xdr:cNvSpPr/>
      </xdr:nvSpPr>
      <xdr:spPr>
        <a:xfrm>
          <a:off x="8861425" y="6438899"/>
          <a:ext cx="912812" cy="736600"/>
        </a:xfrm>
        <a:prstGeom prst="rect">
          <a:avLst/>
        </a:prstGeom>
        <a:solidFill>
          <a:srgbClr val="5B9BD5">
            <a:alpha val="25882"/>
          </a:srgb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95249</xdr:colOff>
      <xdr:row>25</xdr:row>
      <xdr:rowOff>-1</xdr:rowOff>
    </xdr:from>
    <xdr:to>
      <xdr:col>18</xdr:col>
      <xdr:colOff>190499</xdr:colOff>
      <xdr:row>26</xdr:row>
      <xdr:rowOff>44450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C4F037FB-9567-45A2-B110-29CA41240C2E}"/>
            </a:ext>
          </a:extLst>
        </xdr:cNvPr>
        <xdr:cNvSpPr/>
      </xdr:nvSpPr>
      <xdr:spPr>
        <a:xfrm>
          <a:off x="10567987" y="6419849"/>
          <a:ext cx="904875" cy="225426"/>
        </a:xfrm>
        <a:prstGeom prst="rect">
          <a:avLst/>
        </a:prstGeom>
        <a:solidFill>
          <a:srgbClr val="5B9BD5">
            <a:alpha val="25882"/>
          </a:srgb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15</xdr:col>
      <xdr:colOff>69849</xdr:colOff>
      <xdr:row>25</xdr:row>
      <xdr:rowOff>114299</xdr:rowOff>
    </xdr:from>
    <xdr:to>
      <xdr:col>16</xdr:col>
      <xdr:colOff>95249</xdr:colOff>
      <xdr:row>27</xdr:row>
      <xdr:rowOff>146049</xdr:rowOff>
    </xdr:to>
    <xdr:cxnSp macro="">
      <xdr:nvCxnSpPr>
        <xdr:cNvPr id="19" name="Connecteur droit 18">
          <a:extLst>
            <a:ext uri="{FF2B5EF4-FFF2-40B4-BE49-F238E27FC236}">
              <a16:creationId xmlns:a16="http://schemas.microsoft.com/office/drawing/2014/main" id="{001BD502-8230-43B6-A65E-82FBC639F060}"/>
            </a:ext>
          </a:extLst>
        </xdr:cNvPr>
        <xdr:cNvCxnSpPr>
          <a:endCxn id="18" idx="1"/>
        </xdr:cNvCxnSpPr>
      </xdr:nvCxnSpPr>
      <xdr:spPr>
        <a:xfrm flipV="1">
          <a:off x="9780587" y="6534149"/>
          <a:ext cx="787400" cy="39370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352424</xdr:colOff>
      <xdr:row>0</xdr:row>
      <xdr:rowOff>14287</xdr:rowOff>
    </xdr:from>
    <xdr:to>
      <xdr:col>2</xdr:col>
      <xdr:colOff>285750</xdr:colOff>
      <xdr:row>2</xdr:row>
      <xdr:rowOff>572127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25B321D3-8019-4AB0-8369-0B53EA46F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766762" y="14287"/>
          <a:ext cx="976313" cy="919790"/>
        </a:xfrm>
        <a:prstGeom prst="rect">
          <a:avLst/>
        </a:prstGeom>
      </xdr:spPr>
    </xdr:pic>
    <xdr:clientData/>
  </xdr:twoCellAnchor>
  <xdr:twoCellAnchor editAs="oneCell">
    <xdr:from>
      <xdr:col>7</xdr:col>
      <xdr:colOff>1171575</xdr:colOff>
      <xdr:row>0</xdr:row>
      <xdr:rowOff>37556</xdr:rowOff>
    </xdr:from>
    <xdr:to>
      <xdr:col>8</xdr:col>
      <xdr:colOff>590549</xdr:colOff>
      <xdr:row>2</xdr:row>
      <xdr:rowOff>637077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717550C-8AE9-4462-8C27-0664066C6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4291013" y="37556"/>
          <a:ext cx="1219199" cy="9614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16</xdr:col>
      <xdr:colOff>133351</xdr:colOff>
      <xdr:row>13</xdr:row>
      <xdr:rowOff>147638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73CE0961-AB52-4948-B794-F60624AF7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075" y="3005138"/>
          <a:ext cx="3429001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919162</xdr:colOff>
      <xdr:row>0</xdr:row>
      <xdr:rowOff>0</xdr:rowOff>
    </xdr:from>
    <xdr:to>
      <xdr:col>14</xdr:col>
      <xdr:colOff>597251</xdr:colOff>
      <xdr:row>2</xdr:row>
      <xdr:rowOff>531335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5E11313F-753D-4B99-BB02-7B7B857A3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7"/>
            </a:ext>
          </a:extLst>
        </a:blip>
        <a:stretch>
          <a:fillRect/>
        </a:stretch>
      </xdr:blipFill>
      <xdr:spPr>
        <a:xfrm>
          <a:off x="7996237" y="0"/>
          <a:ext cx="992539" cy="893285"/>
        </a:xfrm>
        <a:prstGeom prst="rect">
          <a:avLst/>
        </a:prstGeom>
      </xdr:spPr>
    </xdr:pic>
    <xdr:clientData/>
  </xdr:twoCellAnchor>
  <xdr:twoCellAnchor editAs="oneCell">
    <xdr:from>
      <xdr:col>19</xdr:col>
      <xdr:colOff>1076325</xdr:colOff>
      <xdr:row>0</xdr:row>
      <xdr:rowOff>4763</xdr:rowOff>
    </xdr:from>
    <xdr:to>
      <xdr:col>20</xdr:col>
      <xdr:colOff>633413</xdr:colOff>
      <xdr:row>2</xdr:row>
      <xdr:rowOff>557213</xdr:rowOff>
    </xdr:to>
    <xdr:pic>
      <xdr:nvPicPr>
        <xdr:cNvPr id="6" name="Graphique 5" descr="Équipe">
          <a:extLst>
            <a:ext uri="{FF2B5EF4-FFF2-40B4-BE49-F238E27FC236}">
              <a16:creationId xmlns:a16="http://schemas.microsoft.com/office/drawing/2014/main" id="{53D66AE9-F0B7-4827-8828-CB7DADE51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1920538" y="4763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0</xdr:row>
      <xdr:rowOff>0</xdr:rowOff>
    </xdr:from>
    <xdr:to>
      <xdr:col>27</xdr:col>
      <xdr:colOff>147637</xdr:colOff>
      <xdr:row>2</xdr:row>
      <xdr:rowOff>552450</xdr:rowOff>
    </xdr:to>
    <xdr:pic>
      <xdr:nvPicPr>
        <xdr:cNvPr id="7" name="Graphique 6" descr="E-mail">
          <a:extLst>
            <a:ext uri="{FF2B5EF4-FFF2-40B4-BE49-F238E27FC236}">
              <a16:creationId xmlns:a16="http://schemas.microsoft.com/office/drawing/2014/main" id="{2B8FF157-04D0-4512-AACC-7C617D33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5287625" y="0"/>
          <a:ext cx="914400" cy="9144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90472</xdr:colOff>
      <xdr:row>0</xdr:row>
      <xdr:rowOff>1</xdr:rowOff>
    </xdr:from>
    <xdr:to>
      <xdr:col>2</xdr:col>
      <xdr:colOff>319070</xdr:colOff>
      <xdr:row>3</xdr:row>
      <xdr:rowOff>1201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CDA8BD60-FE44-49BC-B677-15312739C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852472" y="1"/>
          <a:ext cx="1681161" cy="1029900"/>
        </a:xfrm>
        <a:prstGeom prst="rect">
          <a:avLst/>
        </a:prstGeom>
      </xdr:spPr>
    </xdr:pic>
    <xdr:clientData/>
  </xdr:twoCellAnchor>
  <xdr:twoCellAnchor editAs="oneCell">
    <xdr:from>
      <xdr:col>8</xdr:col>
      <xdr:colOff>157162</xdr:colOff>
      <xdr:row>0</xdr:row>
      <xdr:rowOff>0</xdr:rowOff>
    </xdr:from>
    <xdr:to>
      <xdr:col>9</xdr:col>
      <xdr:colOff>471487</xdr:colOff>
      <xdr:row>2</xdr:row>
      <xdr:rowOff>663922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82AAB9E-46EC-4F59-B3CA-7CBB298FC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5862637" y="0"/>
          <a:ext cx="1076325" cy="1025872"/>
        </a:xfrm>
        <a:prstGeom prst="rect">
          <a:avLst/>
        </a:prstGeom>
      </xdr:spPr>
    </xdr:pic>
    <xdr:clientData/>
  </xdr:twoCellAnchor>
  <xdr:twoCellAnchor editAs="oneCell">
    <xdr:from>
      <xdr:col>17</xdr:col>
      <xdr:colOff>204788</xdr:colOff>
      <xdr:row>0</xdr:row>
      <xdr:rowOff>0</xdr:rowOff>
    </xdr:from>
    <xdr:to>
      <xdr:col>19</xdr:col>
      <xdr:colOff>38101</xdr:colOff>
      <xdr:row>5</xdr:row>
      <xdr:rowOff>128588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66E7D1FA-4667-4CFC-A3CD-C36DB7863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10634663" y="0"/>
          <a:ext cx="1519238" cy="1519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26</xdr:col>
      <xdr:colOff>80962</xdr:colOff>
      <xdr:row>3</xdr:row>
      <xdr:rowOff>104804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ADDAEA74-9F06-4FAA-A874-6008B4A7A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8"/>
            </a:ext>
          </a:extLst>
        </a:blip>
        <a:stretch>
          <a:fillRect/>
        </a:stretch>
      </xdr:blipFill>
      <xdr:spPr>
        <a:xfrm>
          <a:off x="13777913" y="0"/>
          <a:ext cx="1604962" cy="1133504"/>
        </a:xfrm>
        <a:prstGeom prst="rect">
          <a:avLst/>
        </a:prstGeom>
      </xdr:spPr>
    </xdr:pic>
    <xdr:clientData/>
  </xdr:twoCellAnchor>
  <xdr:twoCellAnchor editAs="oneCell">
    <xdr:from>
      <xdr:col>29</xdr:col>
      <xdr:colOff>233363</xdr:colOff>
      <xdr:row>0</xdr:row>
      <xdr:rowOff>0</xdr:rowOff>
    </xdr:from>
    <xdr:to>
      <xdr:col>30</xdr:col>
      <xdr:colOff>285751</xdr:colOff>
      <xdr:row>2</xdr:row>
      <xdr:rowOff>621108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AEF4CBB9-F409-4DA0-A6F0-7352196A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0"/>
            </a:ext>
          </a:extLst>
        </a:blip>
        <a:stretch>
          <a:fillRect/>
        </a:stretch>
      </xdr:blipFill>
      <xdr:spPr>
        <a:xfrm>
          <a:off x="16106776" y="0"/>
          <a:ext cx="814388" cy="983058"/>
        </a:xfrm>
        <a:prstGeom prst="rect">
          <a:avLst/>
        </a:prstGeom>
      </xdr:spPr>
    </xdr:pic>
    <xdr:clientData/>
  </xdr:twoCellAnchor>
  <xdr:twoCellAnchor editAs="oneCell">
    <xdr:from>
      <xdr:col>30</xdr:col>
      <xdr:colOff>366713</xdr:colOff>
      <xdr:row>0</xdr:row>
      <xdr:rowOff>0</xdr:rowOff>
    </xdr:from>
    <xdr:to>
      <xdr:col>31</xdr:col>
      <xdr:colOff>419101</xdr:colOff>
      <xdr:row>2</xdr:row>
      <xdr:rowOff>621108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82A9ECDE-2197-413E-9EB0-98B0F930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0"/>
            </a:ext>
          </a:extLst>
        </a:blip>
        <a:stretch>
          <a:fillRect/>
        </a:stretch>
      </xdr:blipFill>
      <xdr:spPr>
        <a:xfrm>
          <a:off x="17002126" y="0"/>
          <a:ext cx="814388" cy="983058"/>
        </a:xfrm>
        <a:prstGeom prst="rect">
          <a:avLst/>
        </a:prstGeom>
      </xdr:spPr>
    </xdr:pic>
    <xdr:clientData/>
  </xdr:twoCellAnchor>
  <xdr:twoCellAnchor editAs="oneCell">
    <xdr:from>
      <xdr:col>31</xdr:col>
      <xdr:colOff>447675</xdr:colOff>
      <xdr:row>0</xdr:row>
      <xdr:rowOff>0</xdr:rowOff>
    </xdr:from>
    <xdr:to>
      <xdr:col>32</xdr:col>
      <xdr:colOff>500063</xdr:colOff>
      <xdr:row>2</xdr:row>
      <xdr:rowOff>621108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DF6CA11B-9575-4331-BB41-DD55B769D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0"/>
            </a:ext>
          </a:extLst>
        </a:blip>
        <a:stretch>
          <a:fillRect/>
        </a:stretch>
      </xdr:blipFill>
      <xdr:spPr>
        <a:xfrm>
          <a:off x="17845088" y="0"/>
          <a:ext cx="814388" cy="983058"/>
        </a:xfrm>
        <a:prstGeom prst="rect">
          <a:avLst/>
        </a:prstGeom>
      </xdr:spPr>
    </xdr:pic>
    <xdr:clientData/>
  </xdr:twoCellAnchor>
  <xdr:twoCellAnchor editAs="oneCell">
    <xdr:from>
      <xdr:col>37</xdr:col>
      <xdr:colOff>447674</xdr:colOff>
      <xdr:row>0</xdr:row>
      <xdr:rowOff>1</xdr:rowOff>
    </xdr:from>
    <xdr:to>
      <xdr:col>38</xdr:col>
      <xdr:colOff>666749</xdr:colOff>
      <xdr:row>3</xdr:row>
      <xdr:rowOff>105091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B3FB2321-14C4-47FA-9E8D-AB8C74F56B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2"/>
            </a:ext>
          </a:extLst>
        </a:blip>
        <a:srcRect r="35102"/>
        <a:stretch/>
      </xdr:blipFill>
      <xdr:spPr>
        <a:xfrm>
          <a:off x="20702587" y="1"/>
          <a:ext cx="981075" cy="1133790"/>
        </a:xfrm>
        <a:prstGeom prst="rect">
          <a:avLst/>
        </a:prstGeom>
      </xdr:spPr>
    </xdr:pic>
    <xdr:clientData/>
  </xdr:twoCellAnchor>
  <xdr:twoCellAnchor editAs="oneCell">
    <xdr:from>
      <xdr:col>43</xdr:col>
      <xdr:colOff>90487</xdr:colOff>
      <xdr:row>0</xdr:row>
      <xdr:rowOff>96242</xdr:rowOff>
    </xdr:from>
    <xdr:to>
      <xdr:col>45</xdr:col>
      <xdr:colOff>495300</xdr:colOff>
      <xdr:row>3</xdr:row>
      <xdr:rowOff>42051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5CEDB9C0-23E3-4BA0-9FFF-275D52AC61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4"/>
            </a:ext>
          </a:extLst>
        </a:blip>
        <a:srcRect t="26928" b="13679"/>
        <a:stretch/>
      </xdr:blipFill>
      <xdr:spPr>
        <a:xfrm>
          <a:off x="23202900" y="96242"/>
          <a:ext cx="2405063" cy="974509"/>
        </a:xfrm>
        <a:prstGeom prst="rect">
          <a:avLst/>
        </a:prstGeom>
      </xdr:spPr>
    </xdr:pic>
    <xdr:clientData/>
  </xdr:twoCellAnchor>
  <xdr:twoCellAnchor editAs="oneCell">
    <xdr:from>
      <xdr:col>51</xdr:col>
      <xdr:colOff>661987</xdr:colOff>
      <xdr:row>0</xdr:row>
      <xdr:rowOff>0</xdr:rowOff>
    </xdr:from>
    <xdr:to>
      <xdr:col>53</xdr:col>
      <xdr:colOff>485774</xdr:colOff>
      <xdr:row>4</xdr:row>
      <xdr:rowOff>155693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5DE289A-C057-43CD-8EC4-02DDDD6EC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6"/>
            </a:ext>
          </a:extLst>
        </a:blip>
        <a:stretch>
          <a:fillRect/>
        </a:stretch>
      </xdr:blipFill>
      <xdr:spPr>
        <a:xfrm>
          <a:off x="28517849" y="0"/>
          <a:ext cx="2014538" cy="1365368"/>
        </a:xfrm>
        <a:prstGeom prst="rect">
          <a:avLst/>
        </a:prstGeom>
      </xdr:spPr>
    </xdr:pic>
    <xdr:clientData/>
  </xdr:twoCellAnchor>
  <xdr:twoCellAnchor editAs="oneCell">
    <xdr:from>
      <xdr:col>58</xdr:col>
      <xdr:colOff>633412</xdr:colOff>
      <xdr:row>0</xdr:row>
      <xdr:rowOff>0</xdr:rowOff>
    </xdr:from>
    <xdr:to>
      <xdr:col>61</xdr:col>
      <xdr:colOff>742950</xdr:colOff>
      <xdr:row>6</xdr:row>
      <xdr:rowOff>273448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D04D08AD-40C5-4374-B52A-800CCAD40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8"/>
            </a:ext>
          </a:extLst>
        </a:blip>
        <a:stretch>
          <a:fillRect/>
        </a:stretch>
      </xdr:blipFill>
      <xdr:spPr>
        <a:xfrm>
          <a:off x="33023175" y="0"/>
          <a:ext cx="2305050" cy="184983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117662</xdr:colOff>
      <xdr:row>0</xdr:row>
      <xdr:rowOff>35557</xdr:rowOff>
    </xdr:from>
    <xdr:to>
      <xdr:col>4</xdr:col>
      <xdr:colOff>401338</xdr:colOff>
      <xdr:row>0</xdr:row>
      <xdr:rowOff>948764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487E632-3331-4326-965D-2A645C3B9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3413312" y="35557"/>
          <a:ext cx="1055201" cy="9132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hyperlink" Target="mailto:mascaldumartin@yahoo.fr" TargetMode="External"/><Relationship Id="rId1" Type="http://schemas.openxmlformats.org/officeDocument/2006/relationships/hyperlink" Target="mailto:jean.88@gmail.com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externalLinkPath" Target="/Users/Daniel/Desktop/inseec/bachelor%201A/sport_etude/seance5_6corrige.xlsx" TargetMode="External"/><Relationship Id="rId3" Type="http://schemas.openxmlformats.org/officeDocument/2006/relationships/externalLinkPath" Target="/Users/Daniel/Desktop/inseec/bachelor%201A/sport_etude/seance5_6corrige.xlsx" TargetMode="External"/><Relationship Id="rId7" Type="http://schemas.openxmlformats.org/officeDocument/2006/relationships/externalLinkPath" Target="/Users/Daniel/Desktop/inseec/bachelor%201A/sport_etude/seance5_6corrige.xlsx" TargetMode="External"/><Relationship Id="rId12" Type="http://schemas.openxmlformats.org/officeDocument/2006/relationships/externalLinkPath" Target="/Users/Daniel/Desktop/inseec/bachelor%201A/sport_etude/seance5_6corrige.xlsx" TargetMode="External"/><Relationship Id="rId2" Type="http://schemas.openxmlformats.org/officeDocument/2006/relationships/externalLinkPath" Target="/Users/Daniel/Desktop/inseec/bachelor%201A/sport_etude/seance5_6corrige.xlsx" TargetMode="External"/><Relationship Id="rId1" Type="http://schemas.openxmlformats.org/officeDocument/2006/relationships/externalLinkPath" Target="/Users/Daniel/Desktop/inseec/bachelor%201A/sport_etude/seance5_6corrige.xlsx" TargetMode="External"/><Relationship Id="rId6" Type="http://schemas.openxmlformats.org/officeDocument/2006/relationships/externalLinkPath" Target="/Users/Daniel/Desktop/inseec/bachelor%201A/sport_etude/seance5_6corrige.xlsx" TargetMode="External"/><Relationship Id="rId11" Type="http://schemas.openxmlformats.org/officeDocument/2006/relationships/externalLinkPath" Target="/Users/Daniel/Desktop/inseec/bachelor%201A/sport_etude/seance5_6corrige.xlsx" TargetMode="External"/><Relationship Id="rId5" Type="http://schemas.openxmlformats.org/officeDocument/2006/relationships/externalLinkPath" Target="/Users/Daniel/Desktop/inseec/bachelor%201A/sport_etude/seance5_6corrige.xlsx" TargetMode="External"/><Relationship Id="rId10" Type="http://schemas.openxmlformats.org/officeDocument/2006/relationships/externalLinkPath" Target="/Users/Daniel/Desktop/inseec/bachelor%201A/sport_etude/seance5_6corrige.xlsx" TargetMode="External"/><Relationship Id="rId4" Type="http://schemas.openxmlformats.org/officeDocument/2006/relationships/externalLinkPath" Target="/Users/Daniel/Desktop/inseec/bachelor%201A/sport_etude/seance5_6corrige.xlsx" TargetMode="External"/><Relationship Id="rId9" Type="http://schemas.openxmlformats.org/officeDocument/2006/relationships/externalLinkPath" Target="/Users/Daniel/Desktop/inseec/bachelor%201A/sport_etude/seance5_6corrige.xlsx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externalLinkPath" Target="/Users/Daniel/Desktop/inseec/bachelor%201A/sport_etude/seance5_6corrige.xlsx" TargetMode="External"/><Relationship Id="rId2" Type="http://schemas.openxmlformats.org/officeDocument/2006/relationships/externalLinkPath" Target="/Users/Daniel/Desktop/inseec/bachelor%201A/sport_etude/seance5_6corrige.xlsx" TargetMode="External"/><Relationship Id="rId1" Type="http://schemas.openxmlformats.org/officeDocument/2006/relationships/externalLinkPath" Target="/Users/Daniel/Desktop/inseec/bachelor%201A/sport_etude/seance5_6corrige.xlsx" TargetMode="External"/><Relationship Id="rId4" Type="http://schemas.openxmlformats.org/officeDocument/2006/relationships/externalLinkPath" Target="/Users/Daniel/Desktop/inseec/bachelor%201A/sport_etude/seance5_6corrige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C82DD-C385-4F1B-84F3-D705842F2D61}">
  <dimension ref="B1:R26"/>
  <sheetViews>
    <sheetView topLeftCell="D1" zoomScale="104" zoomScaleNormal="104" workbookViewId="0">
      <selection activeCell="F23" sqref="F23"/>
    </sheetView>
  </sheetViews>
  <sheetFormatPr baseColWidth="10" defaultRowHeight="14.25"/>
  <cols>
    <col min="1" max="1" width="2.9296875" customWidth="1"/>
    <col min="9" max="9" width="2.9296875" customWidth="1"/>
    <col min="11" max="16" width="9.19921875" style="37" customWidth="1"/>
    <col min="17" max="17" width="8.796875" style="37" customWidth="1"/>
    <col min="18" max="18" width="9.53125" customWidth="1"/>
  </cols>
  <sheetData>
    <row r="1" spans="2:18" ht="21.4" thickBot="1">
      <c r="B1" s="480" t="s">
        <v>254</v>
      </c>
      <c r="C1" s="481"/>
      <c r="D1" s="481"/>
      <c r="E1" s="481"/>
      <c r="F1" s="481"/>
      <c r="G1" s="481"/>
      <c r="H1" s="482"/>
      <c r="J1" s="483" t="s">
        <v>255</v>
      </c>
      <c r="K1" s="484"/>
      <c r="L1" s="484"/>
      <c r="M1" s="484"/>
      <c r="N1" s="484"/>
      <c r="O1" s="484"/>
      <c r="P1" s="484"/>
      <c r="Q1" s="484"/>
      <c r="R1" s="484"/>
    </row>
    <row r="5" spans="2:18">
      <c r="K5" s="485" t="s">
        <v>256</v>
      </c>
      <c r="L5" s="485"/>
      <c r="M5" s="485"/>
      <c r="N5" s="485"/>
      <c r="O5" s="486" t="s">
        <v>257</v>
      </c>
      <c r="P5" s="487" t="s">
        <v>258</v>
      </c>
      <c r="Q5" s="486" t="s">
        <v>259</v>
      </c>
      <c r="R5" s="486" t="s">
        <v>260</v>
      </c>
    </row>
    <row r="6" spans="2:18" ht="67.5" customHeight="1">
      <c r="D6" s="14" t="s">
        <v>326</v>
      </c>
      <c r="K6" s="139" t="s">
        <v>261</v>
      </c>
      <c r="L6" s="139" t="s">
        <v>262</v>
      </c>
      <c r="M6" s="139" t="s">
        <v>263</v>
      </c>
      <c r="N6" s="139" t="s">
        <v>264</v>
      </c>
      <c r="O6" s="486"/>
      <c r="P6" s="487"/>
      <c r="Q6" s="486"/>
      <c r="R6" s="486"/>
    </row>
    <row r="7" spans="2:18">
      <c r="B7">
        <v>14</v>
      </c>
      <c r="C7" s="140">
        <v>43143</v>
      </c>
      <c r="D7" s="141">
        <v>40951</v>
      </c>
      <c r="E7" s="142">
        <v>0.34166666666666662</v>
      </c>
      <c r="F7" t="s">
        <v>265</v>
      </c>
      <c r="G7" t="s">
        <v>266</v>
      </c>
      <c r="H7" t="s">
        <v>267</v>
      </c>
      <c r="J7" s="121" t="s">
        <v>268</v>
      </c>
      <c r="K7" s="34"/>
      <c r="L7" s="34"/>
      <c r="M7" s="34"/>
      <c r="N7" s="34"/>
      <c r="O7" s="143">
        <v>1234</v>
      </c>
      <c r="P7" s="144"/>
      <c r="Q7" s="145"/>
      <c r="R7" s="146"/>
    </row>
    <row r="8" spans="2:18">
      <c r="D8" s="141">
        <v>40952</v>
      </c>
      <c r="E8" s="142">
        <v>0.38333333333333303</v>
      </c>
      <c r="F8" t="s">
        <v>327</v>
      </c>
      <c r="G8" t="s">
        <v>328</v>
      </c>
      <c r="H8" t="s">
        <v>284</v>
      </c>
      <c r="J8" s="121" t="s">
        <v>269</v>
      </c>
      <c r="K8" s="34"/>
      <c r="L8" s="34"/>
      <c r="M8" s="34"/>
      <c r="N8" s="34"/>
      <c r="O8" s="143">
        <v>2345</v>
      </c>
      <c r="P8" s="144"/>
      <c r="Q8" s="145"/>
      <c r="R8" s="146"/>
    </row>
    <row r="9" spans="2:18">
      <c r="D9" s="141">
        <v>40953</v>
      </c>
      <c r="E9" s="142">
        <v>0.42499999999999999</v>
      </c>
      <c r="F9" t="s">
        <v>329</v>
      </c>
      <c r="G9" t="s">
        <v>274</v>
      </c>
      <c r="H9" t="s">
        <v>275</v>
      </c>
      <c r="J9" s="121" t="s">
        <v>270</v>
      </c>
      <c r="K9" s="34"/>
      <c r="L9" s="34"/>
      <c r="M9" s="34"/>
      <c r="N9" s="34"/>
      <c r="O9" s="143">
        <v>2642</v>
      </c>
      <c r="P9" s="144"/>
      <c r="Q9" s="145"/>
      <c r="R9" s="146"/>
    </row>
    <row r="10" spans="2:18">
      <c r="D10" s="141">
        <v>40954</v>
      </c>
      <c r="E10" s="142">
        <v>0.46666666666666701</v>
      </c>
      <c r="F10" t="s">
        <v>273</v>
      </c>
      <c r="G10" t="s">
        <v>330</v>
      </c>
      <c r="H10" t="s">
        <v>331</v>
      </c>
      <c r="J10" s="121" t="s">
        <v>271</v>
      </c>
      <c r="K10" s="34"/>
      <c r="L10" s="34"/>
      <c r="M10" s="34"/>
      <c r="N10" s="34"/>
      <c r="O10" s="143">
        <v>653</v>
      </c>
      <c r="P10" s="144"/>
      <c r="Q10" s="145"/>
      <c r="R10" s="146"/>
    </row>
    <row r="11" spans="2:18">
      <c r="C11" s="140"/>
      <c r="D11" s="141"/>
      <c r="E11" s="142"/>
      <c r="J11" s="121" t="s">
        <v>272</v>
      </c>
      <c r="K11" s="34"/>
      <c r="L11" s="34"/>
      <c r="M11" s="34"/>
      <c r="N11" s="34"/>
      <c r="O11" s="143">
        <v>1453</v>
      </c>
      <c r="P11" s="144"/>
      <c r="Q11" s="145"/>
      <c r="R11" s="146"/>
    </row>
    <row r="12" spans="2:18">
      <c r="C12" s="140"/>
      <c r="D12" s="141"/>
      <c r="E12" s="142"/>
    </row>
    <row r="13" spans="2:18" ht="18.75">
      <c r="D13" s="14" t="s">
        <v>332</v>
      </c>
      <c r="J13" s="181" t="s">
        <v>349</v>
      </c>
    </row>
    <row r="14" spans="2:18" ht="18.75">
      <c r="B14">
        <v>14</v>
      </c>
      <c r="C14" s="140">
        <v>43143</v>
      </c>
      <c r="D14" s="177">
        <v>40951</v>
      </c>
      <c r="E14" s="178">
        <v>0.34166666666666662</v>
      </c>
      <c r="F14" s="14" t="s">
        <v>265</v>
      </c>
      <c r="G14" s="14" t="s">
        <v>266</v>
      </c>
      <c r="H14" s="14" t="s">
        <v>267</v>
      </c>
      <c r="J14" s="182" t="s">
        <v>350</v>
      </c>
    </row>
    <row r="15" spans="2:18">
      <c r="B15">
        <v>16</v>
      </c>
      <c r="C15" s="140">
        <v>43145</v>
      </c>
      <c r="D15" s="177">
        <v>40953</v>
      </c>
      <c r="E15" s="178">
        <v>0.42499999999999999</v>
      </c>
      <c r="F15" s="14" t="s">
        <v>273</v>
      </c>
      <c r="G15" s="14" t="s">
        <v>274</v>
      </c>
      <c r="H15" s="14" t="s">
        <v>275</v>
      </c>
    </row>
    <row r="16" spans="2:18">
      <c r="C16" s="140"/>
      <c r="D16" s="141">
        <v>40955</v>
      </c>
      <c r="E16" s="142">
        <v>0.50833333333333397</v>
      </c>
      <c r="F16" t="s">
        <v>333</v>
      </c>
      <c r="G16" t="s">
        <v>334</v>
      </c>
      <c r="H16" t="s">
        <v>308</v>
      </c>
    </row>
    <row r="17" spans="3:15">
      <c r="C17" s="140"/>
      <c r="D17" s="141">
        <v>40957</v>
      </c>
      <c r="E17" s="142">
        <v>0.59166666666666701</v>
      </c>
      <c r="F17" t="s">
        <v>335</v>
      </c>
      <c r="G17" t="s">
        <v>336</v>
      </c>
      <c r="H17" t="s">
        <v>337</v>
      </c>
    </row>
    <row r="18" spans="3:15">
      <c r="C18" s="140"/>
      <c r="D18" s="141">
        <v>40959</v>
      </c>
      <c r="E18" s="142">
        <v>0.67500000000000004</v>
      </c>
      <c r="F18" t="s">
        <v>338</v>
      </c>
      <c r="G18" t="s">
        <v>328</v>
      </c>
      <c r="H18" t="s">
        <v>339</v>
      </c>
    </row>
    <row r="19" spans="3:15">
      <c r="C19" s="140"/>
      <c r="D19" s="141">
        <v>40961</v>
      </c>
      <c r="E19" s="142">
        <v>0.75833333333333397</v>
      </c>
      <c r="F19" t="s">
        <v>340</v>
      </c>
      <c r="G19" t="s">
        <v>330</v>
      </c>
      <c r="H19" t="s">
        <v>341</v>
      </c>
    </row>
    <row r="20" spans="3:15">
      <c r="C20" s="140"/>
      <c r="D20" s="141">
        <v>40963</v>
      </c>
      <c r="E20" s="142">
        <v>0.84166666666666701</v>
      </c>
      <c r="F20" t="s">
        <v>342</v>
      </c>
      <c r="G20" t="s">
        <v>343</v>
      </c>
      <c r="H20" t="s">
        <v>267</v>
      </c>
    </row>
    <row r="21" spans="3:15">
      <c r="D21" s="141">
        <v>40965</v>
      </c>
      <c r="E21" s="142">
        <v>0.92500000000000104</v>
      </c>
      <c r="F21" t="s">
        <v>344</v>
      </c>
      <c r="G21" t="s">
        <v>266</v>
      </c>
      <c r="H21" t="s">
        <v>275</v>
      </c>
    </row>
    <row r="22" spans="3:15">
      <c r="D22" s="141">
        <v>40967</v>
      </c>
      <c r="E22" s="142">
        <v>1.00833333333333</v>
      </c>
      <c r="F22" t="s">
        <v>345</v>
      </c>
      <c r="G22" t="s">
        <v>274</v>
      </c>
      <c r="H22" t="s">
        <v>308</v>
      </c>
    </row>
    <row r="25" spans="3:15" ht="18">
      <c r="D25" s="180" t="s">
        <v>347</v>
      </c>
      <c r="E25" s="179"/>
      <c r="F25" s="179"/>
      <c r="G25" s="179"/>
      <c r="H25" s="179"/>
      <c r="I25" s="179"/>
      <c r="J25" s="179"/>
      <c r="K25" s="179"/>
      <c r="L25" s="179"/>
      <c r="M25" s="179"/>
      <c r="N25" s="179"/>
      <c r="O25" s="179"/>
    </row>
    <row r="26" spans="3:15" ht="41.65" customHeight="1">
      <c r="D26" s="180" t="s">
        <v>348</v>
      </c>
      <c r="E26" s="179"/>
      <c r="F26" s="179"/>
      <c r="G26" s="179"/>
      <c r="H26" s="179"/>
      <c r="I26" s="179"/>
      <c r="J26" s="179"/>
      <c r="K26" s="179"/>
      <c r="L26" s="179"/>
      <c r="M26" s="179"/>
      <c r="N26" s="179"/>
      <c r="O26" s="179"/>
    </row>
  </sheetData>
  <mergeCells count="7">
    <mergeCell ref="B1:H1"/>
    <mergeCell ref="J1:R1"/>
    <mergeCell ref="K5:N5"/>
    <mergeCell ref="O5:O6"/>
    <mergeCell ref="P5:P6"/>
    <mergeCell ref="Q5:Q6"/>
    <mergeCell ref="R5:R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8FED9-BA7E-46D3-BC71-FB110D96652C}">
  <dimension ref="A1:M15"/>
  <sheetViews>
    <sheetView zoomScale="116" zoomScaleNormal="116" workbookViewId="0">
      <selection activeCell="C21" sqref="C21"/>
    </sheetView>
  </sheetViews>
  <sheetFormatPr baseColWidth="10" defaultRowHeight="14.25"/>
  <cols>
    <col min="2" max="2" width="13.46484375" style="14" bestFit="1" customWidth="1"/>
    <col min="3" max="3" width="22.265625" style="1" bestFit="1" customWidth="1"/>
    <col min="4" max="4" width="16.19921875" customWidth="1"/>
  </cols>
  <sheetData>
    <row r="1" spans="1:13" ht="18.399999999999999" thickBot="1">
      <c r="A1" s="183" t="s">
        <v>351</v>
      </c>
    </row>
    <row r="2" spans="1:13" ht="14.65" thickBot="1">
      <c r="B2" s="147" t="s">
        <v>276</v>
      </c>
      <c r="C2" s="148"/>
      <c r="D2" s="149" t="s">
        <v>277</v>
      </c>
    </row>
    <row r="3" spans="1:13">
      <c r="B3" s="150" t="s">
        <v>278</v>
      </c>
      <c r="C3" s="82"/>
      <c r="D3" s="151"/>
      <c r="F3" s="14"/>
      <c r="G3" s="14"/>
      <c r="H3" s="14"/>
      <c r="I3" s="14"/>
      <c r="J3" s="14"/>
      <c r="K3" s="14"/>
      <c r="L3" s="14"/>
      <c r="M3" s="14"/>
    </row>
    <row r="4" spans="1:13">
      <c r="B4" s="152" t="s">
        <v>279</v>
      </c>
      <c r="C4" s="43"/>
      <c r="D4" s="153"/>
      <c r="F4" s="14"/>
    </row>
    <row r="5" spans="1:13">
      <c r="B5" s="152" t="s">
        <v>279</v>
      </c>
      <c r="C5" s="43"/>
      <c r="D5" s="153"/>
      <c r="F5" s="14"/>
    </row>
    <row r="6" spans="1:13">
      <c r="B6" s="152" t="s">
        <v>279</v>
      </c>
      <c r="C6" s="43"/>
      <c r="D6" s="153"/>
      <c r="F6" s="14"/>
    </row>
    <row r="7" spans="1:13">
      <c r="B7" s="154" t="s">
        <v>280</v>
      </c>
      <c r="C7" s="43"/>
      <c r="D7" s="153"/>
      <c r="F7" s="14"/>
    </row>
    <row r="8" spans="1:13">
      <c r="B8" s="30">
        <v>12</v>
      </c>
      <c r="C8" s="43"/>
      <c r="D8" s="153"/>
      <c r="F8" s="14"/>
    </row>
    <row r="9" spans="1:13">
      <c r="B9" s="30">
        <v>12.343500000000001</v>
      </c>
      <c r="C9" s="43"/>
      <c r="D9" s="153"/>
    </row>
    <row r="10" spans="1:13">
      <c r="B10" s="30">
        <v>12.343500000000001</v>
      </c>
      <c r="C10" s="43"/>
      <c r="D10" s="153"/>
    </row>
    <row r="11" spans="1:13">
      <c r="B11" s="155">
        <v>0.04</v>
      </c>
      <c r="C11" s="43"/>
      <c r="D11" s="153"/>
      <c r="F11" s="14"/>
      <c r="G11" s="14"/>
      <c r="H11" s="14"/>
      <c r="I11" s="14"/>
      <c r="J11" s="14"/>
      <c r="K11" s="14"/>
      <c r="L11" s="14"/>
      <c r="M11" s="14"/>
    </row>
    <row r="12" spans="1:13">
      <c r="B12" s="30">
        <v>0.5</v>
      </c>
      <c r="C12" s="43"/>
      <c r="D12" s="153"/>
      <c r="F12" s="14"/>
    </row>
    <row r="13" spans="1:13" ht="14.65" thickBot="1">
      <c r="B13" s="32">
        <v>12357</v>
      </c>
      <c r="C13" s="156"/>
      <c r="D13" s="157"/>
      <c r="F13" s="14"/>
    </row>
    <row r="14" spans="1:13">
      <c r="F14" s="14"/>
    </row>
    <row r="15" spans="1:13">
      <c r="F15" s="1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494CD-A065-4F9D-9847-BAAEEDBDD9FA}">
  <dimension ref="B1:G24"/>
  <sheetViews>
    <sheetView workbookViewId="0">
      <selection activeCell="K36" sqref="K36"/>
    </sheetView>
  </sheetViews>
  <sheetFormatPr baseColWidth="10" defaultRowHeight="14.25"/>
  <cols>
    <col min="2" max="2" width="13.796875" bestFit="1" customWidth="1"/>
  </cols>
  <sheetData>
    <row r="1" spans="2:7" ht="69" customHeight="1"/>
    <row r="2" spans="2:7" ht="15" customHeight="1">
      <c r="B2" s="488" t="s">
        <v>281</v>
      </c>
      <c r="C2" s="488"/>
      <c r="D2" s="488"/>
      <c r="E2" s="488"/>
      <c r="F2" s="488"/>
      <c r="G2" s="158"/>
    </row>
    <row r="3" spans="2:7" ht="15" customHeight="1" thickBot="1">
      <c r="B3" s="159"/>
      <c r="C3" s="159"/>
      <c r="D3" s="159"/>
      <c r="E3" s="159"/>
      <c r="F3" s="159"/>
      <c r="G3" s="158"/>
    </row>
    <row r="4" spans="2:7" ht="14.65" thickBot="1">
      <c r="B4" s="160" t="s">
        <v>282</v>
      </c>
      <c r="C4" s="160" t="s">
        <v>283</v>
      </c>
      <c r="D4" s="160" t="s">
        <v>284</v>
      </c>
      <c r="E4" s="160" t="s">
        <v>275</v>
      </c>
      <c r="F4" s="161" t="s">
        <v>285</v>
      </c>
    </row>
    <row r="5" spans="2:7">
      <c r="B5" s="162" t="s">
        <v>286</v>
      </c>
      <c r="C5" s="162">
        <v>245</v>
      </c>
      <c r="D5" s="162">
        <v>156</v>
      </c>
      <c r="E5" s="162">
        <v>234</v>
      </c>
      <c r="F5" s="163">
        <f t="shared" ref="F5:F20" si="0">SUM(C5:E5)</f>
        <v>635</v>
      </c>
    </row>
    <row r="6" spans="2:7">
      <c r="B6" s="164" t="s">
        <v>287</v>
      </c>
      <c r="C6" s="164">
        <v>376</v>
      </c>
      <c r="D6" s="164">
        <v>583</v>
      </c>
      <c r="E6" s="164">
        <v>143</v>
      </c>
      <c r="F6" s="165">
        <f t="shared" si="0"/>
        <v>1102</v>
      </c>
    </row>
    <row r="7" spans="2:7">
      <c r="B7" s="166" t="s">
        <v>288</v>
      </c>
      <c r="C7" s="166">
        <v>256</v>
      </c>
      <c r="D7" s="166">
        <v>467</v>
      </c>
      <c r="E7" s="166">
        <v>285</v>
      </c>
      <c r="F7" s="167">
        <f t="shared" si="0"/>
        <v>1008</v>
      </c>
    </row>
    <row r="8" spans="2:7">
      <c r="B8" s="164" t="s">
        <v>289</v>
      </c>
      <c r="C8" s="164">
        <v>634</v>
      </c>
      <c r="D8" s="164">
        <v>234</v>
      </c>
      <c r="E8" s="164">
        <v>178</v>
      </c>
      <c r="F8" s="165">
        <f t="shared" si="0"/>
        <v>1046</v>
      </c>
    </row>
    <row r="9" spans="2:7">
      <c r="B9" s="166" t="s">
        <v>290</v>
      </c>
      <c r="C9" s="166">
        <v>55</v>
      </c>
      <c r="D9" s="166">
        <v>25</v>
      </c>
      <c r="E9" s="166">
        <v>63</v>
      </c>
      <c r="F9" s="167">
        <f t="shared" si="0"/>
        <v>143</v>
      </c>
    </row>
    <row r="10" spans="2:7">
      <c r="B10" s="164" t="s">
        <v>291</v>
      </c>
      <c r="C10" s="164">
        <v>145</v>
      </c>
      <c r="D10" s="164">
        <v>123</v>
      </c>
      <c r="E10" s="164">
        <v>201</v>
      </c>
      <c r="F10" s="165">
        <f t="shared" si="0"/>
        <v>469</v>
      </c>
    </row>
    <row r="11" spans="2:7">
      <c r="B11" s="166" t="s">
        <v>292</v>
      </c>
      <c r="C11" s="166">
        <v>57</v>
      </c>
      <c r="D11" s="166">
        <v>87</v>
      </c>
      <c r="E11" s="166">
        <v>45</v>
      </c>
      <c r="F11" s="167">
        <f t="shared" si="0"/>
        <v>189</v>
      </c>
    </row>
    <row r="12" spans="2:7">
      <c r="B12" s="164" t="s">
        <v>293</v>
      </c>
      <c r="C12" s="164">
        <v>69</v>
      </c>
      <c r="D12" s="164">
        <v>69</v>
      </c>
      <c r="E12" s="164">
        <v>69</v>
      </c>
      <c r="F12" s="165">
        <f t="shared" si="0"/>
        <v>207</v>
      </c>
    </row>
    <row r="13" spans="2:7">
      <c r="B13" s="166" t="s">
        <v>294</v>
      </c>
      <c r="C13" s="166">
        <v>24</v>
      </c>
      <c r="D13" s="166">
        <v>24</v>
      </c>
      <c r="E13" s="166">
        <v>24</v>
      </c>
      <c r="F13" s="167">
        <f t="shared" si="0"/>
        <v>72</v>
      </c>
    </row>
    <row r="14" spans="2:7">
      <c r="B14" s="164" t="s">
        <v>295</v>
      </c>
      <c r="C14" s="164">
        <v>79</v>
      </c>
      <c r="D14" s="164">
        <v>79</v>
      </c>
      <c r="E14" s="164">
        <v>79</v>
      </c>
      <c r="F14" s="165">
        <f t="shared" si="0"/>
        <v>237</v>
      </c>
    </row>
    <row r="15" spans="2:7">
      <c r="B15" s="166" t="s">
        <v>296</v>
      </c>
      <c r="C15" s="166">
        <v>45</v>
      </c>
      <c r="D15" s="166">
        <v>45</v>
      </c>
      <c r="E15" s="166">
        <v>45</v>
      </c>
      <c r="F15" s="167">
        <f t="shared" si="0"/>
        <v>135</v>
      </c>
    </row>
    <row r="16" spans="2:7">
      <c r="B16" s="164" t="s">
        <v>297</v>
      </c>
      <c r="C16" s="164">
        <v>56</v>
      </c>
      <c r="D16" s="164">
        <v>45</v>
      </c>
      <c r="E16" s="164">
        <v>43</v>
      </c>
      <c r="F16" s="165">
        <f t="shared" si="0"/>
        <v>144</v>
      </c>
    </row>
    <row r="17" spans="2:6">
      <c r="B17" s="166" t="s">
        <v>298</v>
      </c>
      <c r="C17" s="166">
        <v>67</v>
      </c>
      <c r="D17" s="166">
        <v>67</v>
      </c>
      <c r="E17" s="166">
        <v>67</v>
      </c>
      <c r="F17" s="167">
        <f t="shared" si="0"/>
        <v>201</v>
      </c>
    </row>
    <row r="18" spans="2:6">
      <c r="B18" s="164" t="s">
        <v>299</v>
      </c>
      <c r="C18" s="164">
        <v>39</v>
      </c>
      <c r="D18" s="164">
        <v>39</v>
      </c>
      <c r="E18" s="164">
        <v>39</v>
      </c>
      <c r="F18" s="165">
        <f t="shared" si="0"/>
        <v>117</v>
      </c>
    </row>
    <row r="19" spans="2:6">
      <c r="B19" s="166" t="s">
        <v>300</v>
      </c>
      <c r="C19" s="166">
        <v>256</v>
      </c>
      <c r="D19" s="166">
        <v>345</v>
      </c>
      <c r="E19" s="166">
        <v>289</v>
      </c>
      <c r="F19" s="167">
        <f t="shared" si="0"/>
        <v>890</v>
      </c>
    </row>
    <row r="20" spans="2:6">
      <c r="B20" s="164" t="s">
        <v>301</v>
      </c>
      <c r="C20" s="164">
        <v>45</v>
      </c>
      <c r="D20" s="164">
        <v>145</v>
      </c>
      <c r="E20" s="164">
        <v>99</v>
      </c>
      <c r="F20" s="165">
        <f t="shared" si="0"/>
        <v>289</v>
      </c>
    </row>
    <row r="23" spans="2:6" ht="18">
      <c r="B23" s="184" t="s">
        <v>352</v>
      </c>
    </row>
    <row r="24" spans="2:6" ht="18">
      <c r="B24" s="184" t="s">
        <v>353</v>
      </c>
    </row>
  </sheetData>
  <mergeCells count="1">
    <mergeCell ref="B2:F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9BAEF-65B5-4CF6-8B69-8D33B11C95A3}">
  <dimension ref="A1:AG21"/>
  <sheetViews>
    <sheetView topLeftCell="A7" workbookViewId="0">
      <selection activeCell="Q37" sqref="Q37"/>
    </sheetView>
  </sheetViews>
  <sheetFormatPr baseColWidth="10" defaultRowHeight="14.25"/>
  <cols>
    <col min="2" max="13" width="4.9296875" customWidth="1"/>
    <col min="15" max="17" width="2.46484375" customWidth="1"/>
    <col min="19" max="30" width="4.9296875" customWidth="1"/>
    <col min="31" max="31" width="8.59765625" bestFit="1" customWidth="1"/>
    <col min="32" max="32" width="4" bestFit="1" customWidth="1"/>
    <col min="33" max="33" width="4.33203125" bestFit="1" customWidth="1"/>
  </cols>
  <sheetData>
    <row r="1" spans="1:33" ht="46.5" customHeight="1">
      <c r="P1" s="25"/>
    </row>
    <row r="2" spans="1:33">
      <c r="P2" s="25"/>
    </row>
    <row r="3" spans="1:33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9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</row>
    <row r="4" spans="1:33">
      <c r="A4" s="170"/>
      <c r="B4" s="170"/>
      <c r="C4" s="170"/>
      <c r="D4" s="170"/>
      <c r="E4" s="170"/>
      <c r="F4" s="170"/>
      <c r="G4" s="170"/>
      <c r="H4" s="170"/>
      <c r="I4" s="170"/>
      <c r="J4" s="170"/>
      <c r="K4" s="170"/>
      <c r="L4" s="170"/>
      <c r="M4" s="170"/>
      <c r="N4" s="170"/>
      <c r="O4" s="170"/>
      <c r="P4" s="171"/>
      <c r="R4" s="170"/>
      <c r="S4" s="170"/>
      <c r="T4" s="170"/>
      <c r="U4" s="170"/>
      <c r="V4" s="170"/>
      <c r="W4" s="170"/>
      <c r="X4" s="170"/>
      <c r="Y4" s="170"/>
      <c r="Z4" s="170"/>
      <c r="AA4" s="170"/>
      <c r="AB4" s="170"/>
      <c r="AC4" s="170"/>
      <c r="AD4" s="170"/>
      <c r="AE4" s="170"/>
    </row>
    <row r="5" spans="1:33">
      <c r="A5" s="170"/>
      <c r="B5" s="170"/>
      <c r="C5" s="170"/>
      <c r="D5" s="170"/>
      <c r="E5" s="170"/>
      <c r="F5" s="170"/>
      <c r="G5" s="170"/>
      <c r="H5" s="170"/>
      <c r="I5" s="170"/>
      <c r="J5" s="170"/>
      <c r="K5" s="170"/>
      <c r="L5" s="170"/>
      <c r="M5" s="170"/>
      <c r="N5" s="170"/>
      <c r="O5" s="170"/>
      <c r="P5" s="171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</row>
    <row r="6" spans="1:33" ht="21">
      <c r="A6" s="489" t="s">
        <v>302</v>
      </c>
      <c r="B6" s="489"/>
      <c r="C6" s="489"/>
      <c r="D6" s="489"/>
      <c r="E6" s="489"/>
      <c r="F6" s="489"/>
      <c r="G6" s="489"/>
      <c r="H6" s="489"/>
      <c r="I6" s="489"/>
      <c r="J6" s="489"/>
      <c r="K6" s="489"/>
      <c r="L6" s="489"/>
      <c r="M6" s="489"/>
      <c r="N6" s="489"/>
      <c r="O6" s="170"/>
      <c r="P6" s="171"/>
      <c r="R6" s="489" t="s">
        <v>302</v>
      </c>
      <c r="S6" s="489"/>
      <c r="T6" s="489"/>
      <c r="U6" s="489"/>
      <c r="V6" s="489"/>
      <c r="W6" s="489"/>
      <c r="X6" s="489"/>
      <c r="Y6" s="489"/>
      <c r="Z6" s="489"/>
      <c r="AA6" s="489"/>
      <c r="AB6" s="489"/>
      <c r="AC6" s="489"/>
      <c r="AD6" s="489"/>
      <c r="AE6" s="489"/>
    </row>
    <row r="7" spans="1:33">
      <c r="A7" s="170"/>
      <c r="B7" s="170"/>
      <c r="C7" s="170"/>
      <c r="D7" s="170"/>
      <c r="E7" s="170"/>
      <c r="F7" s="170"/>
      <c r="G7" s="170"/>
      <c r="H7" s="170"/>
      <c r="I7" s="170"/>
      <c r="J7" s="170"/>
      <c r="K7" s="170"/>
      <c r="L7" s="170"/>
      <c r="M7" s="170"/>
      <c r="N7" s="170"/>
      <c r="O7" s="170"/>
      <c r="P7" s="171"/>
      <c r="R7" s="170"/>
      <c r="S7" s="170"/>
      <c r="T7" s="170"/>
      <c r="U7" s="170"/>
      <c r="V7" s="170"/>
      <c r="W7" s="170"/>
      <c r="X7" s="170"/>
      <c r="Y7" s="170"/>
      <c r="Z7" s="170"/>
      <c r="AA7" s="170"/>
      <c r="AB7" s="170"/>
      <c r="AC7" s="170"/>
      <c r="AD7" s="170"/>
      <c r="AE7" s="170"/>
    </row>
    <row r="8" spans="1:33">
      <c r="A8" s="490" t="s">
        <v>303</v>
      </c>
      <c r="B8" s="490"/>
      <c r="C8" s="490"/>
      <c r="D8" s="490"/>
      <c r="E8" s="490"/>
      <c r="F8" s="490"/>
      <c r="G8" s="490"/>
      <c r="H8" s="490"/>
      <c r="I8" s="490"/>
      <c r="J8" s="490"/>
      <c r="K8" s="490"/>
      <c r="L8" s="490"/>
      <c r="M8" s="490"/>
      <c r="N8" s="490"/>
      <c r="O8" s="490"/>
      <c r="P8" s="171"/>
      <c r="R8" s="490" t="s">
        <v>304</v>
      </c>
      <c r="S8" s="490"/>
      <c r="T8" s="490"/>
      <c r="U8" s="490"/>
      <c r="V8" s="490"/>
      <c r="W8" s="490"/>
      <c r="X8" s="490"/>
      <c r="Y8" s="490"/>
      <c r="Z8" s="490"/>
      <c r="AA8" s="490"/>
      <c r="AB8" s="490"/>
      <c r="AC8" s="490"/>
      <c r="AD8" s="490"/>
      <c r="AE8" s="490"/>
      <c r="AF8" s="490"/>
    </row>
    <row r="9" spans="1:33">
      <c r="P9" s="171"/>
    </row>
    <row r="10" spans="1:33">
      <c r="P10" s="25"/>
    </row>
    <row r="11" spans="1:33">
      <c r="B11" s="172" t="s">
        <v>305</v>
      </c>
      <c r="C11" s="172" t="s">
        <v>306</v>
      </c>
      <c r="D11" s="172" t="s">
        <v>275</v>
      </c>
      <c r="E11" s="172" t="s">
        <v>307</v>
      </c>
      <c r="F11" s="172" t="s">
        <v>308</v>
      </c>
      <c r="G11" s="172" t="s">
        <v>309</v>
      </c>
      <c r="H11" s="172" t="s">
        <v>310</v>
      </c>
      <c r="I11" s="172" t="s">
        <v>311</v>
      </c>
      <c r="J11" s="172" t="s">
        <v>312</v>
      </c>
      <c r="K11" s="172" t="s">
        <v>313</v>
      </c>
      <c r="L11" s="172" t="s">
        <v>314</v>
      </c>
      <c r="M11" s="172" t="s">
        <v>315</v>
      </c>
      <c r="N11" s="173" t="s">
        <v>316</v>
      </c>
      <c r="P11" s="25"/>
      <c r="S11" s="172" t="s">
        <v>305</v>
      </c>
      <c r="T11" s="172" t="s">
        <v>306</v>
      </c>
      <c r="U11" s="172" t="s">
        <v>275</v>
      </c>
      <c r="V11" s="172" t="s">
        <v>307</v>
      </c>
      <c r="W11" s="172" t="s">
        <v>308</v>
      </c>
      <c r="X11" s="172" t="s">
        <v>309</v>
      </c>
      <c r="Y11" s="172" t="s">
        <v>310</v>
      </c>
      <c r="Z11" s="172" t="s">
        <v>311</v>
      </c>
      <c r="AA11" s="172" t="s">
        <v>312</v>
      </c>
      <c r="AB11" s="172" t="s">
        <v>313</v>
      </c>
      <c r="AC11" s="172" t="s">
        <v>314</v>
      </c>
      <c r="AD11" s="172" t="s">
        <v>315</v>
      </c>
      <c r="AE11" s="172" t="s">
        <v>317</v>
      </c>
      <c r="AF11" s="173" t="s">
        <v>318</v>
      </c>
      <c r="AG11" s="173" t="s">
        <v>319</v>
      </c>
    </row>
    <row r="12" spans="1:33">
      <c r="A12" s="174" t="s">
        <v>320</v>
      </c>
      <c r="B12" s="175">
        <v>23</v>
      </c>
      <c r="C12" s="175">
        <v>19</v>
      </c>
      <c r="D12" s="175">
        <v>27</v>
      </c>
      <c r="E12" s="175">
        <v>26</v>
      </c>
      <c r="F12" s="175">
        <v>41</v>
      </c>
      <c r="G12" s="175">
        <v>37</v>
      </c>
      <c r="H12" s="175">
        <v>22</v>
      </c>
      <c r="I12" s="175">
        <v>37</v>
      </c>
      <c r="J12" s="175">
        <v>35</v>
      </c>
      <c r="K12" s="175">
        <v>31</v>
      </c>
      <c r="L12" s="175">
        <v>32</v>
      </c>
      <c r="M12" s="175">
        <v>32</v>
      </c>
      <c r="N12" s="176">
        <f t="shared" ref="N12:N18" si="0">SUM(B12:M12)</f>
        <v>362</v>
      </c>
      <c r="P12" s="25"/>
      <c r="R12" s="174" t="s">
        <v>320</v>
      </c>
      <c r="S12" s="175">
        <v>23</v>
      </c>
      <c r="T12" s="175">
        <v>19</v>
      </c>
      <c r="U12" s="175">
        <v>27</v>
      </c>
      <c r="V12" s="175">
        <v>26</v>
      </c>
      <c r="W12" s="175">
        <v>41</v>
      </c>
      <c r="X12" s="175">
        <v>37</v>
      </c>
      <c r="Y12" s="175">
        <v>22</v>
      </c>
      <c r="Z12" s="175">
        <v>37</v>
      </c>
      <c r="AA12" s="175">
        <v>35</v>
      </c>
      <c r="AB12" s="175">
        <v>31</v>
      </c>
      <c r="AC12" s="175">
        <v>32</v>
      </c>
      <c r="AD12" s="175">
        <v>32</v>
      </c>
      <c r="AE12" s="176">
        <f t="shared" ref="AE12:AE18" si="1">AVERAGE(S12:AD12)</f>
        <v>30.166666666666668</v>
      </c>
      <c r="AF12" s="121">
        <f t="shared" ref="AF12:AF19" si="2">MIN(S12:AE12)</f>
        <v>19</v>
      </c>
      <c r="AG12" s="121">
        <f t="shared" ref="AG12:AG20" si="3">MAX(S12:AF12)</f>
        <v>41</v>
      </c>
    </row>
    <row r="13" spans="1:33">
      <c r="A13" s="174" t="s">
        <v>321</v>
      </c>
      <c r="B13" s="175">
        <v>26</v>
      </c>
      <c r="C13" s="175">
        <v>40</v>
      </c>
      <c r="D13" s="175">
        <v>22</v>
      </c>
      <c r="E13" s="175">
        <v>34</v>
      </c>
      <c r="F13" s="175">
        <v>23</v>
      </c>
      <c r="G13" s="175">
        <v>49</v>
      </c>
      <c r="H13" s="175">
        <v>21</v>
      </c>
      <c r="I13" s="175">
        <v>30</v>
      </c>
      <c r="J13" s="175">
        <v>33</v>
      </c>
      <c r="K13" s="175">
        <v>17</v>
      </c>
      <c r="L13" s="175">
        <v>45</v>
      </c>
      <c r="M13" s="175">
        <v>30</v>
      </c>
      <c r="N13" s="176">
        <f t="shared" si="0"/>
        <v>370</v>
      </c>
      <c r="P13" s="25"/>
      <c r="R13" s="174" t="s">
        <v>321</v>
      </c>
      <c r="S13" s="175">
        <v>26</v>
      </c>
      <c r="T13" s="175">
        <v>40</v>
      </c>
      <c r="U13" s="175">
        <v>22</v>
      </c>
      <c r="V13" s="175">
        <v>34</v>
      </c>
      <c r="W13" s="175">
        <v>23</v>
      </c>
      <c r="X13" s="175">
        <v>49</v>
      </c>
      <c r="Y13" s="175">
        <v>21</v>
      </c>
      <c r="Z13" s="175">
        <v>30</v>
      </c>
      <c r="AA13" s="175">
        <v>33</v>
      </c>
      <c r="AB13" s="175">
        <v>17</v>
      </c>
      <c r="AC13" s="175">
        <v>45</v>
      </c>
      <c r="AD13" s="175">
        <v>30</v>
      </c>
      <c r="AE13" s="176">
        <f t="shared" si="1"/>
        <v>30.833333333333332</v>
      </c>
      <c r="AF13" s="121">
        <f t="shared" si="2"/>
        <v>17</v>
      </c>
      <c r="AG13" s="121">
        <f t="shared" si="3"/>
        <v>49</v>
      </c>
    </row>
    <row r="14" spans="1:33">
      <c r="A14" s="174" t="s">
        <v>322</v>
      </c>
      <c r="B14" s="175">
        <v>20</v>
      </c>
      <c r="C14" s="175">
        <v>40</v>
      </c>
      <c r="D14" s="175">
        <v>29</v>
      </c>
      <c r="E14" s="175">
        <v>48</v>
      </c>
      <c r="F14" s="175">
        <v>43</v>
      </c>
      <c r="G14" s="175">
        <v>31</v>
      </c>
      <c r="H14" s="175">
        <v>34</v>
      </c>
      <c r="I14" s="175">
        <v>33</v>
      </c>
      <c r="J14" s="175">
        <v>44</v>
      </c>
      <c r="K14" s="175">
        <v>25</v>
      </c>
      <c r="L14" s="175">
        <v>22</v>
      </c>
      <c r="M14" s="175">
        <v>33</v>
      </c>
      <c r="N14" s="176">
        <f t="shared" si="0"/>
        <v>402</v>
      </c>
      <c r="P14" s="25"/>
      <c r="R14" s="174" t="s">
        <v>322</v>
      </c>
      <c r="S14" s="175">
        <v>20</v>
      </c>
      <c r="T14" s="175">
        <v>40</v>
      </c>
      <c r="U14" s="175">
        <v>29</v>
      </c>
      <c r="V14" s="175">
        <v>48</v>
      </c>
      <c r="W14" s="175">
        <v>43</v>
      </c>
      <c r="X14" s="175">
        <v>31</v>
      </c>
      <c r="Y14" s="175">
        <v>34</v>
      </c>
      <c r="Z14" s="175">
        <v>33</v>
      </c>
      <c r="AA14" s="175">
        <v>44</v>
      </c>
      <c r="AB14" s="175">
        <v>25</v>
      </c>
      <c r="AC14" s="175">
        <v>22</v>
      </c>
      <c r="AD14" s="175">
        <v>33</v>
      </c>
      <c r="AE14" s="176">
        <f t="shared" si="1"/>
        <v>33.5</v>
      </c>
      <c r="AF14" s="121">
        <f t="shared" si="2"/>
        <v>20</v>
      </c>
      <c r="AG14" s="121">
        <f t="shared" si="3"/>
        <v>48</v>
      </c>
    </row>
    <row r="15" spans="1:33">
      <c r="A15" s="174" t="s">
        <v>323</v>
      </c>
      <c r="B15" s="175">
        <v>42</v>
      </c>
      <c r="C15" s="175">
        <v>44</v>
      </c>
      <c r="D15" s="175">
        <v>43</v>
      </c>
      <c r="E15" s="175">
        <v>41</v>
      </c>
      <c r="F15" s="175">
        <v>34</v>
      </c>
      <c r="G15" s="175">
        <v>18</v>
      </c>
      <c r="H15" s="175">
        <v>39</v>
      </c>
      <c r="I15" s="175">
        <v>25</v>
      </c>
      <c r="J15" s="175">
        <v>36</v>
      </c>
      <c r="K15" s="175">
        <v>43</v>
      </c>
      <c r="L15" s="175">
        <v>18</v>
      </c>
      <c r="M15" s="175">
        <v>37</v>
      </c>
      <c r="N15" s="176">
        <f t="shared" si="0"/>
        <v>420</v>
      </c>
      <c r="P15" s="25"/>
      <c r="R15" s="174" t="s">
        <v>323</v>
      </c>
      <c r="S15" s="175">
        <v>42</v>
      </c>
      <c r="T15" s="175">
        <v>44</v>
      </c>
      <c r="U15" s="175">
        <v>43</v>
      </c>
      <c r="V15" s="175">
        <v>41</v>
      </c>
      <c r="W15" s="175">
        <v>34</v>
      </c>
      <c r="X15" s="175">
        <v>18</v>
      </c>
      <c r="Y15" s="175">
        <v>39</v>
      </c>
      <c r="Z15" s="175">
        <v>25</v>
      </c>
      <c r="AA15" s="175">
        <v>36</v>
      </c>
      <c r="AB15" s="175">
        <v>43</v>
      </c>
      <c r="AC15" s="175">
        <v>18</v>
      </c>
      <c r="AD15" s="175">
        <v>37</v>
      </c>
      <c r="AE15" s="176">
        <f t="shared" si="1"/>
        <v>35</v>
      </c>
      <c r="AF15" s="121">
        <f t="shared" si="2"/>
        <v>18</v>
      </c>
      <c r="AG15" s="121">
        <f t="shared" si="3"/>
        <v>44</v>
      </c>
    </row>
    <row r="16" spans="1:33">
      <c r="A16" s="174" t="s">
        <v>324</v>
      </c>
      <c r="B16" s="175">
        <v>17</v>
      </c>
      <c r="C16" s="175">
        <v>27</v>
      </c>
      <c r="D16" s="175">
        <v>35</v>
      </c>
      <c r="E16" s="175">
        <v>42</v>
      </c>
      <c r="F16" s="175">
        <v>36</v>
      </c>
      <c r="G16" s="175">
        <v>37</v>
      </c>
      <c r="H16" s="175">
        <v>42</v>
      </c>
      <c r="I16" s="175">
        <v>17</v>
      </c>
      <c r="J16" s="175">
        <v>44</v>
      </c>
      <c r="K16" s="175">
        <v>21</v>
      </c>
      <c r="L16" s="175">
        <v>24</v>
      </c>
      <c r="M16" s="175">
        <v>32</v>
      </c>
      <c r="N16" s="176">
        <f t="shared" si="0"/>
        <v>374</v>
      </c>
      <c r="P16" s="25"/>
      <c r="R16" s="174" t="s">
        <v>324</v>
      </c>
      <c r="S16" s="175">
        <v>17</v>
      </c>
      <c r="T16" s="175">
        <v>27</v>
      </c>
      <c r="U16" s="175">
        <v>35</v>
      </c>
      <c r="V16" s="175">
        <v>42</v>
      </c>
      <c r="W16" s="175">
        <v>36</v>
      </c>
      <c r="X16" s="175">
        <v>37</v>
      </c>
      <c r="Y16" s="175">
        <v>42</v>
      </c>
      <c r="Z16" s="175">
        <v>17</v>
      </c>
      <c r="AA16" s="175">
        <v>44</v>
      </c>
      <c r="AB16" s="175">
        <v>21</v>
      </c>
      <c r="AC16" s="175">
        <v>24</v>
      </c>
      <c r="AD16" s="175">
        <v>32</v>
      </c>
      <c r="AE16" s="176">
        <f t="shared" si="1"/>
        <v>31.166666666666668</v>
      </c>
      <c r="AF16" s="121">
        <f t="shared" si="2"/>
        <v>17</v>
      </c>
      <c r="AG16" s="121">
        <f t="shared" si="3"/>
        <v>44</v>
      </c>
    </row>
    <row r="17" spans="1:33">
      <c r="A17" s="174" t="s">
        <v>325</v>
      </c>
      <c r="B17" s="175">
        <v>23</v>
      </c>
      <c r="C17" s="175">
        <v>27</v>
      </c>
      <c r="D17" s="175">
        <v>25</v>
      </c>
      <c r="E17" s="175">
        <v>20</v>
      </c>
      <c r="F17" s="175">
        <v>43</v>
      </c>
      <c r="G17" s="175">
        <v>62</v>
      </c>
      <c r="H17" s="175">
        <v>20</v>
      </c>
      <c r="I17" s="175">
        <v>23</v>
      </c>
      <c r="J17" s="175">
        <v>15</v>
      </c>
      <c r="K17" s="175">
        <v>41</v>
      </c>
      <c r="L17" s="175">
        <v>40</v>
      </c>
      <c r="M17" s="175">
        <v>23</v>
      </c>
      <c r="N17" s="176">
        <f t="shared" si="0"/>
        <v>362</v>
      </c>
      <c r="P17" s="25"/>
      <c r="R17" s="174" t="s">
        <v>325</v>
      </c>
      <c r="S17" s="175">
        <v>23</v>
      </c>
      <c r="T17" s="175">
        <v>27</v>
      </c>
      <c r="U17" s="175">
        <v>25</v>
      </c>
      <c r="V17" s="175">
        <v>20</v>
      </c>
      <c r="W17" s="175">
        <v>43</v>
      </c>
      <c r="X17" s="175">
        <v>62</v>
      </c>
      <c r="Y17" s="175">
        <v>20</v>
      </c>
      <c r="Z17" s="175">
        <v>23</v>
      </c>
      <c r="AA17" s="175">
        <v>15</v>
      </c>
      <c r="AB17" s="175">
        <v>41</v>
      </c>
      <c r="AC17" s="175">
        <v>40</v>
      </c>
      <c r="AD17" s="175">
        <v>23</v>
      </c>
      <c r="AE17" s="176">
        <f t="shared" si="1"/>
        <v>30.166666666666668</v>
      </c>
      <c r="AF17" s="121">
        <f t="shared" si="2"/>
        <v>15</v>
      </c>
      <c r="AG17" s="121">
        <f t="shared" si="3"/>
        <v>62</v>
      </c>
    </row>
    <row r="18" spans="1:33">
      <c r="A18" s="174" t="s">
        <v>316</v>
      </c>
      <c r="B18" s="121">
        <f t="shared" ref="B18:M18" si="4">SUM(B12:B17)</f>
        <v>151</v>
      </c>
      <c r="C18" s="121">
        <f t="shared" si="4"/>
        <v>197</v>
      </c>
      <c r="D18" s="121">
        <f t="shared" si="4"/>
        <v>181</v>
      </c>
      <c r="E18" s="121">
        <f t="shared" si="4"/>
        <v>211</v>
      </c>
      <c r="F18" s="121">
        <f t="shared" si="4"/>
        <v>220</v>
      </c>
      <c r="G18" s="121">
        <f t="shared" si="4"/>
        <v>234</v>
      </c>
      <c r="H18" s="121">
        <f t="shared" si="4"/>
        <v>178</v>
      </c>
      <c r="I18" s="121">
        <f t="shared" si="4"/>
        <v>165</v>
      </c>
      <c r="J18" s="121">
        <f t="shared" si="4"/>
        <v>207</v>
      </c>
      <c r="K18" s="121">
        <f t="shared" si="4"/>
        <v>178</v>
      </c>
      <c r="L18" s="121">
        <f t="shared" si="4"/>
        <v>181</v>
      </c>
      <c r="M18" s="121">
        <f t="shared" si="4"/>
        <v>187</v>
      </c>
      <c r="N18" s="15">
        <f t="shared" si="0"/>
        <v>2290</v>
      </c>
      <c r="P18" s="25"/>
      <c r="R18" s="173" t="s">
        <v>317</v>
      </c>
      <c r="S18" s="121">
        <f t="shared" ref="S18:AD18" si="5">AVERAGE(S12:S17)</f>
        <v>25.166666666666668</v>
      </c>
      <c r="T18" s="121">
        <f t="shared" si="5"/>
        <v>32.833333333333336</v>
      </c>
      <c r="U18" s="121">
        <f t="shared" si="5"/>
        <v>30.166666666666668</v>
      </c>
      <c r="V18" s="121">
        <f t="shared" si="5"/>
        <v>35.166666666666664</v>
      </c>
      <c r="W18" s="121">
        <f t="shared" si="5"/>
        <v>36.666666666666664</v>
      </c>
      <c r="X18" s="121">
        <f t="shared" si="5"/>
        <v>39</v>
      </c>
      <c r="Y18" s="121">
        <f t="shared" si="5"/>
        <v>29.666666666666668</v>
      </c>
      <c r="Z18" s="121">
        <f t="shared" si="5"/>
        <v>27.5</v>
      </c>
      <c r="AA18" s="121">
        <f t="shared" si="5"/>
        <v>34.5</v>
      </c>
      <c r="AB18" s="121">
        <f t="shared" si="5"/>
        <v>29.666666666666668</v>
      </c>
      <c r="AC18" s="121">
        <f t="shared" si="5"/>
        <v>30.166666666666668</v>
      </c>
      <c r="AD18" s="121">
        <f t="shared" si="5"/>
        <v>31.166666666666668</v>
      </c>
      <c r="AE18" s="15">
        <f t="shared" si="1"/>
        <v>31.805555555555557</v>
      </c>
      <c r="AF18" s="15">
        <f t="shared" si="2"/>
        <v>25.166666666666668</v>
      </c>
      <c r="AG18" s="15">
        <f t="shared" si="3"/>
        <v>39</v>
      </c>
    </row>
    <row r="19" spans="1:33">
      <c r="P19" s="25"/>
      <c r="R19" s="173" t="s">
        <v>318</v>
      </c>
      <c r="S19" s="121">
        <f t="shared" ref="S19:AE19" si="6">MIN(S12:S18)</f>
        <v>17</v>
      </c>
      <c r="T19" s="121">
        <f t="shared" si="6"/>
        <v>19</v>
      </c>
      <c r="U19" s="121">
        <f t="shared" si="6"/>
        <v>22</v>
      </c>
      <c r="V19" s="121">
        <f t="shared" si="6"/>
        <v>20</v>
      </c>
      <c r="W19" s="121">
        <f t="shared" si="6"/>
        <v>23</v>
      </c>
      <c r="X19" s="121">
        <f t="shared" si="6"/>
        <v>18</v>
      </c>
      <c r="Y19" s="121">
        <f t="shared" si="6"/>
        <v>20</v>
      </c>
      <c r="Z19" s="121">
        <f t="shared" si="6"/>
        <v>17</v>
      </c>
      <c r="AA19" s="121">
        <f t="shared" si="6"/>
        <v>15</v>
      </c>
      <c r="AB19" s="121">
        <f t="shared" si="6"/>
        <v>17</v>
      </c>
      <c r="AC19" s="121">
        <f t="shared" si="6"/>
        <v>18</v>
      </c>
      <c r="AD19" s="121">
        <f t="shared" si="6"/>
        <v>23</v>
      </c>
      <c r="AE19" s="15">
        <f t="shared" si="6"/>
        <v>30.166666666666668</v>
      </c>
      <c r="AF19" s="15">
        <f t="shared" si="2"/>
        <v>15</v>
      </c>
      <c r="AG19" s="15">
        <f t="shared" si="3"/>
        <v>30.166666666666668</v>
      </c>
    </row>
    <row r="20" spans="1:33">
      <c r="P20" s="25"/>
      <c r="R20" s="173" t="s">
        <v>319</v>
      </c>
      <c r="S20" s="121">
        <f t="shared" ref="S20:AF20" si="7">MAX(S12:S19)</f>
        <v>42</v>
      </c>
      <c r="T20" s="121">
        <f t="shared" si="7"/>
        <v>44</v>
      </c>
      <c r="U20" s="121">
        <f t="shared" si="7"/>
        <v>43</v>
      </c>
      <c r="V20" s="121">
        <f t="shared" si="7"/>
        <v>48</v>
      </c>
      <c r="W20" s="121">
        <f t="shared" si="7"/>
        <v>43</v>
      </c>
      <c r="X20" s="121">
        <f t="shared" si="7"/>
        <v>62</v>
      </c>
      <c r="Y20" s="121">
        <f t="shared" si="7"/>
        <v>42</v>
      </c>
      <c r="Z20" s="121">
        <f t="shared" si="7"/>
        <v>37</v>
      </c>
      <c r="AA20" s="121">
        <f t="shared" si="7"/>
        <v>44</v>
      </c>
      <c r="AB20" s="121">
        <f t="shared" si="7"/>
        <v>43</v>
      </c>
      <c r="AC20" s="121">
        <f t="shared" si="7"/>
        <v>45</v>
      </c>
      <c r="AD20" s="121">
        <f t="shared" si="7"/>
        <v>37</v>
      </c>
      <c r="AE20" s="15">
        <f t="shared" si="7"/>
        <v>35</v>
      </c>
      <c r="AF20" s="15">
        <f t="shared" si="7"/>
        <v>25.166666666666668</v>
      </c>
      <c r="AG20" s="15">
        <f t="shared" si="3"/>
        <v>62</v>
      </c>
    </row>
    <row r="21" spans="1:33" ht="18">
      <c r="B21" s="185" t="s">
        <v>354</v>
      </c>
    </row>
  </sheetData>
  <mergeCells count="4">
    <mergeCell ref="A6:N6"/>
    <mergeCell ref="R6:AE6"/>
    <mergeCell ref="A8:O8"/>
    <mergeCell ref="R8:AF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B99F8-165F-449E-9B3C-7FFCB070BE36}">
  <dimension ref="A1:L38"/>
  <sheetViews>
    <sheetView zoomScaleNormal="100" workbookViewId="0">
      <selection activeCell="K21" sqref="K21"/>
    </sheetView>
  </sheetViews>
  <sheetFormatPr baseColWidth="10" defaultRowHeight="14.25"/>
  <cols>
    <col min="1" max="1" width="3.53125" customWidth="1"/>
    <col min="2" max="2" width="39.73046875" customWidth="1"/>
    <col min="4" max="4" width="3.73046875" customWidth="1"/>
    <col min="5" max="5" width="3" customWidth="1"/>
    <col min="6" max="6" width="2.796875" customWidth="1"/>
    <col min="7" max="7" width="12.73046875" customWidth="1"/>
    <col min="9" max="9" width="13.265625" customWidth="1"/>
    <col min="10" max="10" width="3" customWidth="1"/>
    <col min="11" max="11" width="35.33203125" customWidth="1"/>
    <col min="13" max="13" width="3.73046875" customWidth="1"/>
  </cols>
  <sheetData>
    <row r="1" spans="1:12" ht="80.25" customHeight="1">
      <c r="A1" s="491" t="s">
        <v>355</v>
      </c>
      <c r="B1" s="491"/>
      <c r="C1" s="491"/>
      <c r="D1" s="491"/>
      <c r="E1" s="491"/>
      <c r="F1" s="491"/>
      <c r="G1" s="491"/>
      <c r="H1" s="491"/>
      <c r="I1" s="491"/>
      <c r="J1" s="491"/>
    </row>
    <row r="2" spans="1:12" ht="14.65" thickBot="1"/>
    <row r="3" spans="1:12" ht="14.65" thickBot="1">
      <c r="B3" s="147" t="s">
        <v>198</v>
      </c>
      <c r="C3" s="149" t="s">
        <v>199</v>
      </c>
      <c r="E3" s="65"/>
      <c r="G3" s="492" t="s">
        <v>193</v>
      </c>
      <c r="H3" s="494" t="s">
        <v>194</v>
      </c>
      <c r="I3" s="496" t="s">
        <v>195</v>
      </c>
    </row>
    <row r="4" spans="1:12" ht="14.65" thickBot="1">
      <c r="B4" s="187" t="s">
        <v>67</v>
      </c>
      <c r="C4" s="188">
        <v>15</v>
      </c>
      <c r="E4" s="65"/>
      <c r="G4" s="493"/>
      <c r="H4" s="495"/>
      <c r="I4" s="497"/>
      <c r="J4" s="122"/>
      <c r="K4" s="122"/>
      <c r="L4" s="122"/>
    </row>
    <row r="5" spans="1:12">
      <c r="B5" s="30" t="s">
        <v>66</v>
      </c>
      <c r="C5" s="124">
        <v>12</v>
      </c>
      <c r="E5" s="65"/>
      <c r="G5" s="189" t="s">
        <v>196</v>
      </c>
      <c r="H5" s="190" t="s">
        <v>197</v>
      </c>
      <c r="I5" s="191">
        <v>14</v>
      </c>
    </row>
    <row r="6" spans="1:12" ht="14.25" customHeight="1">
      <c r="B6" s="30" t="s">
        <v>64</v>
      </c>
      <c r="C6" s="124" t="s">
        <v>205</v>
      </c>
      <c r="E6" s="65"/>
      <c r="G6" s="192" t="s">
        <v>200</v>
      </c>
      <c r="H6" s="123" t="s">
        <v>201</v>
      </c>
      <c r="I6" s="193"/>
      <c r="K6" s="15" t="s">
        <v>202</v>
      </c>
      <c r="L6" s="194">
        <f>COUNTA(G5:G38)</f>
        <v>34</v>
      </c>
    </row>
    <row r="7" spans="1:12">
      <c r="B7" s="30" t="s">
        <v>65</v>
      </c>
      <c r="C7" s="124"/>
      <c r="E7" s="65"/>
      <c r="G7" s="192" t="s">
        <v>203</v>
      </c>
      <c r="H7" s="123" t="s">
        <v>197</v>
      </c>
      <c r="I7" s="193">
        <v>13</v>
      </c>
      <c r="K7" s="498" t="s">
        <v>358</v>
      </c>
      <c r="L7" s="499">
        <f>COUNT(I5:I38)</f>
        <v>27</v>
      </c>
    </row>
    <row r="8" spans="1:12">
      <c r="B8" s="30" t="s">
        <v>359</v>
      </c>
      <c r="C8" s="124">
        <v>14</v>
      </c>
      <c r="E8" s="65"/>
      <c r="G8" s="192" t="s">
        <v>204</v>
      </c>
      <c r="H8" s="123" t="s">
        <v>197</v>
      </c>
      <c r="I8" s="193">
        <v>9</v>
      </c>
      <c r="K8" s="498"/>
      <c r="L8" s="499"/>
    </row>
    <row r="9" spans="1:12">
      <c r="B9" s="30" t="s">
        <v>360</v>
      </c>
      <c r="C9" s="124">
        <v>9</v>
      </c>
      <c r="E9" s="65"/>
      <c r="G9" s="192" t="s">
        <v>206</v>
      </c>
      <c r="H9" s="123" t="s">
        <v>201</v>
      </c>
      <c r="I9" s="193">
        <v>8</v>
      </c>
      <c r="L9" s="1"/>
    </row>
    <row r="10" spans="1:12">
      <c r="B10" s="30" t="s">
        <v>361</v>
      </c>
      <c r="C10" s="124">
        <v>10</v>
      </c>
      <c r="E10" s="65"/>
      <c r="G10" s="192" t="s">
        <v>208</v>
      </c>
      <c r="H10" s="123" t="s">
        <v>201</v>
      </c>
      <c r="I10" s="193">
        <v>11</v>
      </c>
      <c r="L10" s="1"/>
    </row>
    <row r="11" spans="1:12">
      <c r="B11" s="30" t="s">
        <v>66</v>
      </c>
      <c r="C11" s="124">
        <v>11</v>
      </c>
      <c r="E11" s="65"/>
      <c r="G11" s="192" t="s">
        <v>211</v>
      </c>
      <c r="H11" s="123" t="s">
        <v>197</v>
      </c>
      <c r="I11" s="193">
        <v>14</v>
      </c>
      <c r="K11" s="15" t="s">
        <v>207</v>
      </c>
      <c r="L11" s="194">
        <f>COUNTIF(H5:H38,H5)</f>
        <v>16</v>
      </c>
    </row>
    <row r="12" spans="1:12" ht="14.25" customHeight="1">
      <c r="B12" s="30" t="s">
        <v>362</v>
      </c>
      <c r="C12" s="124">
        <v>17</v>
      </c>
      <c r="E12" s="65"/>
      <c r="G12" s="192" t="s">
        <v>213</v>
      </c>
      <c r="H12" s="123" t="s">
        <v>197</v>
      </c>
      <c r="I12" s="193">
        <v>10</v>
      </c>
      <c r="K12" s="15" t="s">
        <v>209</v>
      </c>
      <c r="L12" s="194">
        <f>COUNTIF(H5:H38,H6)</f>
        <v>18</v>
      </c>
    </row>
    <row r="13" spans="1:12">
      <c r="B13" s="30" t="s">
        <v>363</v>
      </c>
      <c r="C13" s="124" t="s">
        <v>205</v>
      </c>
      <c r="E13" s="65"/>
      <c r="G13" s="192" t="s">
        <v>214</v>
      </c>
      <c r="H13" s="123" t="s">
        <v>201</v>
      </c>
      <c r="I13" s="193">
        <v>8</v>
      </c>
    </row>
    <row r="14" spans="1:12" ht="14.25" customHeight="1">
      <c r="B14" s="30" t="s">
        <v>364</v>
      </c>
      <c r="C14" s="124">
        <v>15</v>
      </c>
      <c r="E14" s="65"/>
      <c r="G14" s="192" t="s">
        <v>215</v>
      </c>
      <c r="H14" s="123" t="s">
        <v>201</v>
      </c>
      <c r="I14" s="193" t="s">
        <v>216</v>
      </c>
    </row>
    <row r="15" spans="1:12">
      <c r="B15" s="30" t="s">
        <v>365</v>
      </c>
      <c r="C15" s="124">
        <v>14</v>
      </c>
      <c r="E15" s="65"/>
      <c r="G15" s="192" t="s">
        <v>217</v>
      </c>
      <c r="H15" s="123" t="s">
        <v>197</v>
      </c>
      <c r="I15" s="193">
        <v>6</v>
      </c>
    </row>
    <row r="16" spans="1:12">
      <c r="B16" s="30" t="s">
        <v>360</v>
      </c>
      <c r="C16" s="124">
        <v>11</v>
      </c>
      <c r="E16" s="65"/>
      <c r="G16" s="192" t="s">
        <v>218</v>
      </c>
      <c r="H16" s="123" t="s">
        <v>201</v>
      </c>
      <c r="I16" s="193">
        <v>10</v>
      </c>
    </row>
    <row r="17" spans="2:9">
      <c r="B17" s="30" t="s">
        <v>365</v>
      </c>
      <c r="C17" s="124">
        <v>9</v>
      </c>
      <c r="E17" s="65"/>
      <c r="G17" s="192" t="s">
        <v>219</v>
      </c>
      <c r="H17" s="123" t="s">
        <v>197</v>
      </c>
      <c r="I17" s="193">
        <v>14</v>
      </c>
    </row>
    <row r="18" spans="2:9">
      <c r="B18" s="30" t="s">
        <v>366</v>
      </c>
      <c r="C18" s="124">
        <v>17</v>
      </c>
      <c r="E18" s="65"/>
      <c r="G18" s="192" t="s">
        <v>220</v>
      </c>
      <c r="H18" s="123" t="s">
        <v>201</v>
      </c>
      <c r="I18" s="193">
        <v>7</v>
      </c>
    </row>
    <row r="19" spans="2:9">
      <c r="B19" s="30" t="s">
        <v>367</v>
      </c>
      <c r="C19" s="124">
        <v>12</v>
      </c>
      <c r="E19" s="65"/>
      <c r="G19" s="192" t="s">
        <v>221</v>
      </c>
      <c r="H19" s="123" t="s">
        <v>197</v>
      </c>
      <c r="I19" s="193">
        <v>8</v>
      </c>
    </row>
    <row r="20" spans="2:9">
      <c r="B20" s="30" t="s">
        <v>368</v>
      </c>
      <c r="C20" s="124">
        <v>14</v>
      </c>
      <c r="E20" s="65"/>
      <c r="G20" s="192" t="s">
        <v>222</v>
      </c>
      <c r="H20" s="123" t="s">
        <v>201</v>
      </c>
      <c r="I20" s="193"/>
    </row>
    <row r="21" spans="2:9">
      <c r="B21" s="30" t="s">
        <v>369</v>
      </c>
      <c r="C21" s="124">
        <v>10</v>
      </c>
      <c r="E21" s="65"/>
      <c r="G21" s="192" t="s">
        <v>223</v>
      </c>
      <c r="H21" s="123" t="s">
        <v>197</v>
      </c>
      <c r="I21" s="193" t="s">
        <v>216</v>
      </c>
    </row>
    <row r="22" spans="2:9">
      <c r="B22" s="30" t="s">
        <v>370</v>
      </c>
      <c r="C22" s="124">
        <v>19</v>
      </c>
      <c r="E22" s="65"/>
      <c r="G22" s="192" t="s">
        <v>224</v>
      </c>
      <c r="H22" s="123" t="s">
        <v>201</v>
      </c>
      <c r="I22" s="193"/>
    </row>
    <row r="23" spans="2:9">
      <c r="B23" s="30" t="s">
        <v>371</v>
      </c>
      <c r="C23" s="124"/>
      <c r="E23" s="65"/>
      <c r="G23" s="192" t="s">
        <v>225</v>
      </c>
      <c r="H23" s="123" t="s">
        <v>197</v>
      </c>
      <c r="I23" s="193">
        <v>8</v>
      </c>
    </row>
    <row r="24" spans="2:9">
      <c r="B24" s="30" t="s">
        <v>363</v>
      </c>
      <c r="C24" s="124">
        <v>16</v>
      </c>
      <c r="E24" s="65"/>
      <c r="G24" s="192" t="s">
        <v>226</v>
      </c>
      <c r="H24" s="123" t="s">
        <v>201</v>
      </c>
      <c r="I24" s="193">
        <v>8</v>
      </c>
    </row>
    <row r="25" spans="2:9">
      <c r="B25" s="30" t="s">
        <v>372</v>
      </c>
      <c r="C25" s="124">
        <v>14</v>
      </c>
      <c r="E25" s="65"/>
      <c r="G25" s="192" t="s">
        <v>227</v>
      </c>
      <c r="H25" s="123" t="s">
        <v>197</v>
      </c>
      <c r="I25" s="193" t="s">
        <v>228</v>
      </c>
    </row>
    <row r="26" spans="2:9">
      <c r="B26" s="30" t="s">
        <v>373</v>
      </c>
      <c r="C26" s="124">
        <v>17</v>
      </c>
      <c r="E26" s="65"/>
      <c r="G26" s="192" t="s">
        <v>229</v>
      </c>
      <c r="H26" s="123" t="s">
        <v>201</v>
      </c>
      <c r="I26" s="193">
        <v>16</v>
      </c>
    </row>
    <row r="27" spans="2:9">
      <c r="B27" s="30" t="s">
        <v>374</v>
      </c>
      <c r="C27" s="124">
        <v>12</v>
      </c>
      <c r="E27" s="65"/>
      <c r="G27" s="192" t="s">
        <v>230</v>
      </c>
      <c r="H27" s="123" t="s">
        <v>201</v>
      </c>
      <c r="I27" s="193">
        <v>10</v>
      </c>
    </row>
    <row r="28" spans="2:9">
      <c r="B28" s="30" t="s">
        <v>372</v>
      </c>
      <c r="C28" s="124">
        <v>10</v>
      </c>
      <c r="E28" s="65"/>
      <c r="G28" s="192" t="s">
        <v>375</v>
      </c>
      <c r="H28" s="123" t="s">
        <v>197</v>
      </c>
      <c r="I28" s="195">
        <v>17</v>
      </c>
    </row>
    <row r="29" spans="2:9">
      <c r="B29" s="30" t="s">
        <v>376</v>
      </c>
      <c r="C29" s="124">
        <v>11</v>
      </c>
      <c r="E29" s="65"/>
      <c r="G29" s="192" t="s">
        <v>377</v>
      </c>
      <c r="H29" s="123" t="s">
        <v>201</v>
      </c>
      <c r="I29" s="195">
        <v>12</v>
      </c>
    </row>
    <row r="30" spans="2:9">
      <c r="B30" s="30" t="s">
        <v>365</v>
      </c>
      <c r="C30" s="124">
        <v>13</v>
      </c>
      <c r="E30" s="65"/>
      <c r="G30" s="192" t="s">
        <v>378</v>
      </c>
      <c r="H30" s="123" t="s">
        <v>197</v>
      </c>
      <c r="I30" s="195">
        <v>14</v>
      </c>
    </row>
    <row r="31" spans="2:9" ht="14.65" thickBot="1">
      <c r="B31" s="32" t="s">
        <v>379</v>
      </c>
      <c r="C31" s="125">
        <v>11</v>
      </c>
      <c r="E31" s="65"/>
      <c r="G31" s="192" t="s">
        <v>380</v>
      </c>
      <c r="H31" s="123" t="s">
        <v>201</v>
      </c>
      <c r="I31" s="195">
        <v>10</v>
      </c>
    </row>
    <row r="32" spans="2:9">
      <c r="E32" s="65"/>
      <c r="G32" s="192" t="s">
        <v>381</v>
      </c>
      <c r="H32" s="123" t="s">
        <v>197</v>
      </c>
      <c r="I32" s="195">
        <v>19</v>
      </c>
    </row>
    <row r="33" spans="2:9">
      <c r="B33" s="126" t="s">
        <v>210</v>
      </c>
      <c r="C33" s="1"/>
      <c r="E33" s="65"/>
      <c r="G33" s="192" t="s">
        <v>382</v>
      </c>
      <c r="H33" s="123" t="s">
        <v>201</v>
      </c>
      <c r="I33" s="195"/>
    </row>
    <row r="34" spans="2:9">
      <c r="B34" s="127" t="s">
        <v>212</v>
      </c>
      <c r="C34" s="186">
        <f>COUNT(C4:C31)</f>
        <v>24</v>
      </c>
      <c r="E34" s="65"/>
      <c r="G34" s="192" t="s">
        <v>383</v>
      </c>
      <c r="H34" s="123" t="s">
        <v>197</v>
      </c>
      <c r="I34" s="195">
        <v>16</v>
      </c>
    </row>
    <row r="35" spans="2:9">
      <c r="B35" s="500" t="s">
        <v>384</v>
      </c>
      <c r="C35" s="502">
        <f>COUNTA(C4:C31)</f>
        <v>26</v>
      </c>
      <c r="E35" s="65"/>
      <c r="G35" s="192" t="s">
        <v>385</v>
      </c>
      <c r="H35" s="123" t="s">
        <v>201</v>
      </c>
      <c r="I35" s="195">
        <v>14</v>
      </c>
    </row>
    <row r="36" spans="2:9">
      <c r="B36" s="501"/>
      <c r="C36" s="503"/>
      <c r="E36" s="65"/>
      <c r="G36" s="192" t="s">
        <v>386</v>
      </c>
      <c r="H36" s="123" t="s">
        <v>201</v>
      </c>
      <c r="I36" s="195">
        <v>17</v>
      </c>
    </row>
    <row r="37" spans="2:9">
      <c r="B37" s="500" t="s">
        <v>231</v>
      </c>
      <c r="C37" s="502">
        <f>COUNTBLANK(C4:C31)</f>
        <v>2</v>
      </c>
      <c r="E37" s="65"/>
      <c r="G37" s="192" t="s">
        <v>387</v>
      </c>
      <c r="H37" s="123" t="s">
        <v>201</v>
      </c>
      <c r="I37" s="195">
        <v>12</v>
      </c>
    </row>
    <row r="38" spans="2:9" ht="14.65" thickBot="1">
      <c r="B38" s="501"/>
      <c r="C38" s="503"/>
      <c r="E38" s="65"/>
      <c r="G38" s="196" t="s">
        <v>388</v>
      </c>
      <c r="H38" s="197" t="s">
        <v>197</v>
      </c>
      <c r="I38" s="198">
        <v>10</v>
      </c>
    </row>
  </sheetData>
  <mergeCells count="10">
    <mergeCell ref="L7:L8"/>
    <mergeCell ref="B35:B36"/>
    <mergeCell ref="C35:C36"/>
    <mergeCell ref="B37:B38"/>
    <mergeCell ref="C37:C38"/>
    <mergeCell ref="A1:J1"/>
    <mergeCell ref="G3:G4"/>
    <mergeCell ref="H3:H4"/>
    <mergeCell ref="I3:I4"/>
    <mergeCell ref="K7:K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2"/>
  <sheetViews>
    <sheetView showGridLines="0" workbookViewId="0">
      <selection activeCell="A2" sqref="A1:U1048576"/>
    </sheetView>
  </sheetViews>
  <sheetFormatPr baseColWidth="10" defaultRowHeight="14.25"/>
  <cols>
    <col min="1" max="1" width="13.53125" customWidth="1"/>
    <col min="2" max="2" width="12.46484375" bestFit="1" customWidth="1"/>
    <col min="3" max="6" width="14.796875" customWidth="1"/>
    <col min="7" max="7" width="3.53125" customWidth="1"/>
    <col min="8" max="8" width="2.73046875" customWidth="1"/>
    <col min="9" max="9" width="2.73046875" style="97" customWidth="1"/>
    <col min="10" max="10" width="4.265625" customWidth="1"/>
    <col min="11" max="16" width="3.46484375" customWidth="1"/>
    <col min="17" max="20" width="3.796875" customWidth="1"/>
  </cols>
  <sheetData>
    <row r="1" spans="1:21" ht="137.25" customHeight="1">
      <c r="A1" s="506" t="s">
        <v>346</v>
      </c>
      <c r="B1" s="506"/>
      <c r="C1" s="506"/>
      <c r="D1" s="506"/>
      <c r="H1" s="25"/>
    </row>
    <row r="2" spans="1:21">
      <c r="H2" s="25"/>
    </row>
    <row r="3" spans="1:21" ht="32.25" customHeight="1">
      <c r="H3" s="25"/>
    </row>
    <row r="4" spans="1:21" ht="28.5" customHeight="1">
      <c r="A4" s="504" t="s">
        <v>156</v>
      </c>
      <c r="B4" s="504"/>
      <c r="C4" s="504"/>
      <c r="D4" s="504"/>
      <c r="E4" s="504"/>
      <c r="F4" s="504"/>
      <c r="H4" s="25"/>
      <c r="J4" s="505" t="s">
        <v>155</v>
      </c>
      <c r="K4" s="505"/>
      <c r="L4" s="505"/>
      <c r="M4" s="505"/>
      <c r="N4" s="505"/>
      <c r="O4" s="505"/>
      <c r="P4" s="505"/>
      <c r="Q4" s="505"/>
      <c r="R4" s="505"/>
      <c r="S4" s="505"/>
      <c r="T4" s="505"/>
      <c r="U4" s="505"/>
    </row>
    <row r="5" spans="1:21" ht="24" customHeight="1" thickBot="1">
      <c r="A5" s="504"/>
      <c r="B5" s="504"/>
      <c r="C5" s="504"/>
      <c r="D5" s="504"/>
      <c r="E5" s="504"/>
      <c r="F5" s="504"/>
      <c r="H5" s="25"/>
    </row>
    <row r="6" spans="1:21" ht="18" customHeight="1">
      <c r="H6" s="25"/>
      <c r="K6" s="108"/>
      <c r="L6" s="109">
        <v>1</v>
      </c>
      <c r="M6" s="109">
        <v>2</v>
      </c>
      <c r="N6" s="109">
        <v>3</v>
      </c>
      <c r="O6" s="109">
        <v>4</v>
      </c>
      <c r="P6" s="109">
        <v>5</v>
      </c>
      <c r="Q6" s="109">
        <v>6</v>
      </c>
      <c r="R6" s="109">
        <v>7</v>
      </c>
      <c r="S6" s="109">
        <v>8</v>
      </c>
      <c r="T6" s="110">
        <v>9</v>
      </c>
    </row>
    <row r="7" spans="1:21">
      <c r="A7" s="86" t="s">
        <v>59</v>
      </c>
      <c r="B7" s="90">
        <v>0.03</v>
      </c>
      <c r="H7" s="25"/>
      <c r="K7" s="111">
        <v>1</v>
      </c>
      <c r="L7" s="15">
        <f>+$K7*L$6</f>
        <v>1</v>
      </c>
      <c r="M7" s="15">
        <f t="shared" ref="M7:T15" si="0">+$K7*M$6</f>
        <v>2</v>
      </c>
      <c r="N7" s="15">
        <f t="shared" si="0"/>
        <v>3</v>
      </c>
      <c r="O7" s="15">
        <f t="shared" si="0"/>
        <v>4</v>
      </c>
      <c r="P7" s="15">
        <f t="shared" si="0"/>
        <v>5</v>
      </c>
      <c r="Q7" s="15">
        <f t="shared" si="0"/>
        <v>6</v>
      </c>
      <c r="R7" s="15">
        <f t="shared" si="0"/>
        <v>7</v>
      </c>
      <c r="S7" s="15">
        <f t="shared" si="0"/>
        <v>8</v>
      </c>
      <c r="T7" s="15">
        <f t="shared" si="0"/>
        <v>9</v>
      </c>
    </row>
    <row r="8" spans="1:21" ht="14.65" thickBot="1">
      <c r="H8" s="25"/>
      <c r="K8" s="111">
        <v>2</v>
      </c>
      <c r="L8" s="15">
        <f t="shared" ref="L8:L15" si="1">+$K8*L$6</f>
        <v>2</v>
      </c>
      <c r="M8" s="15">
        <f t="shared" si="0"/>
        <v>4</v>
      </c>
      <c r="N8" s="15">
        <f t="shared" si="0"/>
        <v>6</v>
      </c>
      <c r="O8" s="15">
        <f t="shared" si="0"/>
        <v>8</v>
      </c>
      <c r="P8" s="15">
        <f t="shared" si="0"/>
        <v>10</v>
      </c>
      <c r="Q8" s="15">
        <f t="shared" si="0"/>
        <v>12</v>
      </c>
      <c r="R8" s="15">
        <f t="shared" si="0"/>
        <v>14</v>
      </c>
      <c r="S8" s="15">
        <f t="shared" si="0"/>
        <v>16</v>
      </c>
      <c r="T8" s="15">
        <f t="shared" si="0"/>
        <v>18</v>
      </c>
    </row>
    <row r="9" spans="1:21">
      <c r="A9" s="98">
        <v>2017</v>
      </c>
      <c r="B9" s="99">
        <v>2018</v>
      </c>
      <c r="C9" s="99">
        <v>2019</v>
      </c>
      <c r="D9" s="99">
        <v>2020</v>
      </c>
      <c r="E9" s="99">
        <v>2021</v>
      </c>
      <c r="F9" s="100">
        <v>2022</v>
      </c>
      <c r="H9" s="25"/>
      <c r="K9" s="111">
        <v>3</v>
      </c>
      <c r="L9" s="15">
        <f t="shared" si="1"/>
        <v>3</v>
      </c>
      <c r="M9" s="15">
        <f t="shared" si="0"/>
        <v>6</v>
      </c>
      <c r="N9" s="15">
        <f t="shared" si="0"/>
        <v>9</v>
      </c>
      <c r="O9" s="15">
        <f t="shared" si="0"/>
        <v>12</v>
      </c>
      <c r="P9" s="15">
        <f t="shared" si="0"/>
        <v>15</v>
      </c>
      <c r="Q9" s="15">
        <f t="shared" si="0"/>
        <v>18</v>
      </c>
      <c r="R9" s="15">
        <f t="shared" si="0"/>
        <v>21</v>
      </c>
      <c r="S9" s="15">
        <f t="shared" si="0"/>
        <v>24</v>
      </c>
      <c r="T9" s="15">
        <f t="shared" si="0"/>
        <v>27</v>
      </c>
    </row>
    <row r="10" spans="1:21" ht="14.65" thickBot="1">
      <c r="A10" s="27">
        <v>154000</v>
      </c>
      <c r="B10" s="28">
        <f>+A10*$B7+A10</f>
        <v>158620</v>
      </c>
      <c r="C10" s="28">
        <f t="shared" ref="C10:F10" si="2">+B10*$B7+B10</f>
        <v>163378.6</v>
      </c>
      <c r="D10" s="28">
        <f t="shared" si="2"/>
        <v>168279.95800000001</v>
      </c>
      <c r="E10" s="28">
        <f t="shared" si="2"/>
        <v>173328.35674000002</v>
      </c>
      <c r="F10" s="28">
        <f t="shared" si="2"/>
        <v>178528.20744220002</v>
      </c>
      <c r="H10" s="25"/>
      <c r="K10" s="111">
        <v>4</v>
      </c>
      <c r="L10" s="15">
        <f t="shared" si="1"/>
        <v>4</v>
      </c>
      <c r="M10" s="15">
        <f t="shared" si="0"/>
        <v>8</v>
      </c>
      <c r="N10" s="15">
        <f t="shared" si="0"/>
        <v>12</v>
      </c>
      <c r="O10" s="15">
        <f t="shared" si="0"/>
        <v>16</v>
      </c>
      <c r="P10" s="15">
        <f t="shared" si="0"/>
        <v>20</v>
      </c>
      <c r="Q10" s="15">
        <f t="shared" si="0"/>
        <v>24</v>
      </c>
      <c r="R10" s="15">
        <f t="shared" si="0"/>
        <v>28</v>
      </c>
      <c r="S10" s="15">
        <f t="shared" si="0"/>
        <v>32</v>
      </c>
      <c r="T10" s="15">
        <f t="shared" si="0"/>
        <v>36</v>
      </c>
    </row>
    <row r="11" spans="1:21">
      <c r="B11" s="29"/>
      <c r="H11" s="25"/>
      <c r="K11" s="111">
        <v>5</v>
      </c>
      <c r="L11" s="15">
        <f t="shared" si="1"/>
        <v>5</v>
      </c>
      <c r="M11" s="15">
        <f t="shared" si="0"/>
        <v>10</v>
      </c>
      <c r="N11" s="15">
        <f t="shared" si="0"/>
        <v>15</v>
      </c>
      <c r="O11" s="15">
        <f t="shared" si="0"/>
        <v>20</v>
      </c>
      <c r="P11" s="15">
        <f t="shared" si="0"/>
        <v>25</v>
      </c>
      <c r="Q11" s="15">
        <f t="shared" si="0"/>
        <v>30</v>
      </c>
      <c r="R11" s="15">
        <f t="shared" si="0"/>
        <v>35</v>
      </c>
      <c r="S11" s="15">
        <f t="shared" si="0"/>
        <v>40</v>
      </c>
      <c r="T11" s="15">
        <f t="shared" si="0"/>
        <v>45</v>
      </c>
    </row>
    <row r="12" spans="1:21">
      <c r="H12" s="25"/>
      <c r="K12" s="111">
        <v>6</v>
      </c>
      <c r="L12" s="15">
        <f t="shared" si="1"/>
        <v>6</v>
      </c>
      <c r="M12" s="15">
        <f t="shared" si="0"/>
        <v>12</v>
      </c>
      <c r="N12" s="15">
        <f t="shared" si="0"/>
        <v>18</v>
      </c>
      <c r="O12" s="15">
        <f t="shared" si="0"/>
        <v>24</v>
      </c>
      <c r="P12" s="15">
        <f t="shared" si="0"/>
        <v>30</v>
      </c>
      <c r="Q12" s="15">
        <f t="shared" si="0"/>
        <v>36</v>
      </c>
      <c r="R12" s="15">
        <f t="shared" si="0"/>
        <v>42</v>
      </c>
      <c r="S12" s="15">
        <f t="shared" si="0"/>
        <v>48</v>
      </c>
      <c r="T12" s="15">
        <f t="shared" si="0"/>
        <v>54</v>
      </c>
    </row>
    <row r="13" spans="1:21" ht="18.75" customHeight="1">
      <c r="A13" s="504" t="s">
        <v>60</v>
      </c>
      <c r="B13" s="504"/>
      <c r="C13" s="504"/>
      <c r="D13" s="504"/>
      <c r="E13" s="504"/>
      <c r="F13" s="504"/>
      <c r="H13" s="25"/>
      <c r="K13" s="111">
        <v>7</v>
      </c>
      <c r="L13" s="15">
        <f t="shared" si="1"/>
        <v>7</v>
      </c>
      <c r="M13" s="15">
        <f t="shared" si="0"/>
        <v>14</v>
      </c>
      <c r="N13" s="15">
        <f t="shared" si="0"/>
        <v>21</v>
      </c>
      <c r="O13" s="15">
        <f t="shared" si="0"/>
        <v>28</v>
      </c>
      <c r="P13" s="15">
        <f t="shared" si="0"/>
        <v>35</v>
      </c>
      <c r="Q13" s="15">
        <f t="shared" si="0"/>
        <v>42</v>
      </c>
      <c r="R13" s="15">
        <f t="shared" si="0"/>
        <v>49</v>
      </c>
      <c r="S13" s="15">
        <f t="shared" si="0"/>
        <v>56</v>
      </c>
      <c r="T13" s="15">
        <f t="shared" si="0"/>
        <v>63</v>
      </c>
    </row>
    <row r="14" spans="1:21">
      <c r="A14" s="504"/>
      <c r="B14" s="504"/>
      <c r="C14" s="504"/>
      <c r="D14" s="504"/>
      <c r="E14" s="504"/>
      <c r="F14" s="504"/>
      <c r="H14" s="25"/>
      <c r="K14" s="111">
        <v>8</v>
      </c>
      <c r="L14" s="15">
        <f t="shared" si="1"/>
        <v>8</v>
      </c>
      <c r="M14" s="15">
        <f t="shared" si="0"/>
        <v>16</v>
      </c>
      <c r="N14" s="15">
        <f t="shared" si="0"/>
        <v>24</v>
      </c>
      <c r="O14" s="15">
        <f t="shared" si="0"/>
        <v>32</v>
      </c>
      <c r="P14" s="15">
        <f t="shared" si="0"/>
        <v>40</v>
      </c>
      <c r="Q14" s="15">
        <f t="shared" si="0"/>
        <v>48</v>
      </c>
      <c r="R14" s="15">
        <f t="shared" si="0"/>
        <v>56</v>
      </c>
      <c r="S14" s="15">
        <f t="shared" si="0"/>
        <v>64</v>
      </c>
      <c r="T14" s="15">
        <f t="shared" si="0"/>
        <v>72</v>
      </c>
    </row>
    <row r="15" spans="1:21" ht="14.65" thickBot="1">
      <c r="H15" s="25"/>
      <c r="K15" s="112">
        <v>9</v>
      </c>
      <c r="L15" s="15">
        <f t="shared" si="1"/>
        <v>9</v>
      </c>
      <c r="M15" s="15">
        <f t="shared" si="0"/>
        <v>18</v>
      </c>
      <c r="N15" s="15">
        <f t="shared" si="0"/>
        <v>27</v>
      </c>
      <c r="O15" s="15">
        <f t="shared" si="0"/>
        <v>36</v>
      </c>
      <c r="P15" s="15">
        <f t="shared" si="0"/>
        <v>45</v>
      </c>
      <c r="Q15" s="15">
        <f t="shared" si="0"/>
        <v>54</v>
      </c>
      <c r="R15" s="15">
        <f t="shared" si="0"/>
        <v>63</v>
      </c>
      <c r="S15" s="15">
        <f t="shared" si="0"/>
        <v>72</v>
      </c>
      <c r="T15" s="15">
        <f t="shared" si="0"/>
        <v>81</v>
      </c>
    </row>
    <row r="16" spans="1:21">
      <c r="B16" s="86" t="s">
        <v>61</v>
      </c>
      <c r="C16" s="91">
        <v>500</v>
      </c>
      <c r="H16" s="25"/>
    </row>
    <row r="17" spans="2:8" ht="14.65" thickBot="1">
      <c r="B17" s="14"/>
      <c r="C17" s="14"/>
      <c r="H17" s="25"/>
    </row>
    <row r="18" spans="2:8" ht="28.9" thickBot="1">
      <c r="B18" s="102" t="s">
        <v>159</v>
      </c>
      <c r="C18" s="103" t="s">
        <v>62</v>
      </c>
      <c r="D18" s="104" t="s">
        <v>63</v>
      </c>
      <c r="H18" s="25"/>
    </row>
    <row r="19" spans="2:8">
      <c r="B19" s="26" t="s">
        <v>64</v>
      </c>
      <c r="C19" s="105">
        <v>2456</v>
      </c>
      <c r="D19" s="106">
        <f>+C19+C$16</f>
        <v>2956</v>
      </c>
      <c r="H19" s="25"/>
    </row>
    <row r="20" spans="2:8">
      <c r="B20" s="30" t="s">
        <v>65</v>
      </c>
      <c r="C20" s="31">
        <v>2567</v>
      </c>
      <c r="D20" s="101">
        <f t="shared" ref="D20:D22" si="3">+C20+C$16</f>
        <v>3067</v>
      </c>
      <c r="H20" s="25"/>
    </row>
    <row r="21" spans="2:8">
      <c r="B21" s="30" t="s">
        <v>66</v>
      </c>
      <c r="C21" s="31">
        <v>3214</v>
      </c>
      <c r="D21" s="101">
        <f t="shared" si="3"/>
        <v>3714</v>
      </c>
      <c r="H21" s="25"/>
    </row>
    <row r="22" spans="2:8" ht="14.65" thickBot="1">
      <c r="B22" s="32" t="s">
        <v>67</v>
      </c>
      <c r="C22" s="33">
        <v>2345</v>
      </c>
      <c r="D22" s="107">
        <f t="shared" si="3"/>
        <v>2845</v>
      </c>
      <c r="H22" s="25"/>
    </row>
  </sheetData>
  <mergeCells count="4">
    <mergeCell ref="A4:F5"/>
    <mergeCell ref="A13:F14"/>
    <mergeCell ref="J4:U4"/>
    <mergeCell ref="A1:D1"/>
  </mergeCells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V246"/>
  <sheetViews>
    <sheetView showGridLines="0" topLeftCell="DA2" workbookViewId="0">
      <selection activeCell="DR21" sqref="DR21"/>
    </sheetView>
  </sheetViews>
  <sheetFormatPr baseColWidth="10" defaultRowHeight="14.25"/>
  <cols>
    <col min="1" max="1" width="15" customWidth="1"/>
    <col min="2" max="2" width="11.53125" customWidth="1"/>
    <col min="3" max="3" width="10.796875" customWidth="1"/>
    <col min="4" max="4" width="11.796875" customWidth="1"/>
    <col min="5" max="7" width="1.796875" customWidth="1"/>
    <col min="8" max="8" width="14.265625" bestFit="1" customWidth="1"/>
    <col min="9" max="9" width="13.06640625" bestFit="1" customWidth="1"/>
    <col min="10" max="10" width="11.46484375" bestFit="1" customWidth="1"/>
    <col min="12" max="14" width="2" customWidth="1"/>
    <col min="16" max="16" width="16.265625" customWidth="1"/>
    <col min="17" max="17" width="12.46484375" customWidth="1"/>
    <col min="18" max="18" width="3.73046875" customWidth="1"/>
    <col min="19" max="19" width="15.265625" customWidth="1"/>
    <col min="20" max="20" width="13.19921875" customWidth="1"/>
    <col min="21" max="23" width="2.46484375" customWidth="1"/>
    <col min="25" max="25" width="7.53125" bestFit="1" customWidth="1"/>
    <col min="33" max="35" width="2.46484375" customWidth="1"/>
    <col min="37" max="37" width="12.265625" customWidth="1"/>
    <col min="39" max="39" width="12.796875" customWidth="1"/>
    <col min="41" max="43" width="2.796875" customWidth="1"/>
    <col min="44" max="44" width="7.73046875" customWidth="1"/>
    <col min="45" max="45" width="10.53125" customWidth="1"/>
    <col min="46" max="69" width="7.19921875" customWidth="1"/>
    <col min="70" max="72" width="2.19921875" customWidth="1"/>
    <col min="74" max="74" width="7.53125" customWidth="1"/>
    <col min="75" max="75" width="8" customWidth="1"/>
    <col min="76" max="92" width="3.73046875" customWidth="1"/>
    <col min="93" max="95" width="2.46484375" customWidth="1"/>
    <col min="96" max="96" width="14.19921875" customWidth="1"/>
    <col min="100" max="102" width="2.46484375" customWidth="1"/>
    <col min="103" max="103" width="13.53125" customWidth="1"/>
    <col min="106" max="106" width="2.19921875" customWidth="1"/>
    <col min="107" max="107" width="9.53125" customWidth="1"/>
    <col min="108" max="110" width="13" customWidth="1"/>
    <col min="111" max="111" width="2" customWidth="1"/>
    <col min="112" max="113" width="2.73046875" customWidth="1"/>
    <col min="114" max="115" width="14.59765625" style="1" bestFit="1" customWidth="1"/>
    <col min="116" max="116" width="15.73046875" style="1" bestFit="1" customWidth="1"/>
    <col min="117" max="117" width="10.265625" style="129" bestFit="1" customWidth="1"/>
    <col min="119" max="119" width="14.59765625" bestFit="1" customWidth="1"/>
    <col min="120" max="120" width="2.1328125" customWidth="1"/>
    <col min="121" max="121" width="13" customWidth="1"/>
  </cols>
  <sheetData>
    <row r="1" spans="1:126" ht="109.9" customHeight="1">
      <c r="A1" s="510" t="s">
        <v>356</v>
      </c>
      <c r="B1" s="510"/>
      <c r="C1" s="510"/>
      <c r="D1" s="510"/>
      <c r="E1" s="510"/>
      <c r="F1" s="510"/>
      <c r="G1" s="510"/>
      <c r="H1" s="510"/>
      <c r="I1" s="510"/>
      <c r="J1" s="510"/>
      <c r="K1" s="510"/>
      <c r="L1" s="510"/>
      <c r="M1" s="510"/>
      <c r="N1" s="510"/>
      <c r="O1" s="510"/>
      <c r="P1" s="510"/>
      <c r="V1" s="25"/>
      <c r="AH1" s="65"/>
      <c r="AP1" s="65"/>
      <c r="BS1" s="65"/>
      <c r="CP1" s="65"/>
      <c r="CW1" s="65"/>
      <c r="DH1" s="65"/>
      <c r="DI1" s="509" t="s">
        <v>357</v>
      </c>
      <c r="DJ1" s="509"/>
      <c r="DK1" s="509"/>
      <c r="DL1" s="509"/>
      <c r="DM1" s="509"/>
      <c r="DN1" s="509"/>
      <c r="DO1" s="509"/>
      <c r="DP1" s="509"/>
      <c r="DQ1" s="509"/>
      <c r="DR1" s="509"/>
      <c r="DS1" s="509"/>
      <c r="DT1" s="509"/>
      <c r="DU1" s="509"/>
      <c r="DV1" s="509"/>
    </row>
    <row r="2" spans="1:126" ht="21">
      <c r="F2" s="25"/>
      <c r="M2" s="25"/>
      <c r="V2" s="25"/>
      <c r="AH2" s="65"/>
      <c r="AP2" s="65"/>
      <c r="BS2" s="65"/>
      <c r="CP2" s="65"/>
      <c r="CW2" s="65"/>
      <c r="DH2" s="65"/>
      <c r="DJ2" s="511" t="s">
        <v>232</v>
      </c>
      <c r="DK2" s="511"/>
      <c r="DL2" s="511"/>
      <c r="DM2" s="511"/>
    </row>
    <row r="3" spans="1:126">
      <c r="F3" s="25"/>
      <c r="M3" s="25"/>
      <c r="V3" s="25"/>
      <c r="AH3" s="65"/>
      <c r="AP3" s="65"/>
      <c r="BS3" s="65"/>
      <c r="CP3" s="65"/>
      <c r="CW3" s="65"/>
      <c r="DH3" s="65"/>
    </row>
    <row r="4" spans="1:126" ht="29.25" customHeight="1">
      <c r="F4" s="25"/>
      <c r="M4" s="25"/>
      <c r="V4" s="25"/>
      <c r="AH4" s="65"/>
      <c r="AP4" s="65"/>
      <c r="BS4" s="65"/>
      <c r="CP4" s="65"/>
      <c r="CW4" s="65"/>
      <c r="DH4" s="65"/>
      <c r="DJ4" s="512" t="s">
        <v>233</v>
      </c>
      <c r="DK4" s="512"/>
      <c r="DL4" s="512"/>
      <c r="DM4" s="512"/>
      <c r="DN4" s="512"/>
      <c r="DO4" s="512"/>
      <c r="DP4" s="512"/>
      <c r="DQ4" s="512"/>
      <c r="DR4" s="512"/>
    </row>
    <row r="5" spans="1:126">
      <c r="F5" s="25"/>
      <c r="M5" s="25"/>
      <c r="U5" s="39"/>
      <c r="V5" s="56"/>
      <c r="AH5" s="65"/>
      <c r="AP5" s="65"/>
      <c r="BS5" s="65"/>
      <c r="CP5" s="65"/>
      <c r="CW5" s="65"/>
      <c r="DH5" s="65"/>
    </row>
    <row r="6" spans="1:126" ht="21">
      <c r="A6" s="489" t="s">
        <v>81</v>
      </c>
      <c r="B6" s="489"/>
      <c r="C6" s="489"/>
      <c r="D6" s="489"/>
      <c r="F6" s="25"/>
      <c r="H6" s="489" t="s">
        <v>8</v>
      </c>
      <c r="I6" s="489"/>
      <c r="J6" s="489"/>
      <c r="K6" s="489"/>
      <c r="M6" s="25"/>
      <c r="O6" s="489" t="s">
        <v>92</v>
      </c>
      <c r="P6" s="489"/>
      <c r="Q6" s="489"/>
      <c r="R6" s="489"/>
      <c r="S6" s="489"/>
      <c r="T6" s="489"/>
      <c r="U6" s="39"/>
      <c r="V6" s="56"/>
      <c r="X6" s="489" t="s">
        <v>104</v>
      </c>
      <c r="Y6" s="489"/>
      <c r="Z6" s="489"/>
      <c r="AA6" s="489"/>
      <c r="AB6" s="489"/>
      <c r="AC6" s="489"/>
      <c r="AD6" s="489"/>
      <c r="AE6" s="489"/>
      <c r="AF6" s="489"/>
      <c r="AH6" s="65"/>
      <c r="AJ6" s="489" t="s">
        <v>8</v>
      </c>
      <c r="AK6" s="489"/>
      <c r="AL6" s="489"/>
      <c r="AM6" s="489"/>
      <c r="AN6" s="489"/>
      <c r="AP6" s="65"/>
      <c r="AR6" s="489" t="s">
        <v>118</v>
      </c>
      <c r="AS6" s="489"/>
      <c r="AT6" s="489"/>
      <c r="AU6" s="489"/>
      <c r="AV6" s="489"/>
      <c r="AW6" s="489"/>
      <c r="AX6" s="489"/>
      <c r="AY6" s="489"/>
      <c r="AZ6" s="489"/>
      <c r="BA6" s="489"/>
      <c r="BB6" s="489"/>
      <c r="BC6" s="489"/>
      <c r="BD6" s="489"/>
      <c r="BE6" s="489"/>
      <c r="BF6" s="489"/>
      <c r="BG6" s="489"/>
      <c r="BH6" s="489"/>
      <c r="BI6" s="489"/>
      <c r="BJ6" s="489"/>
      <c r="BK6" s="489"/>
      <c r="BL6" s="489"/>
      <c r="BM6" s="489"/>
      <c r="BN6" s="489"/>
      <c r="BO6" s="489"/>
      <c r="BP6" s="489"/>
      <c r="BQ6" s="489"/>
      <c r="BS6" s="65"/>
      <c r="BU6" s="489" t="s">
        <v>122</v>
      </c>
      <c r="BV6" s="489"/>
      <c r="BW6" s="489"/>
      <c r="BX6" s="489"/>
      <c r="BY6" s="489"/>
      <c r="BZ6" s="489"/>
      <c r="CA6" s="489"/>
      <c r="CB6" s="489"/>
      <c r="CC6" s="489"/>
      <c r="CD6" s="489"/>
      <c r="CE6" s="489"/>
      <c r="CF6" s="489"/>
      <c r="CG6" s="489"/>
      <c r="CH6" s="489"/>
      <c r="CI6" s="489"/>
      <c r="CJ6" s="489"/>
      <c r="CK6" s="489"/>
      <c r="CL6" s="489"/>
      <c r="CM6" s="489"/>
      <c r="CN6" s="489"/>
      <c r="CP6" s="65"/>
      <c r="CR6" s="489" t="s">
        <v>135</v>
      </c>
      <c r="CS6" s="489"/>
      <c r="CT6" s="489"/>
      <c r="CU6" s="489"/>
      <c r="CW6" s="65"/>
      <c r="CY6" s="489" t="s">
        <v>191</v>
      </c>
      <c r="CZ6" s="489"/>
      <c r="DA6" s="489"/>
      <c r="DB6" s="489"/>
      <c r="DC6" s="489"/>
      <c r="DD6" s="489"/>
      <c r="DE6" s="489"/>
      <c r="DF6" s="489"/>
      <c r="DH6" s="65"/>
    </row>
    <row r="7" spans="1:126" ht="52.5" customHeight="1">
      <c r="A7" s="490" t="s">
        <v>82</v>
      </c>
      <c r="B7" s="490"/>
      <c r="C7" s="490"/>
      <c r="D7" s="490"/>
      <c r="F7" s="25"/>
      <c r="H7" s="490" t="s">
        <v>157</v>
      </c>
      <c r="I7" s="490"/>
      <c r="J7" s="490"/>
      <c r="K7" s="490"/>
      <c r="M7" s="25"/>
      <c r="O7" s="490" t="s">
        <v>93</v>
      </c>
      <c r="P7" s="490"/>
      <c r="Q7" s="490"/>
      <c r="R7" s="490"/>
      <c r="S7" s="490"/>
      <c r="T7" s="490"/>
      <c r="U7" s="39"/>
      <c r="V7" s="56"/>
      <c r="X7" s="490" t="s">
        <v>160</v>
      </c>
      <c r="Y7" s="490"/>
      <c r="Z7" s="490"/>
      <c r="AA7" s="490"/>
      <c r="AB7" s="490"/>
      <c r="AC7" s="490"/>
      <c r="AD7" s="490"/>
      <c r="AE7" s="490"/>
      <c r="AF7" s="490"/>
      <c r="AH7" s="65"/>
      <c r="AJ7" s="490" t="s">
        <v>114</v>
      </c>
      <c r="AK7" s="490"/>
      <c r="AL7" s="490"/>
      <c r="AM7" s="490"/>
      <c r="AN7" s="490"/>
      <c r="AP7" s="65"/>
      <c r="AR7" s="490" t="s">
        <v>161</v>
      </c>
      <c r="AS7" s="490"/>
      <c r="AT7" s="490"/>
      <c r="AU7" s="490"/>
      <c r="AV7" s="490"/>
      <c r="AW7" s="490"/>
      <c r="AX7" s="490"/>
      <c r="AY7" s="490"/>
      <c r="AZ7" s="490"/>
      <c r="BA7" s="490"/>
      <c r="BB7" s="490"/>
      <c r="BC7" s="490"/>
      <c r="BD7" s="490"/>
      <c r="BE7" s="490"/>
      <c r="BF7" s="490"/>
      <c r="BG7" s="490"/>
      <c r="BH7" s="490"/>
      <c r="BI7" s="490"/>
      <c r="BJ7" s="490"/>
      <c r="BK7" s="490"/>
      <c r="BL7" s="490"/>
      <c r="BM7" s="490"/>
      <c r="BN7" s="490"/>
      <c r="BO7" s="490"/>
      <c r="BP7" s="490"/>
      <c r="BQ7" s="490"/>
      <c r="BS7" s="65"/>
      <c r="BU7" s="490" t="s">
        <v>162</v>
      </c>
      <c r="BV7" s="490"/>
      <c r="BW7" s="490"/>
      <c r="BX7" s="490"/>
      <c r="BY7" s="490"/>
      <c r="BZ7" s="490"/>
      <c r="CA7" s="490"/>
      <c r="CB7" s="490"/>
      <c r="CC7" s="490"/>
      <c r="CD7" s="490"/>
      <c r="CE7" s="490"/>
      <c r="CF7" s="490"/>
      <c r="CG7" s="490"/>
      <c r="CH7" s="490"/>
      <c r="CI7" s="490"/>
      <c r="CJ7" s="490"/>
      <c r="CK7" s="490"/>
      <c r="CL7" s="490"/>
      <c r="CM7" s="490"/>
      <c r="CN7" s="490"/>
      <c r="CO7" s="64"/>
      <c r="CP7" s="85"/>
      <c r="CQ7" s="64"/>
      <c r="CR7" s="490" t="s">
        <v>163</v>
      </c>
      <c r="CS7" s="490"/>
      <c r="CT7" s="490"/>
      <c r="CU7" s="490"/>
      <c r="CW7" s="65"/>
      <c r="CY7" s="490" t="s">
        <v>192</v>
      </c>
      <c r="CZ7" s="490"/>
      <c r="DA7" s="490"/>
      <c r="DB7" s="490"/>
      <c r="DC7" s="490"/>
      <c r="DD7" s="490"/>
      <c r="DE7" s="490"/>
      <c r="DF7" s="490"/>
      <c r="DG7" s="64"/>
      <c r="DH7" s="65"/>
      <c r="DK7" s="513" t="s">
        <v>234</v>
      </c>
      <c r="DL7" s="513"/>
      <c r="DN7" s="513" t="s">
        <v>235</v>
      </c>
      <c r="DO7" s="513"/>
      <c r="DQ7" s="513" t="s">
        <v>236</v>
      </c>
      <c r="DR7" s="513"/>
    </row>
    <row r="8" spans="1:126">
      <c r="F8" s="25"/>
      <c r="H8" s="490" t="s">
        <v>158</v>
      </c>
      <c r="I8" s="490"/>
      <c r="J8" s="490"/>
      <c r="K8" s="490"/>
      <c r="M8" s="25"/>
      <c r="V8" s="25"/>
      <c r="AH8" s="65"/>
      <c r="AJ8" s="490"/>
      <c r="AK8" s="490"/>
      <c r="AL8" s="490"/>
      <c r="AM8" s="490"/>
      <c r="AN8" s="490"/>
      <c r="AP8" s="65"/>
      <c r="BN8" s="4"/>
      <c r="BO8" s="4"/>
      <c r="BP8" s="4"/>
      <c r="BQ8" s="4"/>
      <c r="BS8" s="65"/>
      <c r="CP8" s="65"/>
      <c r="CR8" s="507"/>
      <c r="CS8" s="507"/>
      <c r="CT8" s="507"/>
      <c r="CU8" s="507"/>
      <c r="CW8" s="65"/>
      <c r="DH8" s="65"/>
      <c r="DJ8" s="130" t="s">
        <v>237</v>
      </c>
      <c r="DK8" s="130" t="s">
        <v>238</v>
      </c>
      <c r="DL8" s="130" t="s">
        <v>239</v>
      </c>
      <c r="DN8" s="130" t="s">
        <v>238</v>
      </c>
      <c r="DO8" s="130" t="s">
        <v>239</v>
      </c>
      <c r="DQ8" s="130" t="s">
        <v>238</v>
      </c>
      <c r="DR8" s="130" t="s">
        <v>239</v>
      </c>
    </row>
    <row r="9" spans="1:126" ht="30.75" customHeight="1">
      <c r="A9" s="92" t="s">
        <v>68</v>
      </c>
      <c r="B9" s="92" t="s">
        <v>69</v>
      </c>
      <c r="C9" s="92" t="s">
        <v>70</v>
      </c>
      <c r="D9" s="37"/>
      <c r="F9" s="25"/>
      <c r="H9" s="92" t="s">
        <v>68</v>
      </c>
      <c r="I9" s="92" t="s">
        <v>69</v>
      </c>
      <c r="J9" s="92" t="s">
        <v>70</v>
      </c>
      <c r="K9" s="93" t="s">
        <v>71</v>
      </c>
      <c r="M9" s="25"/>
      <c r="O9" s="94" t="s">
        <v>94</v>
      </c>
      <c r="P9" s="94" t="s">
        <v>95</v>
      </c>
      <c r="Q9" s="92" t="s">
        <v>97</v>
      </c>
      <c r="V9" s="25"/>
      <c r="X9" s="96" t="s">
        <v>94</v>
      </c>
      <c r="Y9" s="96" t="s">
        <v>105</v>
      </c>
      <c r="Z9" s="96" t="s">
        <v>106</v>
      </c>
      <c r="AA9" s="96" t="s">
        <v>112</v>
      </c>
      <c r="AB9" s="96" t="s">
        <v>107</v>
      </c>
      <c r="AC9" s="96" t="s">
        <v>108</v>
      </c>
      <c r="AD9" s="96" t="s">
        <v>109</v>
      </c>
      <c r="AE9" s="96" t="s">
        <v>110</v>
      </c>
      <c r="AF9" s="96" t="s">
        <v>111</v>
      </c>
      <c r="AH9" s="65"/>
      <c r="AJ9" s="490"/>
      <c r="AK9" s="490"/>
      <c r="AL9" s="490"/>
      <c r="AM9" s="490"/>
      <c r="AN9" s="490"/>
      <c r="AO9" s="62"/>
      <c r="AP9" s="74"/>
      <c r="AQ9" s="62"/>
      <c r="AR9" s="115" t="s">
        <v>119</v>
      </c>
      <c r="AS9" s="115" t="s">
        <v>120</v>
      </c>
      <c r="AT9" s="115" t="s">
        <v>121</v>
      </c>
      <c r="AU9" s="115">
        <v>1</v>
      </c>
      <c r="AV9" s="115">
        <f t="shared" ref="AV9:BQ9" si="0">+AU9+1</f>
        <v>2</v>
      </c>
      <c r="AW9" s="115">
        <f t="shared" si="0"/>
        <v>3</v>
      </c>
      <c r="AX9" s="115">
        <f t="shared" si="0"/>
        <v>4</v>
      </c>
      <c r="AY9" s="115">
        <f t="shared" si="0"/>
        <v>5</v>
      </c>
      <c r="AZ9" s="115">
        <f t="shared" si="0"/>
        <v>6</v>
      </c>
      <c r="BA9" s="115">
        <f t="shared" si="0"/>
        <v>7</v>
      </c>
      <c r="BB9" s="115">
        <f t="shared" si="0"/>
        <v>8</v>
      </c>
      <c r="BC9" s="115">
        <f t="shared" si="0"/>
        <v>9</v>
      </c>
      <c r="BD9" s="115">
        <f t="shared" si="0"/>
        <v>10</v>
      </c>
      <c r="BE9" s="115">
        <f t="shared" si="0"/>
        <v>11</v>
      </c>
      <c r="BF9" s="115">
        <f t="shared" si="0"/>
        <v>12</v>
      </c>
      <c r="BG9" s="115">
        <f t="shared" si="0"/>
        <v>13</v>
      </c>
      <c r="BH9" s="115">
        <f t="shared" si="0"/>
        <v>14</v>
      </c>
      <c r="BI9" s="115">
        <f t="shared" si="0"/>
        <v>15</v>
      </c>
      <c r="BJ9" s="115">
        <f t="shared" si="0"/>
        <v>16</v>
      </c>
      <c r="BK9" s="115">
        <f t="shared" si="0"/>
        <v>17</v>
      </c>
      <c r="BL9" s="115">
        <f t="shared" si="0"/>
        <v>18</v>
      </c>
      <c r="BM9" s="115">
        <f t="shared" si="0"/>
        <v>19</v>
      </c>
      <c r="BN9" s="115">
        <f t="shared" si="0"/>
        <v>20</v>
      </c>
      <c r="BO9" s="115">
        <f t="shared" si="0"/>
        <v>21</v>
      </c>
      <c r="BP9" s="115">
        <f t="shared" si="0"/>
        <v>22</v>
      </c>
      <c r="BQ9" s="115">
        <f t="shared" si="0"/>
        <v>23</v>
      </c>
      <c r="BS9" s="65"/>
      <c r="BU9" s="116" t="s">
        <v>123</v>
      </c>
      <c r="BV9" s="116" t="s">
        <v>124</v>
      </c>
      <c r="BW9" s="116" t="s">
        <v>125</v>
      </c>
      <c r="BX9" s="116">
        <v>1</v>
      </c>
      <c r="BY9" s="116">
        <f t="shared" ref="BY9:CN9" si="1">BX9+1</f>
        <v>2</v>
      </c>
      <c r="BZ9" s="116">
        <f t="shared" si="1"/>
        <v>3</v>
      </c>
      <c r="CA9" s="116">
        <f t="shared" si="1"/>
        <v>4</v>
      </c>
      <c r="CB9" s="116">
        <f t="shared" si="1"/>
        <v>5</v>
      </c>
      <c r="CC9" s="116">
        <f t="shared" si="1"/>
        <v>6</v>
      </c>
      <c r="CD9" s="116">
        <f t="shared" si="1"/>
        <v>7</v>
      </c>
      <c r="CE9" s="116">
        <f t="shared" si="1"/>
        <v>8</v>
      </c>
      <c r="CF9" s="116">
        <f t="shared" si="1"/>
        <v>9</v>
      </c>
      <c r="CG9" s="116">
        <f t="shared" si="1"/>
        <v>10</v>
      </c>
      <c r="CH9" s="116">
        <f t="shared" si="1"/>
        <v>11</v>
      </c>
      <c r="CI9" s="116">
        <f t="shared" si="1"/>
        <v>12</v>
      </c>
      <c r="CJ9" s="116">
        <f t="shared" si="1"/>
        <v>13</v>
      </c>
      <c r="CK9" s="116">
        <f t="shared" si="1"/>
        <v>14</v>
      </c>
      <c r="CL9" s="116">
        <f t="shared" si="1"/>
        <v>15</v>
      </c>
      <c r="CM9" s="116">
        <f t="shared" si="1"/>
        <v>16</v>
      </c>
      <c r="CN9" s="116">
        <f t="shared" si="1"/>
        <v>17</v>
      </c>
      <c r="CP9" s="65"/>
      <c r="CR9" s="94" t="s">
        <v>136</v>
      </c>
      <c r="CS9" s="94" t="s">
        <v>137</v>
      </c>
      <c r="CT9" s="94" t="s">
        <v>138</v>
      </c>
      <c r="CU9" s="94" t="s">
        <v>139</v>
      </c>
      <c r="CW9" s="65"/>
      <c r="CY9" s="94" t="s">
        <v>168</v>
      </c>
      <c r="CZ9" s="94" t="s">
        <v>169</v>
      </c>
      <c r="DA9" s="94" t="s">
        <v>170</v>
      </c>
      <c r="DB9" s="19"/>
      <c r="DD9" s="117" t="s">
        <v>171</v>
      </c>
      <c r="DE9" s="117" t="s">
        <v>172</v>
      </c>
      <c r="DF9" s="117" t="s">
        <v>173</v>
      </c>
      <c r="DH9" s="65"/>
      <c r="DJ9" s="128" t="s">
        <v>240</v>
      </c>
      <c r="DK9" s="131">
        <f>SUMIFS($DM$22:$DM$245,$DL$22:$DL$245,DK$8,$DK$22:$DK$245,$DJ9)</f>
        <v>3012.4823999999994</v>
      </c>
      <c r="DL9" s="131">
        <f>SUMIFS($DM$22:$DM$245,$DL$22:$DL$245,DL$8,$DK$22:$DK$245,$DJ9)</f>
        <v>4320.2654999999995</v>
      </c>
      <c r="DN9" s="132">
        <f>COUNTIFS($DL$22:$DL$245,DN$8,$DK$22:$DK$245,$DJ9)</f>
        <v>24</v>
      </c>
      <c r="DO9" s="132">
        <f>COUNTIFS($DL$22:$DL$245,DO$8,$DK$22:$DK$245,$DJ9)</f>
        <v>33</v>
      </c>
      <c r="DQ9" s="133">
        <f>AVERAGEIFS($DM$22:$DM$245,$DL$22:$DL$245,DQ$8,$DK$22:$DK$245,$DJ9)</f>
        <v>125.52009999999997</v>
      </c>
      <c r="DR9" s="133">
        <f>AVERAGEIFS($DM$22:$DM$245,$DL$22:$DL$245,DR$8,$DK$22:$DK$245,$DJ9)</f>
        <v>130.91713636363636</v>
      </c>
    </row>
    <row r="10" spans="1:126">
      <c r="A10" t="s">
        <v>83</v>
      </c>
      <c r="B10" s="36">
        <v>25440</v>
      </c>
      <c r="C10" s="36">
        <v>26500</v>
      </c>
      <c r="D10" s="38" t="str">
        <f>IF(C10&gt;=B10," ","attention")</f>
        <v xml:space="preserve"> </v>
      </c>
      <c r="F10" s="25"/>
      <c r="H10" t="s">
        <v>80</v>
      </c>
      <c r="I10" s="36">
        <v>1242054</v>
      </c>
      <c r="J10" s="36">
        <v>1044454.5</v>
      </c>
      <c r="K10" s="35">
        <f>IF(J10&gt;=I10,(J10-I10)*J$20,0)</f>
        <v>0</v>
      </c>
      <c r="M10" s="25"/>
      <c r="O10" s="41">
        <v>42742</v>
      </c>
      <c r="P10" s="43">
        <v>2</v>
      </c>
      <c r="Q10" s="42" t="str">
        <f>IF(P10&lt;3,T$13,IF(P10&lt;=9,T$14,T$15))</f>
        <v>TROP FROID</v>
      </c>
      <c r="R10" s="40"/>
      <c r="S10" s="40"/>
      <c r="T10" s="40"/>
      <c r="U10" s="40"/>
      <c r="V10" s="57"/>
      <c r="X10" s="44">
        <v>42949</v>
      </c>
      <c r="Y10" s="45">
        <v>335</v>
      </c>
      <c r="Z10" s="59">
        <v>97.92</v>
      </c>
      <c r="AA10" s="46" t="s">
        <v>109</v>
      </c>
      <c r="AB10" s="47" t="str">
        <f>IF(AB$9=$AA10,$Z10,"")</f>
        <v/>
      </c>
      <c r="AC10" s="47" t="str">
        <f t="shared" ref="AC10:AF22" si="2">IF(AC$9=$AA10,$Z10,"")</f>
        <v/>
      </c>
      <c r="AD10" s="47">
        <f t="shared" si="2"/>
        <v>97.92</v>
      </c>
      <c r="AE10" s="47" t="str">
        <f t="shared" si="2"/>
        <v/>
      </c>
      <c r="AF10" s="47" t="str">
        <f t="shared" si="2"/>
        <v/>
      </c>
      <c r="AH10" s="65"/>
      <c r="AJ10" s="508" t="s">
        <v>115</v>
      </c>
      <c r="AK10" s="508" t="s">
        <v>116</v>
      </c>
      <c r="AL10" s="508" t="s">
        <v>113</v>
      </c>
      <c r="AM10" s="508" t="s">
        <v>117</v>
      </c>
      <c r="AN10" s="508" t="s">
        <v>71</v>
      </c>
      <c r="AP10" s="65"/>
      <c r="AR10" s="71">
        <v>201701</v>
      </c>
      <c r="AS10" s="71">
        <v>2</v>
      </c>
      <c r="AT10" s="72">
        <v>2400</v>
      </c>
      <c r="AU10" s="69" t="str">
        <f>IF(AND(AU$9&gt;=$AS10,AU$9&lt;$AS10+3),$AT10/3,"")</f>
        <v/>
      </c>
      <c r="AV10" s="69">
        <f t="shared" ref="AV10:BQ20" si="3">IF(AND(AV$9&gt;=$AS10,AV$9&lt;$AS10+3),$AT10/3,"")</f>
        <v>800</v>
      </c>
      <c r="AW10" s="69">
        <f t="shared" si="3"/>
        <v>800</v>
      </c>
      <c r="AX10" s="69">
        <f t="shared" si="3"/>
        <v>800</v>
      </c>
      <c r="AY10" s="69" t="str">
        <f t="shared" si="3"/>
        <v/>
      </c>
      <c r="AZ10" s="69" t="str">
        <f t="shared" si="3"/>
        <v/>
      </c>
      <c r="BA10" s="69" t="str">
        <f t="shared" si="3"/>
        <v/>
      </c>
      <c r="BB10" s="69" t="str">
        <f t="shared" si="3"/>
        <v/>
      </c>
      <c r="BC10" s="69" t="str">
        <f t="shared" si="3"/>
        <v/>
      </c>
      <c r="BD10" s="69" t="str">
        <f t="shared" si="3"/>
        <v/>
      </c>
      <c r="BE10" s="69" t="str">
        <f t="shared" si="3"/>
        <v/>
      </c>
      <c r="BF10" s="69" t="str">
        <f t="shared" si="3"/>
        <v/>
      </c>
      <c r="BG10" s="69" t="str">
        <f t="shared" si="3"/>
        <v/>
      </c>
      <c r="BH10" s="69" t="str">
        <f t="shared" si="3"/>
        <v/>
      </c>
      <c r="BI10" s="69" t="str">
        <f t="shared" si="3"/>
        <v/>
      </c>
      <c r="BJ10" s="69" t="str">
        <f t="shared" si="3"/>
        <v/>
      </c>
      <c r="BK10" s="69" t="str">
        <f t="shared" si="3"/>
        <v/>
      </c>
      <c r="BL10" s="69" t="str">
        <f t="shared" si="3"/>
        <v/>
      </c>
      <c r="BM10" s="69" t="str">
        <f t="shared" si="3"/>
        <v/>
      </c>
      <c r="BN10" s="69" t="str">
        <f t="shared" si="3"/>
        <v/>
      </c>
      <c r="BO10" s="69" t="str">
        <f t="shared" si="3"/>
        <v/>
      </c>
      <c r="BP10" s="69" t="str">
        <f t="shared" si="3"/>
        <v/>
      </c>
      <c r="BQ10" s="69" t="str">
        <f t="shared" si="3"/>
        <v/>
      </c>
      <c r="BS10" s="65"/>
      <c r="BU10" s="78" t="s">
        <v>126</v>
      </c>
      <c r="BV10" s="79">
        <v>2</v>
      </c>
      <c r="BW10" s="79">
        <v>5</v>
      </c>
      <c r="BX10" s="80" t="str">
        <f>IF(AND(BX$9&gt;=$BV10,BX$9&lt;=$BW10),"==="," ")</f>
        <v xml:space="preserve"> </v>
      </c>
      <c r="BY10" s="80" t="str">
        <f t="shared" ref="BY10:CN18" si="4">IF(AND(BY$9&gt;=$BV10,BY$9&lt;=$BW10),"==="," ")</f>
        <v>===</v>
      </c>
      <c r="BZ10" s="80" t="str">
        <f t="shared" si="4"/>
        <v>===</v>
      </c>
      <c r="CA10" s="80" t="str">
        <f t="shared" si="4"/>
        <v>===</v>
      </c>
      <c r="CB10" s="80" t="str">
        <f t="shared" si="4"/>
        <v>===</v>
      </c>
      <c r="CC10" s="80" t="str">
        <f t="shared" si="4"/>
        <v xml:space="preserve"> </v>
      </c>
      <c r="CD10" s="80" t="str">
        <f t="shared" si="4"/>
        <v xml:space="preserve"> </v>
      </c>
      <c r="CE10" s="80" t="str">
        <f t="shared" si="4"/>
        <v xml:space="preserve"> </v>
      </c>
      <c r="CF10" s="80" t="str">
        <f t="shared" si="4"/>
        <v xml:space="preserve"> </v>
      </c>
      <c r="CG10" s="80" t="str">
        <f t="shared" si="4"/>
        <v xml:space="preserve"> </v>
      </c>
      <c r="CH10" s="80" t="str">
        <f t="shared" si="4"/>
        <v xml:space="preserve"> </v>
      </c>
      <c r="CI10" s="80" t="str">
        <f t="shared" si="4"/>
        <v xml:space="preserve"> </v>
      </c>
      <c r="CJ10" s="80" t="str">
        <f t="shared" si="4"/>
        <v xml:space="preserve"> </v>
      </c>
      <c r="CK10" s="80" t="str">
        <f t="shared" si="4"/>
        <v xml:space="preserve"> </v>
      </c>
      <c r="CL10" s="80" t="str">
        <f t="shared" si="4"/>
        <v xml:space="preserve"> </v>
      </c>
      <c r="CM10" s="80" t="str">
        <f t="shared" si="4"/>
        <v xml:space="preserve"> </v>
      </c>
      <c r="CN10" s="80" t="str">
        <f t="shared" si="4"/>
        <v xml:space="preserve"> </v>
      </c>
      <c r="CP10" s="65"/>
      <c r="CR10" s="34" t="s">
        <v>140</v>
      </c>
      <c r="CS10" s="34" t="s">
        <v>141</v>
      </c>
      <c r="CT10" s="34"/>
      <c r="CU10" s="84" t="str">
        <f>IF(OR(ISBLANK($CS10),ISBLANK($CT10)),"ok"," ")</f>
        <v>ok</v>
      </c>
      <c r="CW10" s="65"/>
      <c r="CY10" s="15" t="s">
        <v>174</v>
      </c>
      <c r="CZ10" s="15" t="s">
        <v>175</v>
      </c>
      <c r="DA10" s="119">
        <v>862.25</v>
      </c>
      <c r="DC10" s="118" t="s">
        <v>174</v>
      </c>
      <c r="DD10" s="120">
        <f>+SUMIF($CY$10:$CY$26,DC10,$DA$10:$DA$26)</f>
        <v>7350.9500000000007</v>
      </c>
      <c r="DE10" s="114">
        <f>+COUNTIF($CY$10:$CY$26,DC10)</f>
        <v>11</v>
      </c>
      <c r="DF10" s="120">
        <f>+AVERAGEIF($CY$10:$CY$26,DC10,$DA$10:$DA$26)</f>
        <v>668.26818181818192</v>
      </c>
      <c r="DH10" s="65"/>
      <c r="DJ10" s="128" t="s">
        <v>241</v>
      </c>
      <c r="DK10" s="131">
        <f t="shared" ref="DK10:DL19" si="5">SUMIFS($DM$22:$DM$245,$DL$22:$DL$245,DK$8,$DK$22:$DK$245,$DJ10)</f>
        <v>180.51</v>
      </c>
      <c r="DL10" s="131">
        <f t="shared" si="5"/>
        <v>566.65520000000004</v>
      </c>
      <c r="DN10" s="132">
        <f t="shared" ref="DN10:DO19" si="6">COUNTIFS($DL$22:$DL$245,DN$8,$DK$22:$DK$245,$DJ10)</f>
        <v>2</v>
      </c>
      <c r="DO10" s="132">
        <f t="shared" si="6"/>
        <v>4</v>
      </c>
      <c r="DQ10" s="133">
        <f t="shared" ref="DQ10:DR19" si="7">AVERAGEIFS($DM$22:$DM$245,$DL$22:$DL$245,DQ$8,$DK$22:$DK$245,$DJ10)</f>
        <v>90.254999999999995</v>
      </c>
      <c r="DR10" s="133">
        <f t="shared" si="7"/>
        <v>141.66380000000001</v>
      </c>
    </row>
    <row r="11" spans="1:126">
      <c r="A11" s="15" t="s">
        <v>84</v>
      </c>
      <c r="B11" s="36">
        <v>34560</v>
      </c>
      <c r="C11" s="36">
        <v>26288</v>
      </c>
      <c r="D11" s="38" t="str">
        <f t="shared" ref="D11:D18" si="8">IF(C11&gt;=B11," ","attention")</f>
        <v>attention</v>
      </c>
      <c r="F11" s="25"/>
      <c r="H11" s="15" t="s">
        <v>72</v>
      </c>
      <c r="I11" s="36">
        <v>1495065</v>
      </c>
      <c r="J11" s="36">
        <v>1554867.6</v>
      </c>
      <c r="K11" s="35">
        <f t="shared" ref="K11:K18" si="9">IF(J11&gt;=I11,(J11-I11)*J$20,0)</f>
        <v>1794.0780000000027</v>
      </c>
      <c r="M11" s="25"/>
      <c r="O11" s="41">
        <v>42743</v>
      </c>
      <c r="P11" s="43">
        <v>11</v>
      </c>
      <c r="Q11" s="42" t="str">
        <f t="shared" ref="Q11:Q23" si="10">IF(P11&lt;3,T$13,IF(P11&lt;=9,T$14,T$15))</f>
        <v>TROP CHAUD</v>
      </c>
      <c r="V11" s="25"/>
      <c r="X11" s="48">
        <f>X10</f>
        <v>42949</v>
      </c>
      <c r="Y11" s="49">
        <v>456</v>
      </c>
      <c r="Z11" s="60">
        <v>458</v>
      </c>
      <c r="AA11" s="50" t="s">
        <v>107</v>
      </c>
      <c r="AB11" s="47">
        <f t="shared" ref="AB11:AB22" si="11">IF(AB$9=$AA11,$Z11,"")</f>
        <v>458</v>
      </c>
      <c r="AC11" s="47" t="str">
        <f t="shared" si="2"/>
        <v/>
      </c>
      <c r="AD11" s="47" t="str">
        <f t="shared" si="2"/>
        <v/>
      </c>
      <c r="AE11" s="47" t="str">
        <f t="shared" si="2"/>
        <v/>
      </c>
      <c r="AF11" s="47" t="str">
        <f t="shared" si="2"/>
        <v/>
      </c>
      <c r="AH11" s="65"/>
      <c r="AJ11" s="508"/>
      <c r="AK11" s="508"/>
      <c r="AL11" s="508"/>
      <c r="AM11" s="508"/>
      <c r="AN11" s="508"/>
      <c r="AP11" s="65"/>
      <c r="AR11" s="66">
        <v>201702</v>
      </c>
      <c r="AS11" s="66">
        <v>3</v>
      </c>
      <c r="AT11" s="68">
        <v>900</v>
      </c>
      <c r="AU11" s="69" t="str">
        <f t="shared" ref="AU11:AU20" si="12">IF(AND(AU$9&gt;=$AS11,AU$9&lt;$AS11+3),$AT11/3,"")</f>
        <v/>
      </c>
      <c r="AV11" s="69" t="str">
        <f t="shared" si="3"/>
        <v/>
      </c>
      <c r="AW11" s="69">
        <f t="shared" si="3"/>
        <v>300</v>
      </c>
      <c r="AX11" s="69">
        <f t="shared" si="3"/>
        <v>300</v>
      </c>
      <c r="AY11" s="69">
        <f t="shared" si="3"/>
        <v>300</v>
      </c>
      <c r="AZ11" s="69" t="str">
        <f t="shared" si="3"/>
        <v/>
      </c>
      <c r="BA11" s="69" t="str">
        <f t="shared" si="3"/>
        <v/>
      </c>
      <c r="BB11" s="69" t="str">
        <f t="shared" si="3"/>
        <v/>
      </c>
      <c r="BC11" s="69" t="str">
        <f t="shared" si="3"/>
        <v/>
      </c>
      <c r="BD11" s="69" t="str">
        <f t="shared" si="3"/>
        <v/>
      </c>
      <c r="BE11" s="69" t="str">
        <f t="shared" si="3"/>
        <v/>
      </c>
      <c r="BF11" s="69" t="str">
        <f t="shared" si="3"/>
        <v/>
      </c>
      <c r="BG11" s="69" t="str">
        <f t="shared" si="3"/>
        <v/>
      </c>
      <c r="BH11" s="69" t="str">
        <f t="shared" si="3"/>
        <v/>
      </c>
      <c r="BI11" s="69" t="str">
        <f t="shared" si="3"/>
        <v/>
      </c>
      <c r="BJ11" s="69" t="str">
        <f t="shared" si="3"/>
        <v/>
      </c>
      <c r="BK11" s="69" t="str">
        <f t="shared" si="3"/>
        <v/>
      </c>
      <c r="BL11" s="69" t="str">
        <f t="shared" si="3"/>
        <v/>
      </c>
      <c r="BM11" s="69" t="str">
        <f t="shared" si="3"/>
        <v/>
      </c>
      <c r="BN11" s="69" t="str">
        <f t="shared" si="3"/>
        <v/>
      </c>
      <c r="BO11" s="69" t="str">
        <f t="shared" si="3"/>
        <v/>
      </c>
      <c r="BP11" s="69" t="str">
        <f t="shared" si="3"/>
        <v/>
      </c>
      <c r="BQ11" s="69" t="str">
        <f t="shared" si="3"/>
        <v/>
      </c>
      <c r="BS11" s="65"/>
      <c r="BU11" s="76" t="s">
        <v>127</v>
      </c>
      <c r="BV11" s="77">
        <v>9</v>
      </c>
      <c r="BW11" s="77">
        <v>15</v>
      </c>
      <c r="BX11" s="80" t="str">
        <f t="shared" ref="BX11:BX18" si="13">IF(AND(BX$9&gt;=$BV11,BX$9&lt;=$BW11),"==="," ")</f>
        <v xml:space="preserve"> </v>
      </c>
      <c r="BY11" s="80" t="str">
        <f t="shared" si="4"/>
        <v xml:space="preserve"> </v>
      </c>
      <c r="BZ11" s="80" t="str">
        <f t="shared" si="4"/>
        <v xml:space="preserve"> </v>
      </c>
      <c r="CA11" s="80" t="str">
        <f t="shared" si="4"/>
        <v xml:space="preserve"> </v>
      </c>
      <c r="CB11" s="80" t="str">
        <f t="shared" si="4"/>
        <v xml:space="preserve"> </v>
      </c>
      <c r="CC11" s="80" t="str">
        <f t="shared" si="4"/>
        <v xml:space="preserve"> </v>
      </c>
      <c r="CD11" s="80" t="str">
        <f t="shared" si="4"/>
        <v xml:space="preserve"> </v>
      </c>
      <c r="CE11" s="80" t="str">
        <f t="shared" si="4"/>
        <v xml:space="preserve"> </v>
      </c>
      <c r="CF11" s="80" t="str">
        <f t="shared" si="4"/>
        <v>===</v>
      </c>
      <c r="CG11" s="80" t="str">
        <f t="shared" si="4"/>
        <v>===</v>
      </c>
      <c r="CH11" s="80" t="str">
        <f t="shared" si="4"/>
        <v>===</v>
      </c>
      <c r="CI11" s="80" t="str">
        <f t="shared" si="4"/>
        <v>===</v>
      </c>
      <c r="CJ11" s="80" t="str">
        <f t="shared" si="4"/>
        <v>===</v>
      </c>
      <c r="CK11" s="80" t="str">
        <f t="shared" si="4"/>
        <v>===</v>
      </c>
      <c r="CL11" s="80" t="str">
        <f t="shared" si="4"/>
        <v>===</v>
      </c>
      <c r="CM11" s="80" t="str">
        <f t="shared" si="4"/>
        <v xml:space="preserve"> </v>
      </c>
      <c r="CN11" s="80" t="str">
        <f t="shared" si="4"/>
        <v xml:space="preserve"> </v>
      </c>
      <c r="CP11" s="65"/>
      <c r="CR11" s="34" t="s">
        <v>142</v>
      </c>
      <c r="CS11" s="34" t="s">
        <v>141</v>
      </c>
      <c r="CT11" s="34" t="s">
        <v>141</v>
      </c>
      <c r="CU11" s="84" t="str">
        <f t="shared" ref="CU11:CU18" si="14">IF(OR(ISBLANK($CS11),ISBLANK($CT11)),"ok"," ")</f>
        <v xml:space="preserve"> </v>
      </c>
      <c r="CW11" s="65"/>
      <c r="CY11" s="15" t="s">
        <v>176</v>
      </c>
      <c r="CZ11" s="15" t="s">
        <v>177</v>
      </c>
      <c r="DA11" s="119">
        <v>194.85</v>
      </c>
      <c r="DC11" s="118" t="s">
        <v>176</v>
      </c>
      <c r="DD11" s="120">
        <f>+SUMIF($CY$10:$CY$26,DC11,$DA$10:$DA$26)</f>
        <v>3991.96</v>
      </c>
      <c r="DE11" s="114">
        <f>+COUNTIF($CY$10:$CY$26,DC11)</f>
        <v>6</v>
      </c>
      <c r="DF11" s="120">
        <f>+AVERAGEIF($CY$10:$CY$26,DC11,$DA$10:$DA$26)</f>
        <v>665.32666666666671</v>
      </c>
      <c r="DH11" s="65"/>
      <c r="DJ11" s="128" t="s">
        <v>242</v>
      </c>
      <c r="DK11" s="131">
        <f t="shared" si="5"/>
        <v>1041.7139</v>
      </c>
      <c r="DL11" s="131">
        <f t="shared" si="5"/>
        <v>1939.6918999999998</v>
      </c>
      <c r="DN11" s="132">
        <f t="shared" si="6"/>
        <v>9</v>
      </c>
      <c r="DO11" s="132">
        <f t="shared" si="6"/>
        <v>12</v>
      </c>
      <c r="DQ11" s="133">
        <f t="shared" si="7"/>
        <v>115.74598888888889</v>
      </c>
      <c r="DR11" s="133">
        <f t="shared" si="7"/>
        <v>161.64099166666665</v>
      </c>
    </row>
    <row r="12" spans="1:126">
      <c r="A12" s="15" t="s">
        <v>85</v>
      </c>
      <c r="B12" s="36">
        <v>30100</v>
      </c>
      <c r="C12" s="36">
        <v>29256</v>
      </c>
      <c r="D12" s="38" t="str">
        <f t="shared" si="8"/>
        <v>attention</v>
      </c>
      <c r="F12" s="25"/>
      <c r="H12" s="15" t="s">
        <v>73</v>
      </c>
      <c r="I12" s="36">
        <v>1568250</v>
      </c>
      <c r="J12" s="36">
        <v>1663599.6</v>
      </c>
      <c r="K12" s="35">
        <f t="shared" si="9"/>
        <v>2860.4880000000026</v>
      </c>
      <c r="M12" s="25"/>
      <c r="O12" s="41">
        <v>42744</v>
      </c>
      <c r="P12" s="43">
        <v>6</v>
      </c>
      <c r="Q12" s="42" t="str">
        <f t="shared" si="10"/>
        <v>OK</v>
      </c>
      <c r="S12" s="95" t="s">
        <v>96</v>
      </c>
      <c r="T12" s="95" t="s">
        <v>97</v>
      </c>
      <c r="U12" s="55"/>
      <c r="V12" s="58"/>
      <c r="X12" s="48">
        <f>X11</f>
        <v>42949</v>
      </c>
      <c r="Y12" s="49">
        <v>171</v>
      </c>
      <c r="Z12" s="60">
        <v>113.36</v>
      </c>
      <c r="AA12" s="50" t="s">
        <v>107</v>
      </c>
      <c r="AB12" s="47">
        <f t="shared" si="11"/>
        <v>113.36</v>
      </c>
      <c r="AC12" s="47" t="str">
        <f t="shared" si="2"/>
        <v/>
      </c>
      <c r="AD12" s="47" t="str">
        <f t="shared" si="2"/>
        <v/>
      </c>
      <c r="AE12" s="47" t="str">
        <f t="shared" si="2"/>
        <v/>
      </c>
      <c r="AF12" s="47" t="str">
        <f t="shared" si="2"/>
        <v/>
      </c>
      <c r="AH12" s="65"/>
      <c r="AJ12" s="508"/>
      <c r="AK12" s="508"/>
      <c r="AL12" s="508"/>
      <c r="AM12" s="508"/>
      <c r="AN12" s="508"/>
      <c r="AO12" s="16"/>
      <c r="AP12" s="75"/>
      <c r="AQ12" s="16"/>
      <c r="AR12" s="66">
        <v>201703</v>
      </c>
      <c r="AS12" s="66">
        <v>5</v>
      </c>
      <c r="AT12" s="68">
        <v>600</v>
      </c>
      <c r="AU12" s="69" t="str">
        <f t="shared" si="12"/>
        <v/>
      </c>
      <c r="AV12" s="69" t="str">
        <f t="shared" si="3"/>
        <v/>
      </c>
      <c r="AW12" s="69" t="str">
        <f t="shared" si="3"/>
        <v/>
      </c>
      <c r="AX12" s="69" t="str">
        <f t="shared" si="3"/>
        <v/>
      </c>
      <c r="AY12" s="69">
        <f t="shared" si="3"/>
        <v>200</v>
      </c>
      <c r="AZ12" s="69">
        <f t="shared" si="3"/>
        <v>200</v>
      </c>
      <c r="BA12" s="69">
        <f t="shared" si="3"/>
        <v>200</v>
      </c>
      <c r="BB12" s="69" t="str">
        <f t="shared" si="3"/>
        <v/>
      </c>
      <c r="BC12" s="69" t="str">
        <f t="shared" si="3"/>
        <v/>
      </c>
      <c r="BD12" s="69" t="str">
        <f t="shared" si="3"/>
        <v/>
      </c>
      <c r="BE12" s="69" t="str">
        <f t="shared" si="3"/>
        <v/>
      </c>
      <c r="BF12" s="69" t="str">
        <f t="shared" si="3"/>
        <v/>
      </c>
      <c r="BG12" s="69" t="str">
        <f t="shared" si="3"/>
        <v/>
      </c>
      <c r="BH12" s="69" t="str">
        <f t="shared" si="3"/>
        <v/>
      </c>
      <c r="BI12" s="69" t="str">
        <f t="shared" si="3"/>
        <v/>
      </c>
      <c r="BJ12" s="69" t="str">
        <f t="shared" si="3"/>
        <v/>
      </c>
      <c r="BK12" s="69" t="str">
        <f t="shared" si="3"/>
        <v/>
      </c>
      <c r="BL12" s="69" t="str">
        <f t="shared" si="3"/>
        <v/>
      </c>
      <c r="BM12" s="69" t="str">
        <f t="shared" si="3"/>
        <v/>
      </c>
      <c r="BN12" s="69" t="str">
        <f t="shared" si="3"/>
        <v/>
      </c>
      <c r="BO12" s="69" t="str">
        <f t="shared" si="3"/>
        <v/>
      </c>
      <c r="BP12" s="69" t="str">
        <f t="shared" si="3"/>
        <v/>
      </c>
      <c r="BQ12" s="69" t="str">
        <f t="shared" si="3"/>
        <v/>
      </c>
      <c r="BS12" s="65"/>
      <c r="BU12" s="76" t="s">
        <v>128</v>
      </c>
      <c r="BV12" s="77">
        <v>3</v>
      </c>
      <c r="BW12" s="77">
        <v>8</v>
      </c>
      <c r="BX12" s="80" t="str">
        <f t="shared" si="13"/>
        <v xml:space="preserve"> </v>
      </c>
      <c r="BY12" s="80" t="str">
        <f t="shared" si="4"/>
        <v xml:space="preserve"> </v>
      </c>
      <c r="BZ12" s="80" t="str">
        <f t="shared" si="4"/>
        <v>===</v>
      </c>
      <c r="CA12" s="80" t="str">
        <f t="shared" si="4"/>
        <v>===</v>
      </c>
      <c r="CB12" s="80" t="str">
        <f t="shared" si="4"/>
        <v>===</v>
      </c>
      <c r="CC12" s="80" t="str">
        <f t="shared" si="4"/>
        <v>===</v>
      </c>
      <c r="CD12" s="80" t="str">
        <f t="shared" si="4"/>
        <v>===</v>
      </c>
      <c r="CE12" s="80" t="str">
        <f t="shared" si="4"/>
        <v>===</v>
      </c>
      <c r="CF12" s="80" t="str">
        <f t="shared" si="4"/>
        <v xml:space="preserve"> </v>
      </c>
      <c r="CG12" s="80" t="str">
        <f t="shared" si="4"/>
        <v xml:space="preserve"> </v>
      </c>
      <c r="CH12" s="80" t="str">
        <f t="shared" si="4"/>
        <v xml:space="preserve"> </v>
      </c>
      <c r="CI12" s="80" t="str">
        <f t="shared" si="4"/>
        <v xml:space="preserve"> </v>
      </c>
      <c r="CJ12" s="80" t="str">
        <f t="shared" si="4"/>
        <v xml:space="preserve"> </v>
      </c>
      <c r="CK12" s="80" t="str">
        <f t="shared" si="4"/>
        <v xml:space="preserve"> </v>
      </c>
      <c r="CL12" s="80" t="str">
        <f t="shared" si="4"/>
        <v xml:space="preserve"> </v>
      </c>
      <c r="CM12" s="80" t="str">
        <f t="shared" si="4"/>
        <v xml:space="preserve"> </v>
      </c>
      <c r="CN12" s="80" t="str">
        <f t="shared" si="4"/>
        <v xml:space="preserve"> </v>
      </c>
      <c r="CP12" s="65"/>
      <c r="CR12" s="34" t="s">
        <v>143</v>
      </c>
      <c r="CS12" s="34"/>
      <c r="CT12" s="34" t="s">
        <v>141</v>
      </c>
      <c r="CU12" s="84" t="str">
        <f t="shared" si="14"/>
        <v>ok</v>
      </c>
      <c r="CW12" s="65"/>
      <c r="CY12" s="15" t="s">
        <v>174</v>
      </c>
      <c r="CZ12" s="15" t="s">
        <v>178</v>
      </c>
      <c r="DA12" s="119">
        <v>224.39</v>
      </c>
      <c r="DH12" s="65"/>
      <c r="DJ12" s="128" t="s">
        <v>243</v>
      </c>
      <c r="DK12" s="131">
        <f t="shared" si="5"/>
        <v>2290.8368</v>
      </c>
      <c r="DL12" s="131">
        <f t="shared" si="5"/>
        <v>462.72860000000003</v>
      </c>
      <c r="DN12" s="132">
        <f t="shared" si="6"/>
        <v>21</v>
      </c>
      <c r="DO12" s="132">
        <f t="shared" si="6"/>
        <v>2</v>
      </c>
      <c r="DQ12" s="133">
        <f t="shared" si="7"/>
        <v>109.08746666666667</v>
      </c>
      <c r="DR12" s="133">
        <f t="shared" si="7"/>
        <v>231.36430000000001</v>
      </c>
    </row>
    <row r="13" spans="1:126">
      <c r="A13" s="15" t="s">
        <v>86</v>
      </c>
      <c r="B13" s="36">
        <v>44520</v>
      </c>
      <c r="C13" s="36">
        <v>53848</v>
      </c>
      <c r="D13" s="38" t="str">
        <f t="shared" si="8"/>
        <v xml:space="preserve"> </v>
      </c>
      <c r="F13" s="25"/>
      <c r="H13" s="15" t="s">
        <v>74</v>
      </c>
      <c r="I13" s="36">
        <v>2049180</v>
      </c>
      <c r="J13" s="36">
        <v>1965540</v>
      </c>
      <c r="K13" s="35">
        <f t="shared" si="9"/>
        <v>0</v>
      </c>
      <c r="M13" s="25"/>
      <c r="O13" s="41">
        <v>42745</v>
      </c>
      <c r="P13" s="43">
        <v>10</v>
      </c>
      <c r="Q13" s="42" t="str">
        <f t="shared" si="10"/>
        <v>TROP CHAUD</v>
      </c>
      <c r="S13" s="15" t="s">
        <v>98</v>
      </c>
      <c r="T13" s="15" t="s">
        <v>99</v>
      </c>
      <c r="V13" s="25"/>
      <c r="X13" s="48">
        <v>42950</v>
      </c>
      <c r="Y13" s="49">
        <v>252</v>
      </c>
      <c r="Z13" s="60">
        <v>273.92</v>
      </c>
      <c r="AA13" s="50" t="s">
        <v>111</v>
      </c>
      <c r="AB13" s="47" t="str">
        <f t="shared" si="11"/>
        <v/>
      </c>
      <c r="AC13" s="47" t="str">
        <f t="shared" si="2"/>
        <v/>
      </c>
      <c r="AD13" s="47" t="str">
        <f t="shared" si="2"/>
        <v/>
      </c>
      <c r="AE13" s="47" t="str">
        <f t="shared" si="2"/>
        <v/>
      </c>
      <c r="AF13" s="47">
        <f t="shared" si="2"/>
        <v>273.92</v>
      </c>
      <c r="AH13" s="65"/>
      <c r="AJ13" s="508"/>
      <c r="AK13" s="508"/>
      <c r="AL13" s="508"/>
      <c r="AM13" s="508"/>
      <c r="AN13" s="508"/>
      <c r="AP13" s="65"/>
      <c r="AR13" s="66">
        <v>201704</v>
      </c>
      <c r="AS13" s="66">
        <v>5</v>
      </c>
      <c r="AT13" s="68">
        <v>900</v>
      </c>
      <c r="AU13" s="69" t="str">
        <f t="shared" si="12"/>
        <v/>
      </c>
      <c r="AV13" s="69" t="str">
        <f t="shared" si="3"/>
        <v/>
      </c>
      <c r="AW13" s="69" t="str">
        <f t="shared" si="3"/>
        <v/>
      </c>
      <c r="AX13" s="69" t="str">
        <f t="shared" si="3"/>
        <v/>
      </c>
      <c r="AY13" s="69">
        <f t="shared" si="3"/>
        <v>300</v>
      </c>
      <c r="AZ13" s="69">
        <f t="shared" si="3"/>
        <v>300</v>
      </c>
      <c r="BA13" s="69">
        <f t="shared" si="3"/>
        <v>300</v>
      </c>
      <c r="BB13" s="69" t="str">
        <f t="shared" si="3"/>
        <v/>
      </c>
      <c r="BC13" s="69" t="str">
        <f t="shared" si="3"/>
        <v/>
      </c>
      <c r="BD13" s="69" t="str">
        <f t="shared" si="3"/>
        <v/>
      </c>
      <c r="BE13" s="69" t="str">
        <f t="shared" si="3"/>
        <v/>
      </c>
      <c r="BF13" s="69" t="str">
        <f t="shared" si="3"/>
        <v/>
      </c>
      <c r="BG13" s="69" t="str">
        <f t="shared" si="3"/>
        <v/>
      </c>
      <c r="BH13" s="69" t="str">
        <f t="shared" si="3"/>
        <v/>
      </c>
      <c r="BI13" s="69" t="str">
        <f t="shared" si="3"/>
        <v/>
      </c>
      <c r="BJ13" s="69" t="str">
        <f t="shared" si="3"/>
        <v/>
      </c>
      <c r="BK13" s="69" t="str">
        <f t="shared" si="3"/>
        <v/>
      </c>
      <c r="BL13" s="69" t="str">
        <f t="shared" si="3"/>
        <v/>
      </c>
      <c r="BM13" s="69" t="str">
        <f t="shared" si="3"/>
        <v/>
      </c>
      <c r="BN13" s="69" t="str">
        <f t="shared" si="3"/>
        <v/>
      </c>
      <c r="BO13" s="69" t="str">
        <f t="shared" si="3"/>
        <v/>
      </c>
      <c r="BP13" s="69" t="str">
        <f t="shared" si="3"/>
        <v/>
      </c>
      <c r="BQ13" s="69" t="str">
        <f t="shared" si="3"/>
        <v/>
      </c>
      <c r="BS13" s="65"/>
      <c r="BU13" s="76" t="s">
        <v>129</v>
      </c>
      <c r="BV13" s="77">
        <v>2</v>
      </c>
      <c r="BW13" s="77">
        <v>10</v>
      </c>
      <c r="BX13" s="80" t="str">
        <f t="shared" si="13"/>
        <v xml:space="preserve"> </v>
      </c>
      <c r="BY13" s="80" t="str">
        <f t="shared" si="4"/>
        <v>===</v>
      </c>
      <c r="BZ13" s="80" t="str">
        <f t="shared" si="4"/>
        <v>===</v>
      </c>
      <c r="CA13" s="80" t="str">
        <f t="shared" si="4"/>
        <v>===</v>
      </c>
      <c r="CB13" s="80" t="str">
        <f t="shared" si="4"/>
        <v>===</v>
      </c>
      <c r="CC13" s="80" t="str">
        <f t="shared" si="4"/>
        <v>===</v>
      </c>
      <c r="CD13" s="80" t="str">
        <f t="shared" si="4"/>
        <v>===</v>
      </c>
      <c r="CE13" s="80" t="str">
        <f t="shared" si="4"/>
        <v>===</v>
      </c>
      <c r="CF13" s="80" t="str">
        <f t="shared" si="4"/>
        <v>===</v>
      </c>
      <c r="CG13" s="80" t="str">
        <f t="shared" si="4"/>
        <v>===</v>
      </c>
      <c r="CH13" s="80" t="str">
        <f t="shared" si="4"/>
        <v xml:space="preserve"> </v>
      </c>
      <c r="CI13" s="80" t="str">
        <f t="shared" si="4"/>
        <v xml:space="preserve"> </v>
      </c>
      <c r="CJ13" s="80" t="str">
        <f t="shared" si="4"/>
        <v xml:space="preserve"> </v>
      </c>
      <c r="CK13" s="80" t="str">
        <f t="shared" si="4"/>
        <v xml:space="preserve"> </v>
      </c>
      <c r="CL13" s="80" t="str">
        <f t="shared" si="4"/>
        <v xml:space="preserve"> </v>
      </c>
      <c r="CM13" s="80" t="str">
        <f t="shared" si="4"/>
        <v xml:space="preserve"> </v>
      </c>
      <c r="CN13" s="80" t="str">
        <f t="shared" si="4"/>
        <v xml:space="preserve"> </v>
      </c>
      <c r="CP13" s="65"/>
      <c r="CR13" s="34" t="s">
        <v>144</v>
      </c>
      <c r="CS13" s="34" t="s">
        <v>141</v>
      </c>
      <c r="CT13" s="34" t="s">
        <v>141</v>
      </c>
      <c r="CU13" s="84" t="str">
        <f t="shared" si="14"/>
        <v xml:space="preserve"> </v>
      </c>
      <c r="CW13" s="65"/>
      <c r="CY13" s="15" t="s">
        <v>174</v>
      </c>
      <c r="CZ13" s="15" t="s">
        <v>179</v>
      </c>
      <c r="DA13" s="119">
        <v>366.79</v>
      </c>
      <c r="DH13" s="65"/>
      <c r="DJ13" s="128" t="s">
        <v>244</v>
      </c>
      <c r="DK13" s="131">
        <f t="shared" si="5"/>
        <v>286.4545</v>
      </c>
      <c r="DL13" s="131">
        <f t="shared" si="5"/>
        <v>788.87630000000001</v>
      </c>
      <c r="DN13" s="132">
        <f t="shared" si="6"/>
        <v>2</v>
      </c>
      <c r="DO13" s="132">
        <f t="shared" si="6"/>
        <v>6</v>
      </c>
      <c r="DQ13" s="133">
        <f t="shared" si="7"/>
        <v>143.22725</v>
      </c>
      <c r="DR13" s="133">
        <f t="shared" si="7"/>
        <v>131.47938333333335</v>
      </c>
    </row>
    <row r="14" spans="1:126">
      <c r="A14" s="15" t="s">
        <v>87</v>
      </c>
      <c r="B14" s="36">
        <v>40280</v>
      </c>
      <c r="C14" s="36">
        <v>40916</v>
      </c>
      <c r="D14" s="38" t="str">
        <f t="shared" si="8"/>
        <v xml:space="preserve"> </v>
      </c>
      <c r="F14" s="25"/>
      <c r="H14" s="15" t="s">
        <v>75</v>
      </c>
      <c r="I14" s="36">
        <v>2085772.5</v>
      </c>
      <c r="J14" s="36">
        <v>2259952.7999999998</v>
      </c>
      <c r="K14" s="35">
        <f t="shared" si="9"/>
        <v>5225.4089999999942</v>
      </c>
      <c r="M14" s="25"/>
      <c r="O14" s="41">
        <v>42746</v>
      </c>
      <c r="P14" s="43">
        <v>7</v>
      </c>
      <c r="Q14" s="42" t="str">
        <f t="shared" si="10"/>
        <v>OK</v>
      </c>
      <c r="S14" s="15" t="s">
        <v>100</v>
      </c>
      <c r="T14" s="15" t="s">
        <v>101</v>
      </c>
      <c r="V14" s="25"/>
      <c r="X14" s="48">
        <v>42950</v>
      </c>
      <c r="Y14" s="49">
        <v>381</v>
      </c>
      <c r="Z14" s="60">
        <v>431.2</v>
      </c>
      <c r="AA14" s="50" t="s">
        <v>111</v>
      </c>
      <c r="AB14" s="47" t="str">
        <f t="shared" si="11"/>
        <v/>
      </c>
      <c r="AC14" s="47" t="str">
        <f t="shared" si="2"/>
        <v/>
      </c>
      <c r="AD14" s="47" t="str">
        <f t="shared" si="2"/>
        <v/>
      </c>
      <c r="AE14" s="47" t="str">
        <f t="shared" si="2"/>
        <v/>
      </c>
      <c r="AF14" s="47">
        <f t="shared" si="2"/>
        <v>431.2</v>
      </c>
      <c r="AH14" s="65"/>
      <c r="AJ14" s="43">
        <v>102</v>
      </c>
      <c r="AK14" s="43">
        <v>7</v>
      </c>
      <c r="AL14" s="43">
        <v>12</v>
      </c>
      <c r="AM14" s="43">
        <v>2</v>
      </c>
      <c r="AN14" s="63" t="str">
        <f>IF(AND(AK14&gt;=AM$26,AL14&gt;=AM$27,AM14=AM$28),AM$25,"")</f>
        <v/>
      </c>
      <c r="AP14" s="65"/>
      <c r="AR14" s="66">
        <v>201705</v>
      </c>
      <c r="AS14" s="66">
        <v>9</v>
      </c>
      <c r="AT14" s="68">
        <v>1200</v>
      </c>
      <c r="AU14" s="69" t="str">
        <f t="shared" si="12"/>
        <v/>
      </c>
      <c r="AV14" s="69" t="str">
        <f t="shared" si="3"/>
        <v/>
      </c>
      <c r="AW14" s="69" t="str">
        <f t="shared" si="3"/>
        <v/>
      </c>
      <c r="AX14" s="69" t="str">
        <f t="shared" si="3"/>
        <v/>
      </c>
      <c r="AY14" s="69" t="str">
        <f t="shared" si="3"/>
        <v/>
      </c>
      <c r="AZ14" s="69" t="str">
        <f t="shared" si="3"/>
        <v/>
      </c>
      <c r="BA14" s="69" t="str">
        <f t="shared" si="3"/>
        <v/>
      </c>
      <c r="BB14" s="69" t="str">
        <f t="shared" si="3"/>
        <v/>
      </c>
      <c r="BC14" s="69">
        <f t="shared" si="3"/>
        <v>400</v>
      </c>
      <c r="BD14" s="69">
        <f t="shared" si="3"/>
        <v>400</v>
      </c>
      <c r="BE14" s="69">
        <f t="shared" si="3"/>
        <v>400</v>
      </c>
      <c r="BF14" s="69" t="str">
        <f t="shared" si="3"/>
        <v/>
      </c>
      <c r="BG14" s="69" t="str">
        <f t="shared" si="3"/>
        <v/>
      </c>
      <c r="BH14" s="69" t="str">
        <f t="shared" si="3"/>
        <v/>
      </c>
      <c r="BI14" s="69" t="str">
        <f t="shared" si="3"/>
        <v/>
      </c>
      <c r="BJ14" s="69" t="str">
        <f t="shared" si="3"/>
        <v/>
      </c>
      <c r="BK14" s="69" t="str">
        <f t="shared" si="3"/>
        <v/>
      </c>
      <c r="BL14" s="69" t="str">
        <f t="shared" si="3"/>
        <v/>
      </c>
      <c r="BM14" s="69" t="str">
        <f t="shared" si="3"/>
        <v/>
      </c>
      <c r="BN14" s="69" t="str">
        <f t="shared" si="3"/>
        <v/>
      </c>
      <c r="BO14" s="69" t="str">
        <f t="shared" si="3"/>
        <v/>
      </c>
      <c r="BP14" s="69" t="str">
        <f t="shared" si="3"/>
        <v/>
      </c>
      <c r="BQ14" s="69" t="str">
        <f t="shared" si="3"/>
        <v/>
      </c>
      <c r="BS14" s="65"/>
      <c r="BU14" s="76" t="s">
        <v>130</v>
      </c>
      <c r="BV14" s="77">
        <v>5</v>
      </c>
      <c r="BW14" s="77">
        <v>13</v>
      </c>
      <c r="BX14" s="80" t="str">
        <f t="shared" si="13"/>
        <v xml:space="preserve"> </v>
      </c>
      <c r="BY14" s="80" t="str">
        <f t="shared" si="4"/>
        <v xml:space="preserve"> </v>
      </c>
      <c r="BZ14" s="80" t="str">
        <f t="shared" si="4"/>
        <v xml:space="preserve"> </v>
      </c>
      <c r="CA14" s="80" t="str">
        <f t="shared" si="4"/>
        <v xml:space="preserve"> </v>
      </c>
      <c r="CB14" s="80" t="str">
        <f t="shared" si="4"/>
        <v>===</v>
      </c>
      <c r="CC14" s="80" t="str">
        <f t="shared" si="4"/>
        <v>===</v>
      </c>
      <c r="CD14" s="80" t="str">
        <f t="shared" si="4"/>
        <v>===</v>
      </c>
      <c r="CE14" s="80" t="str">
        <f t="shared" si="4"/>
        <v>===</v>
      </c>
      <c r="CF14" s="80" t="str">
        <f t="shared" si="4"/>
        <v>===</v>
      </c>
      <c r="CG14" s="80" t="str">
        <f t="shared" si="4"/>
        <v>===</v>
      </c>
      <c r="CH14" s="80" t="str">
        <f t="shared" si="4"/>
        <v>===</v>
      </c>
      <c r="CI14" s="80" t="str">
        <f t="shared" si="4"/>
        <v>===</v>
      </c>
      <c r="CJ14" s="80" t="str">
        <f t="shared" si="4"/>
        <v>===</v>
      </c>
      <c r="CK14" s="80" t="str">
        <f t="shared" si="4"/>
        <v xml:space="preserve"> </v>
      </c>
      <c r="CL14" s="80" t="str">
        <f t="shared" si="4"/>
        <v xml:space="preserve"> </v>
      </c>
      <c r="CM14" s="80" t="str">
        <f t="shared" si="4"/>
        <v xml:space="preserve"> </v>
      </c>
      <c r="CN14" s="80" t="str">
        <f t="shared" si="4"/>
        <v xml:space="preserve"> </v>
      </c>
      <c r="CP14" s="65"/>
      <c r="CR14" s="34" t="s">
        <v>145</v>
      </c>
      <c r="CS14" s="34" t="s">
        <v>141</v>
      </c>
      <c r="CT14" s="34"/>
      <c r="CU14" s="84" t="str">
        <f t="shared" si="14"/>
        <v>ok</v>
      </c>
      <c r="CW14" s="65"/>
      <c r="CY14" s="15" t="s">
        <v>176</v>
      </c>
      <c r="CZ14" s="15" t="s">
        <v>180</v>
      </c>
      <c r="DA14" s="119">
        <v>587.72</v>
      </c>
      <c r="DH14" s="65"/>
      <c r="DJ14" s="128" t="s">
        <v>245</v>
      </c>
      <c r="DK14" s="131">
        <f t="shared" si="5"/>
        <v>837.20829999999989</v>
      </c>
      <c r="DL14" s="131">
        <f t="shared" si="5"/>
        <v>592.51119999999992</v>
      </c>
      <c r="DN14" s="132">
        <f t="shared" si="6"/>
        <v>6</v>
      </c>
      <c r="DO14" s="132">
        <f t="shared" si="6"/>
        <v>5</v>
      </c>
      <c r="DQ14" s="133">
        <f t="shared" si="7"/>
        <v>139.53471666666664</v>
      </c>
      <c r="DR14" s="133">
        <f t="shared" si="7"/>
        <v>118.50223999999999</v>
      </c>
    </row>
    <row r="15" spans="1:126">
      <c r="A15" s="15" t="s">
        <v>88</v>
      </c>
      <c r="B15" s="36">
        <v>65720</v>
      </c>
      <c r="C15" s="36">
        <v>64448</v>
      </c>
      <c r="D15" s="38" t="str">
        <f t="shared" si="8"/>
        <v>attention</v>
      </c>
      <c r="F15" s="25"/>
      <c r="H15" s="15" t="s">
        <v>76</v>
      </c>
      <c r="I15" s="36">
        <v>3208639.5</v>
      </c>
      <c r="J15" s="36">
        <v>3114753.6</v>
      </c>
      <c r="K15" s="35">
        <f t="shared" si="9"/>
        <v>0</v>
      </c>
      <c r="M15" s="25"/>
      <c r="O15" s="41">
        <v>42747</v>
      </c>
      <c r="P15" s="43">
        <v>13</v>
      </c>
      <c r="Q15" s="42" t="str">
        <f t="shared" si="10"/>
        <v>TROP CHAUD</v>
      </c>
      <c r="S15" s="15" t="s">
        <v>102</v>
      </c>
      <c r="T15" s="15" t="s">
        <v>103</v>
      </c>
      <c r="V15" s="25"/>
      <c r="X15" s="48">
        <v>42950</v>
      </c>
      <c r="Y15" s="49">
        <v>178</v>
      </c>
      <c r="Z15" s="60">
        <v>184.8</v>
      </c>
      <c r="AA15" s="50" t="s">
        <v>111</v>
      </c>
      <c r="AB15" s="47" t="str">
        <f t="shared" si="11"/>
        <v/>
      </c>
      <c r="AC15" s="47" t="str">
        <f t="shared" si="2"/>
        <v/>
      </c>
      <c r="AD15" s="47" t="str">
        <f t="shared" si="2"/>
        <v/>
      </c>
      <c r="AE15" s="47" t="str">
        <f t="shared" si="2"/>
        <v/>
      </c>
      <c r="AF15" s="47">
        <f t="shared" si="2"/>
        <v>184.8</v>
      </c>
      <c r="AH15" s="65"/>
      <c r="AJ15" s="43">
        <v>103</v>
      </c>
      <c r="AK15" s="43">
        <v>14</v>
      </c>
      <c r="AL15" s="43">
        <v>6</v>
      </c>
      <c r="AM15" s="43">
        <v>1</v>
      </c>
      <c r="AN15" s="63" t="str">
        <f t="shared" ref="AN15:AN23" si="15">IF(AND(AK15&gt;=AM$26,AL15&gt;=AM$27,AM15=AM$28),AM$25,"")</f>
        <v/>
      </c>
      <c r="AP15" s="65"/>
      <c r="AR15" s="66">
        <v>201706</v>
      </c>
      <c r="AS15" s="66">
        <v>13</v>
      </c>
      <c r="AT15" s="68">
        <v>4200</v>
      </c>
      <c r="AU15" s="69" t="str">
        <f t="shared" si="12"/>
        <v/>
      </c>
      <c r="AV15" s="69" t="str">
        <f t="shared" si="3"/>
        <v/>
      </c>
      <c r="AW15" s="69" t="str">
        <f t="shared" si="3"/>
        <v/>
      </c>
      <c r="AX15" s="69" t="str">
        <f t="shared" si="3"/>
        <v/>
      </c>
      <c r="AY15" s="69" t="str">
        <f t="shared" si="3"/>
        <v/>
      </c>
      <c r="AZ15" s="69" t="str">
        <f t="shared" si="3"/>
        <v/>
      </c>
      <c r="BA15" s="69" t="str">
        <f t="shared" si="3"/>
        <v/>
      </c>
      <c r="BB15" s="69" t="str">
        <f t="shared" si="3"/>
        <v/>
      </c>
      <c r="BC15" s="69" t="str">
        <f t="shared" si="3"/>
        <v/>
      </c>
      <c r="BD15" s="69" t="str">
        <f t="shared" si="3"/>
        <v/>
      </c>
      <c r="BE15" s="69" t="str">
        <f t="shared" si="3"/>
        <v/>
      </c>
      <c r="BF15" s="69" t="str">
        <f t="shared" si="3"/>
        <v/>
      </c>
      <c r="BG15" s="69">
        <f t="shared" si="3"/>
        <v>1400</v>
      </c>
      <c r="BH15" s="69">
        <f t="shared" si="3"/>
        <v>1400</v>
      </c>
      <c r="BI15" s="69">
        <f t="shared" si="3"/>
        <v>1400</v>
      </c>
      <c r="BJ15" s="69" t="str">
        <f t="shared" si="3"/>
        <v/>
      </c>
      <c r="BK15" s="69" t="str">
        <f t="shared" si="3"/>
        <v/>
      </c>
      <c r="BL15" s="69" t="str">
        <f t="shared" si="3"/>
        <v/>
      </c>
      <c r="BM15" s="69" t="str">
        <f t="shared" si="3"/>
        <v/>
      </c>
      <c r="BN15" s="69" t="str">
        <f t="shared" si="3"/>
        <v/>
      </c>
      <c r="BO15" s="69" t="str">
        <f t="shared" si="3"/>
        <v/>
      </c>
      <c r="BP15" s="69" t="str">
        <f t="shared" si="3"/>
        <v/>
      </c>
      <c r="BQ15" s="69" t="str">
        <f t="shared" si="3"/>
        <v/>
      </c>
      <c r="BS15" s="65"/>
      <c r="BU15" s="76" t="s">
        <v>131</v>
      </c>
      <c r="BV15" s="77">
        <v>9</v>
      </c>
      <c r="BW15" s="77">
        <v>17</v>
      </c>
      <c r="BX15" s="80" t="str">
        <f t="shared" si="13"/>
        <v xml:space="preserve"> </v>
      </c>
      <c r="BY15" s="80" t="str">
        <f t="shared" si="4"/>
        <v xml:space="preserve"> </v>
      </c>
      <c r="BZ15" s="80" t="str">
        <f t="shared" si="4"/>
        <v xml:space="preserve"> </v>
      </c>
      <c r="CA15" s="80" t="str">
        <f t="shared" si="4"/>
        <v xml:space="preserve"> </v>
      </c>
      <c r="CB15" s="80" t="str">
        <f t="shared" si="4"/>
        <v xml:space="preserve"> </v>
      </c>
      <c r="CC15" s="80" t="str">
        <f t="shared" si="4"/>
        <v xml:space="preserve"> </v>
      </c>
      <c r="CD15" s="80" t="str">
        <f t="shared" si="4"/>
        <v xml:space="preserve"> </v>
      </c>
      <c r="CE15" s="80" t="str">
        <f t="shared" si="4"/>
        <v xml:space="preserve"> </v>
      </c>
      <c r="CF15" s="80" t="str">
        <f t="shared" si="4"/>
        <v>===</v>
      </c>
      <c r="CG15" s="80" t="str">
        <f t="shared" si="4"/>
        <v>===</v>
      </c>
      <c r="CH15" s="80" t="str">
        <f t="shared" si="4"/>
        <v>===</v>
      </c>
      <c r="CI15" s="80" t="str">
        <f t="shared" si="4"/>
        <v>===</v>
      </c>
      <c r="CJ15" s="80" t="str">
        <f t="shared" si="4"/>
        <v>===</v>
      </c>
      <c r="CK15" s="80" t="str">
        <f t="shared" si="4"/>
        <v>===</v>
      </c>
      <c r="CL15" s="80" t="str">
        <f t="shared" si="4"/>
        <v>===</v>
      </c>
      <c r="CM15" s="80" t="str">
        <f t="shared" si="4"/>
        <v>===</v>
      </c>
      <c r="CN15" s="80" t="str">
        <f t="shared" si="4"/>
        <v>===</v>
      </c>
      <c r="CP15" s="65"/>
      <c r="CR15" s="34" t="s">
        <v>146</v>
      </c>
      <c r="CS15" s="34" t="s">
        <v>141</v>
      </c>
      <c r="CT15" s="34" t="s">
        <v>141</v>
      </c>
      <c r="CU15" s="84" t="str">
        <f t="shared" si="14"/>
        <v xml:space="preserve"> </v>
      </c>
      <c r="CW15" s="65"/>
      <c r="CY15" s="15" t="s">
        <v>174</v>
      </c>
      <c r="CZ15" s="15" t="s">
        <v>181</v>
      </c>
      <c r="DA15" s="119">
        <v>611.07000000000005</v>
      </c>
      <c r="DH15" s="65"/>
      <c r="DJ15" s="128" t="s">
        <v>246</v>
      </c>
      <c r="DK15" s="131">
        <f t="shared" si="5"/>
        <v>287.10599999999999</v>
      </c>
      <c r="DL15" s="131">
        <f t="shared" si="5"/>
        <v>1486.2520999999997</v>
      </c>
      <c r="DN15" s="132">
        <f t="shared" si="6"/>
        <v>2</v>
      </c>
      <c r="DO15" s="132">
        <f t="shared" si="6"/>
        <v>17</v>
      </c>
      <c r="DQ15" s="133">
        <f t="shared" si="7"/>
        <v>143.553</v>
      </c>
      <c r="DR15" s="133">
        <f t="shared" si="7"/>
        <v>87.426594117647042</v>
      </c>
    </row>
    <row r="16" spans="1:126">
      <c r="A16" s="15" t="s">
        <v>89</v>
      </c>
      <c r="B16" s="36">
        <v>40280</v>
      </c>
      <c r="C16" s="36">
        <v>31376</v>
      </c>
      <c r="D16" s="38" t="str">
        <f t="shared" si="8"/>
        <v>attention</v>
      </c>
      <c r="F16" s="25"/>
      <c r="H16" s="15" t="s">
        <v>77</v>
      </c>
      <c r="I16" s="36">
        <v>2145366</v>
      </c>
      <c r="J16" s="36">
        <v>1733020.8</v>
      </c>
      <c r="K16" s="35">
        <f t="shared" si="9"/>
        <v>0</v>
      </c>
      <c r="M16" s="25"/>
      <c r="O16" s="41">
        <v>42748</v>
      </c>
      <c r="P16" s="43">
        <v>1</v>
      </c>
      <c r="Q16" s="42" t="str">
        <f t="shared" si="10"/>
        <v>TROP FROID</v>
      </c>
      <c r="V16" s="25"/>
      <c r="X16" s="48">
        <v>42951</v>
      </c>
      <c r="Y16" s="49">
        <v>433</v>
      </c>
      <c r="Z16" s="60">
        <v>218.4</v>
      </c>
      <c r="AA16" s="50" t="s">
        <v>107</v>
      </c>
      <c r="AB16" s="47">
        <f t="shared" si="11"/>
        <v>218.4</v>
      </c>
      <c r="AC16" s="47" t="str">
        <f t="shared" si="2"/>
        <v/>
      </c>
      <c r="AD16" s="47" t="str">
        <f t="shared" si="2"/>
        <v/>
      </c>
      <c r="AE16" s="47" t="str">
        <f t="shared" si="2"/>
        <v/>
      </c>
      <c r="AF16" s="47" t="str">
        <f t="shared" si="2"/>
        <v/>
      </c>
      <c r="AH16" s="65"/>
      <c r="AJ16" s="43">
        <v>104</v>
      </c>
      <c r="AK16" s="43">
        <v>8</v>
      </c>
      <c r="AL16" s="43">
        <v>15</v>
      </c>
      <c r="AM16" s="43">
        <v>0</v>
      </c>
      <c r="AN16" s="63">
        <f t="shared" si="15"/>
        <v>500</v>
      </c>
      <c r="AP16" s="65"/>
      <c r="AR16" s="66">
        <v>201707</v>
      </c>
      <c r="AS16" s="66">
        <v>15</v>
      </c>
      <c r="AT16" s="68">
        <v>5400</v>
      </c>
      <c r="AU16" s="69" t="str">
        <f t="shared" si="12"/>
        <v/>
      </c>
      <c r="AV16" s="69" t="str">
        <f t="shared" si="3"/>
        <v/>
      </c>
      <c r="AW16" s="69" t="str">
        <f t="shared" si="3"/>
        <v/>
      </c>
      <c r="AX16" s="69" t="str">
        <f t="shared" si="3"/>
        <v/>
      </c>
      <c r="AY16" s="69" t="str">
        <f t="shared" si="3"/>
        <v/>
      </c>
      <c r="AZ16" s="69" t="str">
        <f t="shared" si="3"/>
        <v/>
      </c>
      <c r="BA16" s="69" t="str">
        <f t="shared" si="3"/>
        <v/>
      </c>
      <c r="BB16" s="69" t="str">
        <f t="shared" si="3"/>
        <v/>
      </c>
      <c r="BC16" s="69" t="str">
        <f t="shared" si="3"/>
        <v/>
      </c>
      <c r="BD16" s="69" t="str">
        <f t="shared" si="3"/>
        <v/>
      </c>
      <c r="BE16" s="69" t="str">
        <f t="shared" si="3"/>
        <v/>
      </c>
      <c r="BF16" s="69" t="str">
        <f t="shared" si="3"/>
        <v/>
      </c>
      <c r="BG16" s="69" t="str">
        <f t="shared" si="3"/>
        <v/>
      </c>
      <c r="BH16" s="69" t="str">
        <f t="shared" si="3"/>
        <v/>
      </c>
      <c r="BI16" s="69">
        <f t="shared" si="3"/>
        <v>1800</v>
      </c>
      <c r="BJ16" s="69">
        <f t="shared" si="3"/>
        <v>1800</v>
      </c>
      <c r="BK16" s="69">
        <f t="shared" si="3"/>
        <v>1800</v>
      </c>
      <c r="BL16" s="69" t="str">
        <f t="shared" si="3"/>
        <v/>
      </c>
      <c r="BM16" s="69" t="str">
        <f t="shared" si="3"/>
        <v/>
      </c>
      <c r="BN16" s="69" t="str">
        <f t="shared" si="3"/>
        <v/>
      </c>
      <c r="BO16" s="69" t="str">
        <f t="shared" si="3"/>
        <v/>
      </c>
      <c r="BP16" s="69" t="str">
        <f t="shared" si="3"/>
        <v/>
      </c>
      <c r="BQ16" s="69" t="str">
        <f t="shared" si="3"/>
        <v/>
      </c>
      <c r="BS16" s="65"/>
      <c r="BU16" s="76" t="s">
        <v>132</v>
      </c>
      <c r="BV16" s="77">
        <v>12</v>
      </c>
      <c r="BW16" s="77">
        <v>16</v>
      </c>
      <c r="BX16" s="80" t="str">
        <f t="shared" si="13"/>
        <v xml:space="preserve"> </v>
      </c>
      <c r="BY16" s="80" t="str">
        <f t="shared" si="4"/>
        <v xml:space="preserve"> </v>
      </c>
      <c r="BZ16" s="80" t="str">
        <f t="shared" si="4"/>
        <v xml:space="preserve"> </v>
      </c>
      <c r="CA16" s="80" t="str">
        <f t="shared" si="4"/>
        <v xml:space="preserve"> </v>
      </c>
      <c r="CB16" s="80" t="str">
        <f t="shared" si="4"/>
        <v xml:space="preserve"> </v>
      </c>
      <c r="CC16" s="80" t="str">
        <f t="shared" si="4"/>
        <v xml:space="preserve"> </v>
      </c>
      <c r="CD16" s="80" t="str">
        <f t="shared" si="4"/>
        <v xml:space="preserve"> </v>
      </c>
      <c r="CE16" s="80" t="str">
        <f t="shared" si="4"/>
        <v xml:space="preserve"> </v>
      </c>
      <c r="CF16" s="80" t="str">
        <f t="shared" si="4"/>
        <v xml:space="preserve"> </v>
      </c>
      <c r="CG16" s="80" t="str">
        <f t="shared" si="4"/>
        <v xml:space="preserve"> </v>
      </c>
      <c r="CH16" s="80" t="str">
        <f t="shared" si="4"/>
        <v xml:space="preserve"> </v>
      </c>
      <c r="CI16" s="80" t="str">
        <f t="shared" si="4"/>
        <v>===</v>
      </c>
      <c r="CJ16" s="80" t="str">
        <f t="shared" si="4"/>
        <v>===</v>
      </c>
      <c r="CK16" s="80" t="str">
        <f t="shared" si="4"/>
        <v>===</v>
      </c>
      <c r="CL16" s="80" t="str">
        <f t="shared" si="4"/>
        <v>===</v>
      </c>
      <c r="CM16" s="80" t="str">
        <f t="shared" si="4"/>
        <v>===</v>
      </c>
      <c r="CN16" s="80" t="str">
        <f t="shared" si="4"/>
        <v xml:space="preserve"> </v>
      </c>
      <c r="CP16" s="65"/>
      <c r="CR16" s="34" t="s">
        <v>147</v>
      </c>
      <c r="CS16" s="34" t="s">
        <v>141</v>
      </c>
      <c r="CT16" s="34"/>
      <c r="CU16" s="84" t="str">
        <f t="shared" si="14"/>
        <v>ok</v>
      </c>
      <c r="CW16" s="65"/>
      <c r="CY16" s="15" t="s">
        <v>176</v>
      </c>
      <c r="CZ16" s="15" t="s">
        <v>182</v>
      </c>
      <c r="DA16" s="119">
        <v>461.68</v>
      </c>
      <c r="DH16" s="65"/>
      <c r="DJ16" s="128" t="s">
        <v>247</v>
      </c>
      <c r="DK16" s="131">
        <f t="shared" si="5"/>
        <v>536.0598</v>
      </c>
      <c r="DL16" s="131">
        <f t="shared" si="5"/>
        <v>2739.5117</v>
      </c>
      <c r="DN16" s="132">
        <f t="shared" si="6"/>
        <v>4</v>
      </c>
      <c r="DO16" s="132">
        <f t="shared" si="6"/>
        <v>24</v>
      </c>
      <c r="DQ16" s="133">
        <f t="shared" si="7"/>
        <v>134.01495</v>
      </c>
      <c r="DR16" s="133">
        <f t="shared" si="7"/>
        <v>114.14632083333333</v>
      </c>
    </row>
    <row r="17" spans="1:122">
      <c r="A17" s="15" t="s">
        <v>90</v>
      </c>
      <c r="B17" s="36">
        <v>25440</v>
      </c>
      <c r="C17" s="36">
        <v>26076</v>
      </c>
      <c r="D17" s="38" t="str">
        <f t="shared" si="8"/>
        <v xml:space="preserve"> </v>
      </c>
      <c r="F17" s="25"/>
      <c r="H17" s="15" t="s">
        <v>78</v>
      </c>
      <c r="I17" s="36">
        <v>1380060</v>
      </c>
      <c r="J17" s="36">
        <v>1427421.15</v>
      </c>
      <c r="K17" s="35">
        <f t="shared" si="9"/>
        <v>1420.8344999999972</v>
      </c>
      <c r="M17" s="25"/>
      <c r="O17" s="41">
        <v>42749</v>
      </c>
      <c r="P17" s="43">
        <v>7</v>
      </c>
      <c r="Q17" s="42" t="str">
        <f t="shared" si="10"/>
        <v>OK</v>
      </c>
      <c r="V17" s="25"/>
      <c r="X17" s="48">
        <v>42951</v>
      </c>
      <c r="Y17" s="49">
        <v>528</v>
      </c>
      <c r="Z17" s="60">
        <v>59.45</v>
      </c>
      <c r="AA17" s="50" t="s">
        <v>109</v>
      </c>
      <c r="AB17" s="47" t="str">
        <f t="shared" si="11"/>
        <v/>
      </c>
      <c r="AC17" s="47" t="str">
        <f t="shared" si="2"/>
        <v/>
      </c>
      <c r="AD17" s="47">
        <f t="shared" si="2"/>
        <v>59.45</v>
      </c>
      <c r="AE17" s="47" t="str">
        <f t="shared" si="2"/>
        <v/>
      </c>
      <c r="AF17" s="47" t="str">
        <f t="shared" si="2"/>
        <v/>
      </c>
      <c r="AH17" s="65"/>
      <c r="AJ17" s="43">
        <v>105</v>
      </c>
      <c r="AK17" s="43">
        <v>15</v>
      </c>
      <c r="AL17" s="43">
        <v>18</v>
      </c>
      <c r="AM17" s="43">
        <v>0</v>
      </c>
      <c r="AN17" s="63">
        <f t="shared" si="15"/>
        <v>500</v>
      </c>
      <c r="AP17" s="65"/>
      <c r="AR17" s="66">
        <v>201708</v>
      </c>
      <c r="AS17" s="66">
        <v>17</v>
      </c>
      <c r="AT17" s="68">
        <v>1500</v>
      </c>
      <c r="AU17" s="69" t="str">
        <f t="shared" si="12"/>
        <v/>
      </c>
      <c r="AV17" s="69" t="str">
        <f t="shared" si="3"/>
        <v/>
      </c>
      <c r="AW17" s="69" t="str">
        <f t="shared" si="3"/>
        <v/>
      </c>
      <c r="AX17" s="69" t="str">
        <f t="shared" si="3"/>
        <v/>
      </c>
      <c r="AY17" s="69" t="str">
        <f t="shared" si="3"/>
        <v/>
      </c>
      <c r="AZ17" s="69" t="str">
        <f t="shared" si="3"/>
        <v/>
      </c>
      <c r="BA17" s="69" t="str">
        <f t="shared" si="3"/>
        <v/>
      </c>
      <c r="BB17" s="69" t="str">
        <f t="shared" si="3"/>
        <v/>
      </c>
      <c r="BC17" s="69" t="str">
        <f t="shared" si="3"/>
        <v/>
      </c>
      <c r="BD17" s="69" t="str">
        <f t="shared" si="3"/>
        <v/>
      </c>
      <c r="BE17" s="69" t="str">
        <f t="shared" si="3"/>
        <v/>
      </c>
      <c r="BF17" s="69" t="str">
        <f t="shared" si="3"/>
        <v/>
      </c>
      <c r="BG17" s="69" t="str">
        <f t="shared" si="3"/>
        <v/>
      </c>
      <c r="BH17" s="69" t="str">
        <f t="shared" si="3"/>
        <v/>
      </c>
      <c r="BI17" s="69" t="str">
        <f t="shared" si="3"/>
        <v/>
      </c>
      <c r="BJ17" s="69" t="str">
        <f t="shared" si="3"/>
        <v/>
      </c>
      <c r="BK17" s="69">
        <f t="shared" si="3"/>
        <v>500</v>
      </c>
      <c r="BL17" s="69">
        <f t="shared" si="3"/>
        <v>500</v>
      </c>
      <c r="BM17" s="69">
        <f t="shared" si="3"/>
        <v>500</v>
      </c>
      <c r="BN17" s="69" t="str">
        <f t="shared" si="3"/>
        <v/>
      </c>
      <c r="BO17" s="69" t="str">
        <f t="shared" si="3"/>
        <v/>
      </c>
      <c r="BP17" s="69" t="str">
        <f t="shared" si="3"/>
        <v/>
      </c>
      <c r="BQ17" s="69" t="str">
        <f t="shared" si="3"/>
        <v/>
      </c>
      <c r="BS17" s="65"/>
      <c r="BU17" s="76" t="s">
        <v>133</v>
      </c>
      <c r="BV17" s="77">
        <v>5</v>
      </c>
      <c r="BW17" s="77">
        <v>9</v>
      </c>
      <c r="BX17" s="80" t="str">
        <f t="shared" si="13"/>
        <v xml:space="preserve"> </v>
      </c>
      <c r="BY17" s="80" t="str">
        <f t="shared" si="4"/>
        <v xml:space="preserve"> </v>
      </c>
      <c r="BZ17" s="80" t="str">
        <f t="shared" si="4"/>
        <v xml:space="preserve"> </v>
      </c>
      <c r="CA17" s="80" t="str">
        <f t="shared" si="4"/>
        <v xml:space="preserve"> </v>
      </c>
      <c r="CB17" s="80" t="str">
        <f t="shared" si="4"/>
        <v>===</v>
      </c>
      <c r="CC17" s="80" t="str">
        <f t="shared" si="4"/>
        <v>===</v>
      </c>
      <c r="CD17" s="80" t="str">
        <f t="shared" si="4"/>
        <v>===</v>
      </c>
      <c r="CE17" s="80" t="str">
        <f t="shared" si="4"/>
        <v>===</v>
      </c>
      <c r="CF17" s="80" t="str">
        <f t="shared" si="4"/>
        <v>===</v>
      </c>
      <c r="CG17" s="80" t="str">
        <f t="shared" si="4"/>
        <v xml:space="preserve"> </v>
      </c>
      <c r="CH17" s="80" t="str">
        <f t="shared" si="4"/>
        <v xml:space="preserve"> </v>
      </c>
      <c r="CI17" s="80" t="str">
        <f t="shared" si="4"/>
        <v xml:space="preserve"> </v>
      </c>
      <c r="CJ17" s="80" t="str">
        <f t="shared" si="4"/>
        <v xml:space="preserve"> </v>
      </c>
      <c r="CK17" s="80" t="str">
        <f t="shared" si="4"/>
        <v xml:space="preserve"> </v>
      </c>
      <c r="CL17" s="80" t="str">
        <f t="shared" si="4"/>
        <v xml:space="preserve"> </v>
      </c>
      <c r="CM17" s="80" t="str">
        <f t="shared" si="4"/>
        <v xml:space="preserve"> </v>
      </c>
      <c r="CN17" s="80" t="str">
        <f t="shared" si="4"/>
        <v xml:space="preserve"> </v>
      </c>
      <c r="CP17" s="65"/>
      <c r="CR17" s="34" t="s">
        <v>148</v>
      </c>
      <c r="CS17" s="34" t="s">
        <v>141</v>
      </c>
      <c r="CT17" s="34" t="s">
        <v>141</v>
      </c>
      <c r="CU17" s="84" t="str">
        <f t="shared" si="14"/>
        <v xml:space="preserve"> </v>
      </c>
      <c r="CW17" s="65"/>
      <c r="CY17" s="15" t="s">
        <v>174</v>
      </c>
      <c r="CZ17" s="15" t="s">
        <v>183</v>
      </c>
      <c r="DA17" s="119">
        <v>903.59</v>
      </c>
      <c r="DH17" s="65"/>
      <c r="DJ17" s="128" t="s">
        <v>248</v>
      </c>
      <c r="DK17" s="131">
        <f t="shared" si="5"/>
        <v>1002.3348000000001</v>
      </c>
      <c r="DL17" s="131">
        <f t="shared" si="5"/>
        <v>1210.5713999999998</v>
      </c>
      <c r="DN17" s="132">
        <f t="shared" si="6"/>
        <v>6</v>
      </c>
      <c r="DO17" s="132">
        <f t="shared" si="6"/>
        <v>8</v>
      </c>
      <c r="DQ17" s="133">
        <f t="shared" si="7"/>
        <v>167.0558</v>
      </c>
      <c r="DR17" s="133">
        <f t="shared" si="7"/>
        <v>151.32142499999998</v>
      </c>
    </row>
    <row r="18" spans="1:122">
      <c r="A18" s="15" t="s">
        <v>91</v>
      </c>
      <c r="B18" s="36">
        <v>95400</v>
      </c>
      <c r="C18" s="36">
        <v>95824</v>
      </c>
      <c r="D18" s="38" t="str">
        <f t="shared" si="8"/>
        <v xml:space="preserve"> </v>
      </c>
      <c r="F18" s="25"/>
      <c r="H18" s="15" t="s">
        <v>79</v>
      </c>
      <c r="I18" s="36">
        <v>5081130</v>
      </c>
      <c r="J18" s="36">
        <v>4914686.4000000004</v>
      </c>
      <c r="K18" s="35">
        <f t="shared" si="9"/>
        <v>0</v>
      </c>
      <c r="M18" s="25"/>
      <c r="O18" s="41">
        <v>42750</v>
      </c>
      <c r="P18" s="43">
        <v>10</v>
      </c>
      <c r="Q18" s="42" t="str">
        <f t="shared" si="10"/>
        <v>TROP CHAUD</v>
      </c>
      <c r="V18" s="25"/>
      <c r="X18" s="48">
        <v>42951</v>
      </c>
      <c r="Y18" s="49">
        <v>178</v>
      </c>
      <c r="Z18" s="60">
        <v>1345</v>
      </c>
      <c r="AA18" s="50" t="s">
        <v>108</v>
      </c>
      <c r="AB18" s="47" t="str">
        <f t="shared" si="11"/>
        <v/>
      </c>
      <c r="AC18" s="47">
        <f t="shared" si="2"/>
        <v>1345</v>
      </c>
      <c r="AD18" s="47" t="str">
        <f t="shared" si="2"/>
        <v/>
      </c>
      <c r="AE18" s="47" t="str">
        <f t="shared" si="2"/>
        <v/>
      </c>
      <c r="AF18" s="47" t="str">
        <f t="shared" si="2"/>
        <v/>
      </c>
      <c r="AH18" s="65"/>
      <c r="AJ18" s="43">
        <v>106</v>
      </c>
      <c r="AK18" s="43">
        <v>8</v>
      </c>
      <c r="AL18" s="43">
        <v>10</v>
      </c>
      <c r="AM18" s="43">
        <v>0</v>
      </c>
      <c r="AN18" s="63">
        <f t="shared" si="15"/>
        <v>500</v>
      </c>
      <c r="AP18" s="65"/>
      <c r="AR18" s="66">
        <v>201709</v>
      </c>
      <c r="AS18" s="66">
        <v>18</v>
      </c>
      <c r="AT18" s="68">
        <v>1760</v>
      </c>
      <c r="AU18" s="69" t="str">
        <f t="shared" si="12"/>
        <v/>
      </c>
      <c r="AV18" s="69" t="str">
        <f t="shared" si="3"/>
        <v/>
      </c>
      <c r="AW18" s="69" t="str">
        <f t="shared" si="3"/>
        <v/>
      </c>
      <c r="AX18" s="69" t="str">
        <f t="shared" si="3"/>
        <v/>
      </c>
      <c r="AY18" s="69" t="str">
        <f t="shared" si="3"/>
        <v/>
      </c>
      <c r="AZ18" s="69" t="str">
        <f t="shared" si="3"/>
        <v/>
      </c>
      <c r="BA18" s="69" t="str">
        <f t="shared" si="3"/>
        <v/>
      </c>
      <c r="BB18" s="69" t="str">
        <f t="shared" si="3"/>
        <v/>
      </c>
      <c r="BC18" s="69" t="str">
        <f t="shared" si="3"/>
        <v/>
      </c>
      <c r="BD18" s="69" t="str">
        <f t="shared" si="3"/>
        <v/>
      </c>
      <c r="BE18" s="69" t="str">
        <f t="shared" si="3"/>
        <v/>
      </c>
      <c r="BF18" s="69" t="str">
        <f t="shared" si="3"/>
        <v/>
      </c>
      <c r="BG18" s="69" t="str">
        <f t="shared" si="3"/>
        <v/>
      </c>
      <c r="BH18" s="69" t="str">
        <f t="shared" si="3"/>
        <v/>
      </c>
      <c r="BI18" s="69" t="str">
        <f t="shared" si="3"/>
        <v/>
      </c>
      <c r="BJ18" s="69" t="str">
        <f t="shared" si="3"/>
        <v/>
      </c>
      <c r="BK18" s="69" t="str">
        <f t="shared" si="3"/>
        <v/>
      </c>
      <c r="BL18" s="69">
        <f t="shared" si="3"/>
        <v>586.66666666666663</v>
      </c>
      <c r="BM18" s="69">
        <f t="shared" si="3"/>
        <v>586.66666666666663</v>
      </c>
      <c r="BN18" s="69">
        <f t="shared" si="3"/>
        <v>586.66666666666663</v>
      </c>
      <c r="BO18" s="69" t="str">
        <f t="shared" si="3"/>
        <v/>
      </c>
      <c r="BP18" s="69" t="str">
        <f t="shared" si="3"/>
        <v/>
      </c>
      <c r="BQ18" s="69" t="str">
        <f t="shared" si="3"/>
        <v/>
      </c>
      <c r="BS18" s="65"/>
      <c r="BU18" s="81" t="s">
        <v>134</v>
      </c>
      <c r="BV18" s="82">
        <v>3</v>
      </c>
      <c r="BW18" s="82">
        <v>12</v>
      </c>
      <c r="BX18" s="83" t="str">
        <f t="shared" si="13"/>
        <v xml:space="preserve"> </v>
      </c>
      <c r="BY18" s="83" t="str">
        <f t="shared" si="4"/>
        <v xml:space="preserve"> </v>
      </c>
      <c r="BZ18" s="83" t="str">
        <f t="shared" si="4"/>
        <v>===</v>
      </c>
      <c r="CA18" s="83" t="str">
        <f t="shared" si="4"/>
        <v>===</v>
      </c>
      <c r="CB18" s="83" t="str">
        <f t="shared" si="4"/>
        <v>===</v>
      </c>
      <c r="CC18" s="83" t="str">
        <f t="shared" si="4"/>
        <v>===</v>
      </c>
      <c r="CD18" s="83" t="str">
        <f t="shared" si="4"/>
        <v>===</v>
      </c>
      <c r="CE18" s="83" t="str">
        <f t="shared" si="4"/>
        <v>===</v>
      </c>
      <c r="CF18" s="83" t="str">
        <f t="shared" si="4"/>
        <v>===</v>
      </c>
      <c r="CG18" s="83" t="str">
        <f t="shared" si="4"/>
        <v>===</v>
      </c>
      <c r="CH18" s="83" t="str">
        <f t="shared" si="4"/>
        <v>===</v>
      </c>
      <c r="CI18" s="83" t="str">
        <f t="shared" si="4"/>
        <v>===</v>
      </c>
      <c r="CJ18" s="83" t="str">
        <f t="shared" si="4"/>
        <v xml:space="preserve"> </v>
      </c>
      <c r="CK18" s="83" t="str">
        <f t="shared" si="4"/>
        <v xml:space="preserve"> </v>
      </c>
      <c r="CL18" s="83" t="str">
        <f t="shared" si="4"/>
        <v xml:space="preserve"> </v>
      </c>
      <c r="CM18" s="83" t="str">
        <f t="shared" si="4"/>
        <v xml:space="preserve"> </v>
      </c>
      <c r="CN18" s="83" t="str">
        <f t="shared" si="4"/>
        <v xml:space="preserve"> </v>
      </c>
      <c r="CP18" s="65"/>
      <c r="CR18" s="34" t="s">
        <v>149</v>
      </c>
      <c r="CS18" s="34"/>
      <c r="CT18" s="34" t="s">
        <v>141</v>
      </c>
      <c r="CU18" s="84" t="str">
        <f t="shared" si="14"/>
        <v>ok</v>
      </c>
      <c r="CW18" s="65"/>
      <c r="CY18" s="15" t="s">
        <v>174</v>
      </c>
      <c r="CZ18" s="15" t="s">
        <v>184</v>
      </c>
      <c r="DA18" s="119">
        <v>300.39</v>
      </c>
      <c r="DH18" s="65"/>
      <c r="DJ18" s="128" t="s">
        <v>249</v>
      </c>
      <c r="DK18" s="131">
        <f t="shared" si="5"/>
        <v>922.63339999999994</v>
      </c>
      <c r="DL18" s="131">
        <f t="shared" si="5"/>
        <v>1658.2581</v>
      </c>
      <c r="DN18" s="132">
        <f t="shared" si="6"/>
        <v>5</v>
      </c>
      <c r="DO18" s="132">
        <f t="shared" si="6"/>
        <v>15</v>
      </c>
      <c r="DQ18" s="133">
        <f t="shared" si="7"/>
        <v>184.52668</v>
      </c>
      <c r="DR18" s="133">
        <f t="shared" si="7"/>
        <v>110.55054</v>
      </c>
    </row>
    <row r="19" spans="1:122">
      <c r="F19" s="25"/>
      <c r="M19" s="25"/>
      <c r="O19" s="41">
        <v>42751</v>
      </c>
      <c r="P19" s="43">
        <v>8</v>
      </c>
      <c r="Q19" s="42" t="str">
        <f t="shared" si="10"/>
        <v>OK</v>
      </c>
      <c r="V19" s="25"/>
      <c r="X19" s="48">
        <v>42952</v>
      </c>
      <c r="Y19" s="49">
        <v>188</v>
      </c>
      <c r="Z19" s="60">
        <v>311.04000000000002</v>
      </c>
      <c r="AA19" s="50" t="s">
        <v>107</v>
      </c>
      <c r="AB19" s="47">
        <f t="shared" si="11"/>
        <v>311.04000000000002</v>
      </c>
      <c r="AC19" s="47" t="str">
        <f t="shared" si="2"/>
        <v/>
      </c>
      <c r="AD19" s="47" t="str">
        <f t="shared" si="2"/>
        <v/>
      </c>
      <c r="AE19" s="47" t="str">
        <f t="shared" si="2"/>
        <v/>
      </c>
      <c r="AF19" s="47" t="str">
        <f t="shared" si="2"/>
        <v/>
      </c>
      <c r="AH19" s="65"/>
      <c r="AJ19" s="43">
        <v>107</v>
      </c>
      <c r="AK19" s="43">
        <v>24</v>
      </c>
      <c r="AL19" s="43">
        <v>9</v>
      </c>
      <c r="AM19" s="43">
        <v>2</v>
      </c>
      <c r="AN19" s="63" t="str">
        <f t="shared" si="15"/>
        <v/>
      </c>
      <c r="AP19" s="65"/>
      <c r="AR19" s="66">
        <v>201710</v>
      </c>
      <c r="AS19" s="66">
        <v>20</v>
      </c>
      <c r="AT19" s="68">
        <v>1890</v>
      </c>
      <c r="AU19" s="69" t="str">
        <f t="shared" si="12"/>
        <v/>
      </c>
      <c r="AV19" s="69" t="str">
        <f t="shared" si="3"/>
        <v/>
      </c>
      <c r="AW19" s="69" t="str">
        <f t="shared" si="3"/>
        <v/>
      </c>
      <c r="AX19" s="69" t="str">
        <f t="shared" si="3"/>
        <v/>
      </c>
      <c r="AY19" s="69" t="str">
        <f t="shared" si="3"/>
        <v/>
      </c>
      <c r="AZ19" s="69" t="str">
        <f t="shared" si="3"/>
        <v/>
      </c>
      <c r="BA19" s="69" t="str">
        <f t="shared" si="3"/>
        <v/>
      </c>
      <c r="BB19" s="69" t="str">
        <f t="shared" si="3"/>
        <v/>
      </c>
      <c r="BC19" s="69" t="str">
        <f t="shared" si="3"/>
        <v/>
      </c>
      <c r="BD19" s="69" t="str">
        <f t="shared" si="3"/>
        <v/>
      </c>
      <c r="BE19" s="69" t="str">
        <f t="shared" si="3"/>
        <v/>
      </c>
      <c r="BF19" s="69" t="str">
        <f t="shared" si="3"/>
        <v/>
      </c>
      <c r="BG19" s="69" t="str">
        <f t="shared" si="3"/>
        <v/>
      </c>
      <c r="BH19" s="69" t="str">
        <f t="shared" si="3"/>
        <v/>
      </c>
      <c r="BI19" s="69" t="str">
        <f t="shared" si="3"/>
        <v/>
      </c>
      <c r="BJ19" s="69" t="str">
        <f t="shared" si="3"/>
        <v/>
      </c>
      <c r="BK19" s="69" t="str">
        <f t="shared" si="3"/>
        <v/>
      </c>
      <c r="BL19" s="69" t="str">
        <f t="shared" si="3"/>
        <v/>
      </c>
      <c r="BM19" s="69" t="str">
        <f t="shared" si="3"/>
        <v/>
      </c>
      <c r="BN19" s="69">
        <f t="shared" si="3"/>
        <v>630</v>
      </c>
      <c r="BO19" s="69">
        <f t="shared" si="3"/>
        <v>630</v>
      </c>
      <c r="BP19" s="69">
        <f t="shared" si="3"/>
        <v>630</v>
      </c>
      <c r="BQ19" s="69" t="str">
        <f t="shared" si="3"/>
        <v/>
      </c>
      <c r="BS19" s="65"/>
      <c r="CP19" s="65"/>
      <c r="CW19" s="65"/>
      <c r="CY19" s="15" t="s">
        <v>174</v>
      </c>
      <c r="CZ19" s="15" t="s">
        <v>185</v>
      </c>
      <c r="DA19" s="119">
        <v>1292.1300000000001</v>
      </c>
      <c r="DH19" s="65"/>
      <c r="DJ19" s="128" t="s">
        <v>250</v>
      </c>
      <c r="DK19" s="131">
        <f t="shared" si="5"/>
        <v>1043.1985999999999</v>
      </c>
      <c r="DL19" s="131">
        <f t="shared" si="5"/>
        <v>1356.6383000000001</v>
      </c>
      <c r="DN19" s="132">
        <f t="shared" si="6"/>
        <v>7</v>
      </c>
      <c r="DO19" s="132">
        <f t="shared" si="6"/>
        <v>10</v>
      </c>
      <c r="DQ19" s="133">
        <f t="shared" si="7"/>
        <v>149.02837142857143</v>
      </c>
      <c r="DR19" s="133">
        <f t="shared" si="7"/>
        <v>135.66383000000002</v>
      </c>
    </row>
    <row r="20" spans="1:122" ht="14.65" thickBot="1">
      <c r="F20" s="25"/>
      <c r="I20" s="86" t="s">
        <v>154</v>
      </c>
      <c r="J20" s="89">
        <v>0.03</v>
      </c>
      <c r="M20" s="25"/>
      <c r="O20" s="41">
        <v>42752</v>
      </c>
      <c r="P20" s="43">
        <v>6</v>
      </c>
      <c r="Q20" s="42" t="str">
        <f t="shared" si="10"/>
        <v>OK</v>
      </c>
      <c r="V20" s="25"/>
      <c r="X20" s="48">
        <v>42952</v>
      </c>
      <c r="Y20" s="49">
        <v>134</v>
      </c>
      <c r="Z20" s="60">
        <v>183.04</v>
      </c>
      <c r="AA20" s="50" t="s">
        <v>111</v>
      </c>
      <c r="AB20" s="47" t="str">
        <f t="shared" si="11"/>
        <v/>
      </c>
      <c r="AC20" s="47" t="str">
        <f t="shared" si="2"/>
        <v/>
      </c>
      <c r="AD20" s="47" t="str">
        <f t="shared" si="2"/>
        <v/>
      </c>
      <c r="AE20" s="47" t="str">
        <f t="shared" si="2"/>
        <v/>
      </c>
      <c r="AF20" s="47">
        <f t="shared" si="2"/>
        <v>183.04</v>
      </c>
      <c r="AH20" s="65"/>
      <c r="AJ20" s="43">
        <v>108</v>
      </c>
      <c r="AK20" s="43">
        <v>6</v>
      </c>
      <c r="AL20" s="43">
        <v>12</v>
      </c>
      <c r="AM20" s="43">
        <v>1</v>
      </c>
      <c r="AN20" s="63" t="str">
        <f t="shared" si="15"/>
        <v/>
      </c>
      <c r="AP20" s="65"/>
      <c r="AR20" s="67">
        <v>201711</v>
      </c>
      <c r="AS20" s="67">
        <v>21</v>
      </c>
      <c r="AT20" s="73">
        <v>3250</v>
      </c>
      <c r="AU20" s="69" t="str">
        <f t="shared" si="12"/>
        <v/>
      </c>
      <c r="AV20" s="69" t="str">
        <f t="shared" si="3"/>
        <v/>
      </c>
      <c r="AW20" s="69" t="str">
        <f t="shared" si="3"/>
        <v/>
      </c>
      <c r="AX20" s="69" t="str">
        <f t="shared" si="3"/>
        <v/>
      </c>
      <c r="AY20" s="69" t="str">
        <f t="shared" si="3"/>
        <v/>
      </c>
      <c r="AZ20" s="69" t="str">
        <f t="shared" si="3"/>
        <v/>
      </c>
      <c r="BA20" s="69" t="str">
        <f t="shared" si="3"/>
        <v/>
      </c>
      <c r="BB20" s="69" t="str">
        <f t="shared" si="3"/>
        <v/>
      </c>
      <c r="BC20" s="69" t="str">
        <f t="shared" si="3"/>
        <v/>
      </c>
      <c r="BD20" s="69" t="str">
        <f t="shared" si="3"/>
        <v/>
      </c>
      <c r="BE20" s="69" t="str">
        <f t="shared" si="3"/>
        <v/>
      </c>
      <c r="BF20" s="69" t="str">
        <f t="shared" si="3"/>
        <v/>
      </c>
      <c r="BG20" s="69" t="str">
        <f t="shared" si="3"/>
        <v/>
      </c>
      <c r="BH20" s="69" t="str">
        <f t="shared" si="3"/>
        <v/>
      </c>
      <c r="BI20" s="69" t="str">
        <f t="shared" si="3"/>
        <v/>
      </c>
      <c r="BJ20" s="69" t="str">
        <f t="shared" si="3"/>
        <v/>
      </c>
      <c r="BK20" s="69" t="str">
        <f t="shared" si="3"/>
        <v/>
      </c>
      <c r="BL20" s="69" t="str">
        <f t="shared" si="3"/>
        <v/>
      </c>
      <c r="BM20" s="69" t="str">
        <f t="shared" si="3"/>
        <v/>
      </c>
      <c r="BN20" s="69" t="str">
        <f t="shared" si="3"/>
        <v/>
      </c>
      <c r="BO20" s="69">
        <f t="shared" si="3"/>
        <v>1083.3333333333333</v>
      </c>
      <c r="BP20" s="69">
        <f t="shared" si="3"/>
        <v>1083.3333333333333</v>
      </c>
      <c r="BQ20" s="69">
        <f t="shared" si="3"/>
        <v>1083.3333333333333</v>
      </c>
      <c r="BS20" s="65"/>
      <c r="CP20" s="65"/>
      <c r="CW20" s="65"/>
      <c r="CY20" s="15" t="s">
        <v>176</v>
      </c>
      <c r="CZ20" s="15" t="s">
        <v>186</v>
      </c>
      <c r="DA20" s="119">
        <v>691.23</v>
      </c>
      <c r="DH20" s="65"/>
    </row>
    <row r="21" spans="1:122" ht="15" thickTop="1" thickBot="1">
      <c r="F21" s="25"/>
      <c r="M21" s="25"/>
      <c r="O21" s="41">
        <v>42753</v>
      </c>
      <c r="P21" s="43">
        <v>7</v>
      </c>
      <c r="Q21" s="42" t="str">
        <f t="shared" si="10"/>
        <v>OK</v>
      </c>
      <c r="V21" s="25"/>
      <c r="X21" s="48">
        <v>42952</v>
      </c>
      <c r="Y21" s="49">
        <v>364</v>
      </c>
      <c r="Z21" s="60">
        <v>444</v>
      </c>
      <c r="AA21" s="50" t="s">
        <v>110</v>
      </c>
      <c r="AB21" s="47" t="str">
        <f t="shared" si="11"/>
        <v/>
      </c>
      <c r="AC21" s="47" t="str">
        <f t="shared" si="2"/>
        <v/>
      </c>
      <c r="AD21" s="47" t="str">
        <f t="shared" si="2"/>
        <v/>
      </c>
      <c r="AE21" s="47">
        <f t="shared" si="2"/>
        <v>444</v>
      </c>
      <c r="AF21" s="47" t="str">
        <f t="shared" si="2"/>
        <v/>
      </c>
      <c r="AH21" s="65"/>
      <c r="AJ21" s="43">
        <v>109</v>
      </c>
      <c r="AK21" s="43">
        <v>11</v>
      </c>
      <c r="AL21" s="43">
        <v>15</v>
      </c>
      <c r="AM21" s="43">
        <v>2</v>
      </c>
      <c r="AN21" s="63" t="str">
        <f t="shared" si="15"/>
        <v/>
      </c>
      <c r="AP21" s="65"/>
      <c r="AR21" s="4"/>
      <c r="AS21" s="4"/>
      <c r="AT21" s="4"/>
      <c r="AU21" s="70">
        <f t="shared" ref="AU21:BQ21" si="16">SUM(AU10:AU20)</f>
        <v>0</v>
      </c>
      <c r="AV21" s="70">
        <f t="shared" si="16"/>
        <v>800</v>
      </c>
      <c r="AW21" s="70">
        <f t="shared" si="16"/>
        <v>1100</v>
      </c>
      <c r="AX21" s="70">
        <f t="shared" si="16"/>
        <v>1100</v>
      </c>
      <c r="AY21" s="70">
        <f t="shared" si="16"/>
        <v>800</v>
      </c>
      <c r="AZ21" s="70">
        <f t="shared" si="16"/>
        <v>500</v>
      </c>
      <c r="BA21" s="70">
        <f t="shared" si="16"/>
        <v>500</v>
      </c>
      <c r="BB21" s="70">
        <f t="shared" si="16"/>
        <v>0</v>
      </c>
      <c r="BC21" s="70">
        <f t="shared" si="16"/>
        <v>400</v>
      </c>
      <c r="BD21" s="70">
        <f t="shared" si="16"/>
        <v>400</v>
      </c>
      <c r="BE21" s="70">
        <f t="shared" si="16"/>
        <v>400</v>
      </c>
      <c r="BF21" s="70">
        <f t="shared" si="16"/>
        <v>0</v>
      </c>
      <c r="BG21" s="70">
        <f t="shared" si="16"/>
        <v>1400</v>
      </c>
      <c r="BH21" s="70">
        <f t="shared" si="16"/>
        <v>1400</v>
      </c>
      <c r="BI21" s="70">
        <f t="shared" si="16"/>
        <v>3200</v>
      </c>
      <c r="BJ21" s="70">
        <f t="shared" si="16"/>
        <v>1800</v>
      </c>
      <c r="BK21" s="70">
        <f t="shared" si="16"/>
        <v>2300</v>
      </c>
      <c r="BL21" s="70">
        <f t="shared" si="16"/>
        <v>1086.6666666666665</v>
      </c>
      <c r="BM21" s="70">
        <f t="shared" si="16"/>
        <v>1086.6666666666665</v>
      </c>
      <c r="BN21" s="70">
        <f t="shared" si="16"/>
        <v>1216.6666666666665</v>
      </c>
      <c r="BO21" s="70">
        <f t="shared" si="16"/>
        <v>1713.3333333333333</v>
      </c>
      <c r="BP21" s="70">
        <f t="shared" si="16"/>
        <v>1713.3333333333333</v>
      </c>
      <c r="BQ21" s="70">
        <f t="shared" si="16"/>
        <v>1083.3333333333333</v>
      </c>
      <c r="BS21" s="65"/>
      <c r="CP21" s="65"/>
      <c r="CW21" s="65"/>
      <c r="CY21" s="15" t="s">
        <v>174</v>
      </c>
      <c r="CZ21" s="15" t="s">
        <v>187</v>
      </c>
      <c r="DA21" s="119">
        <v>252.76</v>
      </c>
      <c r="DH21" s="65"/>
      <c r="DJ21" s="134" t="s">
        <v>94</v>
      </c>
      <c r="DK21" s="134" t="s">
        <v>237</v>
      </c>
      <c r="DL21" s="134" t="s">
        <v>251</v>
      </c>
      <c r="DM21" s="135" t="s">
        <v>252</v>
      </c>
    </row>
    <row r="22" spans="1:122" ht="15" thickTop="1" thickBot="1">
      <c r="F22" s="25"/>
      <c r="M22" s="25"/>
      <c r="O22" s="41">
        <v>42754</v>
      </c>
      <c r="P22" s="43">
        <v>9</v>
      </c>
      <c r="Q22" s="42" t="str">
        <f t="shared" si="10"/>
        <v>OK</v>
      </c>
      <c r="V22" s="25"/>
      <c r="X22" s="51">
        <v>42952</v>
      </c>
      <c r="Y22" s="52">
        <v>335</v>
      </c>
      <c r="Z22" s="61">
        <v>4600</v>
      </c>
      <c r="AA22" s="53" t="s">
        <v>108</v>
      </c>
      <c r="AB22" s="47" t="str">
        <f t="shared" si="11"/>
        <v/>
      </c>
      <c r="AC22" s="47">
        <f t="shared" si="2"/>
        <v>4600</v>
      </c>
      <c r="AD22" s="47" t="str">
        <f t="shared" si="2"/>
        <v/>
      </c>
      <c r="AE22" s="47" t="str">
        <f t="shared" si="2"/>
        <v/>
      </c>
      <c r="AF22" s="47" t="str">
        <f t="shared" si="2"/>
        <v/>
      </c>
      <c r="AH22" s="65"/>
      <c r="AJ22" s="43">
        <v>110</v>
      </c>
      <c r="AK22" s="43">
        <v>18</v>
      </c>
      <c r="AL22" s="43">
        <v>13</v>
      </c>
      <c r="AM22" s="43">
        <v>0</v>
      </c>
      <c r="AN22" s="63">
        <f t="shared" si="15"/>
        <v>500</v>
      </c>
      <c r="AP22" s="65"/>
      <c r="BS22" s="65"/>
      <c r="CP22" s="65"/>
      <c r="CW22" s="65"/>
      <c r="CY22" s="15" t="s">
        <v>176</v>
      </c>
      <c r="CZ22" s="15" t="s">
        <v>188</v>
      </c>
      <c r="DA22" s="119">
        <v>940.64</v>
      </c>
      <c r="DH22" s="65"/>
      <c r="DJ22" s="136">
        <v>42736</v>
      </c>
      <c r="DK22" s="137" t="s">
        <v>240</v>
      </c>
      <c r="DL22" s="137" t="s">
        <v>238</v>
      </c>
      <c r="DM22" s="138">
        <v>65.68589999999999</v>
      </c>
      <c r="DN22" s="113"/>
    </row>
    <row r="23" spans="1:122" ht="15" thickTop="1" thickBot="1">
      <c r="F23" s="25"/>
      <c r="M23" s="25"/>
      <c r="O23" s="41">
        <v>42755</v>
      </c>
      <c r="P23" s="43">
        <v>10</v>
      </c>
      <c r="Q23" s="42" t="str">
        <f t="shared" si="10"/>
        <v>TROP CHAUD</v>
      </c>
      <c r="V23" s="25"/>
      <c r="X23" s="4"/>
      <c r="Y23" s="4"/>
      <c r="Z23" s="4"/>
      <c r="AA23" s="4"/>
      <c r="AB23" s="54">
        <f>SUM(AB10:AB22)</f>
        <v>1100.8</v>
      </c>
      <c r="AC23" s="54">
        <f t="shared" ref="AC23:AF23" si="17">SUM(AC10:AC22)</f>
        <v>5945</v>
      </c>
      <c r="AD23" s="54">
        <f t="shared" si="17"/>
        <v>157.37</v>
      </c>
      <c r="AE23" s="54">
        <f t="shared" si="17"/>
        <v>444</v>
      </c>
      <c r="AF23" s="54">
        <f t="shared" si="17"/>
        <v>1072.96</v>
      </c>
      <c r="AH23" s="65"/>
      <c r="AJ23" s="43">
        <v>111</v>
      </c>
      <c r="AK23" s="43">
        <v>4</v>
      </c>
      <c r="AL23" s="43">
        <v>14</v>
      </c>
      <c r="AM23" s="43">
        <v>2</v>
      </c>
      <c r="AN23" s="63" t="str">
        <f t="shared" si="15"/>
        <v/>
      </c>
      <c r="AP23" s="65"/>
      <c r="BS23" s="65"/>
      <c r="CP23" s="65"/>
      <c r="CW23" s="65"/>
      <c r="CY23" s="15" t="s">
        <v>176</v>
      </c>
      <c r="CZ23" s="15" t="s">
        <v>189</v>
      </c>
      <c r="DA23" s="119">
        <v>1115.8399999999999</v>
      </c>
      <c r="DH23" s="65"/>
      <c r="DJ23" s="136">
        <v>42737</v>
      </c>
      <c r="DK23" s="137" t="s">
        <v>250</v>
      </c>
      <c r="DL23" s="137" t="s">
        <v>239</v>
      </c>
      <c r="DM23" s="138">
        <v>131.94839999999999</v>
      </c>
      <c r="DN23" s="113"/>
    </row>
    <row r="24" spans="1:122" ht="15" thickTop="1" thickBot="1">
      <c r="F24" s="25"/>
      <c r="M24" s="25"/>
      <c r="V24" s="25"/>
      <c r="AH24" s="65"/>
      <c r="AP24" s="65"/>
      <c r="BS24" s="65"/>
      <c r="CP24" s="65"/>
      <c r="CW24" s="65"/>
      <c r="CY24" s="15" t="s">
        <v>174</v>
      </c>
      <c r="CZ24" s="15" t="s">
        <v>190</v>
      </c>
      <c r="DA24" s="119">
        <v>1266.29</v>
      </c>
      <c r="DH24" s="65"/>
      <c r="DJ24" s="136">
        <v>42737</v>
      </c>
      <c r="DK24" s="137" t="s">
        <v>240</v>
      </c>
      <c r="DL24" s="137" t="s">
        <v>239</v>
      </c>
      <c r="DM24" s="138">
        <v>60.75</v>
      </c>
      <c r="DN24" s="113"/>
    </row>
    <row r="25" spans="1:122" ht="15" thickTop="1" thickBot="1">
      <c r="F25" s="25"/>
      <c r="M25" s="25"/>
      <c r="V25" s="25"/>
      <c r="AH25" s="65"/>
      <c r="AL25" s="86" t="s">
        <v>150</v>
      </c>
      <c r="AM25" s="87">
        <v>500</v>
      </c>
      <c r="AP25" s="65"/>
      <c r="BS25" s="65"/>
      <c r="CP25" s="65"/>
      <c r="CW25" s="65"/>
      <c r="CY25" s="15" t="s">
        <v>174</v>
      </c>
      <c r="CZ25" s="15" t="s">
        <v>179</v>
      </c>
      <c r="DA25" s="119">
        <v>577.29</v>
      </c>
      <c r="DH25" s="65"/>
      <c r="DJ25" s="136">
        <v>42737</v>
      </c>
      <c r="DK25" s="137" t="s">
        <v>249</v>
      </c>
      <c r="DL25" s="137" t="s">
        <v>238</v>
      </c>
      <c r="DM25" s="138">
        <v>173.13</v>
      </c>
      <c r="DN25" s="113"/>
    </row>
    <row r="26" spans="1:122" ht="15" thickTop="1" thickBot="1">
      <c r="F26" s="25"/>
      <c r="M26" s="25"/>
      <c r="V26" s="25"/>
      <c r="AH26" s="65"/>
      <c r="AL26" s="86" t="s">
        <v>151</v>
      </c>
      <c r="AM26" s="88">
        <v>7</v>
      </c>
      <c r="AP26" s="65"/>
      <c r="BS26" s="65"/>
      <c r="CP26" s="65"/>
      <c r="CW26" s="65"/>
      <c r="CY26" s="15" t="s">
        <v>174</v>
      </c>
      <c r="CZ26" s="15" t="s">
        <v>179</v>
      </c>
      <c r="DA26" s="119">
        <v>694</v>
      </c>
      <c r="DH26" s="65"/>
      <c r="DJ26" s="136">
        <v>42740</v>
      </c>
      <c r="DK26" s="137" t="s">
        <v>247</v>
      </c>
      <c r="DL26" s="137" t="s">
        <v>239</v>
      </c>
      <c r="DM26" s="138">
        <v>142.35</v>
      </c>
      <c r="DN26" s="113"/>
    </row>
    <row r="27" spans="1:122" ht="15" thickTop="1" thickBot="1">
      <c r="F27" s="25"/>
      <c r="M27" s="25"/>
      <c r="V27" s="25"/>
      <c r="AH27" s="65"/>
      <c r="AL27" s="86" t="s">
        <v>152</v>
      </c>
      <c r="AM27" s="88">
        <v>10</v>
      </c>
      <c r="AP27" s="65"/>
      <c r="CP27" s="65"/>
      <c r="CW27" s="65"/>
      <c r="DH27" s="65"/>
      <c r="DJ27" s="136">
        <v>42742</v>
      </c>
      <c r="DK27" s="137" t="s">
        <v>240</v>
      </c>
      <c r="DL27" s="137" t="s">
        <v>238</v>
      </c>
      <c r="DM27" s="138">
        <v>145.1875</v>
      </c>
      <c r="DN27" s="113"/>
    </row>
    <row r="28" spans="1:122" ht="15" thickTop="1" thickBot="1">
      <c r="F28" s="25"/>
      <c r="M28" s="25"/>
      <c r="V28" s="25"/>
      <c r="AH28" s="65"/>
      <c r="AL28" s="86" t="s">
        <v>153</v>
      </c>
      <c r="AM28" s="88">
        <v>0</v>
      </c>
      <c r="AP28" s="65"/>
      <c r="DH28" s="65"/>
      <c r="DJ28" s="136">
        <v>42742</v>
      </c>
      <c r="DK28" s="137" t="s">
        <v>244</v>
      </c>
      <c r="DL28" s="137" t="s">
        <v>238</v>
      </c>
      <c r="DM28" s="138">
        <v>114.8875</v>
      </c>
      <c r="DN28" s="113"/>
    </row>
    <row r="29" spans="1:122" ht="15" thickTop="1" thickBot="1">
      <c r="DH29" s="65"/>
      <c r="DJ29" s="136">
        <v>42745</v>
      </c>
      <c r="DK29" s="137" t="s">
        <v>247</v>
      </c>
      <c r="DL29" s="137" t="s">
        <v>239</v>
      </c>
      <c r="DM29" s="138">
        <v>51.735700000000008</v>
      </c>
      <c r="DN29" s="113"/>
    </row>
    <row r="30" spans="1:122" ht="15" thickTop="1" thickBot="1">
      <c r="DH30" s="65"/>
      <c r="DJ30" s="136">
        <v>42747</v>
      </c>
      <c r="DK30" s="137" t="s">
        <v>240</v>
      </c>
      <c r="DL30" s="137" t="s">
        <v>239</v>
      </c>
      <c r="DM30" s="138">
        <v>274.05</v>
      </c>
      <c r="DN30" s="113"/>
    </row>
    <row r="31" spans="1:122" ht="15" thickTop="1" thickBot="1">
      <c r="DH31" s="65"/>
      <c r="DJ31" s="136">
        <v>42747</v>
      </c>
      <c r="DK31" s="137" t="s">
        <v>250</v>
      </c>
      <c r="DL31" s="137" t="s">
        <v>239</v>
      </c>
      <c r="DM31" s="138">
        <v>60</v>
      </c>
      <c r="DN31" s="113"/>
    </row>
    <row r="32" spans="1:122" ht="15" thickTop="1" thickBot="1">
      <c r="DH32" s="65"/>
      <c r="DJ32" s="136">
        <v>42750</v>
      </c>
      <c r="DK32" s="137" t="s">
        <v>243</v>
      </c>
      <c r="DL32" s="137" t="s">
        <v>238</v>
      </c>
      <c r="DM32" s="138">
        <v>56.25</v>
      </c>
      <c r="DN32" s="113"/>
    </row>
    <row r="33" spans="112:118" ht="15" thickTop="1" thickBot="1">
      <c r="DH33" s="65"/>
      <c r="DJ33" s="136">
        <v>42750</v>
      </c>
      <c r="DK33" s="137" t="s">
        <v>246</v>
      </c>
      <c r="DL33" s="137" t="s">
        <v>238</v>
      </c>
      <c r="DM33" s="138">
        <v>141.75599999999997</v>
      </c>
      <c r="DN33" s="113"/>
    </row>
    <row r="34" spans="112:118" ht="15" thickTop="1" thickBot="1">
      <c r="DH34" s="65"/>
      <c r="DJ34" s="136">
        <v>42750</v>
      </c>
      <c r="DK34" s="137" t="s">
        <v>249</v>
      </c>
      <c r="DL34" s="137" t="s">
        <v>239</v>
      </c>
      <c r="DM34" s="138">
        <v>56.05</v>
      </c>
      <c r="DN34" s="113"/>
    </row>
    <row r="35" spans="112:118" ht="15" thickTop="1" thickBot="1">
      <c r="DH35" s="65"/>
      <c r="DJ35" s="136">
        <v>42752</v>
      </c>
      <c r="DK35" s="137" t="s">
        <v>240</v>
      </c>
      <c r="DL35" s="137" t="s">
        <v>239</v>
      </c>
      <c r="DM35" s="138">
        <v>110.2</v>
      </c>
      <c r="DN35" s="113"/>
    </row>
    <row r="36" spans="112:118" ht="15" thickTop="1" thickBot="1">
      <c r="DH36" s="65"/>
      <c r="DJ36" s="136">
        <v>42752</v>
      </c>
      <c r="DK36" s="137" t="s">
        <v>242</v>
      </c>
      <c r="DL36" s="137" t="s">
        <v>238</v>
      </c>
      <c r="DM36" s="138">
        <v>108</v>
      </c>
      <c r="DN36" s="113"/>
    </row>
    <row r="37" spans="112:118" ht="15" thickTop="1" thickBot="1">
      <c r="DH37" s="65"/>
      <c r="DJ37" s="136">
        <v>42755</v>
      </c>
      <c r="DK37" s="137" t="s">
        <v>246</v>
      </c>
      <c r="DL37" s="137" t="s">
        <v>239</v>
      </c>
      <c r="DM37" s="138">
        <v>51.192</v>
      </c>
      <c r="DN37" s="113"/>
    </row>
    <row r="38" spans="112:118" ht="15" thickTop="1" thickBot="1">
      <c r="DH38" s="65"/>
      <c r="DJ38" s="136">
        <v>42755</v>
      </c>
      <c r="DK38" s="137" t="s">
        <v>249</v>
      </c>
      <c r="DL38" s="137" t="s">
        <v>238</v>
      </c>
      <c r="DM38" s="138">
        <v>109.82959999999999</v>
      </c>
      <c r="DN38" s="113"/>
    </row>
    <row r="39" spans="112:118" ht="15" thickTop="1" thickBot="1">
      <c r="DH39" s="65"/>
      <c r="DJ39" s="136">
        <v>42757</v>
      </c>
      <c r="DK39" s="137" t="s">
        <v>245</v>
      </c>
      <c r="DL39" s="137" t="s">
        <v>239</v>
      </c>
      <c r="DM39" s="138">
        <v>106.925</v>
      </c>
      <c r="DN39" s="113"/>
    </row>
    <row r="40" spans="112:118" ht="15" thickTop="1" thickBot="1">
      <c r="DH40" s="65"/>
      <c r="DJ40" s="136">
        <v>42757</v>
      </c>
      <c r="DK40" s="137" t="s">
        <v>240</v>
      </c>
      <c r="DL40" s="137" t="s">
        <v>239</v>
      </c>
      <c r="DM40" s="138">
        <v>58.75</v>
      </c>
      <c r="DN40" s="113"/>
    </row>
    <row r="41" spans="112:118" ht="15" thickTop="1" thickBot="1">
      <c r="DH41" s="65"/>
      <c r="DJ41" s="136">
        <v>42762</v>
      </c>
      <c r="DK41" s="137" t="s">
        <v>240</v>
      </c>
      <c r="DL41" s="137" t="s">
        <v>238</v>
      </c>
      <c r="DM41" s="138">
        <v>64.924999999999997</v>
      </c>
      <c r="DN41" s="113"/>
    </row>
    <row r="42" spans="112:118" ht="15" thickTop="1" thickBot="1">
      <c r="DH42" s="65"/>
      <c r="DJ42" s="136">
        <v>42762</v>
      </c>
      <c r="DK42" s="137" t="s">
        <v>242</v>
      </c>
      <c r="DL42" s="137" t="s">
        <v>239</v>
      </c>
      <c r="DM42" s="138">
        <v>168.67500000000001</v>
      </c>
      <c r="DN42" s="113"/>
    </row>
    <row r="43" spans="112:118" ht="15" thickTop="1" thickBot="1">
      <c r="DH43" s="65"/>
      <c r="DJ43" s="136">
        <v>42767</v>
      </c>
      <c r="DK43" s="137" t="s">
        <v>250</v>
      </c>
      <c r="DL43" s="137" t="s">
        <v>239</v>
      </c>
      <c r="DM43" s="138">
        <v>84.974999999999994</v>
      </c>
      <c r="DN43" s="113"/>
    </row>
    <row r="44" spans="112:118" ht="15" thickTop="1" thickBot="1">
      <c r="DH44" s="65"/>
      <c r="DJ44" s="136">
        <v>42767</v>
      </c>
      <c r="DK44" s="137" t="s">
        <v>240</v>
      </c>
      <c r="DL44" s="137" t="s">
        <v>238</v>
      </c>
      <c r="DM44" s="138">
        <v>180.81799999999998</v>
      </c>
      <c r="DN44" s="113"/>
    </row>
    <row r="45" spans="112:118" ht="15" thickTop="1" thickBot="1">
      <c r="DH45" s="65"/>
      <c r="DJ45" s="136">
        <v>42768</v>
      </c>
      <c r="DK45" s="137" t="s">
        <v>241</v>
      </c>
      <c r="DL45" s="137" t="s">
        <v>239</v>
      </c>
      <c r="DM45" s="138">
        <v>86.025000000000006</v>
      </c>
      <c r="DN45" s="113"/>
    </row>
    <row r="46" spans="112:118" ht="15" thickTop="1" thickBot="1">
      <c r="DH46" s="65"/>
      <c r="DJ46" s="136">
        <v>42768</v>
      </c>
      <c r="DK46" s="137" t="s">
        <v>248</v>
      </c>
      <c r="DL46" s="137" t="s">
        <v>238</v>
      </c>
      <c r="DM46" s="138">
        <v>209.51249999999999</v>
      </c>
      <c r="DN46" s="113"/>
    </row>
    <row r="47" spans="112:118" ht="15" thickTop="1" thickBot="1">
      <c r="DH47" s="65"/>
      <c r="DJ47" s="136">
        <v>42768</v>
      </c>
      <c r="DK47" s="137" t="s">
        <v>243</v>
      </c>
      <c r="DL47" s="137" t="s">
        <v>238</v>
      </c>
      <c r="DM47" s="138">
        <v>57.816200000000002</v>
      </c>
      <c r="DN47" s="113"/>
    </row>
    <row r="48" spans="112:118" ht="15" thickTop="1" thickBot="1">
      <c r="DH48" s="65"/>
      <c r="DJ48" s="136">
        <v>42768</v>
      </c>
      <c r="DK48" s="137" t="s">
        <v>247</v>
      </c>
      <c r="DL48" s="137" t="s">
        <v>239</v>
      </c>
      <c r="DM48" s="138">
        <v>259.46249999999998</v>
      </c>
      <c r="DN48" s="113"/>
    </row>
    <row r="49" spans="112:118" ht="15" thickTop="1" thickBot="1">
      <c r="DH49" s="65"/>
      <c r="DJ49" s="136">
        <v>42768</v>
      </c>
      <c r="DK49" s="137" t="s">
        <v>247</v>
      </c>
      <c r="DL49" s="137" t="s">
        <v>239</v>
      </c>
      <c r="DM49" s="138">
        <v>91.624099999999999</v>
      </c>
      <c r="DN49" s="113"/>
    </row>
    <row r="50" spans="112:118" ht="15" thickTop="1" thickBot="1">
      <c r="DH50" s="65"/>
      <c r="DJ50" s="136">
        <v>42769</v>
      </c>
      <c r="DK50" s="137" t="s">
        <v>248</v>
      </c>
      <c r="DL50" s="137" t="s">
        <v>239</v>
      </c>
      <c r="DM50" s="138">
        <v>98.974999999999994</v>
      </c>
      <c r="DN50" s="113"/>
    </row>
    <row r="51" spans="112:118" ht="15" thickTop="1" thickBot="1">
      <c r="DH51" s="65"/>
      <c r="DJ51" s="136">
        <v>42770</v>
      </c>
      <c r="DK51" s="137" t="s">
        <v>247</v>
      </c>
      <c r="DL51" s="137" t="s">
        <v>239</v>
      </c>
      <c r="DM51" s="138">
        <v>90.1</v>
      </c>
      <c r="DN51" s="113"/>
    </row>
    <row r="52" spans="112:118" ht="15" thickTop="1" thickBot="1">
      <c r="DH52" s="65"/>
      <c r="DJ52" s="136">
        <v>42772</v>
      </c>
      <c r="DK52" s="137" t="s">
        <v>240</v>
      </c>
      <c r="DL52" s="137" t="s">
        <v>239</v>
      </c>
      <c r="DM52" s="138">
        <v>208.03749999999999</v>
      </c>
      <c r="DN52" s="113"/>
    </row>
    <row r="53" spans="112:118" ht="15" thickTop="1" thickBot="1">
      <c r="DH53" s="65"/>
      <c r="DJ53" s="136">
        <v>42772</v>
      </c>
      <c r="DK53" s="137" t="s">
        <v>240</v>
      </c>
      <c r="DL53" s="137" t="s">
        <v>238</v>
      </c>
      <c r="DM53" s="138">
        <v>128.1</v>
      </c>
      <c r="DN53" s="113"/>
    </row>
    <row r="54" spans="112:118" ht="15" thickTop="1" thickBot="1">
      <c r="DH54" s="65"/>
      <c r="DJ54" s="136">
        <v>42775</v>
      </c>
      <c r="DK54" s="137" t="s">
        <v>247</v>
      </c>
      <c r="DL54" s="137" t="s">
        <v>239</v>
      </c>
      <c r="DM54" s="138">
        <v>21.235199999999999</v>
      </c>
      <c r="DN54" s="113"/>
    </row>
    <row r="55" spans="112:118" ht="15" thickTop="1" thickBot="1">
      <c r="DH55" s="65"/>
      <c r="DJ55" s="136">
        <v>42777</v>
      </c>
      <c r="DK55" s="137" t="s">
        <v>245</v>
      </c>
      <c r="DL55" s="137" t="s">
        <v>239</v>
      </c>
      <c r="DM55" s="138">
        <v>147.15</v>
      </c>
      <c r="DN55" s="113"/>
    </row>
    <row r="56" spans="112:118" ht="15" thickTop="1" thickBot="1">
      <c r="DH56" s="65"/>
      <c r="DJ56" s="136">
        <v>42777</v>
      </c>
      <c r="DK56" s="137" t="s">
        <v>244</v>
      </c>
      <c r="DL56" s="137" t="s">
        <v>239</v>
      </c>
      <c r="DM56" s="138">
        <v>193.125</v>
      </c>
      <c r="DN56" s="113"/>
    </row>
    <row r="57" spans="112:118" ht="15" thickTop="1" thickBot="1">
      <c r="DH57" s="65"/>
      <c r="DJ57" s="136">
        <v>42780</v>
      </c>
      <c r="DK57" s="137" t="s">
        <v>243</v>
      </c>
      <c r="DL57" s="137" t="s">
        <v>238</v>
      </c>
      <c r="DM57" s="138">
        <v>206.6491</v>
      </c>
      <c r="DN57" s="113"/>
    </row>
    <row r="58" spans="112:118" ht="15" thickTop="1" thickBot="1">
      <c r="DH58" s="65"/>
      <c r="DJ58" s="136">
        <v>42780</v>
      </c>
      <c r="DK58" s="137" t="s">
        <v>246</v>
      </c>
      <c r="DL58" s="137" t="s">
        <v>239</v>
      </c>
      <c r="DM58" s="138">
        <v>143.51679999999999</v>
      </c>
      <c r="DN58" s="113"/>
    </row>
    <row r="59" spans="112:118" ht="15" thickTop="1" thickBot="1">
      <c r="DH59" s="65"/>
      <c r="DJ59" s="136">
        <v>42780</v>
      </c>
      <c r="DK59" s="137" t="s">
        <v>249</v>
      </c>
      <c r="DL59" s="137" t="s">
        <v>239</v>
      </c>
      <c r="DM59" s="138">
        <v>131.15</v>
      </c>
      <c r="DN59" s="113"/>
    </row>
    <row r="60" spans="112:118" ht="15" thickTop="1" thickBot="1">
      <c r="DH60" s="65"/>
      <c r="DJ60" s="136">
        <v>42782</v>
      </c>
      <c r="DK60" s="137" t="s">
        <v>240</v>
      </c>
      <c r="DL60" s="137" t="s">
        <v>238</v>
      </c>
      <c r="DM60" s="138">
        <v>173.85</v>
      </c>
      <c r="DN60" s="113"/>
    </row>
    <row r="61" spans="112:118" ht="15" thickTop="1" thickBot="1">
      <c r="DH61" s="65"/>
      <c r="DJ61" s="136">
        <v>42782</v>
      </c>
      <c r="DK61" s="137" t="s">
        <v>250</v>
      </c>
      <c r="DL61" s="137" t="s">
        <v>238</v>
      </c>
      <c r="DM61" s="138">
        <v>169.57499999999999</v>
      </c>
      <c r="DN61" s="113"/>
    </row>
    <row r="62" spans="112:118" ht="15" thickTop="1" thickBot="1">
      <c r="DH62" s="65"/>
      <c r="DJ62" s="136">
        <v>42785</v>
      </c>
      <c r="DK62" s="137" t="s">
        <v>246</v>
      </c>
      <c r="DL62" s="137" t="s">
        <v>239</v>
      </c>
      <c r="DM62" s="138">
        <v>110.72499999999999</v>
      </c>
      <c r="DN62" s="113"/>
    </row>
    <row r="63" spans="112:118" ht="15" thickTop="1" thickBot="1">
      <c r="DH63" s="65"/>
      <c r="DJ63" s="136">
        <v>42785</v>
      </c>
      <c r="DK63" s="137" t="s">
        <v>249</v>
      </c>
      <c r="DL63" s="137" t="s">
        <v>238</v>
      </c>
      <c r="DM63" s="138">
        <v>237.5625</v>
      </c>
      <c r="DN63" s="113"/>
    </row>
    <row r="64" spans="112:118" ht="15" thickTop="1" thickBot="1">
      <c r="DH64" s="65"/>
      <c r="DJ64" s="136">
        <v>42787</v>
      </c>
      <c r="DK64" s="137" t="s">
        <v>240</v>
      </c>
      <c r="DL64" s="137" t="s">
        <v>239</v>
      </c>
      <c r="DM64" s="138">
        <v>76.112400000000008</v>
      </c>
      <c r="DN64" s="113"/>
    </row>
    <row r="65" spans="112:118" ht="15" thickTop="1" thickBot="1">
      <c r="DH65" s="65"/>
      <c r="DJ65" s="136">
        <v>42787</v>
      </c>
      <c r="DK65" s="137" t="s">
        <v>245</v>
      </c>
      <c r="DL65" s="137" t="s">
        <v>239</v>
      </c>
      <c r="DM65" s="138">
        <v>104.57369999999999</v>
      </c>
      <c r="DN65" s="113"/>
    </row>
    <row r="66" spans="112:118" ht="15" thickTop="1" thickBot="1">
      <c r="DH66" s="65"/>
      <c r="DJ66" s="136">
        <v>42792</v>
      </c>
      <c r="DK66" s="137" t="s">
        <v>242</v>
      </c>
      <c r="DL66" s="137" t="s">
        <v>238</v>
      </c>
      <c r="DM66" s="138">
        <v>102.6375</v>
      </c>
      <c r="DN66" s="113"/>
    </row>
    <row r="67" spans="112:118" ht="15" thickTop="1" thickBot="1">
      <c r="DH67" s="65"/>
      <c r="DJ67" s="136">
        <v>42792</v>
      </c>
      <c r="DK67" s="137" t="s">
        <v>240</v>
      </c>
      <c r="DL67" s="137" t="s">
        <v>238</v>
      </c>
      <c r="DM67" s="138">
        <v>202.86090000000002</v>
      </c>
      <c r="DN67" s="113"/>
    </row>
    <row r="68" spans="112:118" ht="15" thickTop="1" thickBot="1">
      <c r="DH68" s="65"/>
      <c r="DJ68" s="136">
        <v>42796</v>
      </c>
      <c r="DK68" s="137" t="s">
        <v>242</v>
      </c>
      <c r="DL68" s="137" t="s">
        <v>239</v>
      </c>
      <c r="DM68" s="138">
        <v>187.95</v>
      </c>
      <c r="DN68" s="113"/>
    </row>
    <row r="69" spans="112:118" ht="15" thickTop="1" thickBot="1">
      <c r="DH69" s="65"/>
      <c r="DJ69" s="136">
        <v>42797</v>
      </c>
      <c r="DK69" s="137" t="s">
        <v>240</v>
      </c>
      <c r="DL69" s="137" t="s">
        <v>239</v>
      </c>
      <c r="DM69" s="138">
        <v>34.374600000000001</v>
      </c>
      <c r="DN69" s="113"/>
    </row>
    <row r="70" spans="112:118" ht="15" thickTop="1" thickBot="1">
      <c r="DH70" s="65"/>
      <c r="DJ70" s="136">
        <v>42799</v>
      </c>
      <c r="DK70" s="137" t="s">
        <v>247</v>
      </c>
      <c r="DL70" s="137" t="s">
        <v>239</v>
      </c>
      <c r="DM70" s="138">
        <v>120.1788</v>
      </c>
      <c r="DN70" s="113"/>
    </row>
    <row r="71" spans="112:118" ht="15" thickTop="1" thickBot="1">
      <c r="DH71" s="65"/>
      <c r="DJ71" s="136">
        <v>42801</v>
      </c>
      <c r="DK71" s="137" t="s">
        <v>240</v>
      </c>
      <c r="DL71" s="137" t="s">
        <v>239</v>
      </c>
      <c r="DM71" s="138">
        <v>188.1747</v>
      </c>
      <c r="DN71" s="113"/>
    </row>
    <row r="72" spans="112:118" ht="15" thickTop="1" thickBot="1">
      <c r="DH72" s="65"/>
      <c r="DJ72" s="136">
        <v>42802</v>
      </c>
      <c r="DK72" s="137" t="s">
        <v>245</v>
      </c>
      <c r="DL72" s="137" t="s">
        <v>238</v>
      </c>
      <c r="DM72" s="138">
        <v>262.45</v>
      </c>
      <c r="DN72" s="113"/>
    </row>
    <row r="73" spans="112:118" ht="15" thickTop="1" thickBot="1">
      <c r="DH73" s="65"/>
      <c r="DJ73" s="136">
        <v>42805</v>
      </c>
      <c r="DK73" s="137" t="s">
        <v>247</v>
      </c>
      <c r="DL73" s="137" t="s">
        <v>239</v>
      </c>
      <c r="DM73" s="138">
        <v>33.6</v>
      </c>
      <c r="DN73" s="113"/>
    </row>
    <row r="74" spans="112:118" ht="15" thickTop="1" thickBot="1">
      <c r="DH74" s="65"/>
      <c r="DJ74" s="136">
        <v>42806</v>
      </c>
      <c r="DK74" s="137" t="s">
        <v>243</v>
      </c>
      <c r="DL74" s="137" t="s">
        <v>239</v>
      </c>
      <c r="DM74" s="138">
        <v>274.22460000000001</v>
      </c>
      <c r="DN74" s="113"/>
    </row>
    <row r="75" spans="112:118" ht="15" thickTop="1" thickBot="1">
      <c r="DH75" s="65"/>
      <c r="DJ75" s="136">
        <v>42807</v>
      </c>
      <c r="DK75" s="137" t="s">
        <v>240</v>
      </c>
      <c r="DL75" s="137" t="s">
        <v>238</v>
      </c>
      <c r="DM75" s="138">
        <v>66</v>
      </c>
      <c r="DN75" s="113"/>
    </row>
    <row r="76" spans="112:118" ht="15" thickTop="1" thickBot="1">
      <c r="DH76" s="65"/>
      <c r="DJ76" s="136">
        <v>42809</v>
      </c>
      <c r="DK76" s="137" t="s">
        <v>246</v>
      </c>
      <c r="DL76" s="137" t="s">
        <v>239</v>
      </c>
      <c r="DM76" s="138">
        <v>114.53749999999999</v>
      </c>
      <c r="DN76" s="113"/>
    </row>
    <row r="77" spans="112:118" ht="15" thickTop="1" thickBot="1">
      <c r="DH77" s="65"/>
      <c r="DJ77" s="136">
        <v>42809</v>
      </c>
      <c r="DK77" s="137" t="s">
        <v>249</v>
      </c>
      <c r="DL77" s="137" t="s">
        <v>239</v>
      </c>
      <c r="DM77" s="138">
        <v>54.15</v>
      </c>
      <c r="DN77" s="113"/>
    </row>
    <row r="78" spans="112:118" ht="15" thickTop="1" thickBot="1">
      <c r="DH78" s="65"/>
      <c r="DJ78" s="136">
        <v>42810</v>
      </c>
      <c r="DK78" s="137" t="s">
        <v>243</v>
      </c>
      <c r="DL78" s="137" t="s">
        <v>238</v>
      </c>
      <c r="DM78" s="138">
        <v>66.9375</v>
      </c>
      <c r="DN78" s="113"/>
    </row>
    <row r="79" spans="112:118" ht="15" thickTop="1" thickBot="1">
      <c r="DH79" s="65"/>
      <c r="DJ79" s="136">
        <v>42811</v>
      </c>
      <c r="DK79" s="137" t="s">
        <v>240</v>
      </c>
      <c r="DL79" s="137" t="s">
        <v>238</v>
      </c>
      <c r="DM79" s="138">
        <v>28.9739</v>
      </c>
      <c r="DN79" s="113"/>
    </row>
    <row r="80" spans="112:118" ht="15" thickTop="1" thickBot="1">
      <c r="DH80" s="65"/>
      <c r="DJ80" s="136">
        <v>42812</v>
      </c>
      <c r="DK80" s="137" t="s">
        <v>250</v>
      </c>
      <c r="DL80" s="137" t="s">
        <v>239</v>
      </c>
      <c r="DM80" s="138">
        <v>57.6</v>
      </c>
      <c r="DN80" s="113"/>
    </row>
    <row r="81" spans="112:118" ht="15" thickTop="1" thickBot="1">
      <c r="DH81" s="65"/>
      <c r="DJ81" s="136">
        <v>42815</v>
      </c>
      <c r="DK81" s="137" t="s">
        <v>246</v>
      </c>
      <c r="DL81" s="137" t="s">
        <v>239</v>
      </c>
      <c r="DM81" s="138">
        <v>39.375</v>
      </c>
      <c r="DN81" s="113"/>
    </row>
    <row r="82" spans="112:118" ht="15" thickTop="1" thickBot="1">
      <c r="DH82" s="65"/>
      <c r="DJ82" s="136">
        <v>42815</v>
      </c>
      <c r="DK82" s="137" t="s">
        <v>249</v>
      </c>
      <c r="DL82" s="137" t="s">
        <v>238</v>
      </c>
      <c r="DM82" s="138">
        <v>203.89880000000002</v>
      </c>
      <c r="DN82" s="113"/>
    </row>
    <row r="83" spans="112:118" ht="15" thickTop="1" thickBot="1">
      <c r="DH83" s="65"/>
      <c r="DJ83" s="136">
        <v>42816</v>
      </c>
      <c r="DK83" s="137" t="s">
        <v>242</v>
      </c>
      <c r="DL83" s="137" t="s">
        <v>239</v>
      </c>
      <c r="DM83" s="138">
        <v>147.47479999999999</v>
      </c>
      <c r="DN83" s="113"/>
    </row>
    <row r="84" spans="112:118" ht="15" thickTop="1" thickBot="1">
      <c r="DH84" s="65"/>
      <c r="DJ84" s="136">
        <v>42817</v>
      </c>
      <c r="DK84" s="137" t="s">
        <v>248</v>
      </c>
      <c r="DL84" s="137" t="s">
        <v>239</v>
      </c>
      <c r="DM84" s="138">
        <v>216.125</v>
      </c>
      <c r="DN84" s="113"/>
    </row>
    <row r="85" spans="112:118" ht="15" thickTop="1" thickBot="1">
      <c r="DH85" s="65"/>
      <c r="DJ85" s="136">
        <v>42819</v>
      </c>
      <c r="DK85" s="137" t="s">
        <v>243</v>
      </c>
      <c r="DL85" s="137" t="s">
        <v>238</v>
      </c>
      <c r="DM85" s="138">
        <v>81.174299999999988</v>
      </c>
      <c r="DN85" s="113"/>
    </row>
    <row r="86" spans="112:118" ht="15" thickTop="1" thickBot="1">
      <c r="DH86" s="65"/>
      <c r="DJ86" s="136">
        <v>42821</v>
      </c>
      <c r="DK86" s="137" t="s">
        <v>248</v>
      </c>
      <c r="DL86" s="137" t="s">
        <v>239</v>
      </c>
      <c r="DM86" s="138">
        <v>118.65</v>
      </c>
      <c r="DN86" s="113"/>
    </row>
    <row r="87" spans="112:118" ht="15" thickTop="1" thickBot="1">
      <c r="DH87" s="65"/>
      <c r="DJ87" s="136">
        <v>42822</v>
      </c>
      <c r="DK87" s="137" t="s">
        <v>240</v>
      </c>
      <c r="DL87" s="137" t="s">
        <v>238</v>
      </c>
      <c r="DM87" s="138">
        <v>219.38</v>
      </c>
      <c r="DN87" s="113"/>
    </row>
    <row r="88" spans="112:118" ht="15" thickTop="1" thickBot="1">
      <c r="DH88" s="65"/>
      <c r="DJ88" s="136">
        <v>42826</v>
      </c>
      <c r="DK88" s="137" t="s">
        <v>240</v>
      </c>
      <c r="DL88" s="137" t="s">
        <v>238</v>
      </c>
      <c r="DM88" s="138">
        <v>94.222499999999997</v>
      </c>
      <c r="DN88" s="113"/>
    </row>
    <row r="89" spans="112:118" ht="15" thickTop="1" thickBot="1">
      <c r="DH89" s="65"/>
      <c r="DJ89" s="136">
        <v>42827</v>
      </c>
      <c r="DK89" s="137" t="s">
        <v>240</v>
      </c>
      <c r="DL89" s="137" t="s">
        <v>239</v>
      </c>
      <c r="DM89" s="138">
        <v>203.0625</v>
      </c>
      <c r="DN89" s="113"/>
    </row>
    <row r="90" spans="112:118" ht="15" thickTop="1" thickBot="1">
      <c r="DH90" s="65"/>
      <c r="DJ90" s="136">
        <v>42829</v>
      </c>
      <c r="DK90" s="137" t="s">
        <v>247</v>
      </c>
      <c r="DL90" s="137" t="s">
        <v>239</v>
      </c>
      <c r="DM90" s="138">
        <v>86.45</v>
      </c>
      <c r="DN90" s="113"/>
    </row>
    <row r="91" spans="112:118" ht="15" thickTop="1" thickBot="1">
      <c r="DH91" s="65"/>
      <c r="DJ91" s="136">
        <v>42830</v>
      </c>
      <c r="DK91" s="137" t="s">
        <v>247</v>
      </c>
      <c r="DL91" s="137" t="s">
        <v>239</v>
      </c>
      <c r="DM91" s="138">
        <v>274.44970000000001</v>
      </c>
      <c r="DN91" s="113"/>
    </row>
    <row r="92" spans="112:118" ht="15" thickTop="1" thickBot="1">
      <c r="DH92" s="65"/>
      <c r="DJ92" s="136">
        <v>42830</v>
      </c>
      <c r="DK92" s="137" t="s">
        <v>248</v>
      </c>
      <c r="DL92" s="137" t="s">
        <v>238</v>
      </c>
      <c r="DM92" s="138">
        <v>249.06180000000001</v>
      </c>
      <c r="DN92" s="113"/>
    </row>
    <row r="93" spans="112:118" ht="15" thickTop="1" thickBot="1">
      <c r="DH93" s="65"/>
      <c r="DJ93" s="136">
        <v>42831</v>
      </c>
      <c r="DK93" s="137" t="s">
        <v>240</v>
      </c>
      <c r="DL93" s="137" t="s">
        <v>239</v>
      </c>
      <c r="DM93" s="138">
        <v>76.237499999999997</v>
      </c>
      <c r="DN93" s="113"/>
    </row>
    <row r="94" spans="112:118" ht="15" thickTop="1" thickBot="1">
      <c r="DH94" s="65"/>
      <c r="DJ94" s="136">
        <v>42832</v>
      </c>
      <c r="DK94" s="137" t="s">
        <v>243</v>
      </c>
      <c r="DL94" s="137" t="s">
        <v>239</v>
      </c>
      <c r="DM94" s="138">
        <v>188.50400000000002</v>
      </c>
      <c r="DN94" s="113"/>
    </row>
    <row r="95" spans="112:118" ht="15" thickTop="1" thickBot="1">
      <c r="DH95" s="65"/>
      <c r="DJ95" s="136">
        <v>42835</v>
      </c>
      <c r="DK95" s="137" t="s">
        <v>247</v>
      </c>
      <c r="DL95" s="137" t="s">
        <v>239</v>
      </c>
      <c r="DM95" s="138">
        <v>79.0625</v>
      </c>
      <c r="DN95" s="113"/>
    </row>
    <row r="96" spans="112:118" ht="15" thickTop="1" thickBot="1">
      <c r="DH96" s="65"/>
      <c r="DJ96" s="136">
        <v>42836</v>
      </c>
      <c r="DK96" s="137" t="s">
        <v>242</v>
      </c>
      <c r="DL96" s="137" t="s">
        <v>239</v>
      </c>
      <c r="DM96" s="138">
        <v>102.6048</v>
      </c>
      <c r="DN96" s="113"/>
    </row>
    <row r="97" spans="112:118" ht="15" thickTop="1" thickBot="1">
      <c r="DH97" s="65"/>
      <c r="DJ97" s="136">
        <v>42837</v>
      </c>
      <c r="DK97" s="137" t="s">
        <v>240</v>
      </c>
      <c r="DL97" s="137" t="s">
        <v>238</v>
      </c>
      <c r="DM97" s="138">
        <v>104.47920000000001</v>
      </c>
      <c r="DN97" s="113"/>
    </row>
    <row r="98" spans="112:118" ht="15" thickTop="1" thickBot="1">
      <c r="DH98" s="65"/>
      <c r="DJ98" s="136">
        <v>42839</v>
      </c>
      <c r="DK98" s="137" t="s">
        <v>246</v>
      </c>
      <c r="DL98" s="137" t="s">
        <v>239</v>
      </c>
      <c r="DM98" s="138">
        <v>73.691999999999993</v>
      </c>
      <c r="DN98" s="113"/>
    </row>
    <row r="99" spans="112:118" ht="15" thickTop="1" thickBot="1">
      <c r="DH99" s="65"/>
      <c r="DJ99" s="136">
        <v>42839</v>
      </c>
      <c r="DK99" s="137" t="s">
        <v>249</v>
      </c>
      <c r="DL99" s="137" t="s">
        <v>239</v>
      </c>
      <c r="DM99" s="138">
        <v>185.51759999999999</v>
      </c>
      <c r="DN99" s="113"/>
    </row>
    <row r="100" spans="112:118" ht="15" thickTop="1" thickBot="1">
      <c r="DH100" s="65"/>
      <c r="DJ100" s="136">
        <v>42840</v>
      </c>
      <c r="DK100" s="137" t="s">
        <v>243</v>
      </c>
      <c r="DL100" s="137" t="s">
        <v>238</v>
      </c>
      <c r="DM100" s="138">
        <v>192.375</v>
      </c>
      <c r="DN100" s="113"/>
    </row>
    <row r="101" spans="112:118" ht="15" thickTop="1" thickBot="1">
      <c r="DH101" s="65"/>
      <c r="DJ101" s="136">
        <v>42841</v>
      </c>
      <c r="DK101" s="137" t="s">
        <v>245</v>
      </c>
      <c r="DL101" s="137" t="s">
        <v>239</v>
      </c>
      <c r="DM101" s="138">
        <v>47.2</v>
      </c>
      <c r="DN101" s="113"/>
    </row>
    <row r="102" spans="112:118" ht="15" thickTop="1" thickBot="1">
      <c r="DH102" s="65"/>
      <c r="DJ102" s="136">
        <v>42842</v>
      </c>
      <c r="DK102" s="137" t="s">
        <v>250</v>
      </c>
      <c r="DL102" s="137" t="s">
        <v>239</v>
      </c>
      <c r="DM102" s="138">
        <v>162.32499999999999</v>
      </c>
      <c r="DN102" s="113"/>
    </row>
    <row r="103" spans="112:118" ht="15" thickTop="1" thickBot="1">
      <c r="DH103" s="65"/>
      <c r="DJ103" s="136">
        <v>42845</v>
      </c>
      <c r="DK103" s="137" t="s">
        <v>246</v>
      </c>
      <c r="DL103" s="137" t="s">
        <v>239</v>
      </c>
      <c r="DM103" s="138">
        <v>146.25599999999997</v>
      </c>
      <c r="DN103" s="113"/>
    </row>
    <row r="104" spans="112:118" ht="15" thickTop="1" thickBot="1">
      <c r="DH104" s="65"/>
      <c r="DJ104" s="136">
        <v>42845</v>
      </c>
      <c r="DK104" s="137" t="s">
        <v>249</v>
      </c>
      <c r="DL104" s="137" t="s">
        <v>239</v>
      </c>
      <c r="DM104" s="138">
        <v>177.6686</v>
      </c>
      <c r="DN104" s="113"/>
    </row>
    <row r="105" spans="112:118" ht="15" thickTop="1" thickBot="1">
      <c r="DH105" s="65"/>
      <c r="DJ105" s="136">
        <v>42846</v>
      </c>
      <c r="DK105" s="137" t="s">
        <v>242</v>
      </c>
      <c r="DL105" s="137" t="s">
        <v>238</v>
      </c>
      <c r="DM105" s="138">
        <v>31.524899999999999</v>
      </c>
      <c r="DN105" s="113"/>
    </row>
    <row r="106" spans="112:118" ht="15" thickTop="1" thickBot="1">
      <c r="DH106" s="65"/>
      <c r="DJ106" s="136">
        <v>42847</v>
      </c>
      <c r="DK106" s="137" t="s">
        <v>240</v>
      </c>
      <c r="DL106" s="137" t="s">
        <v>239</v>
      </c>
      <c r="DM106" s="138">
        <v>137.47499999999999</v>
      </c>
      <c r="DN106" s="113"/>
    </row>
    <row r="107" spans="112:118" ht="15" thickTop="1" thickBot="1">
      <c r="DH107" s="65"/>
      <c r="DJ107" s="136">
        <v>42849</v>
      </c>
      <c r="DK107" s="137" t="s">
        <v>243</v>
      </c>
      <c r="DL107" s="137" t="s">
        <v>238</v>
      </c>
      <c r="DM107" s="138">
        <v>46.599000000000004</v>
      </c>
      <c r="DN107" s="113"/>
    </row>
    <row r="108" spans="112:118" ht="15" thickTop="1" thickBot="1">
      <c r="DH108" s="65"/>
      <c r="DJ108" s="136">
        <v>42851</v>
      </c>
      <c r="DK108" s="137" t="s">
        <v>250</v>
      </c>
      <c r="DL108" s="137" t="s">
        <v>238</v>
      </c>
      <c r="DM108" s="138">
        <v>110.82469999999999</v>
      </c>
      <c r="DN108" s="113"/>
    </row>
    <row r="109" spans="112:118" ht="15" thickTop="1" thickBot="1">
      <c r="DH109" s="65"/>
      <c r="DJ109" s="136">
        <v>42852</v>
      </c>
      <c r="DK109" s="137" t="s">
        <v>240</v>
      </c>
      <c r="DL109" s="137" t="s">
        <v>239</v>
      </c>
      <c r="DM109" s="138">
        <v>225.4</v>
      </c>
      <c r="DN109" s="113"/>
    </row>
    <row r="110" spans="112:118" ht="15" thickTop="1" thickBot="1">
      <c r="DH110" s="65"/>
      <c r="DJ110" s="136">
        <v>42852</v>
      </c>
      <c r="DK110" s="137" t="s">
        <v>241</v>
      </c>
      <c r="DL110" s="137" t="s">
        <v>239</v>
      </c>
      <c r="DM110" s="138">
        <v>232.05520000000001</v>
      </c>
      <c r="DN110" s="113"/>
    </row>
    <row r="111" spans="112:118" ht="15" thickTop="1" thickBot="1">
      <c r="DH111" s="65"/>
      <c r="DJ111" s="136">
        <v>42856</v>
      </c>
      <c r="DK111" s="137" t="s">
        <v>247</v>
      </c>
      <c r="DL111" s="137" t="s">
        <v>239</v>
      </c>
      <c r="DM111" s="138">
        <v>37.034999999999997</v>
      </c>
      <c r="DN111" s="113"/>
    </row>
    <row r="112" spans="112:118" ht="15" thickTop="1" thickBot="1">
      <c r="DH112" s="65"/>
      <c r="DJ112" s="136">
        <v>42857</v>
      </c>
      <c r="DK112" s="137" t="s">
        <v>242</v>
      </c>
      <c r="DL112" s="137" t="s">
        <v>238</v>
      </c>
      <c r="DM112" s="138">
        <v>205.2</v>
      </c>
      <c r="DN112" s="113"/>
    </row>
    <row r="113" spans="112:118" ht="15" thickTop="1" thickBot="1">
      <c r="DH113" s="65"/>
      <c r="DJ113" s="136">
        <v>42859</v>
      </c>
      <c r="DK113" s="137" t="s">
        <v>247</v>
      </c>
      <c r="DL113" s="137" t="s">
        <v>238</v>
      </c>
      <c r="DM113" s="138">
        <v>45</v>
      </c>
      <c r="DN113" s="113"/>
    </row>
    <row r="114" spans="112:118" ht="15" thickTop="1" thickBot="1">
      <c r="DH114" s="65"/>
      <c r="DJ114" s="136">
        <v>42861</v>
      </c>
      <c r="DK114" s="137" t="s">
        <v>248</v>
      </c>
      <c r="DL114" s="137" t="s">
        <v>239</v>
      </c>
      <c r="DM114" s="138">
        <v>103.4</v>
      </c>
      <c r="DN114" s="113"/>
    </row>
    <row r="115" spans="112:118" ht="15" thickTop="1" thickBot="1">
      <c r="DH115" s="65"/>
      <c r="DJ115" s="136">
        <v>42862</v>
      </c>
      <c r="DK115" s="137" t="s">
        <v>240</v>
      </c>
      <c r="DL115" s="137" t="s">
        <v>239</v>
      </c>
      <c r="DM115" s="138">
        <v>59.197599999999994</v>
      </c>
      <c r="DN115" s="113"/>
    </row>
    <row r="116" spans="112:118" ht="15" thickTop="1" thickBot="1">
      <c r="DH116" s="65"/>
      <c r="DJ116" s="136">
        <v>42865</v>
      </c>
      <c r="DK116" s="137" t="s">
        <v>247</v>
      </c>
      <c r="DL116" s="137" t="s">
        <v>239</v>
      </c>
      <c r="DM116" s="138">
        <v>69.7851</v>
      </c>
      <c r="DN116" s="113"/>
    </row>
    <row r="117" spans="112:118" ht="15" thickTop="1" thickBot="1">
      <c r="DH117" s="65"/>
      <c r="DJ117" s="136">
        <v>42866</v>
      </c>
      <c r="DK117" s="137" t="s">
        <v>242</v>
      </c>
      <c r="DL117" s="137" t="s">
        <v>238</v>
      </c>
      <c r="DM117" s="138">
        <v>183.26169999999999</v>
      </c>
      <c r="DN117" s="113"/>
    </row>
    <row r="118" spans="112:118" ht="15" thickTop="1" thickBot="1">
      <c r="DH118" s="65"/>
      <c r="DJ118" s="136">
        <v>42867</v>
      </c>
      <c r="DK118" s="137" t="s">
        <v>242</v>
      </c>
      <c r="DL118" s="137" t="s">
        <v>239</v>
      </c>
      <c r="DM118" s="138">
        <v>214.375</v>
      </c>
      <c r="DN118" s="113"/>
    </row>
    <row r="119" spans="112:118" ht="15" thickTop="1" thickBot="1">
      <c r="DH119" s="65"/>
      <c r="DJ119" s="136">
        <v>42867</v>
      </c>
      <c r="DK119" s="137" t="s">
        <v>248</v>
      </c>
      <c r="DL119" s="137" t="s">
        <v>239</v>
      </c>
      <c r="DM119" s="138">
        <v>174.2296</v>
      </c>
      <c r="DN119" s="113"/>
    </row>
    <row r="120" spans="112:118" ht="15" thickTop="1" thickBot="1">
      <c r="DH120" s="65"/>
      <c r="DJ120" s="136">
        <v>42869</v>
      </c>
      <c r="DK120" s="137" t="s">
        <v>246</v>
      </c>
      <c r="DL120" s="137" t="s">
        <v>239</v>
      </c>
      <c r="DM120" s="138">
        <v>31.224299999999999</v>
      </c>
      <c r="DN120" s="113"/>
    </row>
    <row r="121" spans="112:118" ht="15" thickTop="1" thickBot="1">
      <c r="DH121" s="65"/>
      <c r="DJ121" s="136">
        <v>42869</v>
      </c>
      <c r="DK121" s="137" t="s">
        <v>249</v>
      </c>
      <c r="DL121" s="137" t="s">
        <v>239</v>
      </c>
      <c r="DM121" s="138">
        <v>56.7</v>
      </c>
      <c r="DN121" s="113"/>
    </row>
    <row r="122" spans="112:118" ht="15" thickTop="1" thickBot="1">
      <c r="DH122" s="65"/>
      <c r="DJ122" s="136">
        <v>42870</v>
      </c>
      <c r="DK122" s="137" t="s">
        <v>243</v>
      </c>
      <c r="DL122" s="137" t="s">
        <v>238</v>
      </c>
      <c r="DM122" s="138">
        <v>68</v>
      </c>
      <c r="DN122" s="113"/>
    </row>
    <row r="123" spans="112:118" ht="15" thickTop="1" thickBot="1">
      <c r="DH123" s="65"/>
      <c r="DJ123" s="136">
        <v>42871</v>
      </c>
      <c r="DK123" s="137" t="s">
        <v>240</v>
      </c>
      <c r="DL123" s="137" t="s">
        <v>239</v>
      </c>
      <c r="DM123" s="138">
        <v>126.72499999999999</v>
      </c>
      <c r="DN123" s="113"/>
    </row>
    <row r="124" spans="112:118" ht="15" thickTop="1" thickBot="1">
      <c r="DH124" s="65"/>
      <c r="DJ124" s="136">
        <v>42872</v>
      </c>
      <c r="DK124" s="137" t="s">
        <v>240</v>
      </c>
      <c r="DL124" s="137" t="s">
        <v>238</v>
      </c>
      <c r="DM124" s="138">
        <v>137.72439999999997</v>
      </c>
      <c r="DN124" s="113"/>
    </row>
    <row r="125" spans="112:118" ht="15" thickTop="1" thickBot="1">
      <c r="DH125" s="65"/>
      <c r="DJ125" s="136">
        <v>42875</v>
      </c>
      <c r="DK125" s="137" t="s">
        <v>246</v>
      </c>
      <c r="DL125" s="137" t="s">
        <v>239</v>
      </c>
      <c r="DM125" s="138">
        <v>207.33750000000001</v>
      </c>
      <c r="DN125" s="113"/>
    </row>
    <row r="126" spans="112:118" ht="15" thickTop="1" thickBot="1">
      <c r="DH126" s="65"/>
      <c r="DJ126" s="136">
        <v>42875</v>
      </c>
      <c r="DK126" s="137" t="s">
        <v>249</v>
      </c>
      <c r="DL126" s="137" t="s">
        <v>238</v>
      </c>
      <c r="DM126" s="138">
        <v>198.21250000000001</v>
      </c>
      <c r="DN126" s="113"/>
    </row>
    <row r="127" spans="112:118" ht="15" thickTop="1" thickBot="1">
      <c r="DH127" s="65"/>
      <c r="DJ127" s="136">
        <v>42876</v>
      </c>
      <c r="DK127" s="137" t="s">
        <v>250</v>
      </c>
      <c r="DL127" s="137" t="s">
        <v>239</v>
      </c>
      <c r="DM127" s="138">
        <v>239.98079999999999</v>
      </c>
      <c r="DN127" s="113"/>
    </row>
    <row r="128" spans="112:118" ht="15" thickTop="1" thickBot="1">
      <c r="DH128" s="65"/>
      <c r="DJ128" s="136">
        <v>42877</v>
      </c>
      <c r="DK128" s="137" t="s">
        <v>250</v>
      </c>
      <c r="DL128" s="137" t="s">
        <v>238</v>
      </c>
      <c r="DM128" s="138">
        <v>73.5</v>
      </c>
      <c r="DN128" s="113"/>
    </row>
    <row r="129" spans="112:118" ht="15" thickTop="1" thickBot="1">
      <c r="DH129" s="65"/>
      <c r="DJ129" s="136">
        <v>42879</v>
      </c>
      <c r="DK129" s="137" t="s">
        <v>243</v>
      </c>
      <c r="DL129" s="137" t="s">
        <v>238</v>
      </c>
      <c r="DM129" s="138">
        <v>75.9375</v>
      </c>
      <c r="DN129" s="113"/>
    </row>
    <row r="130" spans="112:118" ht="15" thickTop="1" thickBot="1">
      <c r="DH130" s="65"/>
      <c r="DJ130" s="136">
        <v>42881</v>
      </c>
      <c r="DK130" s="137" t="s">
        <v>247</v>
      </c>
      <c r="DL130" s="137" t="s">
        <v>239</v>
      </c>
      <c r="DM130" s="138">
        <v>128.6292</v>
      </c>
      <c r="DN130" s="113"/>
    </row>
    <row r="131" spans="112:118" ht="15" thickTop="1" thickBot="1">
      <c r="DH131" s="65"/>
      <c r="DJ131" s="136">
        <v>42882</v>
      </c>
      <c r="DK131" s="137" t="s">
        <v>240</v>
      </c>
      <c r="DL131" s="137" t="s">
        <v>239</v>
      </c>
      <c r="DM131" s="138">
        <v>72.900000000000006</v>
      </c>
      <c r="DN131" s="113"/>
    </row>
    <row r="132" spans="112:118" ht="15" thickTop="1" thickBot="1">
      <c r="DH132" s="65"/>
      <c r="DJ132" s="136">
        <v>42886</v>
      </c>
      <c r="DK132" s="137" t="s">
        <v>245</v>
      </c>
      <c r="DL132" s="137" t="s">
        <v>238</v>
      </c>
      <c r="DM132" s="138">
        <v>228.9375</v>
      </c>
      <c r="DN132" s="113"/>
    </row>
    <row r="133" spans="112:118" ht="15" thickTop="1" thickBot="1">
      <c r="DH133" s="65"/>
      <c r="DJ133" s="136">
        <v>42887</v>
      </c>
      <c r="DK133" s="137" t="s">
        <v>240</v>
      </c>
      <c r="DL133" s="137" t="s">
        <v>238</v>
      </c>
      <c r="DM133" s="138">
        <v>159.91049999999998</v>
      </c>
      <c r="DN133" s="113"/>
    </row>
    <row r="134" spans="112:118" ht="15" thickTop="1" thickBot="1">
      <c r="DH134" s="65"/>
      <c r="DJ134" s="136">
        <v>42888</v>
      </c>
      <c r="DK134" s="137" t="s">
        <v>247</v>
      </c>
      <c r="DL134" s="137" t="s">
        <v>239</v>
      </c>
      <c r="DM134" s="138">
        <v>184.67500000000001</v>
      </c>
      <c r="DN134" s="113"/>
    </row>
    <row r="135" spans="112:118" ht="15" thickTop="1" thickBot="1">
      <c r="DH135" s="65"/>
      <c r="DJ135" s="136">
        <v>42889</v>
      </c>
      <c r="DK135" s="137" t="s">
        <v>247</v>
      </c>
      <c r="DL135" s="137" t="s">
        <v>239</v>
      </c>
      <c r="DM135" s="138">
        <v>54.035800000000002</v>
      </c>
      <c r="DN135" s="113"/>
    </row>
    <row r="136" spans="112:118" ht="15" thickTop="1" thickBot="1">
      <c r="DH136" s="65"/>
      <c r="DJ136" s="136">
        <v>42891</v>
      </c>
      <c r="DK136" s="137" t="s">
        <v>243</v>
      </c>
      <c r="DL136" s="137" t="s">
        <v>238</v>
      </c>
      <c r="DM136" s="138">
        <v>131.75</v>
      </c>
      <c r="DN136" s="113"/>
    </row>
    <row r="137" spans="112:118" ht="15" thickTop="1" thickBot="1">
      <c r="DH137" s="65"/>
      <c r="DJ137" s="136">
        <v>42892</v>
      </c>
      <c r="DK137" s="137" t="s">
        <v>250</v>
      </c>
      <c r="DL137" s="137" t="s">
        <v>238</v>
      </c>
      <c r="DM137" s="138">
        <v>89.424999999999997</v>
      </c>
      <c r="DN137" s="113"/>
    </row>
    <row r="138" spans="112:118" ht="15" thickTop="1" thickBot="1">
      <c r="DH138" s="65"/>
      <c r="DJ138" s="136">
        <v>42895</v>
      </c>
      <c r="DK138" s="137" t="s">
        <v>247</v>
      </c>
      <c r="DL138" s="137" t="s">
        <v>239</v>
      </c>
      <c r="DM138" s="138">
        <v>165.01679999999999</v>
      </c>
      <c r="DN138" s="113"/>
    </row>
    <row r="139" spans="112:118" ht="15" thickTop="1" thickBot="1">
      <c r="DH139" s="65"/>
      <c r="DJ139" s="136">
        <v>42896</v>
      </c>
      <c r="DK139" s="137" t="s">
        <v>250</v>
      </c>
      <c r="DL139" s="137" t="s">
        <v>238</v>
      </c>
      <c r="DM139" s="138">
        <v>188.8125</v>
      </c>
      <c r="DN139" s="113"/>
    </row>
    <row r="140" spans="112:118" ht="15" thickTop="1" thickBot="1">
      <c r="DH140" s="65"/>
      <c r="DJ140" s="136">
        <v>42897</v>
      </c>
      <c r="DK140" s="137" t="s">
        <v>240</v>
      </c>
      <c r="DL140" s="137" t="s">
        <v>238</v>
      </c>
      <c r="DM140" s="138">
        <v>96.235699999999994</v>
      </c>
      <c r="DN140" s="113"/>
    </row>
    <row r="141" spans="112:118" ht="15" thickTop="1" thickBot="1">
      <c r="DH141" s="65"/>
      <c r="DJ141" s="136">
        <v>42899</v>
      </c>
      <c r="DK141" s="137" t="s">
        <v>246</v>
      </c>
      <c r="DL141" s="137" t="s">
        <v>238</v>
      </c>
      <c r="DM141" s="138">
        <v>145.35</v>
      </c>
      <c r="DN141" s="113"/>
    </row>
    <row r="142" spans="112:118" ht="15" thickTop="1" thickBot="1">
      <c r="DH142" s="65"/>
      <c r="DJ142" s="136">
        <v>42899</v>
      </c>
      <c r="DK142" s="137" t="s">
        <v>249</v>
      </c>
      <c r="DL142" s="137" t="s">
        <v>239</v>
      </c>
      <c r="DM142" s="138">
        <v>119.9</v>
      </c>
      <c r="DN142" s="113"/>
    </row>
    <row r="143" spans="112:118" ht="15" thickTop="1" thickBot="1">
      <c r="DH143" s="65"/>
      <c r="DJ143" s="136">
        <v>42900</v>
      </c>
      <c r="DK143" s="137" t="s">
        <v>243</v>
      </c>
      <c r="DL143" s="137" t="s">
        <v>238</v>
      </c>
      <c r="DM143" s="138">
        <v>49.736699999999999</v>
      </c>
      <c r="DN143" s="113"/>
    </row>
    <row r="144" spans="112:118" ht="15" thickTop="1" thickBot="1">
      <c r="DH144" s="65"/>
      <c r="DJ144" s="136">
        <v>42901</v>
      </c>
      <c r="DK144" s="137" t="s">
        <v>242</v>
      </c>
      <c r="DL144" s="137" t="s">
        <v>238</v>
      </c>
      <c r="DM144" s="138">
        <v>167.50400000000002</v>
      </c>
      <c r="DN144" s="113"/>
    </row>
    <row r="145" spans="112:118" ht="15" thickTop="1" thickBot="1">
      <c r="DH145" s="65"/>
      <c r="DJ145" s="136">
        <v>42902</v>
      </c>
      <c r="DK145" s="137" t="s">
        <v>240</v>
      </c>
      <c r="DL145" s="137" t="s">
        <v>239</v>
      </c>
      <c r="DM145" s="138">
        <v>61.317</v>
      </c>
      <c r="DN145" s="113"/>
    </row>
    <row r="146" spans="112:118" ht="15" thickTop="1" thickBot="1">
      <c r="DH146" s="65"/>
      <c r="DJ146" s="136">
        <v>42905</v>
      </c>
      <c r="DK146" s="137" t="s">
        <v>246</v>
      </c>
      <c r="DL146" s="137" t="s">
        <v>239</v>
      </c>
      <c r="DM146" s="138">
        <v>61.916399999999996</v>
      </c>
      <c r="DN146" s="113"/>
    </row>
    <row r="147" spans="112:118" ht="15" thickTop="1" thickBot="1">
      <c r="DH147" s="65"/>
      <c r="DJ147" s="136">
        <v>42905</v>
      </c>
      <c r="DK147" s="137" t="s">
        <v>249</v>
      </c>
      <c r="DL147" s="137" t="s">
        <v>239</v>
      </c>
      <c r="DM147" s="138">
        <v>24.810299999999998</v>
      </c>
      <c r="DN147" s="113"/>
    </row>
    <row r="148" spans="112:118" ht="15" thickTop="1" thickBot="1">
      <c r="DH148" s="65"/>
      <c r="DJ148" s="136">
        <v>42906</v>
      </c>
      <c r="DK148" s="137" t="s">
        <v>240</v>
      </c>
      <c r="DL148" s="137" t="s">
        <v>239</v>
      </c>
      <c r="DM148" s="138">
        <v>73.537499999999994</v>
      </c>
      <c r="DN148" s="113"/>
    </row>
    <row r="149" spans="112:118" ht="15" thickTop="1" thickBot="1">
      <c r="DH149" s="65"/>
      <c r="DJ149" s="136">
        <v>42907</v>
      </c>
      <c r="DK149" s="137" t="s">
        <v>240</v>
      </c>
      <c r="DL149" s="137" t="s">
        <v>239</v>
      </c>
      <c r="DM149" s="138">
        <v>107.40479999999999</v>
      </c>
      <c r="DN149" s="113"/>
    </row>
    <row r="150" spans="112:118" ht="15" thickTop="1" thickBot="1">
      <c r="DH150" s="65"/>
      <c r="DJ150" s="136">
        <v>42909</v>
      </c>
      <c r="DK150" s="137" t="s">
        <v>243</v>
      </c>
      <c r="DL150" s="137" t="s">
        <v>238</v>
      </c>
      <c r="DM150" s="138">
        <v>55.8125</v>
      </c>
      <c r="DN150" s="113"/>
    </row>
    <row r="151" spans="112:118" ht="15" thickTop="1" thickBot="1">
      <c r="DH151" s="65"/>
      <c r="DJ151" s="136">
        <v>42911</v>
      </c>
      <c r="DK151" s="137" t="s">
        <v>240</v>
      </c>
      <c r="DL151" s="137" t="s">
        <v>239</v>
      </c>
      <c r="DM151" s="138">
        <v>159.77500000000001</v>
      </c>
      <c r="DN151" s="113"/>
    </row>
    <row r="152" spans="112:118" ht="15" thickTop="1" thickBot="1">
      <c r="DH152" s="65"/>
      <c r="DJ152" s="136">
        <v>42912</v>
      </c>
      <c r="DK152" s="137" t="s">
        <v>245</v>
      </c>
      <c r="DL152" s="137" t="s">
        <v>238</v>
      </c>
      <c r="DM152" s="138">
        <v>157.97499999999999</v>
      </c>
      <c r="DN152" s="113"/>
    </row>
    <row r="153" spans="112:118" ht="15" thickTop="1" thickBot="1">
      <c r="DH153" s="65"/>
      <c r="DJ153" s="136">
        <v>42916</v>
      </c>
      <c r="DK153" s="137" t="s">
        <v>244</v>
      </c>
      <c r="DL153" s="137" t="s">
        <v>239</v>
      </c>
      <c r="DM153" s="138">
        <v>124.7873</v>
      </c>
      <c r="DN153" s="113"/>
    </row>
    <row r="154" spans="112:118" ht="15" thickTop="1" thickBot="1">
      <c r="DH154" s="65"/>
      <c r="DJ154" s="136">
        <v>42917</v>
      </c>
      <c r="DK154" s="137" t="s">
        <v>242</v>
      </c>
      <c r="DL154" s="137" t="s">
        <v>239</v>
      </c>
      <c r="DM154" s="138">
        <v>83.325000000000003</v>
      </c>
      <c r="DN154" s="113"/>
    </row>
    <row r="155" spans="112:118" ht="15" thickTop="1" thickBot="1">
      <c r="DH155" s="65"/>
      <c r="DJ155" s="136">
        <v>42918</v>
      </c>
      <c r="DK155" s="137" t="s">
        <v>241</v>
      </c>
      <c r="DL155" s="137" t="s">
        <v>238</v>
      </c>
      <c r="DM155" s="138">
        <v>36.6</v>
      </c>
      <c r="DN155" s="113"/>
    </row>
    <row r="156" spans="112:118" ht="15" thickTop="1" thickBot="1">
      <c r="DH156" s="65"/>
      <c r="DJ156" s="136">
        <v>42919</v>
      </c>
      <c r="DK156" s="137" t="s">
        <v>247</v>
      </c>
      <c r="DL156" s="137" t="s">
        <v>239</v>
      </c>
      <c r="DM156" s="138">
        <v>163.35</v>
      </c>
      <c r="DN156" s="113"/>
    </row>
    <row r="157" spans="112:118" ht="15" thickTop="1" thickBot="1">
      <c r="DH157" s="65"/>
      <c r="DJ157" s="136">
        <v>42921</v>
      </c>
      <c r="DK157" s="137" t="s">
        <v>242</v>
      </c>
      <c r="DL157" s="137" t="s">
        <v>239</v>
      </c>
      <c r="DM157" s="138">
        <v>213.91249999999999</v>
      </c>
      <c r="DN157" s="113"/>
    </row>
    <row r="158" spans="112:118" ht="15" thickTop="1" thickBot="1">
      <c r="DH158" s="65"/>
      <c r="DJ158" s="136">
        <v>42922</v>
      </c>
      <c r="DK158" s="137" t="s">
        <v>240</v>
      </c>
      <c r="DL158" s="137" t="s">
        <v>239</v>
      </c>
      <c r="DM158" s="138">
        <v>97.542600000000007</v>
      </c>
      <c r="DN158" s="113"/>
    </row>
    <row r="159" spans="112:118" ht="15" thickTop="1" thickBot="1">
      <c r="DH159" s="65"/>
      <c r="DJ159" s="136">
        <v>42925</v>
      </c>
      <c r="DK159" s="137" t="s">
        <v>247</v>
      </c>
      <c r="DL159" s="137" t="s">
        <v>239</v>
      </c>
      <c r="DM159" s="138">
        <v>68</v>
      </c>
      <c r="DN159" s="113"/>
    </row>
    <row r="160" spans="112:118" ht="15" thickTop="1" thickBot="1">
      <c r="DH160" s="65"/>
      <c r="DJ160" s="136">
        <v>42926</v>
      </c>
      <c r="DK160" s="137" t="s">
        <v>248</v>
      </c>
      <c r="DL160" s="137" t="s">
        <v>238</v>
      </c>
      <c r="DM160" s="138">
        <v>88.817399999999992</v>
      </c>
      <c r="DN160" s="113"/>
    </row>
    <row r="161" spans="112:118" ht="15" thickTop="1" thickBot="1">
      <c r="DH161" s="65"/>
      <c r="DJ161" s="136">
        <v>42927</v>
      </c>
      <c r="DK161" s="137" t="s">
        <v>240</v>
      </c>
      <c r="DL161" s="137" t="s">
        <v>238</v>
      </c>
      <c r="DM161" s="138">
        <v>197.53649999999999</v>
      </c>
      <c r="DN161" s="113"/>
    </row>
    <row r="162" spans="112:118" ht="15" thickTop="1" thickBot="1">
      <c r="DH162" s="65"/>
      <c r="DJ162" s="136">
        <v>42929</v>
      </c>
      <c r="DK162" s="137" t="s">
        <v>246</v>
      </c>
      <c r="DL162" s="137" t="s">
        <v>239</v>
      </c>
      <c r="DM162" s="138">
        <v>63.624600000000001</v>
      </c>
      <c r="DN162" s="113"/>
    </row>
    <row r="163" spans="112:118" ht="15" thickTop="1" thickBot="1">
      <c r="DH163" s="65"/>
      <c r="DJ163" s="136">
        <v>42929</v>
      </c>
      <c r="DK163" s="137" t="s">
        <v>249</v>
      </c>
      <c r="DL163" s="137" t="s">
        <v>239</v>
      </c>
      <c r="DM163" s="138">
        <v>208.7296</v>
      </c>
      <c r="DN163" s="113"/>
    </row>
    <row r="164" spans="112:118" ht="15" thickTop="1" thickBot="1">
      <c r="DH164" s="65"/>
      <c r="DJ164" s="136">
        <v>42930</v>
      </c>
      <c r="DK164" s="137" t="s">
        <v>243</v>
      </c>
      <c r="DL164" s="137" t="s">
        <v>238</v>
      </c>
      <c r="DM164" s="138">
        <v>198.49829999999997</v>
      </c>
      <c r="DN164" s="113"/>
    </row>
    <row r="165" spans="112:118" ht="15" thickTop="1" thickBot="1">
      <c r="DH165" s="65"/>
      <c r="DJ165" s="136">
        <v>42931</v>
      </c>
      <c r="DK165" s="137" t="s">
        <v>244</v>
      </c>
      <c r="DL165" s="137" t="s">
        <v>239</v>
      </c>
      <c r="DM165" s="138">
        <v>163.87959999999998</v>
      </c>
      <c r="DN165" s="113"/>
    </row>
    <row r="166" spans="112:118" ht="15" thickTop="1" thickBot="1">
      <c r="DH166" s="65"/>
      <c r="DJ166" s="136">
        <v>42932</v>
      </c>
      <c r="DK166" s="137" t="s">
        <v>242</v>
      </c>
      <c r="DL166" s="137" t="s">
        <v>239</v>
      </c>
      <c r="DM166" s="138">
        <v>234.35</v>
      </c>
      <c r="DN166" s="113"/>
    </row>
    <row r="167" spans="112:118" ht="15" thickTop="1" thickBot="1">
      <c r="DH167" s="65"/>
      <c r="DJ167" s="136">
        <v>42935</v>
      </c>
      <c r="DK167" s="137" t="s">
        <v>246</v>
      </c>
      <c r="DL167" s="137" t="s">
        <v>239</v>
      </c>
      <c r="DM167" s="138">
        <v>152.5</v>
      </c>
      <c r="DN167" s="113"/>
    </row>
    <row r="168" spans="112:118" ht="15" thickTop="1" thickBot="1">
      <c r="DH168" s="65"/>
      <c r="DJ168" s="136">
        <v>42935</v>
      </c>
      <c r="DK168" s="137" t="s">
        <v>249</v>
      </c>
      <c r="DL168" s="137" t="s">
        <v>239</v>
      </c>
      <c r="DM168" s="138">
        <v>198.24860000000001</v>
      </c>
      <c r="DN168" s="113"/>
    </row>
    <row r="169" spans="112:118" ht="15" thickTop="1" thickBot="1">
      <c r="DH169" s="65"/>
      <c r="DJ169" s="136">
        <v>42936</v>
      </c>
      <c r="DK169" s="137" t="s">
        <v>248</v>
      </c>
      <c r="DL169" s="137" t="s">
        <v>238</v>
      </c>
      <c r="DM169" s="138">
        <v>60.637500000000003</v>
      </c>
      <c r="DN169" s="113"/>
    </row>
    <row r="170" spans="112:118" ht="15" thickTop="1" thickBot="1">
      <c r="DH170" s="65"/>
      <c r="DJ170" s="136">
        <v>42937</v>
      </c>
      <c r="DK170" s="137" t="s">
        <v>248</v>
      </c>
      <c r="DL170" s="137" t="s">
        <v>239</v>
      </c>
      <c r="DM170" s="138">
        <v>77.692999999999998</v>
      </c>
      <c r="DN170" s="113"/>
    </row>
    <row r="171" spans="112:118" ht="15" thickTop="1" thickBot="1">
      <c r="DH171" s="65"/>
      <c r="DJ171" s="136">
        <v>42939</v>
      </c>
      <c r="DK171" s="137" t="s">
        <v>243</v>
      </c>
      <c r="DL171" s="137" t="s">
        <v>238</v>
      </c>
      <c r="DM171" s="138">
        <v>147.6875</v>
      </c>
      <c r="DN171" s="113"/>
    </row>
    <row r="172" spans="112:118" ht="15" thickTop="1" thickBot="1">
      <c r="DH172" s="65"/>
      <c r="DJ172" s="136">
        <v>42941</v>
      </c>
      <c r="DK172" s="137" t="s">
        <v>242</v>
      </c>
      <c r="DL172" s="137" t="s">
        <v>239</v>
      </c>
      <c r="DM172" s="138">
        <v>207.97479999999999</v>
      </c>
      <c r="DN172" s="113"/>
    </row>
    <row r="173" spans="112:118" ht="15" thickTop="1" thickBot="1">
      <c r="DH173" s="65"/>
      <c r="DJ173" s="136">
        <v>42942</v>
      </c>
      <c r="DK173" s="137" t="s">
        <v>240</v>
      </c>
      <c r="DL173" s="137" t="s">
        <v>238</v>
      </c>
      <c r="DM173" s="138">
        <v>38.1922</v>
      </c>
      <c r="DN173" s="113"/>
    </row>
    <row r="174" spans="112:118" ht="15" thickTop="1" thickBot="1">
      <c r="DH174" s="65"/>
      <c r="DJ174" s="136">
        <v>42946</v>
      </c>
      <c r="DK174" s="137" t="s">
        <v>240</v>
      </c>
      <c r="DL174" s="137" t="s">
        <v>238</v>
      </c>
      <c r="DM174" s="138">
        <v>96.9422</v>
      </c>
      <c r="DN174" s="113"/>
    </row>
    <row r="175" spans="112:118" ht="15" thickTop="1" thickBot="1">
      <c r="DH175" s="65"/>
      <c r="DJ175" s="136">
        <v>42947</v>
      </c>
      <c r="DK175" s="137" t="s">
        <v>240</v>
      </c>
      <c r="DL175" s="137" t="s">
        <v>239</v>
      </c>
      <c r="DM175" s="138">
        <v>275.26859999999999</v>
      </c>
      <c r="DN175" s="113"/>
    </row>
    <row r="176" spans="112:118" ht="15" thickTop="1" thickBot="1">
      <c r="DH176" s="65"/>
      <c r="DJ176" s="136">
        <v>42949</v>
      </c>
      <c r="DK176" s="137" t="s">
        <v>247</v>
      </c>
      <c r="DL176" s="137" t="s">
        <v>238</v>
      </c>
      <c r="DM176" s="138">
        <v>263.17500000000001</v>
      </c>
      <c r="DN176" s="113"/>
    </row>
    <row r="177" spans="112:118" ht="15" thickTop="1" thickBot="1">
      <c r="DH177" s="65"/>
      <c r="DJ177" s="136">
        <v>42951</v>
      </c>
      <c r="DK177" s="137" t="s">
        <v>248</v>
      </c>
      <c r="DL177" s="137" t="s">
        <v>239</v>
      </c>
      <c r="DM177" s="138">
        <v>235.46130000000002</v>
      </c>
      <c r="DN177" s="113"/>
    </row>
    <row r="178" spans="112:118" ht="15" thickTop="1" thickBot="1">
      <c r="DH178" s="65"/>
      <c r="DJ178" s="136">
        <v>42952</v>
      </c>
      <c r="DK178" s="137" t="s">
        <v>240</v>
      </c>
      <c r="DL178" s="137" t="s">
        <v>239</v>
      </c>
      <c r="DM178" s="138">
        <v>230.375</v>
      </c>
      <c r="DN178" s="113"/>
    </row>
    <row r="179" spans="112:118" ht="15" thickTop="1" thickBot="1">
      <c r="DH179" s="65"/>
      <c r="DJ179" s="136">
        <v>42955</v>
      </c>
      <c r="DK179" s="137" t="s">
        <v>247</v>
      </c>
      <c r="DL179" s="137" t="s">
        <v>239</v>
      </c>
      <c r="DM179" s="138">
        <v>102.6</v>
      </c>
      <c r="DN179" s="113"/>
    </row>
    <row r="180" spans="112:118" ht="15" thickTop="1" thickBot="1">
      <c r="DH180" s="65"/>
      <c r="DJ180" s="136">
        <v>42956</v>
      </c>
      <c r="DK180" s="137" t="s">
        <v>244</v>
      </c>
      <c r="DL180" s="137" t="s">
        <v>239</v>
      </c>
      <c r="DM180" s="138">
        <v>29.567999999999998</v>
      </c>
      <c r="DN180" s="113"/>
    </row>
    <row r="181" spans="112:118" ht="15" thickTop="1" thickBot="1">
      <c r="DH181" s="65"/>
      <c r="DJ181" s="136">
        <v>42957</v>
      </c>
      <c r="DK181" s="137" t="s">
        <v>242</v>
      </c>
      <c r="DL181" s="137" t="s">
        <v>238</v>
      </c>
      <c r="DM181" s="138">
        <v>64.125</v>
      </c>
      <c r="DN181" s="113"/>
    </row>
    <row r="182" spans="112:118" ht="15" thickTop="1" thickBot="1">
      <c r="DH182" s="65"/>
      <c r="DJ182" s="136">
        <v>42960</v>
      </c>
      <c r="DK182" s="137" t="s">
        <v>243</v>
      </c>
      <c r="DL182" s="137" t="s">
        <v>238</v>
      </c>
      <c r="DM182" s="138">
        <v>72.785499999999999</v>
      </c>
      <c r="DN182" s="113"/>
    </row>
    <row r="183" spans="112:118" ht="15" thickTop="1" thickBot="1">
      <c r="DH183" s="65"/>
      <c r="DJ183" s="136">
        <v>42961</v>
      </c>
      <c r="DK183" s="137" t="s">
        <v>243</v>
      </c>
      <c r="DL183" s="137" t="s">
        <v>238</v>
      </c>
      <c r="DM183" s="138">
        <v>68.849999999999994</v>
      </c>
      <c r="DN183" s="113"/>
    </row>
    <row r="184" spans="112:118" ht="15" thickTop="1" thickBot="1">
      <c r="DH184" s="65"/>
      <c r="DJ184" s="136">
        <v>42962</v>
      </c>
      <c r="DK184" s="137" t="s">
        <v>245</v>
      </c>
      <c r="DL184" s="137" t="s">
        <v>238</v>
      </c>
      <c r="DM184" s="138">
        <v>26.7225</v>
      </c>
      <c r="DN184" s="113"/>
    </row>
    <row r="185" spans="112:118" ht="15" thickTop="1" thickBot="1">
      <c r="DH185" s="65"/>
      <c r="DJ185" s="136">
        <v>42965</v>
      </c>
      <c r="DK185" s="137" t="s">
        <v>246</v>
      </c>
      <c r="DL185" s="137" t="s">
        <v>239</v>
      </c>
      <c r="DM185" s="138">
        <v>70.63</v>
      </c>
      <c r="DN185" s="113"/>
    </row>
    <row r="186" spans="112:118" ht="15" thickTop="1" thickBot="1">
      <c r="DH186" s="65"/>
      <c r="DJ186" s="136">
        <v>42965</v>
      </c>
      <c r="DK186" s="137" t="s">
        <v>249</v>
      </c>
      <c r="DL186" s="137" t="s">
        <v>239</v>
      </c>
      <c r="DM186" s="138">
        <v>41.391800000000003</v>
      </c>
      <c r="DN186" s="113"/>
    </row>
    <row r="187" spans="112:118" ht="15" thickTop="1" thickBot="1">
      <c r="DH187" s="65"/>
      <c r="DJ187" s="136">
        <v>42966</v>
      </c>
      <c r="DK187" s="137" t="s">
        <v>250</v>
      </c>
      <c r="DL187" s="137" t="s">
        <v>239</v>
      </c>
      <c r="DM187" s="138">
        <v>70.204799999999992</v>
      </c>
      <c r="DN187" s="113"/>
    </row>
    <row r="188" spans="112:118" ht="15" thickTop="1" thickBot="1">
      <c r="DH188" s="65"/>
      <c r="DJ188" s="136">
        <v>42967</v>
      </c>
      <c r="DK188" s="137" t="s">
        <v>240</v>
      </c>
      <c r="DL188" s="137" t="s">
        <v>239</v>
      </c>
      <c r="DM188" s="138">
        <v>77.899799999999999</v>
      </c>
      <c r="DN188" s="113"/>
    </row>
    <row r="189" spans="112:118" ht="15" thickTop="1" thickBot="1">
      <c r="DH189" s="65"/>
      <c r="DJ189" s="136">
        <v>42969</v>
      </c>
      <c r="DK189" s="137" t="s">
        <v>243</v>
      </c>
      <c r="DL189" s="137" t="s">
        <v>238</v>
      </c>
      <c r="DM189" s="138">
        <v>139.6617</v>
      </c>
      <c r="DN189" s="113"/>
    </row>
    <row r="190" spans="112:118" ht="15" thickTop="1" thickBot="1">
      <c r="DH190" s="65"/>
      <c r="DJ190" s="136">
        <v>42971</v>
      </c>
      <c r="DK190" s="137" t="s">
        <v>250</v>
      </c>
      <c r="DL190" s="137" t="s">
        <v>239</v>
      </c>
      <c r="DM190" s="138">
        <v>219.9375</v>
      </c>
      <c r="DN190" s="113"/>
    </row>
    <row r="191" spans="112:118" ht="15" thickTop="1" thickBot="1">
      <c r="DH191" s="65"/>
      <c r="DJ191" s="136">
        <v>42972</v>
      </c>
      <c r="DK191" s="137" t="s">
        <v>240</v>
      </c>
      <c r="DL191" s="137" t="s">
        <v>239</v>
      </c>
      <c r="DM191" s="138">
        <v>65.25</v>
      </c>
      <c r="DN191" s="113"/>
    </row>
    <row r="192" spans="112:118" ht="15" thickTop="1" thickBot="1">
      <c r="DH192" s="65"/>
      <c r="DJ192" s="136">
        <v>42976</v>
      </c>
      <c r="DK192" s="137" t="s">
        <v>245</v>
      </c>
      <c r="DL192" s="137" t="s">
        <v>238</v>
      </c>
      <c r="DM192" s="138">
        <v>65</v>
      </c>
      <c r="DN192" s="113"/>
    </row>
    <row r="193" spans="112:118" ht="15" thickTop="1" thickBot="1">
      <c r="DH193" s="65"/>
      <c r="DJ193" s="136">
        <v>42977</v>
      </c>
      <c r="DK193" s="137" t="s">
        <v>243</v>
      </c>
      <c r="DL193" s="137" t="s">
        <v>238</v>
      </c>
      <c r="DM193" s="138">
        <v>36.229199999999999</v>
      </c>
      <c r="DN193" s="113"/>
    </row>
    <row r="194" spans="112:118" ht="15" thickTop="1" thickBot="1">
      <c r="DH194" s="65"/>
      <c r="DJ194" s="136">
        <v>42981</v>
      </c>
      <c r="DK194" s="137" t="s">
        <v>247</v>
      </c>
      <c r="DL194" s="137" t="s">
        <v>238</v>
      </c>
      <c r="DM194" s="138">
        <v>103.91760000000001</v>
      </c>
      <c r="DN194" s="113"/>
    </row>
    <row r="195" spans="112:118" ht="15" thickTop="1" thickBot="1">
      <c r="DH195" s="65"/>
      <c r="DJ195" s="136">
        <v>42981</v>
      </c>
      <c r="DK195" s="137" t="s">
        <v>247</v>
      </c>
      <c r="DL195" s="137" t="s">
        <v>239</v>
      </c>
      <c r="DM195" s="138">
        <v>58.974299999999999</v>
      </c>
      <c r="DN195" s="113"/>
    </row>
    <row r="196" spans="112:118" ht="15" thickTop="1" thickBot="1">
      <c r="DH196" s="65"/>
      <c r="DJ196" s="136">
        <v>42982</v>
      </c>
      <c r="DK196" s="137" t="s">
        <v>240</v>
      </c>
      <c r="DL196" s="137" t="s">
        <v>238</v>
      </c>
      <c r="DM196" s="138">
        <v>164.56189999999998</v>
      </c>
      <c r="DN196" s="113"/>
    </row>
    <row r="197" spans="112:118" ht="15" thickTop="1" thickBot="1">
      <c r="DH197" s="65"/>
      <c r="DJ197" s="136">
        <v>42985</v>
      </c>
      <c r="DK197" s="137" t="s">
        <v>247</v>
      </c>
      <c r="DL197" s="137" t="s">
        <v>239</v>
      </c>
      <c r="DM197" s="138">
        <v>150.22449999999998</v>
      </c>
      <c r="DN197" s="113"/>
    </row>
    <row r="198" spans="112:118" ht="15" thickTop="1" thickBot="1">
      <c r="DH198" s="65"/>
      <c r="DJ198" s="136">
        <v>42986</v>
      </c>
      <c r="DK198" s="137" t="s">
        <v>240</v>
      </c>
      <c r="DL198" s="137" t="s">
        <v>239</v>
      </c>
      <c r="DM198" s="138">
        <v>199.9616</v>
      </c>
      <c r="DN198" s="113"/>
    </row>
    <row r="199" spans="112:118" ht="15" thickTop="1" thickBot="1">
      <c r="DH199" s="65"/>
      <c r="DJ199" s="136">
        <v>42987</v>
      </c>
      <c r="DK199" s="137" t="s">
        <v>240</v>
      </c>
      <c r="DL199" s="137" t="s">
        <v>239</v>
      </c>
      <c r="DM199" s="138">
        <v>209.76249999999999</v>
      </c>
      <c r="DN199" s="113"/>
    </row>
    <row r="200" spans="112:118" ht="15" thickTop="1" thickBot="1">
      <c r="DH200" s="65"/>
      <c r="DJ200" s="136">
        <v>42990</v>
      </c>
      <c r="DK200" s="137" t="s">
        <v>243</v>
      </c>
      <c r="DL200" s="137" t="s">
        <v>238</v>
      </c>
      <c r="DM200" s="138">
        <v>114.4</v>
      </c>
      <c r="DN200" s="113"/>
    </row>
    <row r="201" spans="112:118" ht="15" thickTop="1" thickBot="1">
      <c r="DH201" s="65"/>
      <c r="DJ201" s="136">
        <v>42991</v>
      </c>
      <c r="DK201" s="137" t="s">
        <v>248</v>
      </c>
      <c r="DL201" s="137" t="s">
        <v>239</v>
      </c>
      <c r="DM201" s="138">
        <v>186.03749999999999</v>
      </c>
      <c r="DN201" s="113"/>
    </row>
    <row r="202" spans="112:118" ht="15" thickTop="1" thickBot="1">
      <c r="DH202" s="65"/>
      <c r="DJ202" s="136">
        <v>42992</v>
      </c>
      <c r="DK202" s="137" t="s">
        <v>242</v>
      </c>
      <c r="DL202" s="137" t="s">
        <v>238</v>
      </c>
      <c r="DM202" s="138">
        <v>24.460799999999999</v>
      </c>
      <c r="DN202" s="113"/>
    </row>
    <row r="203" spans="112:118" ht="15" thickTop="1" thickBot="1">
      <c r="DH203" s="65"/>
      <c r="DJ203" s="136">
        <v>42995</v>
      </c>
      <c r="DK203" s="137" t="s">
        <v>246</v>
      </c>
      <c r="DL203" s="137" t="s">
        <v>239</v>
      </c>
      <c r="DM203" s="138">
        <v>45.237499999999997</v>
      </c>
      <c r="DN203" s="113"/>
    </row>
    <row r="204" spans="112:118" ht="15" thickTop="1" thickBot="1">
      <c r="DH204" s="65"/>
      <c r="DJ204" s="136">
        <v>42995</v>
      </c>
      <c r="DK204" s="137" t="s">
        <v>249</v>
      </c>
      <c r="DL204" s="137" t="s">
        <v>239</v>
      </c>
      <c r="DM204" s="138">
        <v>176.81659999999999</v>
      </c>
      <c r="DN204" s="113"/>
    </row>
    <row r="205" spans="112:118" ht="15" thickTop="1" thickBot="1">
      <c r="DH205" s="65"/>
      <c r="DJ205" s="136">
        <v>42996</v>
      </c>
      <c r="DK205" s="137" t="s">
        <v>244</v>
      </c>
      <c r="DL205" s="137" t="s">
        <v>239</v>
      </c>
      <c r="DM205" s="138">
        <v>75.574399999999997</v>
      </c>
      <c r="DN205" s="113"/>
    </row>
    <row r="206" spans="112:118" ht="15" thickTop="1" thickBot="1">
      <c r="DH206" s="65"/>
      <c r="DJ206" s="136">
        <v>42997</v>
      </c>
      <c r="DK206" s="137" t="s">
        <v>240</v>
      </c>
      <c r="DL206" s="137" t="s">
        <v>239</v>
      </c>
      <c r="DM206" s="138">
        <v>150.1</v>
      </c>
      <c r="DN206" s="113"/>
    </row>
    <row r="207" spans="112:118" ht="15" thickTop="1" thickBot="1">
      <c r="DH207" s="65"/>
      <c r="DJ207" s="136">
        <v>43001</v>
      </c>
      <c r="DK207" s="137" t="s">
        <v>250</v>
      </c>
      <c r="DL207" s="137" t="s">
        <v>238</v>
      </c>
      <c r="DM207" s="138">
        <v>183.8125</v>
      </c>
      <c r="DN207" s="113"/>
    </row>
    <row r="208" spans="112:118" ht="15" thickTop="1" thickBot="1">
      <c r="DH208" s="65"/>
      <c r="DJ208" s="136">
        <v>43002</v>
      </c>
      <c r="DK208" s="137" t="s">
        <v>242</v>
      </c>
      <c r="DL208" s="137" t="s">
        <v>239</v>
      </c>
      <c r="DM208" s="138">
        <v>173.85</v>
      </c>
      <c r="DN208" s="113"/>
    </row>
    <row r="209" spans="112:118" ht="15" thickTop="1" thickBot="1">
      <c r="DH209" s="65"/>
      <c r="DJ209" s="136">
        <v>43002</v>
      </c>
      <c r="DK209" s="137" t="s">
        <v>241</v>
      </c>
      <c r="DL209" s="137" t="s">
        <v>238</v>
      </c>
      <c r="DM209" s="138">
        <v>143.91</v>
      </c>
      <c r="DN209" s="113"/>
    </row>
    <row r="210" spans="112:118" ht="15" thickTop="1" thickBot="1">
      <c r="DH210" s="65"/>
      <c r="DJ210" s="136">
        <v>43006</v>
      </c>
      <c r="DK210" s="137" t="s">
        <v>240</v>
      </c>
      <c r="DL210" s="137" t="s">
        <v>238</v>
      </c>
      <c r="DM210" s="138">
        <v>232.73079999999999</v>
      </c>
      <c r="DN210" s="113"/>
    </row>
    <row r="211" spans="112:118" ht="15" thickTop="1" thickBot="1">
      <c r="DH211" s="65"/>
      <c r="DJ211" s="136">
        <v>43007</v>
      </c>
      <c r="DK211" s="137" t="s">
        <v>240</v>
      </c>
      <c r="DL211" s="137" t="s">
        <v>238</v>
      </c>
      <c r="DM211" s="138">
        <v>80.75</v>
      </c>
      <c r="DN211" s="113"/>
    </row>
    <row r="212" spans="112:118" ht="15" thickTop="1" thickBot="1">
      <c r="DH212" s="65"/>
      <c r="DJ212" s="136">
        <v>43011</v>
      </c>
      <c r="DK212" s="137" t="s">
        <v>250</v>
      </c>
      <c r="DL212" s="137" t="s">
        <v>239</v>
      </c>
      <c r="DM212" s="138">
        <v>223.4186</v>
      </c>
      <c r="DN212" s="113"/>
    </row>
    <row r="213" spans="112:118" ht="15" thickTop="1" thickBot="1">
      <c r="DH213" s="65"/>
      <c r="DJ213" s="136">
        <v>43012</v>
      </c>
      <c r="DK213" s="137" t="s">
        <v>240</v>
      </c>
      <c r="DL213" s="137" t="s">
        <v>239</v>
      </c>
      <c r="DM213" s="138">
        <v>65.650000000000006</v>
      </c>
      <c r="DN213" s="113"/>
    </row>
    <row r="214" spans="112:118" ht="15" thickTop="1" thickBot="1">
      <c r="DH214" s="65"/>
      <c r="DJ214" s="136">
        <v>43013</v>
      </c>
      <c r="DK214" s="137" t="s">
        <v>240</v>
      </c>
      <c r="DL214" s="137" t="s">
        <v>238</v>
      </c>
      <c r="DM214" s="138">
        <v>132.1164</v>
      </c>
      <c r="DN214" s="113"/>
    </row>
    <row r="215" spans="112:118" ht="15" thickTop="1" thickBot="1">
      <c r="DH215" s="65"/>
      <c r="DJ215" s="136">
        <v>43015</v>
      </c>
      <c r="DK215" s="137" t="s">
        <v>247</v>
      </c>
      <c r="DL215" s="137" t="s">
        <v>238</v>
      </c>
      <c r="DM215" s="138">
        <v>123.96719999999999</v>
      </c>
      <c r="DN215" s="113"/>
    </row>
    <row r="216" spans="112:118" ht="15" thickTop="1" thickBot="1">
      <c r="DH216" s="65"/>
      <c r="DJ216" s="136">
        <v>43015</v>
      </c>
      <c r="DK216" s="137" t="s">
        <v>248</v>
      </c>
      <c r="DL216" s="137" t="s">
        <v>238</v>
      </c>
      <c r="DM216" s="138">
        <v>189.70559999999998</v>
      </c>
      <c r="DN216" s="113"/>
    </row>
    <row r="217" spans="112:118" ht="15" thickTop="1" thickBot="1">
      <c r="DH217" s="65"/>
      <c r="DJ217" s="136">
        <v>43017</v>
      </c>
      <c r="DK217" s="137" t="s">
        <v>244</v>
      </c>
      <c r="DL217" s="137" t="s">
        <v>239</v>
      </c>
      <c r="DM217" s="138">
        <v>201.94200000000001</v>
      </c>
      <c r="DN217" s="113"/>
    </row>
    <row r="218" spans="112:118" ht="15" thickTop="1" thickBot="1">
      <c r="DH218" s="65"/>
      <c r="DJ218" s="136">
        <v>43017</v>
      </c>
      <c r="DK218" s="137" t="s">
        <v>243</v>
      </c>
      <c r="DL218" s="137" t="s">
        <v>238</v>
      </c>
      <c r="DM218" s="138">
        <v>189.39959999999999</v>
      </c>
      <c r="DN218" s="113"/>
    </row>
    <row r="219" spans="112:118" ht="15" thickTop="1" thickBot="1">
      <c r="DH219" s="65"/>
      <c r="DJ219" s="136">
        <v>43021</v>
      </c>
      <c r="DK219" s="137" t="s">
        <v>241</v>
      </c>
      <c r="DL219" s="137" t="s">
        <v>239</v>
      </c>
      <c r="DM219" s="138">
        <v>220.67500000000001</v>
      </c>
      <c r="DN219" s="113"/>
    </row>
    <row r="220" spans="112:118" ht="15" thickTop="1" thickBot="1">
      <c r="DH220" s="65"/>
      <c r="DJ220" s="136">
        <v>43022</v>
      </c>
      <c r="DK220" s="137" t="s">
        <v>250</v>
      </c>
      <c r="DL220" s="137" t="s">
        <v>238</v>
      </c>
      <c r="DM220" s="138">
        <v>227.24889999999999</v>
      </c>
      <c r="DN220" s="113"/>
    </row>
    <row r="221" spans="112:118" ht="15" thickTop="1" thickBot="1">
      <c r="DH221" s="65"/>
      <c r="DJ221" s="136">
        <v>43025</v>
      </c>
      <c r="DK221" s="137" t="s">
        <v>246</v>
      </c>
      <c r="DL221" s="137" t="s">
        <v>239</v>
      </c>
      <c r="DM221" s="138">
        <v>35.625</v>
      </c>
      <c r="DN221" s="113"/>
    </row>
    <row r="222" spans="112:118" ht="15" thickTop="1" thickBot="1">
      <c r="DH222" s="65"/>
      <c r="DJ222" s="136">
        <v>43025</v>
      </c>
      <c r="DK222" s="137" t="s">
        <v>249</v>
      </c>
      <c r="DL222" s="137" t="s">
        <v>239</v>
      </c>
      <c r="DM222" s="138">
        <v>46.2</v>
      </c>
      <c r="DN222" s="113"/>
    </row>
    <row r="223" spans="112:118" ht="15" thickTop="1" thickBot="1">
      <c r="DH223" s="65"/>
      <c r="DJ223" s="136">
        <v>43027</v>
      </c>
      <c r="DK223" s="137" t="s">
        <v>240</v>
      </c>
      <c r="DL223" s="137" t="s">
        <v>239</v>
      </c>
      <c r="DM223" s="138">
        <v>34.941800000000001</v>
      </c>
      <c r="DN223" s="113"/>
    </row>
    <row r="224" spans="112:118" ht="15" thickTop="1" thickBot="1">
      <c r="DH224" s="65"/>
      <c r="DJ224" s="136">
        <v>43032</v>
      </c>
      <c r="DK224" s="137" t="s">
        <v>240</v>
      </c>
      <c r="DL224" s="137" t="s">
        <v>239</v>
      </c>
      <c r="DM224" s="138">
        <v>72.267199999999988</v>
      </c>
      <c r="DN224" s="113"/>
    </row>
    <row r="225" spans="112:118" ht="15" thickTop="1" thickBot="1">
      <c r="DH225" s="65"/>
      <c r="DJ225" s="136">
        <v>43037</v>
      </c>
      <c r="DK225" s="137" t="s">
        <v>240</v>
      </c>
      <c r="DL225" s="137" t="s">
        <v>239</v>
      </c>
      <c r="DM225" s="138">
        <v>156.14789999999999</v>
      </c>
      <c r="DN225" s="113"/>
    </row>
    <row r="226" spans="112:118" ht="15" thickTop="1" thickBot="1">
      <c r="DH226" s="65"/>
      <c r="DJ226" s="136">
        <v>43042</v>
      </c>
      <c r="DK226" s="137" t="s">
        <v>242</v>
      </c>
      <c r="DL226" s="137" t="s">
        <v>238</v>
      </c>
      <c r="DM226" s="138">
        <v>155</v>
      </c>
      <c r="DN226" s="113"/>
    </row>
    <row r="227" spans="112:118" ht="15" thickTop="1" thickBot="1">
      <c r="DH227" s="65"/>
      <c r="DJ227" s="136">
        <v>43045</v>
      </c>
      <c r="DK227" s="137" t="s">
        <v>247</v>
      </c>
      <c r="DL227" s="137" t="s">
        <v>239</v>
      </c>
      <c r="DM227" s="138">
        <v>168.5625</v>
      </c>
      <c r="DN227" s="113"/>
    </row>
    <row r="228" spans="112:118" ht="15" thickTop="1" thickBot="1">
      <c r="DH228" s="65"/>
      <c r="DJ228" s="136">
        <v>43047</v>
      </c>
      <c r="DK228" s="137" t="s">
        <v>244</v>
      </c>
      <c r="DL228" s="137" t="s">
        <v>238</v>
      </c>
      <c r="DM228" s="138">
        <v>171.56700000000001</v>
      </c>
      <c r="DN228" s="113"/>
    </row>
    <row r="229" spans="112:118" ht="15" thickTop="1" thickBot="1">
      <c r="DH229" s="65"/>
      <c r="DJ229" s="136">
        <v>43051</v>
      </c>
      <c r="DK229" s="137" t="s">
        <v>243</v>
      </c>
      <c r="DL229" s="137" t="s">
        <v>238</v>
      </c>
      <c r="DM229" s="138">
        <v>234.28720000000001</v>
      </c>
      <c r="DN229" s="113"/>
    </row>
    <row r="230" spans="112:118" ht="15" thickTop="1" thickBot="1">
      <c r="DH230" s="65"/>
      <c r="DJ230" s="136">
        <v>43052</v>
      </c>
      <c r="DK230" s="137" t="s">
        <v>240</v>
      </c>
      <c r="DL230" s="137" t="s">
        <v>238</v>
      </c>
      <c r="DM230" s="138">
        <v>172.32499999999999</v>
      </c>
      <c r="DN230" s="113"/>
    </row>
    <row r="231" spans="112:118" ht="15" thickTop="1" thickBot="1">
      <c r="DH231" s="65"/>
      <c r="DJ231" s="136">
        <v>43055</v>
      </c>
      <c r="DK231" s="137" t="s">
        <v>246</v>
      </c>
      <c r="DL231" s="137" t="s">
        <v>239</v>
      </c>
      <c r="DM231" s="138">
        <v>27.3</v>
      </c>
      <c r="DN231" s="113"/>
    </row>
    <row r="232" spans="112:118" ht="15" thickTop="1" thickBot="1">
      <c r="DH232" s="65"/>
      <c r="DJ232" s="136">
        <v>43055</v>
      </c>
      <c r="DK232" s="137" t="s">
        <v>249</v>
      </c>
      <c r="DL232" s="137" t="s">
        <v>239</v>
      </c>
      <c r="DM232" s="138">
        <v>25.3</v>
      </c>
      <c r="DN232" s="113"/>
    </row>
    <row r="233" spans="112:118" ht="15" thickTop="1" thickBot="1">
      <c r="DH233" s="65"/>
      <c r="DJ233" s="136">
        <v>43057</v>
      </c>
      <c r="DK233" s="137" t="s">
        <v>245</v>
      </c>
      <c r="DL233" s="137" t="s">
        <v>238</v>
      </c>
      <c r="DM233" s="138">
        <v>96.1233</v>
      </c>
      <c r="DN233" s="113"/>
    </row>
    <row r="234" spans="112:118" ht="15" thickTop="1" thickBot="1">
      <c r="DH234" s="65"/>
      <c r="DJ234" s="136">
        <v>43062</v>
      </c>
      <c r="DK234" s="137" t="s">
        <v>250</v>
      </c>
      <c r="DL234" s="137" t="s">
        <v>239</v>
      </c>
      <c r="DM234" s="138">
        <v>106.2482</v>
      </c>
      <c r="DN234" s="113"/>
    </row>
    <row r="235" spans="112:118" ht="15" thickTop="1" thickBot="1">
      <c r="DH235" s="65"/>
      <c r="DJ235" s="136">
        <v>43067</v>
      </c>
      <c r="DK235" s="137" t="s">
        <v>240</v>
      </c>
      <c r="DL235" s="137" t="s">
        <v>239</v>
      </c>
      <c r="DM235" s="138">
        <v>208.86739999999998</v>
      </c>
      <c r="DN235" s="113"/>
    </row>
    <row r="236" spans="112:118" ht="15" thickTop="1" thickBot="1">
      <c r="DH236" s="65"/>
      <c r="DJ236" s="136">
        <v>43068</v>
      </c>
      <c r="DK236" s="137" t="s">
        <v>241</v>
      </c>
      <c r="DL236" s="137" t="s">
        <v>239</v>
      </c>
      <c r="DM236" s="138">
        <v>27.9</v>
      </c>
      <c r="DN236" s="113"/>
    </row>
    <row r="237" spans="112:118" ht="15" thickTop="1" thickBot="1">
      <c r="DH237" s="65"/>
      <c r="DJ237" s="136">
        <v>43072</v>
      </c>
      <c r="DK237" s="137" t="s">
        <v>248</v>
      </c>
      <c r="DL237" s="137" t="s">
        <v>238</v>
      </c>
      <c r="DM237" s="138">
        <v>204.6</v>
      </c>
      <c r="DN237" s="113"/>
    </row>
    <row r="238" spans="112:118" ht="15" thickTop="1" thickBot="1">
      <c r="DH238" s="65"/>
      <c r="DJ238" s="136">
        <v>43075</v>
      </c>
      <c r="DK238" s="137" t="s">
        <v>247</v>
      </c>
      <c r="DL238" s="137" t="s">
        <v>239</v>
      </c>
      <c r="DM238" s="138">
        <v>138.375</v>
      </c>
      <c r="DN238" s="113"/>
    </row>
    <row r="239" spans="112:118" ht="15" thickTop="1" thickBot="1">
      <c r="DH239" s="65"/>
      <c r="DJ239" s="136">
        <v>43077</v>
      </c>
      <c r="DK239" s="137" t="s">
        <v>245</v>
      </c>
      <c r="DL239" s="137" t="s">
        <v>239</v>
      </c>
      <c r="DM239" s="138">
        <v>186.66249999999999</v>
      </c>
      <c r="DN239" s="113"/>
    </row>
    <row r="240" spans="112:118" ht="15" thickTop="1" thickBot="1">
      <c r="DH240" s="65"/>
      <c r="DJ240" s="136">
        <v>43082</v>
      </c>
      <c r="DK240" s="137" t="s">
        <v>242</v>
      </c>
      <c r="DL240" s="137" t="s">
        <v>239</v>
      </c>
      <c r="DM240" s="138">
        <v>135</v>
      </c>
      <c r="DN240" s="113"/>
    </row>
    <row r="241" spans="112:118" ht="15" thickTop="1" thickBot="1">
      <c r="DH241" s="65"/>
      <c r="DJ241" s="136">
        <v>43085</v>
      </c>
      <c r="DK241" s="137" t="s">
        <v>246</v>
      </c>
      <c r="DL241" s="137" t="s">
        <v>239</v>
      </c>
      <c r="DM241" s="138">
        <v>111.5625</v>
      </c>
      <c r="DN241" s="113"/>
    </row>
    <row r="242" spans="112:118" ht="15" thickTop="1" thickBot="1">
      <c r="DH242" s="65"/>
      <c r="DJ242" s="136">
        <v>43085</v>
      </c>
      <c r="DK242" s="137" t="s">
        <v>249</v>
      </c>
      <c r="DL242" s="137" t="s">
        <v>239</v>
      </c>
      <c r="DM242" s="138">
        <v>155.625</v>
      </c>
      <c r="DN242" s="113"/>
    </row>
    <row r="243" spans="112:118" ht="15" thickTop="1" thickBot="1">
      <c r="DH243" s="65"/>
      <c r="DJ243" s="136">
        <v>43087</v>
      </c>
      <c r="DK243" s="137" t="s">
        <v>240</v>
      </c>
      <c r="DL243" s="137" t="s">
        <v>239</v>
      </c>
      <c r="DM243" s="138">
        <v>162.75</v>
      </c>
      <c r="DN243" s="113"/>
    </row>
    <row r="244" spans="112:118" ht="15" thickTop="1" thickBot="1">
      <c r="DH244" s="65"/>
      <c r="DJ244" s="136">
        <v>43092</v>
      </c>
      <c r="DK244" s="137" t="s">
        <v>240</v>
      </c>
      <c r="DL244" s="137" t="s">
        <v>238</v>
      </c>
      <c r="DM244" s="138">
        <v>28.9739</v>
      </c>
      <c r="DN244" s="113"/>
    </row>
    <row r="245" spans="112:118" ht="15" thickTop="1" thickBot="1">
      <c r="DH245" s="65"/>
      <c r="DJ245" s="136">
        <v>43097</v>
      </c>
      <c r="DK245" s="137" t="s">
        <v>242</v>
      </c>
      <c r="DL245" s="137" t="s">
        <v>239</v>
      </c>
      <c r="DM245" s="138">
        <v>70.2</v>
      </c>
      <c r="DN245" s="113"/>
    </row>
    <row r="246" spans="112:118" ht="14.65" thickTop="1"/>
  </sheetData>
  <mergeCells count="31">
    <mergeCell ref="DI1:DV1"/>
    <mergeCell ref="A1:P1"/>
    <mergeCell ref="DJ2:DM2"/>
    <mergeCell ref="DJ4:DR4"/>
    <mergeCell ref="DK7:DL7"/>
    <mergeCell ref="DN7:DO7"/>
    <mergeCell ref="DQ7:DR7"/>
    <mergeCell ref="CY6:DF6"/>
    <mergeCell ref="CY7:DF7"/>
    <mergeCell ref="X7:AF7"/>
    <mergeCell ref="X6:AF6"/>
    <mergeCell ref="O6:T6"/>
    <mergeCell ref="O7:T7"/>
    <mergeCell ref="AJ7:AN9"/>
    <mergeCell ref="AJ6:AN6"/>
    <mergeCell ref="CR6:CU6"/>
    <mergeCell ref="CR7:CU8"/>
    <mergeCell ref="H6:K6"/>
    <mergeCell ref="A6:D6"/>
    <mergeCell ref="A7:D7"/>
    <mergeCell ref="AJ10:AJ13"/>
    <mergeCell ref="BU7:CN7"/>
    <mergeCell ref="BU6:CN6"/>
    <mergeCell ref="AR6:BQ6"/>
    <mergeCell ref="AR7:BQ7"/>
    <mergeCell ref="H7:K7"/>
    <mergeCell ref="AK10:AK13"/>
    <mergeCell ref="AL10:AL13"/>
    <mergeCell ref="AM10:AM13"/>
    <mergeCell ref="AN10:AN13"/>
    <mergeCell ref="H8:K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70"/>
  <sheetViews>
    <sheetView showGridLines="0" topLeftCell="M1" workbookViewId="0">
      <selection activeCell="Q28" sqref="Q28"/>
    </sheetView>
  </sheetViews>
  <sheetFormatPr baseColWidth="10" defaultRowHeight="14.25"/>
  <cols>
    <col min="1" max="1" width="11.19921875" bestFit="1" customWidth="1"/>
    <col min="2" max="2" width="9.46484375" customWidth="1"/>
    <col min="3" max="3" width="10.796875" customWidth="1"/>
    <col min="4" max="4" width="9.46484375" customWidth="1"/>
    <col min="5" max="5" width="11.19921875" customWidth="1"/>
    <col min="6" max="6" width="3.46484375" customWidth="1"/>
    <col min="7" max="7" width="5.19921875" customWidth="1"/>
    <col min="10" max="10" width="38.6640625" customWidth="1"/>
    <col min="11" max="11" width="2.46484375" customWidth="1"/>
    <col min="12" max="12" width="2.19921875" style="17" customWidth="1"/>
    <col min="13" max="13" width="2.19921875" customWidth="1"/>
    <col min="14" max="14" width="14.19921875" customWidth="1"/>
    <col min="15" max="15" width="19.19921875" customWidth="1"/>
    <col min="16" max="16" width="12.19921875" customWidth="1"/>
    <col min="17" max="17" width="58.46484375" customWidth="1"/>
    <col min="18" max="18" width="1.73046875" customWidth="1"/>
    <col min="19" max="19" width="1.73046875" style="17" customWidth="1"/>
    <col min="20" max="20" width="5.33203125" customWidth="1"/>
    <col min="21" max="21" width="13.59765625" customWidth="1"/>
    <col min="22" max="22" width="20.265625" customWidth="1"/>
    <col min="24" max="24" width="5.53125" customWidth="1"/>
    <col min="25" max="25" width="1.73046875" style="17" customWidth="1"/>
    <col min="26" max="26" width="1.73046875" customWidth="1"/>
  </cols>
  <sheetData>
    <row r="1" spans="1:23" ht="18.75" customHeight="1">
      <c r="A1" s="199" t="s">
        <v>253</v>
      </c>
      <c r="R1" s="18"/>
      <c r="S1" s="21"/>
    </row>
    <row r="2" spans="1:23" ht="43.15" customHeight="1">
      <c r="N2" s="516" t="s">
        <v>166</v>
      </c>
      <c r="O2" s="516"/>
      <c r="P2" s="516"/>
      <c r="Q2" s="516"/>
      <c r="U2" s="515" t="s">
        <v>167</v>
      </c>
      <c r="V2" s="515"/>
      <c r="W2" s="515"/>
    </row>
    <row r="3" spans="1:23" ht="15.75" customHeight="1">
      <c r="A3" s="11" t="s">
        <v>30</v>
      </c>
      <c r="B3" s="12" t="s">
        <v>0</v>
      </c>
      <c r="C3" s="12" t="s">
        <v>1</v>
      </c>
      <c r="D3" s="12" t="s">
        <v>3</v>
      </c>
      <c r="E3" s="13" t="s">
        <v>2</v>
      </c>
      <c r="G3" s="517" t="s">
        <v>4</v>
      </c>
      <c r="H3" s="517"/>
      <c r="I3" s="517"/>
      <c r="J3" s="517"/>
      <c r="N3" s="516"/>
      <c r="O3" s="516"/>
      <c r="P3" s="516"/>
      <c r="Q3" s="516"/>
      <c r="U3" s="515"/>
      <c r="V3" s="515"/>
      <c r="W3" s="515"/>
    </row>
    <row r="4" spans="1:23">
      <c r="A4" s="2" t="s">
        <v>31</v>
      </c>
      <c r="B4" s="3">
        <v>8</v>
      </c>
      <c r="C4" s="3">
        <v>11</v>
      </c>
      <c r="D4" s="3">
        <v>19</v>
      </c>
      <c r="E4" s="3">
        <v>7</v>
      </c>
      <c r="N4" s="516"/>
      <c r="O4" s="516"/>
      <c r="P4" s="516"/>
      <c r="Q4" s="516"/>
      <c r="U4" s="515"/>
      <c r="V4" s="515"/>
      <c r="W4" s="515"/>
    </row>
    <row r="5" spans="1:23">
      <c r="A5" s="2" t="s">
        <v>32</v>
      </c>
      <c r="B5" s="3">
        <v>14</v>
      </c>
      <c r="C5" s="3">
        <v>12</v>
      </c>
      <c r="D5" s="3">
        <v>6</v>
      </c>
      <c r="E5" s="3">
        <v>9</v>
      </c>
      <c r="R5" s="19"/>
      <c r="S5" s="22"/>
      <c r="U5" s="14"/>
    </row>
    <row r="6" spans="1:23" ht="32.25" customHeight="1">
      <c r="A6" s="2" t="s">
        <v>33</v>
      </c>
      <c r="B6" s="3">
        <v>11</v>
      </c>
      <c r="C6" s="3">
        <v>13</v>
      </c>
      <c r="D6" s="3">
        <v>9</v>
      </c>
      <c r="E6" s="3">
        <v>18</v>
      </c>
      <c r="N6" s="5" t="s">
        <v>6</v>
      </c>
      <c r="O6" s="5" t="s">
        <v>7</v>
      </c>
      <c r="P6" s="5" t="s">
        <v>8</v>
      </c>
      <c r="Q6" s="6" t="s">
        <v>9</v>
      </c>
      <c r="R6" s="20"/>
      <c r="S6" s="23"/>
      <c r="U6" s="6" t="s">
        <v>39</v>
      </c>
      <c r="V6" s="6" t="s">
        <v>389</v>
      </c>
      <c r="W6" s="6" t="s">
        <v>40</v>
      </c>
    </row>
    <row r="7" spans="1:23" ht="15.75" customHeight="1">
      <c r="A7" s="2" t="s">
        <v>34</v>
      </c>
      <c r="B7" s="3">
        <v>12</v>
      </c>
      <c r="C7" s="3">
        <v>16</v>
      </c>
      <c r="D7" s="3">
        <v>15</v>
      </c>
      <c r="E7" s="3">
        <v>10</v>
      </c>
      <c r="N7" s="7" t="s">
        <v>10</v>
      </c>
      <c r="O7" s="8" t="s">
        <v>11</v>
      </c>
      <c r="P7" s="9">
        <v>3481.4</v>
      </c>
      <c r="Q7" s="10">
        <v>11</v>
      </c>
      <c r="R7" s="20"/>
      <c r="S7" s="23"/>
      <c r="U7" s="15" t="s">
        <v>41</v>
      </c>
      <c r="V7" s="200">
        <v>4</v>
      </c>
      <c r="W7" s="201">
        <v>4</v>
      </c>
    </row>
    <row r="8" spans="1:23">
      <c r="A8" s="2" t="s">
        <v>35</v>
      </c>
      <c r="B8" s="3">
        <v>13</v>
      </c>
      <c r="C8" s="3">
        <v>9</v>
      </c>
      <c r="D8" s="3">
        <v>18</v>
      </c>
      <c r="E8" s="3">
        <v>15</v>
      </c>
      <c r="N8" s="7" t="s">
        <v>12</v>
      </c>
      <c r="O8" s="8" t="s">
        <v>13</v>
      </c>
      <c r="P8" s="9">
        <v>2624.44</v>
      </c>
      <c r="Q8" s="10">
        <v>15</v>
      </c>
      <c r="R8" s="20"/>
      <c r="S8" s="23"/>
      <c r="U8" s="15" t="s">
        <v>42</v>
      </c>
      <c r="V8" s="200">
        <v>5</v>
      </c>
      <c r="W8" s="201">
        <v>3</v>
      </c>
    </row>
    <row r="9" spans="1:23">
      <c r="A9" s="2" t="s">
        <v>36</v>
      </c>
      <c r="B9" s="3">
        <v>7</v>
      </c>
      <c r="C9" s="3">
        <v>12</v>
      </c>
      <c r="D9" s="3">
        <v>11</v>
      </c>
      <c r="E9" s="3">
        <v>13</v>
      </c>
      <c r="N9" s="7" t="s">
        <v>14</v>
      </c>
      <c r="O9" s="8" t="s">
        <v>13</v>
      </c>
      <c r="P9" s="9">
        <v>2249.52</v>
      </c>
      <c r="Q9" s="10">
        <v>9</v>
      </c>
      <c r="R9" s="20"/>
      <c r="S9" s="23"/>
      <c r="U9" s="15" t="s">
        <v>43</v>
      </c>
      <c r="V9" s="200">
        <v>2</v>
      </c>
      <c r="W9" s="201">
        <v>1</v>
      </c>
    </row>
    <row r="10" spans="1:23">
      <c r="A10" s="2" t="s">
        <v>37</v>
      </c>
      <c r="B10" s="3">
        <v>10</v>
      </c>
      <c r="C10" s="3">
        <v>14</v>
      </c>
      <c r="D10" s="3">
        <v>14</v>
      </c>
      <c r="E10" s="3">
        <v>13</v>
      </c>
      <c r="N10" s="7" t="s">
        <v>15</v>
      </c>
      <c r="O10" s="8" t="s">
        <v>16</v>
      </c>
      <c r="P10" s="9">
        <v>1713.92</v>
      </c>
      <c r="Q10" s="10">
        <v>18</v>
      </c>
      <c r="R10" s="20"/>
      <c r="S10" s="23"/>
      <c r="U10" s="15" t="s">
        <v>44</v>
      </c>
      <c r="V10" s="200">
        <v>6</v>
      </c>
      <c r="W10" s="201">
        <v>6</v>
      </c>
    </row>
    <row r="11" spans="1:23">
      <c r="A11" s="2" t="s">
        <v>38</v>
      </c>
      <c r="B11" s="3">
        <v>9</v>
      </c>
      <c r="C11" s="3">
        <v>6</v>
      </c>
      <c r="D11" s="3">
        <v>10</v>
      </c>
      <c r="E11" s="3">
        <v>14</v>
      </c>
      <c r="N11" s="7" t="s">
        <v>17</v>
      </c>
      <c r="O11" s="8" t="s">
        <v>11</v>
      </c>
      <c r="P11" s="9">
        <v>2624.44</v>
      </c>
      <c r="Q11" s="10">
        <v>16</v>
      </c>
      <c r="R11" s="20"/>
      <c r="S11" s="23"/>
      <c r="U11" s="15" t="s">
        <v>45</v>
      </c>
      <c r="V11" s="200">
        <v>6</v>
      </c>
      <c r="W11" s="201">
        <v>4</v>
      </c>
    </row>
    <row r="12" spans="1:23">
      <c r="N12" s="7" t="s">
        <v>18</v>
      </c>
      <c r="O12" s="8" t="s">
        <v>16</v>
      </c>
      <c r="P12" s="9">
        <v>1561.8096</v>
      </c>
      <c r="Q12" s="10">
        <v>12</v>
      </c>
      <c r="R12" s="20"/>
      <c r="S12" s="23"/>
      <c r="U12" s="15" t="s">
        <v>46</v>
      </c>
      <c r="V12" s="200">
        <v>6</v>
      </c>
      <c r="W12" s="201">
        <v>6</v>
      </c>
    </row>
    <row r="13" spans="1:23">
      <c r="N13" s="7" t="s">
        <v>19</v>
      </c>
      <c r="O13" s="8" t="s">
        <v>13</v>
      </c>
      <c r="P13" s="9">
        <v>2120.9760000000001</v>
      </c>
      <c r="Q13" s="10">
        <v>14</v>
      </c>
      <c r="R13" s="20"/>
      <c r="S13" s="23"/>
      <c r="U13" s="15" t="s">
        <v>47</v>
      </c>
      <c r="V13" s="200">
        <v>4</v>
      </c>
      <c r="W13" s="201">
        <v>4</v>
      </c>
    </row>
    <row r="14" spans="1:23">
      <c r="N14" s="7" t="s">
        <v>20</v>
      </c>
      <c r="O14" s="8" t="s">
        <v>11</v>
      </c>
      <c r="P14" s="9">
        <v>3160.04</v>
      </c>
      <c r="Q14" s="10">
        <v>11</v>
      </c>
      <c r="R14" s="20"/>
      <c r="S14" s="23"/>
      <c r="U14" s="15" t="s">
        <v>48</v>
      </c>
      <c r="V14" s="200">
        <v>6</v>
      </c>
      <c r="W14" s="201">
        <v>5</v>
      </c>
    </row>
    <row r="15" spans="1:23">
      <c r="N15" s="7" t="s">
        <v>21</v>
      </c>
      <c r="O15" s="8" t="s">
        <v>11</v>
      </c>
      <c r="P15" s="9">
        <v>4177.68</v>
      </c>
      <c r="Q15" s="10">
        <v>10</v>
      </c>
      <c r="R15" s="20"/>
      <c r="S15" s="23"/>
      <c r="U15" s="15" t="s">
        <v>49</v>
      </c>
      <c r="V15" s="200">
        <v>7</v>
      </c>
      <c r="W15" s="201">
        <v>7</v>
      </c>
    </row>
    <row r="16" spans="1:23">
      <c r="N16" s="7" t="s">
        <v>22</v>
      </c>
      <c r="O16" s="8" t="s">
        <v>16</v>
      </c>
      <c r="P16" s="9">
        <v>2013.8560000000002</v>
      </c>
      <c r="Q16" s="10">
        <v>18</v>
      </c>
      <c r="R16" s="20"/>
      <c r="S16" s="23"/>
      <c r="U16" s="15" t="s">
        <v>50</v>
      </c>
      <c r="V16" s="200">
        <v>7</v>
      </c>
      <c r="W16" s="201">
        <v>7</v>
      </c>
    </row>
    <row r="17" spans="1:24">
      <c r="N17" s="7" t="s">
        <v>23</v>
      </c>
      <c r="O17" s="8" t="s">
        <v>11</v>
      </c>
      <c r="P17" s="9">
        <v>3106.48</v>
      </c>
      <c r="Q17" s="10">
        <v>14</v>
      </c>
      <c r="R17" s="20"/>
      <c r="S17" s="23"/>
      <c r="U17" s="15" t="s">
        <v>51</v>
      </c>
      <c r="V17" s="201">
        <v>6</v>
      </c>
      <c r="W17" s="201">
        <v>5</v>
      </c>
    </row>
    <row r="18" spans="1:24">
      <c r="N18" s="7" t="s">
        <v>24</v>
      </c>
      <c r="O18" s="8" t="s">
        <v>16</v>
      </c>
      <c r="P18" s="9">
        <v>1561.8096</v>
      </c>
      <c r="Q18" s="10">
        <v>12</v>
      </c>
      <c r="R18" s="20"/>
      <c r="S18" s="23"/>
      <c r="U18" s="202" t="s">
        <v>51</v>
      </c>
      <c r="V18" s="201">
        <v>6</v>
      </c>
      <c r="W18" s="203">
        <v>5</v>
      </c>
    </row>
    <row r="19" spans="1:24">
      <c r="N19" s="7" t="s">
        <v>25</v>
      </c>
      <c r="O19" s="8" t="s">
        <v>13</v>
      </c>
      <c r="P19" s="9">
        <v>2024.5680000000002</v>
      </c>
      <c r="Q19" s="10">
        <v>16</v>
      </c>
      <c r="R19" s="20"/>
      <c r="S19" s="23"/>
      <c r="U19" s="202" t="s">
        <v>390</v>
      </c>
      <c r="V19" s="201">
        <v>5</v>
      </c>
      <c r="W19" s="203">
        <v>4</v>
      </c>
    </row>
    <row r="20" spans="1:24" ht="14.65" thickBot="1">
      <c r="A20" s="11" t="s">
        <v>30</v>
      </c>
      <c r="B20" s="12" t="s">
        <v>0</v>
      </c>
      <c r="C20" s="12" t="s">
        <v>1</v>
      </c>
      <c r="D20" s="12" t="s">
        <v>3</v>
      </c>
      <c r="E20" s="13" t="s">
        <v>165</v>
      </c>
      <c r="G20" t="s">
        <v>164</v>
      </c>
      <c r="N20" s="7" t="s">
        <v>26</v>
      </c>
      <c r="O20" s="8" t="s">
        <v>16</v>
      </c>
      <c r="P20" s="9">
        <v>1746.0560000000003</v>
      </c>
      <c r="Q20" s="10">
        <v>10</v>
      </c>
      <c r="R20" s="20"/>
      <c r="S20" s="23"/>
      <c r="U20" s="204" t="s">
        <v>391</v>
      </c>
      <c r="V20" s="205">
        <v>4</v>
      </c>
      <c r="W20" s="206">
        <v>4</v>
      </c>
    </row>
    <row r="21" spans="1:24" ht="14.65">
      <c r="A21" s="2" t="s">
        <v>31</v>
      </c>
      <c r="B21" s="3">
        <v>8</v>
      </c>
      <c r="C21" s="3">
        <v>11</v>
      </c>
      <c r="D21" s="3">
        <v>19</v>
      </c>
      <c r="E21" s="3">
        <v>7</v>
      </c>
      <c r="H21" s="24" t="s">
        <v>52</v>
      </c>
      <c r="N21" s="7" t="s">
        <v>27</v>
      </c>
      <c r="O21" s="8" t="s">
        <v>16</v>
      </c>
      <c r="P21" s="9">
        <v>1986.0048000000002</v>
      </c>
      <c r="Q21" s="10">
        <v>13</v>
      </c>
      <c r="R21" s="20"/>
      <c r="S21" s="23"/>
    </row>
    <row r="22" spans="1:24" ht="14.65">
      <c r="A22" s="2" t="s">
        <v>32</v>
      </c>
      <c r="B22" s="3">
        <v>14</v>
      </c>
      <c r="C22" s="3">
        <v>12</v>
      </c>
      <c r="D22" s="3">
        <v>6</v>
      </c>
      <c r="E22" s="3">
        <v>9</v>
      </c>
      <c r="H22" s="24" t="s">
        <v>53</v>
      </c>
      <c r="N22" s="7" t="s">
        <v>28</v>
      </c>
      <c r="O22" s="8" t="s">
        <v>16</v>
      </c>
      <c r="P22" s="9">
        <v>1799.6160000000002</v>
      </c>
      <c r="Q22" s="10">
        <v>13</v>
      </c>
      <c r="R22" s="20"/>
      <c r="S22" s="23"/>
      <c r="T22" s="518" t="s">
        <v>392</v>
      </c>
      <c r="U22" s="519"/>
      <c r="V22" s="519"/>
      <c r="W22" s="519"/>
      <c r="X22" s="519"/>
    </row>
    <row r="23" spans="1:24" ht="14.65" customHeight="1">
      <c r="A23" s="2" t="s">
        <v>33</v>
      </c>
      <c r="B23" s="3">
        <v>11</v>
      </c>
      <c r="C23" s="3">
        <v>13</v>
      </c>
      <c r="D23" s="3">
        <v>9</v>
      </c>
      <c r="E23" s="3">
        <v>18</v>
      </c>
      <c r="H23" s="24" t="s">
        <v>54</v>
      </c>
      <c r="N23" s="7" t="s">
        <v>29</v>
      </c>
      <c r="O23" s="8" t="s">
        <v>13</v>
      </c>
      <c r="P23" s="9">
        <v>2086.6976</v>
      </c>
      <c r="Q23" s="10">
        <v>14</v>
      </c>
      <c r="T23" s="519"/>
      <c r="U23" s="519"/>
      <c r="V23" s="519"/>
      <c r="W23" s="519"/>
      <c r="X23" s="519"/>
    </row>
    <row r="24" spans="1:24" ht="14.65">
      <c r="A24" s="2" t="s">
        <v>34</v>
      </c>
      <c r="B24" s="3">
        <v>12</v>
      </c>
      <c r="C24" s="3">
        <v>16</v>
      </c>
      <c r="D24" s="3">
        <v>15</v>
      </c>
      <c r="E24" s="3">
        <v>10</v>
      </c>
      <c r="H24" s="24" t="s">
        <v>55</v>
      </c>
      <c r="T24" s="207" t="s">
        <v>393</v>
      </c>
    </row>
    <row r="25" spans="1:24">
      <c r="A25" s="2" t="s">
        <v>35</v>
      </c>
      <c r="B25" s="3">
        <v>13</v>
      </c>
      <c r="C25" s="3">
        <v>9</v>
      </c>
      <c r="D25" s="3">
        <v>18</v>
      </c>
      <c r="E25" s="3">
        <v>15</v>
      </c>
      <c r="G25" s="208" t="s">
        <v>394</v>
      </c>
    </row>
    <row r="26" spans="1:24">
      <c r="A26" s="2" t="s">
        <v>36</v>
      </c>
      <c r="B26" s="3">
        <v>7</v>
      </c>
      <c r="C26" s="3">
        <v>12</v>
      </c>
      <c r="D26" s="3">
        <v>11</v>
      </c>
      <c r="E26" s="3">
        <v>13</v>
      </c>
    </row>
    <row r="27" spans="1:24">
      <c r="A27" s="2" t="s">
        <v>37</v>
      </c>
      <c r="B27" s="3">
        <v>10</v>
      </c>
      <c r="C27" s="3">
        <v>14</v>
      </c>
      <c r="D27" s="3">
        <v>14</v>
      </c>
      <c r="E27" s="3">
        <v>13</v>
      </c>
    </row>
    <row r="28" spans="1:24">
      <c r="A28" s="2" t="s">
        <v>38</v>
      </c>
      <c r="B28" s="3">
        <v>9</v>
      </c>
      <c r="C28" s="3">
        <v>6</v>
      </c>
      <c r="D28" s="3">
        <v>10</v>
      </c>
      <c r="E28" s="3">
        <v>14</v>
      </c>
    </row>
    <row r="37" spans="1:20" ht="15.4" customHeight="1">
      <c r="A37" s="11" t="s">
        <v>30</v>
      </c>
      <c r="B37" s="12" t="s">
        <v>0</v>
      </c>
      <c r="C37" s="12" t="s">
        <v>1</v>
      </c>
      <c r="D37" s="12" t="s">
        <v>3</v>
      </c>
      <c r="E37" s="13" t="s">
        <v>2</v>
      </c>
      <c r="G37" t="s">
        <v>5</v>
      </c>
    </row>
    <row r="38" spans="1:20" ht="14.65">
      <c r="A38" s="2" t="s">
        <v>31</v>
      </c>
      <c r="B38" s="3">
        <v>8</v>
      </c>
      <c r="C38" s="3">
        <v>11</v>
      </c>
      <c r="D38" s="3">
        <v>19</v>
      </c>
      <c r="E38" s="3">
        <v>7</v>
      </c>
      <c r="H38" s="24" t="s">
        <v>56</v>
      </c>
    </row>
    <row r="39" spans="1:20">
      <c r="A39" s="2" t="s">
        <v>32</v>
      </c>
      <c r="B39" s="3">
        <v>14</v>
      </c>
      <c r="C39" s="3">
        <v>12</v>
      </c>
      <c r="D39" s="3">
        <v>6</v>
      </c>
      <c r="E39" s="3">
        <v>9</v>
      </c>
      <c r="H39" s="514" t="s">
        <v>57</v>
      </c>
      <c r="I39" s="514"/>
      <c r="J39" s="514"/>
    </row>
    <row r="40" spans="1:20">
      <c r="A40" s="2" t="s">
        <v>33</v>
      </c>
      <c r="B40" s="3">
        <v>11</v>
      </c>
      <c r="C40" s="3">
        <v>13</v>
      </c>
      <c r="D40" s="3">
        <v>9</v>
      </c>
      <c r="E40" s="3">
        <v>18</v>
      </c>
      <c r="H40" s="514"/>
      <c r="I40" s="514"/>
      <c r="J40" s="514"/>
    </row>
    <row r="41" spans="1:20" ht="14.65">
      <c r="A41" s="2" t="s">
        <v>34</v>
      </c>
      <c r="B41" s="3">
        <v>12</v>
      </c>
      <c r="C41" s="3">
        <v>16</v>
      </c>
      <c r="D41" s="3">
        <v>15</v>
      </c>
      <c r="E41" s="3">
        <v>10</v>
      </c>
      <c r="H41" s="24" t="s">
        <v>58</v>
      </c>
    </row>
    <row r="42" spans="1:20">
      <c r="A42" s="2" t="s">
        <v>35</v>
      </c>
      <c r="B42" s="3">
        <v>13</v>
      </c>
      <c r="C42" s="3">
        <v>9</v>
      </c>
      <c r="D42" s="3">
        <v>18</v>
      </c>
      <c r="E42" s="3">
        <v>15</v>
      </c>
      <c r="G42" s="208" t="s">
        <v>395</v>
      </c>
    </row>
    <row r="43" spans="1:20">
      <c r="A43" s="2" t="s">
        <v>36</v>
      </c>
      <c r="B43" s="3">
        <v>7</v>
      </c>
      <c r="C43" s="3">
        <v>12</v>
      </c>
      <c r="D43" s="3">
        <v>11</v>
      </c>
      <c r="E43" s="3">
        <v>13</v>
      </c>
    </row>
    <row r="44" spans="1:20">
      <c r="A44" s="2" t="s">
        <v>37</v>
      </c>
      <c r="B44" s="3">
        <v>10</v>
      </c>
      <c r="C44" s="3">
        <v>14</v>
      </c>
      <c r="D44" s="3">
        <v>14</v>
      </c>
      <c r="E44" s="3">
        <v>13</v>
      </c>
      <c r="T44" s="207" t="s">
        <v>396</v>
      </c>
    </row>
    <row r="45" spans="1:20">
      <c r="A45" s="2" t="s">
        <v>38</v>
      </c>
      <c r="B45" s="3">
        <v>9</v>
      </c>
      <c r="C45" s="3">
        <v>6</v>
      </c>
      <c r="D45" s="3">
        <v>10</v>
      </c>
      <c r="E45" s="3">
        <v>14</v>
      </c>
    </row>
    <row r="70" spans="20:20">
      <c r="T70" s="207" t="s">
        <v>397</v>
      </c>
    </row>
  </sheetData>
  <mergeCells count="5">
    <mergeCell ref="H39:J40"/>
    <mergeCell ref="U2:W4"/>
    <mergeCell ref="N2:Q4"/>
    <mergeCell ref="G3:J3"/>
    <mergeCell ref="T22:X23"/>
  </mergeCells>
  <conditionalFormatting sqref="B21:E28">
    <cfRule type="cellIs" dxfId="6" priority="6" operator="between">
      <formula>14</formula>
      <formula>20</formula>
    </cfRule>
    <cfRule type="cellIs" dxfId="5" priority="7" operator="between">
      <formula>11</formula>
      <formula>13</formula>
    </cfRule>
    <cfRule type="cellIs" dxfId="4" priority="8" operator="between">
      <formula>7</formula>
      <formula>10</formula>
    </cfRule>
    <cfRule type="cellIs" dxfId="3" priority="9" operator="between">
      <formula>0</formula>
      <formula>6</formula>
    </cfRule>
  </conditionalFormatting>
  <conditionalFormatting sqref="Q7:Q23">
    <cfRule type="dataBar" priority="2">
      <dataBar>
        <cfvo type="min"/>
        <cfvo type="max"/>
        <color rgb="FF7030A0"/>
      </dataBar>
      <extLst>
        <ext xmlns:x14="http://schemas.microsoft.com/office/spreadsheetml/2009/9/main" uri="{B025F937-C7B1-47D3-B67F-A62EFF666E3E}">
          <x14:id>{BDBD3E51-4D98-4765-A093-B0CF0CFA33F1}</x14:id>
        </ext>
      </extLst>
    </cfRule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{4CCB42F0-2C9C-476D-A5DB-86E2576DF80C}</x14:id>
        </ext>
      </extLst>
    </cfRule>
    <cfRule type="dataBar" priority="5">
      <dataBar>
        <cfvo type="min"/>
        <cfvo type="max"/>
        <color rgb="FF7030A0"/>
      </dataBar>
      <extLst>
        <ext xmlns:x14="http://schemas.microsoft.com/office/spreadsheetml/2009/9/main" uri="{B025F937-C7B1-47D3-B67F-A62EFF666E3E}">
          <x14:id>{0381E8F0-85B7-4DFA-81B1-D6BB076263C6}</x14:id>
        </ext>
      </extLst>
    </cfRule>
  </conditionalFormatting>
  <conditionalFormatting sqref="B4:E11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38:E45">
    <cfRule type="iconSet" priority="4">
      <iconSet iconSet="3Symbols">
        <cfvo type="percent" val="0"/>
        <cfvo type="num" val="9" gte="0"/>
        <cfvo type="num" val="13"/>
      </iconSet>
    </cfRule>
  </conditionalFormatting>
  <conditionalFormatting sqref="U7:W20">
    <cfRule type="expression" dxfId="2" priority="1">
      <formula>$W7&lt;$V7</formula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DBD3E51-4D98-4765-A093-B0CF0CFA33F1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CCB42F0-2C9C-476D-A5DB-86E2576DF8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381E8F0-85B7-4DFA-81B1-D6BB076263C6}">
            <x14:dataBar minLength="0" maxLength="100" border="1">
              <x14:cfvo type="autoMin"/>
              <x14:cfvo type="autoMax"/>
              <x14:borderColor rgb="FF7030A0"/>
              <x14:negativeFillColor rgb="FFFF0000"/>
              <x14:axisColor rgb="FF000000"/>
            </x14:dataBar>
          </x14:cfRule>
          <xm:sqref>Q7:Q23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7492-A4C1-4D0D-A6F0-F245F21B0145}">
  <dimension ref="A1:BP87"/>
  <sheetViews>
    <sheetView workbookViewId="0"/>
  </sheetViews>
  <sheetFormatPr baseColWidth="10" defaultRowHeight="14.25"/>
  <cols>
    <col min="1" max="1" width="9.53125" customWidth="1"/>
    <col min="2" max="8" width="9.46484375" customWidth="1"/>
    <col min="9" max="9" width="63.19921875" customWidth="1"/>
    <col min="10" max="12" width="2.46484375" customWidth="1"/>
    <col min="13" max="13" width="14.46484375" customWidth="1"/>
    <col min="21" max="23" width="2.46484375" customWidth="1"/>
    <col min="24" max="24" width="16" customWidth="1"/>
    <col min="26" max="26" width="12.46484375" bestFit="1" customWidth="1"/>
    <col min="33" max="36" width="2.46484375" customWidth="1"/>
    <col min="37" max="37" width="22" customWidth="1"/>
    <col min="44" max="44" width="10.9296875" customWidth="1"/>
    <col min="45" max="47" width="2.46484375" customWidth="1"/>
    <col min="48" max="48" width="22.19921875" customWidth="1"/>
    <col min="50" max="50" width="14.73046875" style="210" bestFit="1" customWidth="1"/>
    <col min="56" max="58" width="2.46484375" customWidth="1"/>
    <col min="59" max="59" width="17.46484375" bestFit="1" customWidth="1"/>
    <col min="60" max="65" width="6.53125" style="1" bestFit="1" customWidth="1"/>
    <col min="67" max="67" width="68.59765625" customWidth="1"/>
    <col min="68" max="69" width="2.46484375" customWidth="1"/>
  </cols>
  <sheetData>
    <row r="1" spans="1:68" ht="23.25">
      <c r="A1" s="209" t="s">
        <v>398</v>
      </c>
    </row>
    <row r="2" spans="1:68">
      <c r="B2" s="528" t="s">
        <v>399</v>
      </c>
      <c r="C2" s="528"/>
      <c r="D2" s="528"/>
      <c r="E2" s="528"/>
      <c r="F2" s="528"/>
      <c r="G2" s="528"/>
      <c r="H2" s="528"/>
      <c r="I2" s="528"/>
      <c r="M2" s="528" t="s">
        <v>400</v>
      </c>
      <c r="N2" s="528"/>
      <c r="O2" s="528"/>
      <c r="P2" s="528"/>
      <c r="Q2" s="528"/>
      <c r="R2" s="528"/>
      <c r="S2" s="528"/>
      <c r="T2" s="528"/>
      <c r="X2" s="528" t="s">
        <v>401</v>
      </c>
      <c r="Y2" s="528"/>
      <c r="Z2" s="528"/>
      <c r="AA2" s="528"/>
      <c r="AB2" s="528"/>
      <c r="AC2" s="528"/>
      <c r="AD2" s="528"/>
      <c r="AE2" s="528"/>
      <c r="AF2" s="528"/>
      <c r="AJ2" s="528" t="s">
        <v>402</v>
      </c>
      <c r="AK2" s="528"/>
      <c r="AL2" s="528"/>
      <c r="AM2" s="528"/>
      <c r="AN2" s="528"/>
      <c r="AO2" s="528"/>
      <c r="AP2" s="528"/>
      <c r="AQ2" s="528"/>
      <c r="AR2" s="528"/>
      <c r="AV2" s="528" t="s">
        <v>403</v>
      </c>
      <c r="AW2" s="528"/>
      <c r="AX2" s="528"/>
      <c r="AY2" s="528"/>
      <c r="AZ2" s="528"/>
      <c r="BA2" s="528"/>
      <c r="BB2" s="528"/>
      <c r="BC2" s="528"/>
      <c r="BG2" s="528" t="s">
        <v>404</v>
      </c>
      <c r="BH2" s="528"/>
      <c r="BI2" s="528"/>
      <c r="BJ2" s="528"/>
      <c r="BK2" s="528"/>
      <c r="BL2" s="528"/>
      <c r="BM2" s="528"/>
      <c r="BN2" s="528"/>
    </row>
    <row r="3" spans="1:68">
      <c r="K3" s="211"/>
      <c r="V3" s="211"/>
      <c r="AH3" s="211"/>
      <c r="AT3" s="211"/>
      <c r="BE3" s="211"/>
      <c r="BP3" s="211"/>
    </row>
    <row r="4" spans="1:68">
      <c r="A4" s="488" t="s">
        <v>405</v>
      </c>
      <c r="B4" s="488"/>
      <c r="C4" s="488"/>
      <c r="K4" s="211"/>
      <c r="V4" s="211"/>
      <c r="AH4" s="211"/>
      <c r="AT4" s="211"/>
      <c r="AV4" s="524" t="s">
        <v>406</v>
      </c>
      <c r="AW4" s="524"/>
      <c r="AX4" s="524"/>
      <c r="AY4" s="524"/>
      <c r="AZ4" s="524"/>
      <c r="BA4" s="524"/>
      <c r="BB4" s="524"/>
      <c r="BC4" s="524"/>
      <c r="BE4" s="211"/>
      <c r="BG4" s="186" t="s">
        <v>407</v>
      </c>
      <c r="BH4" s="186">
        <v>2012</v>
      </c>
      <c r="BI4" s="186">
        <v>2013</v>
      </c>
      <c r="BJ4" s="186">
        <v>2014</v>
      </c>
      <c r="BK4" s="186">
        <v>2015</v>
      </c>
      <c r="BL4" s="186">
        <v>2016</v>
      </c>
      <c r="BM4" s="186">
        <v>2017</v>
      </c>
      <c r="BO4" t="s">
        <v>408</v>
      </c>
      <c r="BP4" s="211"/>
    </row>
    <row r="5" spans="1:68">
      <c r="J5" s="168"/>
      <c r="K5" s="212"/>
      <c r="M5" s="213" t="s">
        <v>409</v>
      </c>
      <c r="N5" s="213" t="s">
        <v>410</v>
      </c>
      <c r="O5" s="213" t="s">
        <v>170</v>
      </c>
      <c r="U5" s="168"/>
      <c r="V5" s="212"/>
      <c r="X5" s="214" t="s">
        <v>411</v>
      </c>
      <c r="Y5" s="214" t="s">
        <v>412</v>
      </c>
      <c r="Z5" s="214" t="s">
        <v>121</v>
      </c>
      <c r="AG5" s="168"/>
      <c r="AH5" s="212"/>
      <c r="AK5" t="s">
        <v>413</v>
      </c>
      <c r="AS5" s="168"/>
      <c r="AT5" s="212"/>
      <c r="AV5" s="524"/>
      <c r="AW5" s="524"/>
      <c r="AX5" s="524"/>
      <c r="AY5" s="524"/>
      <c r="AZ5" s="524"/>
      <c r="BA5" s="524"/>
      <c r="BB5" s="524"/>
      <c r="BC5" s="524"/>
      <c r="BD5" s="168"/>
      <c r="BE5" s="212"/>
      <c r="BG5" s="186" t="s">
        <v>414</v>
      </c>
      <c r="BH5" s="43">
        <v>125</v>
      </c>
      <c r="BI5" s="43">
        <v>145</v>
      </c>
      <c r="BJ5" s="43">
        <v>167</v>
      </c>
      <c r="BK5" s="43">
        <v>204</v>
      </c>
      <c r="BL5" s="43">
        <v>220</v>
      </c>
      <c r="BM5" s="43">
        <v>312</v>
      </c>
      <c r="BO5" s="168" t="s">
        <v>415</v>
      </c>
      <c r="BP5" s="212"/>
    </row>
    <row r="6" spans="1:68">
      <c r="A6" s="128" t="s">
        <v>416</v>
      </c>
      <c r="B6" s="128" t="s">
        <v>417</v>
      </c>
      <c r="C6" s="128" t="s">
        <v>418</v>
      </c>
      <c r="D6" s="128" t="s">
        <v>419</v>
      </c>
      <c r="E6" s="128" t="s">
        <v>420</v>
      </c>
      <c r="F6" s="128" t="s">
        <v>421</v>
      </c>
      <c r="G6" s="128" t="s">
        <v>422</v>
      </c>
      <c r="H6" s="215" t="s">
        <v>423</v>
      </c>
      <c r="J6" s="170"/>
      <c r="K6" s="216"/>
      <c r="M6" s="43" t="s">
        <v>424</v>
      </c>
      <c r="N6" s="43" t="s">
        <v>320</v>
      </c>
      <c r="O6" s="31">
        <v>28564</v>
      </c>
      <c r="U6" s="170"/>
      <c r="V6" s="216"/>
      <c r="X6" s="43" t="s">
        <v>425</v>
      </c>
      <c r="Y6" s="43" t="s">
        <v>426</v>
      </c>
      <c r="Z6" s="31">
        <v>8650</v>
      </c>
      <c r="AG6" s="170"/>
      <c r="AH6" s="216"/>
      <c r="AS6" s="170"/>
      <c r="AT6" s="216"/>
      <c r="BD6" s="170"/>
      <c r="BE6" s="216"/>
      <c r="BG6" s="186" t="s">
        <v>427</v>
      </c>
      <c r="BH6" s="31">
        <v>520</v>
      </c>
      <c r="BI6" s="31">
        <v>490</v>
      </c>
      <c r="BJ6" s="31">
        <v>467</v>
      </c>
      <c r="BK6" s="31">
        <v>445</v>
      </c>
      <c r="BL6" s="31">
        <v>420</v>
      </c>
      <c r="BM6" s="31">
        <v>405</v>
      </c>
      <c r="BO6" s="170"/>
      <c r="BP6" s="216"/>
    </row>
    <row r="7" spans="1:68">
      <c r="A7" s="128" t="s">
        <v>428</v>
      </c>
      <c r="B7" s="43">
        <v>567</v>
      </c>
      <c r="C7" s="43">
        <v>754</v>
      </c>
      <c r="D7" s="43">
        <v>1234</v>
      </c>
      <c r="E7" s="43">
        <v>954</v>
      </c>
      <c r="F7" s="43">
        <v>654</v>
      </c>
      <c r="G7" s="43">
        <v>538</v>
      </c>
      <c r="H7" s="43">
        <v>345</v>
      </c>
      <c r="J7" s="170"/>
      <c r="K7" s="216"/>
      <c r="M7" s="43" t="s">
        <v>424</v>
      </c>
      <c r="N7" s="43" t="s">
        <v>321</v>
      </c>
      <c r="O7" s="31">
        <v>38076</v>
      </c>
      <c r="U7" s="170"/>
      <c r="V7" s="216"/>
      <c r="X7" s="43" t="s">
        <v>425</v>
      </c>
      <c r="Y7" s="43" t="s">
        <v>429</v>
      </c>
      <c r="Z7" s="31">
        <v>18230</v>
      </c>
      <c r="AG7" s="170"/>
      <c r="AH7" s="216"/>
      <c r="AK7" s="217" t="s">
        <v>430</v>
      </c>
      <c r="AL7" s="218">
        <f>SUM(AL8:AL11)</f>
        <v>11110</v>
      </c>
      <c r="AS7" s="170"/>
      <c r="AT7" s="216"/>
      <c r="AV7" s="219" t="s">
        <v>431</v>
      </c>
      <c r="BD7" s="170"/>
      <c r="BE7" s="216"/>
      <c r="BO7" s="170"/>
      <c r="BP7" s="216"/>
    </row>
    <row r="8" spans="1:68">
      <c r="A8" s="128" t="s">
        <v>432</v>
      </c>
      <c r="B8" s="43">
        <v>345</v>
      </c>
      <c r="C8" s="43">
        <v>485</v>
      </c>
      <c r="D8" s="43">
        <v>597</v>
      </c>
      <c r="E8" s="43">
        <v>697</v>
      </c>
      <c r="F8" s="43">
        <v>643</v>
      </c>
      <c r="G8" s="43">
        <v>468</v>
      </c>
      <c r="H8" s="43">
        <v>265</v>
      </c>
      <c r="J8" s="170"/>
      <c r="K8" s="216"/>
      <c r="M8" s="43" t="s">
        <v>424</v>
      </c>
      <c r="N8" s="43" t="s">
        <v>322</v>
      </c>
      <c r="O8" s="31">
        <v>25738</v>
      </c>
      <c r="U8" s="170"/>
      <c r="V8" s="216"/>
      <c r="X8" s="43" t="s">
        <v>425</v>
      </c>
      <c r="Y8" s="43" t="s">
        <v>433</v>
      </c>
      <c r="Z8" s="31">
        <v>56455</v>
      </c>
      <c r="AG8" s="170"/>
      <c r="AH8" s="216"/>
      <c r="AJ8" s="525" t="s">
        <v>434</v>
      </c>
      <c r="AK8" s="526" t="s">
        <v>435</v>
      </c>
      <c r="AL8" s="527">
        <v>13000</v>
      </c>
      <c r="AS8" s="170"/>
      <c r="AT8" s="216"/>
      <c r="AV8" s="219" t="s">
        <v>436</v>
      </c>
      <c r="BD8" s="170"/>
      <c r="BE8" s="216"/>
      <c r="BO8" s="170"/>
      <c r="BP8" s="216"/>
    </row>
    <row r="9" spans="1:68">
      <c r="A9" s="128" t="s">
        <v>437</v>
      </c>
      <c r="B9" s="43">
        <v>853</v>
      </c>
      <c r="C9" s="43">
        <v>1268</v>
      </c>
      <c r="D9" s="43">
        <v>1584</v>
      </c>
      <c r="E9" s="43">
        <v>954</v>
      </c>
      <c r="F9" s="43">
        <v>863</v>
      </c>
      <c r="G9" s="43">
        <v>632</v>
      </c>
      <c r="H9" s="43">
        <v>378</v>
      </c>
      <c r="J9" s="170"/>
      <c r="K9" s="216"/>
      <c r="M9" s="43" t="s">
        <v>424</v>
      </c>
      <c r="N9" s="43" t="s">
        <v>323</v>
      </c>
      <c r="O9" s="31">
        <v>45822</v>
      </c>
      <c r="U9" s="170"/>
      <c r="V9" s="216"/>
      <c r="X9" s="43" t="s">
        <v>425</v>
      </c>
      <c r="Y9" s="43" t="s">
        <v>438</v>
      </c>
      <c r="Z9" s="31">
        <v>56587</v>
      </c>
      <c r="AG9" s="170"/>
      <c r="AH9" s="216"/>
      <c r="AJ9" s="525"/>
      <c r="AK9" s="526"/>
      <c r="AL9" s="527"/>
      <c r="AS9" s="170"/>
      <c r="AT9" s="216"/>
      <c r="BD9" s="170"/>
      <c r="BE9" s="216"/>
      <c r="BO9" s="170"/>
      <c r="BP9" s="216"/>
    </row>
    <row r="10" spans="1:68">
      <c r="A10" s="128" t="s">
        <v>439</v>
      </c>
      <c r="B10" s="43">
        <v>674</v>
      </c>
      <c r="C10" s="43">
        <v>735</v>
      </c>
      <c r="D10" s="43">
        <v>798</v>
      </c>
      <c r="E10" s="43">
        <v>643</v>
      </c>
      <c r="F10" s="43">
        <v>485</v>
      </c>
      <c r="G10" s="43">
        <v>257</v>
      </c>
      <c r="H10" s="43">
        <v>203</v>
      </c>
      <c r="K10" s="216"/>
      <c r="M10" s="43" t="s">
        <v>440</v>
      </c>
      <c r="N10" s="43" t="s">
        <v>324</v>
      </c>
      <c r="O10" s="31">
        <v>56382</v>
      </c>
      <c r="V10" s="216"/>
      <c r="X10" s="43" t="s">
        <v>425</v>
      </c>
      <c r="Y10" s="43" t="s">
        <v>441</v>
      </c>
      <c r="Z10" s="31">
        <v>82303</v>
      </c>
      <c r="AH10" s="216"/>
      <c r="AJ10" s="525"/>
      <c r="AK10" s="526" t="s">
        <v>442</v>
      </c>
      <c r="AL10" s="527">
        <v>-1890</v>
      </c>
      <c r="AT10" s="216"/>
      <c r="AV10" s="220" t="s">
        <v>443</v>
      </c>
      <c r="AW10" s="220" t="s">
        <v>444</v>
      </c>
      <c r="BE10" s="216"/>
      <c r="BP10" s="216"/>
    </row>
    <row r="11" spans="1:68">
      <c r="A11" s="128" t="s">
        <v>445</v>
      </c>
      <c r="B11" s="43">
        <v>753</v>
      </c>
      <c r="C11" s="43">
        <v>1278</v>
      </c>
      <c r="D11" s="43">
        <v>853</v>
      </c>
      <c r="E11" s="43">
        <v>584</v>
      </c>
      <c r="F11" s="43">
        <v>486</v>
      </c>
      <c r="G11" s="43">
        <v>385</v>
      </c>
      <c r="H11" s="43">
        <v>275</v>
      </c>
      <c r="K11" s="216"/>
      <c r="M11" s="43" t="s">
        <v>440</v>
      </c>
      <c r="N11" s="43" t="s">
        <v>325</v>
      </c>
      <c r="O11" s="31">
        <v>35283</v>
      </c>
      <c r="V11" s="216"/>
      <c r="X11" s="43" t="s">
        <v>446</v>
      </c>
      <c r="Y11" s="43" t="s">
        <v>447</v>
      </c>
      <c r="Z11" s="31">
        <v>45324</v>
      </c>
      <c r="AH11" s="216"/>
      <c r="AJ11" s="525"/>
      <c r="AK11" s="526"/>
      <c r="AL11" s="527"/>
      <c r="AT11" s="216"/>
      <c r="AV11" s="43" t="s">
        <v>448</v>
      </c>
      <c r="AW11" s="43">
        <v>3</v>
      </c>
      <c r="BE11" s="216"/>
      <c r="BP11" s="216"/>
    </row>
    <row r="12" spans="1:68" ht="14.55" customHeight="1">
      <c r="A12" s="128" t="s">
        <v>449</v>
      </c>
      <c r="B12" s="43">
        <v>534</v>
      </c>
      <c r="C12" s="43">
        <v>742</v>
      </c>
      <c r="D12" s="43">
        <v>842</v>
      </c>
      <c r="E12" s="43">
        <v>634</v>
      </c>
      <c r="F12" s="43">
        <v>365</v>
      </c>
      <c r="G12" s="43">
        <v>257</v>
      </c>
      <c r="H12" s="43">
        <v>199</v>
      </c>
      <c r="K12" s="211"/>
      <c r="M12" s="43" t="s">
        <v>440</v>
      </c>
      <c r="N12" s="43" t="s">
        <v>450</v>
      </c>
      <c r="O12" s="31">
        <v>58342</v>
      </c>
      <c r="V12" s="211"/>
      <c r="X12" s="43" t="s">
        <v>446</v>
      </c>
      <c r="Y12" s="43" t="s">
        <v>451</v>
      </c>
      <c r="Z12" s="31">
        <v>54321</v>
      </c>
      <c r="AH12" s="211"/>
      <c r="AK12" s="217" t="s">
        <v>452</v>
      </c>
      <c r="AL12" s="218">
        <f>SUM(AL13:AL17)</f>
        <v>-8500</v>
      </c>
      <c r="AT12" s="211"/>
      <c r="AV12" s="43" t="s">
        <v>453</v>
      </c>
      <c r="AW12" s="43">
        <v>1</v>
      </c>
      <c r="BE12" s="211"/>
      <c r="BP12" s="211"/>
    </row>
    <row r="13" spans="1:68">
      <c r="K13" s="211"/>
      <c r="M13" s="43" t="s">
        <v>440</v>
      </c>
      <c r="N13" s="43" t="s">
        <v>454</v>
      </c>
      <c r="O13" s="31">
        <v>45782</v>
      </c>
      <c r="V13" s="211"/>
      <c r="X13" s="43" t="s">
        <v>446</v>
      </c>
      <c r="Y13" s="43" t="s">
        <v>455</v>
      </c>
      <c r="Z13" s="31">
        <v>71234</v>
      </c>
      <c r="AH13" s="211"/>
      <c r="AJ13" s="520" t="s">
        <v>456</v>
      </c>
      <c r="AK13" s="15" t="s">
        <v>457</v>
      </c>
      <c r="AL13" s="221">
        <v>-1250</v>
      </c>
      <c r="AT13" s="211"/>
      <c r="AV13" s="43" t="s">
        <v>458</v>
      </c>
      <c r="AW13" s="43">
        <v>12</v>
      </c>
      <c r="BE13" s="211"/>
      <c r="BO13" t="s">
        <v>459</v>
      </c>
      <c r="BP13" s="211"/>
    </row>
    <row r="14" spans="1:68">
      <c r="K14" s="211"/>
      <c r="M14" s="43" t="s">
        <v>460</v>
      </c>
      <c r="N14" s="43" t="s">
        <v>461</v>
      </c>
      <c r="O14" s="31">
        <v>24643</v>
      </c>
      <c r="V14" s="211"/>
      <c r="X14" s="43" t="s">
        <v>446</v>
      </c>
      <c r="Y14" s="43" t="s">
        <v>462</v>
      </c>
      <c r="Z14" s="31">
        <v>112345</v>
      </c>
      <c r="AH14" s="211"/>
      <c r="AJ14" s="521"/>
      <c r="AK14" s="15" t="s">
        <v>463</v>
      </c>
      <c r="AL14" s="221">
        <v>-2500</v>
      </c>
      <c r="AT14" s="211"/>
      <c r="AV14" s="43" t="s">
        <v>464</v>
      </c>
      <c r="AW14" s="43">
        <v>7</v>
      </c>
      <c r="BE14" s="211"/>
      <c r="BP14" s="211"/>
    </row>
    <row r="15" spans="1:68">
      <c r="A15" s="523" t="s">
        <v>465</v>
      </c>
      <c r="B15" s="523"/>
      <c r="C15" s="523"/>
      <c r="D15" s="523"/>
      <c r="E15" s="523"/>
      <c r="F15" s="523"/>
      <c r="G15" s="523"/>
      <c r="H15" s="523"/>
      <c r="K15" s="211"/>
      <c r="M15" s="43" t="s">
        <v>460</v>
      </c>
      <c r="N15" s="43" t="s">
        <v>466</v>
      </c>
      <c r="O15" s="31">
        <v>47822</v>
      </c>
      <c r="V15" s="211"/>
      <c r="X15" s="43" t="s">
        <v>467</v>
      </c>
      <c r="Y15" s="43" t="s">
        <v>468</v>
      </c>
      <c r="Z15" s="31">
        <v>49250</v>
      </c>
      <c r="AH15" s="211"/>
      <c r="AJ15" s="521"/>
      <c r="AK15" s="15" t="s">
        <v>469</v>
      </c>
      <c r="AL15" s="221">
        <v>-3750</v>
      </c>
      <c r="AT15" s="211"/>
      <c r="AV15" s="43" t="s">
        <v>470</v>
      </c>
      <c r="AW15" s="43">
        <v>5</v>
      </c>
      <c r="BE15" s="211"/>
      <c r="BP15" s="211"/>
    </row>
    <row r="16" spans="1:68">
      <c r="K16" s="211"/>
      <c r="M16" s="43" t="s">
        <v>460</v>
      </c>
      <c r="N16" s="43" t="s">
        <v>471</v>
      </c>
      <c r="O16" s="31">
        <v>57883</v>
      </c>
      <c r="V16" s="211"/>
      <c r="X16" s="43" t="s">
        <v>467</v>
      </c>
      <c r="Y16" s="43" t="s">
        <v>472</v>
      </c>
      <c r="Z16" s="31">
        <v>64321</v>
      </c>
      <c r="AH16" s="211"/>
      <c r="AJ16" s="521"/>
      <c r="AK16" s="15" t="s">
        <v>473</v>
      </c>
      <c r="AL16" s="221">
        <v>-750</v>
      </c>
      <c r="AT16" s="211"/>
      <c r="AV16" s="43" t="s">
        <v>474</v>
      </c>
      <c r="AW16" s="43">
        <v>18</v>
      </c>
      <c r="BE16" s="211"/>
      <c r="BP16" s="211"/>
    </row>
    <row r="17" spans="1:68">
      <c r="A17" s="222"/>
      <c r="B17" s="223"/>
      <c r="C17" s="223"/>
      <c r="D17" s="223"/>
      <c r="E17" s="223"/>
      <c r="F17" s="223"/>
      <c r="G17" s="223"/>
      <c r="H17" s="224"/>
      <c r="K17" s="211"/>
      <c r="V17" s="211"/>
      <c r="AH17" s="211"/>
      <c r="AJ17" s="522"/>
      <c r="AK17" s="15" t="s">
        <v>475</v>
      </c>
      <c r="AL17" s="221">
        <v>-250</v>
      </c>
      <c r="AT17" s="211"/>
      <c r="AV17" s="43" t="s">
        <v>476</v>
      </c>
      <c r="AW17" s="43">
        <v>98</v>
      </c>
      <c r="BE17" s="211"/>
      <c r="BP17" s="211"/>
    </row>
    <row r="18" spans="1:68">
      <c r="A18" s="225"/>
      <c r="H18" s="226"/>
      <c r="K18" s="211"/>
      <c r="V18" s="211"/>
      <c r="AH18" s="211"/>
      <c r="AK18" s="217" t="s">
        <v>477</v>
      </c>
      <c r="AL18" s="218">
        <f>AL12+AL7</f>
        <v>2610</v>
      </c>
      <c r="AT18" s="211"/>
      <c r="AV18" s="227" t="s">
        <v>478</v>
      </c>
      <c r="AW18" s="43">
        <v>34</v>
      </c>
      <c r="BE18" s="211"/>
      <c r="BP18" s="211"/>
    </row>
    <row r="19" spans="1:68">
      <c r="A19" s="225"/>
      <c r="H19" s="226"/>
      <c r="K19" s="211"/>
      <c r="V19" s="211"/>
      <c r="AH19" s="211"/>
      <c r="AT19" s="211"/>
      <c r="AV19" s="227" t="s">
        <v>479</v>
      </c>
      <c r="AW19" s="43">
        <v>125</v>
      </c>
      <c r="BE19" s="211"/>
      <c r="BP19" s="211"/>
    </row>
    <row r="20" spans="1:68">
      <c r="A20" s="225"/>
      <c r="H20" s="226"/>
      <c r="K20" s="211"/>
      <c r="V20" s="211"/>
      <c r="AH20" s="211"/>
      <c r="AT20" s="211"/>
      <c r="AV20" s="140"/>
      <c r="AW20" s="140"/>
      <c r="BE20" s="211"/>
      <c r="BP20" s="211"/>
    </row>
    <row r="21" spans="1:68">
      <c r="A21" s="225"/>
      <c r="H21" s="226"/>
      <c r="K21" s="211"/>
      <c r="V21" s="211"/>
      <c r="AH21" s="211"/>
      <c r="AT21" s="211"/>
      <c r="AV21" s="140"/>
      <c r="AW21" s="140"/>
      <c r="BE21" s="211"/>
      <c r="BP21" s="211"/>
    </row>
    <row r="22" spans="1:68">
      <c r="A22" s="225"/>
      <c r="H22" s="226"/>
      <c r="K22" s="211"/>
      <c r="V22" s="211"/>
      <c r="AH22" s="211"/>
      <c r="AT22" s="211"/>
      <c r="AV22" s="140"/>
      <c r="AW22" s="140"/>
      <c r="BE22" s="211"/>
      <c r="BP22" s="211"/>
    </row>
    <row r="23" spans="1:68">
      <c r="A23" s="225"/>
      <c r="H23" s="226"/>
      <c r="K23" s="211"/>
      <c r="V23" s="211"/>
      <c r="AH23" s="211"/>
      <c r="AT23" s="211"/>
      <c r="AV23" s="140"/>
      <c r="AW23" s="140"/>
      <c r="BE23" s="211"/>
      <c r="BO23" t="s">
        <v>480</v>
      </c>
      <c r="BP23" s="211"/>
    </row>
    <row r="24" spans="1:68">
      <c r="A24" s="225"/>
      <c r="H24" s="226"/>
      <c r="K24" s="211"/>
      <c r="V24" s="211"/>
      <c r="AH24" s="211"/>
      <c r="AT24" s="211"/>
      <c r="AV24" s="140"/>
      <c r="AW24" s="140"/>
      <c r="BE24" s="211"/>
      <c r="BP24" s="211"/>
    </row>
    <row r="25" spans="1:68">
      <c r="A25" s="225"/>
      <c r="H25" s="226"/>
      <c r="K25" s="211"/>
      <c r="V25" s="211"/>
      <c r="AH25" s="211"/>
      <c r="AT25" s="211"/>
      <c r="AV25" s="140"/>
      <c r="AW25" s="140"/>
      <c r="BE25" s="211"/>
      <c r="BP25" s="211"/>
    </row>
    <row r="26" spans="1:68">
      <c r="A26" s="225"/>
      <c r="H26" s="226"/>
      <c r="K26" s="211"/>
      <c r="V26" s="211"/>
      <c r="AH26" s="211"/>
      <c r="AT26" s="211"/>
      <c r="AV26" s="140"/>
      <c r="AW26" s="140"/>
      <c r="BE26" s="211"/>
      <c r="BP26" s="211"/>
    </row>
    <row r="27" spans="1:68">
      <c r="A27" s="225"/>
      <c r="H27" s="226"/>
      <c r="K27" s="211"/>
      <c r="V27" s="211"/>
      <c r="AH27" s="211"/>
      <c r="AT27" s="211"/>
      <c r="AV27" s="140"/>
      <c r="AW27" s="140"/>
      <c r="BE27" s="211"/>
      <c r="BP27" s="211"/>
    </row>
    <row r="28" spans="1:68">
      <c r="A28" s="225"/>
      <c r="H28" s="226"/>
      <c r="K28" s="211"/>
      <c r="V28" s="211"/>
      <c r="AH28" s="211"/>
      <c r="AT28" s="211"/>
      <c r="AV28" s="140"/>
      <c r="AW28" s="140"/>
      <c r="BE28" s="211"/>
      <c r="BP28" s="211"/>
    </row>
    <row r="29" spans="1:68">
      <c r="A29" s="228"/>
      <c r="B29" s="229"/>
      <c r="C29" s="229"/>
      <c r="D29" s="229"/>
      <c r="E29" s="229"/>
      <c r="F29" s="229"/>
      <c r="G29" s="229"/>
      <c r="H29" s="230"/>
      <c r="K29" s="211"/>
      <c r="V29" s="211"/>
      <c r="AH29" s="211"/>
      <c r="AT29" s="211"/>
      <c r="AV29" s="140"/>
      <c r="AW29" s="140"/>
      <c r="BE29" s="211"/>
      <c r="BP29" s="211"/>
    </row>
    <row r="30" spans="1:68">
      <c r="K30" s="211"/>
      <c r="V30" s="211"/>
      <c r="AH30" s="211"/>
      <c r="AT30" s="211"/>
      <c r="AV30" s="140"/>
      <c r="AW30" s="140"/>
      <c r="BE30" s="211"/>
      <c r="BP30" s="211"/>
    </row>
    <row r="31" spans="1:68">
      <c r="AV31" s="140"/>
      <c r="AW31" s="140"/>
    </row>
    <row r="32" spans="1:68">
      <c r="AV32" s="140"/>
      <c r="AW32" s="140"/>
    </row>
    <row r="33" spans="48:67">
      <c r="AV33" s="140"/>
      <c r="AW33" s="140"/>
    </row>
    <row r="34" spans="48:67">
      <c r="AV34" s="140"/>
      <c r="AW34" s="140"/>
    </row>
    <row r="35" spans="48:67">
      <c r="AV35" s="140"/>
      <c r="AW35" s="140"/>
    </row>
    <row r="36" spans="48:67">
      <c r="AV36" s="140"/>
      <c r="AW36" s="140"/>
    </row>
    <row r="37" spans="48:67">
      <c r="AV37" s="140"/>
      <c r="AW37" s="140"/>
      <c r="BO37" t="s">
        <v>481</v>
      </c>
    </row>
    <row r="38" spans="48:67">
      <c r="AV38" s="140"/>
      <c r="AW38" s="140"/>
    </row>
    <row r="39" spans="48:67">
      <c r="AV39" s="140"/>
      <c r="AW39" s="140"/>
    </row>
    <row r="40" spans="48:67">
      <c r="AV40" s="140"/>
      <c r="AW40" s="140"/>
    </row>
    <row r="41" spans="48:67">
      <c r="AV41" s="140"/>
      <c r="AW41" s="140"/>
    </row>
    <row r="42" spans="48:67">
      <c r="AV42" s="140"/>
      <c r="AW42" s="140"/>
    </row>
    <row r="43" spans="48:67">
      <c r="AV43" s="140"/>
      <c r="AW43" s="140"/>
    </row>
    <row r="44" spans="48:67">
      <c r="AV44" s="140"/>
      <c r="AW44" s="140"/>
    </row>
    <row r="45" spans="48:67">
      <c r="AV45" s="140"/>
      <c r="AW45" s="140"/>
    </row>
    <row r="46" spans="48:67">
      <c r="AV46" s="140"/>
      <c r="AW46" s="140"/>
    </row>
    <row r="47" spans="48:67">
      <c r="AV47" s="140"/>
      <c r="AW47" s="140"/>
    </row>
    <row r="48" spans="48:67">
      <c r="AV48" s="140"/>
      <c r="AW48" s="140"/>
    </row>
    <row r="49" spans="48:49">
      <c r="AV49" s="140"/>
      <c r="AW49" s="140"/>
    </row>
    <row r="50" spans="48:49">
      <c r="AV50" s="140"/>
      <c r="AW50" s="140"/>
    </row>
    <row r="51" spans="48:49">
      <c r="AV51" s="140"/>
      <c r="AW51" s="140"/>
    </row>
    <row r="52" spans="48:49">
      <c r="AV52" s="140"/>
      <c r="AW52" s="140"/>
    </row>
    <row r="53" spans="48:49">
      <c r="AV53" s="140"/>
      <c r="AW53" s="140"/>
    </row>
    <row r="54" spans="48:49">
      <c r="AV54" s="140"/>
      <c r="AW54" s="140"/>
    </row>
    <row r="55" spans="48:49">
      <c r="AV55" s="140"/>
      <c r="AW55" s="140"/>
    </row>
    <row r="56" spans="48:49">
      <c r="AV56" s="140"/>
      <c r="AW56" s="140"/>
    </row>
    <row r="57" spans="48:49">
      <c r="AV57" s="140"/>
      <c r="AW57" s="140"/>
    </row>
    <row r="58" spans="48:49">
      <c r="AV58" s="140"/>
      <c r="AW58" s="140"/>
    </row>
    <row r="59" spans="48:49">
      <c r="AV59" s="140"/>
      <c r="AW59" s="140"/>
    </row>
    <row r="60" spans="48:49">
      <c r="AV60" s="140"/>
      <c r="AW60" s="140"/>
    </row>
    <row r="61" spans="48:49">
      <c r="AV61" s="140"/>
      <c r="AW61" s="140"/>
    </row>
    <row r="62" spans="48:49">
      <c r="AV62" s="140"/>
      <c r="AW62" s="140"/>
    </row>
    <row r="63" spans="48:49">
      <c r="AV63" s="140"/>
      <c r="AW63" s="140"/>
    </row>
    <row r="64" spans="48:49">
      <c r="AV64" s="140"/>
      <c r="AW64" s="140"/>
    </row>
    <row r="65" spans="48:49">
      <c r="AV65" s="140"/>
      <c r="AW65" s="140"/>
    </row>
    <row r="66" spans="48:49">
      <c r="AV66" s="140"/>
      <c r="AW66" s="140"/>
    </row>
    <row r="67" spans="48:49">
      <c r="AV67" s="140"/>
      <c r="AW67" s="140"/>
    </row>
    <row r="68" spans="48:49">
      <c r="AV68" s="140"/>
      <c r="AW68" s="140"/>
    </row>
    <row r="69" spans="48:49">
      <c r="AV69" s="140"/>
      <c r="AW69" s="140"/>
    </row>
    <row r="70" spans="48:49">
      <c r="AV70" s="140"/>
      <c r="AW70" s="140"/>
    </row>
    <row r="71" spans="48:49">
      <c r="AV71" s="140"/>
      <c r="AW71" s="140"/>
    </row>
    <row r="72" spans="48:49">
      <c r="AV72" s="140"/>
      <c r="AW72" s="140"/>
    </row>
    <row r="73" spans="48:49">
      <c r="AV73" s="140"/>
      <c r="AW73" s="140"/>
    </row>
    <row r="74" spans="48:49">
      <c r="AV74" s="140"/>
      <c r="AW74" s="140"/>
    </row>
    <row r="75" spans="48:49">
      <c r="AV75" s="140"/>
      <c r="AW75" s="140"/>
    </row>
    <row r="76" spans="48:49">
      <c r="AV76" s="140"/>
      <c r="AW76" s="140"/>
    </row>
    <row r="77" spans="48:49">
      <c r="AV77" s="140"/>
      <c r="AW77" s="140"/>
    </row>
    <row r="78" spans="48:49">
      <c r="AV78" s="140"/>
      <c r="AW78" s="140"/>
    </row>
    <row r="79" spans="48:49">
      <c r="AV79" s="140"/>
      <c r="AW79" s="140"/>
    </row>
    <row r="80" spans="48:49">
      <c r="AV80" s="140"/>
      <c r="AW80" s="140"/>
    </row>
    <row r="81" spans="48:49">
      <c r="AV81" s="140"/>
      <c r="AW81" s="140"/>
    </row>
    <row r="82" spans="48:49">
      <c r="AV82" s="140"/>
      <c r="AW82" s="140"/>
    </row>
    <row r="83" spans="48:49">
      <c r="AV83" s="140"/>
      <c r="AW83" s="140"/>
    </row>
    <row r="84" spans="48:49">
      <c r="AV84" s="140"/>
      <c r="AW84" s="140"/>
    </row>
    <row r="85" spans="48:49">
      <c r="AV85" s="140"/>
      <c r="AW85" s="140"/>
    </row>
    <row r="86" spans="48:49">
      <c r="AV86" s="140"/>
      <c r="AW86" s="140"/>
    </row>
    <row r="87" spans="48:49">
      <c r="AV87" s="140"/>
      <c r="AW87" s="140"/>
    </row>
  </sheetData>
  <mergeCells count="15">
    <mergeCell ref="BG2:BN2"/>
    <mergeCell ref="B2:I2"/>
    <mergeCell ref="M2:T2"/>
    <mergeCell ref="X2:AF2"/>
    <mergeCell ref="AJ2:AR2"/>
    <mergeCell ref="AV2:BC2"/>
    <mergeCell ref="AJ13:AJ17"/>
    <mergeCell ref="A15:H15"/>
    <mergeCell ref="A4:C4"/>
    <mergeCell ref="AV4:BC5"/>
    <mergeCell ref="AJ8:AJ11"/>
    <mergeCell ref="AK8:AK9"/>
    <mergeCell ref="AL8:AL9"/>
    <mergeCell ref="AK10:AK11"/>
    <mergeCell ref="AL10:AL11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F3F38-D329-46C9-B523-68703840F2B6}">
  <dimension ref="A1:BH21"/>
  <sheetViews>
    <sheetView showGridLines="0" topLeftCell="AU1" workbookViewId="0"/>
  </sheetViews>
  <sheetFormatPr baseColWidth="10" defaultRowHeight="14.25"/>
  <cols>
    <col min="2" max="13" width="5.46484375" customWidth="1"/>
    <col min="14" max="14" width="1.46484375" customWidth="1"/>
    <col min="15" max="15" width="21.53125" customWidth="1"/>
    <col min="16" max="18" width="2.46484375" customWidth="1"/>
    <col min="19" max="19" width="18.19921875" customWidth="1"/>
    <col min="20" max="23" width="11.46484375" bestFit="1" customWidth="1"/>
    <col min="24" max="24" width="2.265625" customWidth="1"/>
    <col min="25" max="25" width="23.53125" customWidth="1"/>
    <col min="26" max="28" width="2.46484375" customWidth="1"/>
    <col min="29" max="29" width="9.46484375" bestFit="1" customWidth="1"/>
    <col min="30" max="30" width="11.265625" bestFit="1" customWidth="1"/>
    <col min="31" max="42" width="9" bestFit="1" customWidth="1"/>
    <col min="43" max="43" width="2.265625" customWidth="1"/>
    <col min="44" max="44" width="17.53125" customWidth="1"/>
    <col min="45" max="47" width="2.46484375" customWidth="1"/>
    <col min="48" max="48" width="21" customWidth="1"/>
    <col min="57" max="57" width="10" customWidth="1"/>
    <col min="58" max="58" width="15" customWidth="1"/>
    <col min="59" max="61" width="2.46484375" customWidth="1"/>
  </cols>
  <sheetData>
    <row r="1" spans="1:60" ht="23.25">
      <c r="A1" s="209" t="s">
        <v>482</v>
      </c>
      <c r="Q1" s="25"/>
      <c r="AA1" s="25"/>
      <c r="AT1" s="25"/>
      <c r="BH1" s="25"/>
    </row>
    <row r="2" spans="1:60">
      <c r="Q2" s="25"/>
      <c r="AA2" s="25"/>
      <c r="AT2" s="25"/>
      <c r="BH2" s="25"/>
    </row>
    <row r="3" spans="1:60" s="168" customFormat="1">
      <c r="Q3" s="169"/>
      <c r="AA3" s="169"/>
      <c r="AT3" s="169"/>
      <c r="BH3" s="169"/>
    </row>
    <row r="4" spans="1:60" s="170" customFormat="1" ht="69.75" customHeight="1">
      <c r="Q4" s="171"/>
      <c r="AA4" s="171"/>
      <c r="AT4" s="171"/>
      <c r="BH4" s="171"/>
    </row>
    <row r="5" spans="1:60" s="170" customFormat="1" ht="93" customHeight="1">
      <c r="Q5" s="171"/>
      <c r="AA5" s="171"/>
      <c r="AT5" s="171"/>
      <c r="BH5" s="171"/>
    </row>
    <row r="6" spans="1:60" s="170" customFormat="1" ht="21">
      <c r="A6" s="489" t="s">
        <v>302</v>
      </c>
      <c r="B6" s="489"/>
      <c r="C6" s="489"/>
      <c r="D6" s="489"/>
      <c r="E6" s="489"/>
      <c r="F6" s="489"/>
      <c r="G6" s="489"/>
      <c r="H6" s="489"/>
      <c r="I6" s="489"/>
      <c r="J6" s="489"/>
      <c r="K6" s="489"/>
      <c r="L6" s="489"/>
      <c r="M6" s="489"/>
      <c r="N6" s="489"/>
      <c r="O6" s="489"/>
      <c r="Q6" s="171"/>
      <c r="S6" s="489" t="s">
        <v>483</v>
      </c>
      <c r="T6" s="489"/>
      <c r="U6" s="489"/>
      <c r="V6" s="489"/>
      <c r="W6" s="489"/>
      <c r="X6" s="489"/>
      <c r="Y6" s="489"/>
      <c r="AA6" s="171"/>
      <c r="AC6" s="489" t="s">
        <v>484</v>
      </c>
      <c r="AD6" s="489"/>
      <c r="AE6" s="489"/>
      <c r="AF6" s="489"/>
      <c r="AG6" s="489"/>
      <c r="AH6" s="489"/>
      <c r="AI6" s="489"/>
      <c r="AJ6" s="489"/>
      <c r="AK6" s="489"/>
      <c r="AL6" s="489"/>
      <c r="AM6" s="489"/>
      <c r="AN6" s="489"/>
      <c r="AO6" s="489"/>
      <c r="AP6" s="489"/>
      <c r="AQ6" s="489"/>
      <c r="AR6" s="489"/>
      <c r="AT6" s="171"/>
      <c r="AV6" s="489" t="s">
        <v>485</v>
      </c>
      <c r="AW6" s="489"/>
      <c r="AX6" s="489"/>
      <c r="AY6" s="489"/>
      <c r="AZ6" s="489"/>
      <c r="BA6" s="489"/>
      <c r="BB6" s="489"/>
      <c r="BC6" s="489"/>
      <c r="BD6" s="489"/>
      <c r="BE6" s="489"/>
      <c r="BF6" s="489"/>
      <c r="BH6" s="171"/>
    </row>
    <row r="7" spans="1:60" s="170" customFormat="1">
      <c r="Q7" s="171"/>
      <c r="AA7" s="171"/>
      <c r="AT7" s="171"/>
      <c r="BH7" s="171"/>
    </row>
    <row r="8" spans="1:60" s="170" customFormat="1" ht="33" customHeight="1">
      <c r="A8" s="490" t="s">
        <v>486</v>
      </c>
      <c r="B8" s="490"/>
      <c r="C8" s="490"/>
      <c r="D8" s="490"/>
      <c r="E8" s="490"/>
      <c r="F8" s="490"/>
      <c r="G8" s="490"/>
      <c r="H8" s="490"/>
      <c r="I8" s="490"/>
      <c r="J8" s="490"/>
      <c r="K8" s="490"/>
      <c r="L8" s="490"/>
      <c r="M8" s="490"/>
      <c r="N8" s="490"/>
      <c r="O8" s="490"/>
      <c r="Q8" s="171"/>
      <c r="S8" s="523" t="s">
        <v>487</v>
      </c>
      <c r="T8" s="523"/>
      <c r="U8" s="523"/>
      <c r="V8" s="523"/>
      <c r="W8" s="523"/>
      <c r="X8" s="523"/>
      <c r="Y8" s="523"/>
      <c r="AA8" s="171"/>
      <c r="AC8" s="523" t="s">
        <v>488</v>
      </c>
      <c r="AD8" s="523"/>
      <c r="AE8" s="523"/>
      <c r="AF8" s="523"/>
      <c r="AG8" s="523"/>
      <c r="AH8" s="523"/>
      <c r="AI8" s="523"/>
      <c r="AJ8" s="523"/>
      <c r="AK8" s="523"/>
      <c r="AL8" s="523"/>
      <c r="AM8" s="523"/>
      <c r="AN8" s="523"/>
      <c r="AO8" s="523"/>
      <c r="AP8" s="523"/>
      <c r="AQ8" s="523"/>
      <c r="AR8" s="523"/>
      <c r="AT8" s="171"/>
      <c r="AV8" s="523" t="s">
        <v>489</v>
      </c>
      <c r="AW8" s="523"/>
      <c r="AX8" s="523"/>
      <c r="AY8" s="523"/>
      <c r="AZ8" s="523"/>
      <c r="BA8" s="523"/>
      <c r="BB8" s="523"/>
      <c r="BC8" s="523"/>
      <c r="BD8" s="523"/>
      <c r="BE8" s="523"/>
      <c r="BF8" s="523"/>
      <c r="BH8" s="171"/>
    </row>
    <row r="9" spans="1:60" s="170" customFormat="1" ht="15" customHeight="1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Q9" s="171"/>
      <c r="AA9" s="171"/>
      <c r="AT9" s="171"/>
      <c r="AV9" s="523"/>
      <c r="AW9" s="523"/>
      <c r="AX9" s="523"/>
      <c r="AY9" s="523"/>
      <c r="AZ9" s="523"/>
      <c r="BA9" s="523"/>
      <c r="BB9" s="523"/>
      <c r="BC9" s="523"/>
      <c r="BD9" s="523"/>
      <c r="BE9" s="523"/>
      <c r="BF9" s="523"/>
      <c r="BH9" s="171"/>
    </row>
    <row r="10" spans="1:60" ht="23.25" customHeight="1">
      <c r="Q10" s="25"/>
      <c r="S10" s="231" t="s">
        <v>490</v>
      </c>
      <c r="T10" s="231" t="s">
        <v>491</v>
      </c>
      <c r="U10" s="231" t="s">
        <v>492</v>
      </c>
      <c r="V10" s="231" t="s">
        <v>493</v>
      </c>
      <c r="W10" s="231" t="s">
        <v>494</v>
      </c>
      <c r="X10" s="170"/>
      <c r="Y10" s="170"/>
      <c r="AA10" s="25"/>
      <c r="AC10" s="534" t="s">
        <v>495</v>
      </c>
      <c r="AD10" s="534"/>
      <c r="AE10" s="232" t="s">
        <v>496</v>
      </c>
      <c r="AF10" s="233" t="s">
        <v>497</v>
      </c>
      <c r="AG10" s="233" t="s">
        <v>498</v>
      </c>
      <c r="AH10" s="233" t="s">
        <v>499</v>
      </c>
      <c r="AI10" s="233" t="s">
        <v>500</v>
      </c>
      <c r="AJ10" s="233" t="s">
        <v>501</v>
      </c>
      <c r="AK10" s="233" t="s">
        <v>502</v>
      </c>
      <c r="AL10" s="233" t="s">
        <v>503</v>
      </c>
      <c r="AM10" s="233" t="s">
        <v>504</v>
      </c>
      <c r="AN10" s="233" t="s">
        <v>505</v>
      </c>
      <c r="AO10" s="233" t="s">
        <v>506</v>
      </c>
      <c r="AP10" s="231" t="s">
        <v>507</v>
      </c>
      <c r="AQ10" s="170"/>
      <c r="AR10" s="170"/>
      <c r="AT10" s="25"/>
      <c r="BH10" s="25"/>
    </row>
    <row r="11" spans="1:60" ht="23.25" customHeight="1">
      <c r="B11" s="173" t="s">
        <v>305</v>
      </c>
      <c r="C11" s="173" t="s">
        <v>306</v>
      </c>
      <c r="D11" s="173" t="s">
        <v>275</v>
      </c>
      <c r="E11" s="173" t="s">
        <v>307</v>
      </c>
      <c r="F11" s="173" t="s">
        <v>308</v>
      </c>
      <c r="G11" s="173" t="s">
        <v>309</v>
      </c>
      <c r="H11" s="173" t="s">
        <v>310</v>
      </c>
      <c r="I11" s="173" t="s">
        <v>311</v>
      </c>
      <c r="J11" s="173" t="s">
        <v>312</v>
      </c>
      <c r="K11" s="173" t="s">
        <v>313</v>
      </c>
      <c r="L11" s="173" t="s">
        <v>314</v>
      </c>
      <c r="M11" s="173" t="s">
        <v>315</v>
      </c>
      <c r="Q11" s="25"/>
      <c r="S11" s="174" t="s">
        <v>508</v>
      </c>
      <c r="T11" s="234">
        <v>1722</v>
      </c>
      <c r="U11" s="234">
        <v>1809</v>
      </c>
      <c r="V11" s="234">
        <v>2572</v>
      </c>
      <c r="W11" s="234">
        <v>1516</v>
      </c>
      <c r="X11" s="170"/>
      <c r="Y11" s="235"/>
      <c r="AA11" s="25"/>
      <c r="AC11" s="529" t="s">
        <v>509</v>
      </c>
      <c r="AD11" s="174" t="s">
        <v>510</v>
      </c>
      <c r="AE11" s="234">
        <v>55236</v>
      </c>
      <c r="AF11" s="234">
        <v>54952</v>
      </c>
      <c r="AG11" s="234">
        <v>60853</v>
      </c>
      <c r="AH11" s="234">
        <v>45894</v>
      </c>
      <c r="AI11" s="234">
        <v>50123</v>
      </c>
      <c r="AJ11" s="234">
        <v>55236</v>
      </c>
      <c r="AK11" s="234">
        <v>48256</v>
      </c>
      <c r="AL11" s="234">
        <v>32589</v>
      </c>
      <c r="AM11" s="234">
        <v>58921</v>
      </c>
      <c r="AN11" s="234">
        <v>65800</v>
      </c>
      <c r="AO11" s="234">
        <v>62371</v>
      </c>
      <c r="AP11" s="234">
        <v>61235</v>
      </c>
      <c r="AQ11" s="170"/>
      <c r="AR11" s="170"/>
      <c r="AT11" s="25"/>
      <c r="AV11" s="236" t="s">
        <v>511</v>
      </c>
      <c r="AW11" s="237" t="s">
        <v>512</v>
      </c>
      <c r="AX11" s="237" t="s">
        <v>513</v>
      </c>
      <c r="AY11" s="237" t="s">
        <v>514</v>
      </c>
      <c r="AZ11" s="237" t="s">
        <v>515</v>
      </c>
      <c r="BA11" s="237" t="s">
        <v>516</v>
      </c>
      <c r="BB11" s="237" t="s">
        <v>517</v>
      </c>
      <c r="BC11" s="237" t="s">
        <v>518</v>
      </c>
      <c r="BD11" s="535" t="s">
        <v>519</v>
      </c>
      <c r="BE11" s="535"/>
      <c r="BF11" s="237" t="s">
        <v>520</v>
      </c>
      <c r="BH11" s="25"/>
    </row>
    <row r="12" spans="1:60" ht="23.25" customHeight="1">
      <c r="A12" s="174" t="s">
        <v>320</v>
      </c>
      <c r="B12" s="175">
        <v>23</v>
      </c>
      <c r="C12" s="175">
        <v>19</v>
      </c>
      <c r="D12" s="175">
        <v>27</v>
      </c>
      <c r="E12" s="175">
        <v>26</v>
      </c>
      <c r="F12" s="175">
        <v>41</v>
      </c>
      <c r="G12" s="175">
        <v>37</v>
      </c>
      <c r="H12" s="175">
        <v>22</v>
      </c>
      <c r="I12" s="175">
        <v>37</v>
      </c>
      <c r="J12" s="175">
        <v>35</v>
      </c>
      <c r="K12" s="175">
        <v>31</v>
      </c>
      <c r="L12" s="175">
        <v>32</v>
      </c>
      <c r="M12" s="175">
        <v>32</v>
      </c>
      <c r="N12" s="170"/>
      <c r="O12" s="15"/>
      <c r="Q12" s="25"/>
      <c r="S12" s="174" t="s">
        <v>521</v>
      </c>
      <c r="T12" s="234">
        <v>926</v>
      </c>
      <c r="U12" s="234">
        <v>1284</v>
      </c>
      <c r="V12" s="234">
        <v>2128</v>
      </c>
      <c r="W12" s="234">
        <v>1195</v>
      </c>
      <c r="X12" s="170"/>
      <c r="Y12" s="235"/>
      <c r="AA12" s="25"/>
      <c r="AC12" s="530"/>
      <c r="AD12" s="174" t="s">
        <v>522</v>
      </c>
      <c r="AE12" s="238">
        <f t="shared" ref="AE12:AP12" si="0">+(AE11-$AJ$20)/$AJ$20</f>
        <v>0.10471999999999999</v>
      </c>
      <c r="AF12" s="238">
        <f t="shared" si="0"/>
        <v>9.9040000000000003E-2</v>
      </c>
      <c r="AG12" s="238">
        <f t="shared" si="0"/>
        <v>0.21706</v>
      </c>
      <c r="AH12" s="238">
        <f t="shared" si="0"/>
        <v>-8.2119999999999999E-2</v>
      </c>
      <c r="AI12" s="238">
        <f t="shared" si="0"/>
        <v>2.4599999999999999E-3</v>
      </c>
      <c r="AJ12" s="238">
        <f t="shared" si="0"/>
        <v>0.10471999999999999</v>
      </c>
      <c r="AK12" s="238">
        <f t="shared" si="0"/>
        <v>-3.4880000000000001E-2</v>
      </c>
      <c r="AL12" s="238">
        <f t="shared" si="0"/>
        <v>-0.34821999999999997</v>
      </c>
      <c r="AM12" s="238">
        <f t="shared" si="0"/>
        <v>0.17842</v>
      </c>
      <c r="AN12" s="238">
        <f t="shared" si="0"/>
        <v>0.316</v>
      </c>
      <c r="AO12" s="238">
        <f t="shared" si="0"/>
        <v>0.24742</v>
      </c>
      <c r="AP12" s="238">
        <f t="shared" si="0"/>
        <v>0.22470000000000001</v>
      </c>
      <c r="AQ12" s="170"/>
      <c r="AR12" s="15"/>
      <c r="AT12" s="25"/>
      <c r="AV12" s="239" t="s">
        <v>523</v>
      </c>
      <c r="AW12" s="240">
        <v>14800</v>
      </c>
      <c r="AX12" s="241">
        <v>16200</v>
      </c>
      <c r="AY12" s="240">
        <v>14700</v>
      </c>
      <c r="AZ12" s="241">
        <v>12600</v>
      </c>
      <c r="BA12" s="242">
        <f t="shared" ref="BA12:BC18" si="1">(AX12-AW12)/AW12</f>
        <v>9.45945945945946E-2</v>
      </c>
      <c r="BB12" s="242">
        <f t="shared" si="1"/>
        <v>-9.2592592592592587E-2</v>
      </c>
      <c r="BC12" s="242">
        <f t="shared" si="1"/>
        <v>-0.14285714285714285</v>
      </c>
      <c r="BD12" s="531"/>
      <c r="BE12" s="531"/>
      <c r="BF12" s="243">
        <f t="shared" ref="BF12:BF18" si="2">(AZ12-AW12)/AW12</f>
        <v>-0.14864864864864866</v>
      </c>
      <c r="BH12" s="25"/>
    </row>
    <row r="13" spans="1:60" ht="23.25" customHeight="1">
      <c r="A13" s="174" t="s">
        <v>321</v>
      </c>
      <c r="B13" s="175">
        <v>26</v>
      </c>
      <c r="C13" s="175">
        <v>40</v>
      </c>
      <c r="D13" s="175">
        <v>22</v>
      </c>
      <c r="E13" s="175">
        <v>34</v>
      </c>
      <c r="F13" s="175">
        <v>23</v>
      </c>
      <c r="G13" s="175">
        <v>49</v>
      </c>
      <c r="H13" s="175">
        <v>21</v>
      </c>
      <c r="I13" s="175">
        <v>30</v>
      </c>
      <c r="J13" s="175">
        <v>33</v>
      </c>
      <c r="K13" s="175">
        <v>17</v>
      </c>
      <c r="L13" s="175">
        <v>45</v>
      </c>
      <c r="M13" s="175">
        <v>30</v>
      </c>
      <c r="N13" s="170"/>
      <c r="O13" s="15"/>
      <c r="Q13" s="25"/>
      <c r="S13" s="174" t="s">
        <v>524</v>
      </c>
      <c r="T13" s="234">
        <v>687</v>
      </c>
      <c r="U13" s="234">
        <v>631</v>
      </c>
      <c r="V13" s="234">
        <v>836</v>
      </c>
      <c r="W13" s="234">
        <v>343</v>
      </c>
      <c r="X13" s="170"/>
      <c r="Y13" s="235"/>
      <c r="AA13" s="25"/>
      <c r="AC13" s="529" t="s">
        <v>525</v>
      </c>
      <c r="AD13" s="174" t="s">
        <v>510</v>
      </c>
      <c r="AE13" s="244">
        <v>48095</v>
      </c>
      <c r="AF13" s="244">
        <f>+AF11-2500</f>
        <v>52452</v>
      </c>
      <c r="AG13" s="244">
        <f t="shared" ref="AG13:AM13" si="3">+AG11-1500</f>
        <v>59353</v>
      </c>
      <c r="AH13" s="244">
        <f t="shared" si="3"/>
        <v>44394</v>
      </c>
      <c r="AI13" s="244">
        <f t="shared" si="3"/>
        <v>48623</v>
      </c>
      <c r="AJ13" s="244">
        <f t="shared" si="3"/>
        <v>53736</v>
      </c>
      <c r="AK13" s="244">
        <f t="shared" si="3"/>
        <v>46756</v>
      </c>
      <c r="AL13" s="244">
        <f t="shared" si="3"/>
        <v>31089</v>
      </c>
      <c r="AM13" s="244">
        <f t="shared" si="3"/>
        <v>57421</v>
      </c>
      <c r="AN13" s="244">
        <v>45237</v>
      </c>
      <c r="AO13" s="244">
        <f>+AO11-1500</f>
        <v>60871</v>
      </c>
      <c r="AP13" s="244">
        <f>+AP11-1500</f>
        <v>59735</v>
      </c>
      <c r="AQ13" s="170"/>
      <c r="AT13" s="25"/>
      <c r="AV13" s="239" t="s">
        <v>526</v>
      </c>
      <c r="AW13" s="240">
        <v>11200</v>
      </c>
      <c r="AX13" s="241">
        <v>14600</v>
      </c>
      <c r="AY13" s="240">
        <v>15900</v>
      </c>
      <c r="AZ13" s="241">
        <v>14700</v>
      </c>
      <c r="BA13" s="242">
        <f t="shared" si="1"/>
        <v>0.30357142857142855</v>
      </c>
      <c r="BB13" s="242">
        <f t="shared" si="1"/>
        <v>8.9041095890410954E-2</v>
      </c>
      <c r="BC13" s="242">
        <f t="shared" si="1"/>
        <v>-7.5471698113207544E-2</v>
      </c>
      <c r="BD13" s="531"/>
      <c r="BE13" s="531"/>
      <c r="BF13" s="243">
        <f t="shared" si="2"/>
        <v>0.3125</v>
      </c>
      <c r="BH13" s="25"/>
    </row>
    <row r="14" spans="1:60" ht="23.25" customHeight="1">
      <c r="A14" s="174" t="s">
        <v>322</v>
      </c>
      <c r="B14" s="175">
        <v>20</v>
      </c>
      <c r="C14" s="175">
        <v>40</v>
      </c>
      <c r="D14" s="175">
        <v>29</v>
      </c>
      <c r="E14" s="175">
        <v>48</v>
      </c>
      <c r="F14" s="175">
        <v>43</v>
      </c>
      <c r="G14" s="175">
        <v>31</v>
      </c>
      <c r="H14" s="175">
        <v>34</v>
      </c>
      <c r="I14" s="175">
        <v>33</v>
      </c>
      <c r="J14" s="175">
        <v>44</v>
      </c>
      <c r="K14" s="175">
        <v>25</v>
      </c>
      <c r="L14" s="175">
        <v>22</v>
      </c>
      <c r="M14" s="175">
        <v>33</v>
      </c>
      <c r="N14" s="170"/>
      <c r="O14" s="15"/>
      <c r="Q14" s="25"/>
      <c r="S14" s="174" t="s">
        <v>527</v>
      </c>
      <c r="T14" s="234">
        <v>1912</v>
      </c>
      <c r="U14" s="234">
        <v>1560</v>
      </c>
      <c r="V14" s="234">
        <v>3220</v>
      </c>
      <c r="W14" s="234">
        <v>1268</v>
      </c>
      <c r="X14" s="170"/>
      <c r="Y14" s="235"/>
      <c r="AA14" s="25"/>
      <c r="AC14" s="530"/>
      <c r="AD14" s="174" t="s">
        <v>522</v>
      </c>
      <c r="AE14" s="238">
        <f t="shared" ref="AE14:AP14" si="4">+(AE13-$AJ$20)/$AJ$20</f>
        <v>-3.8100000000000002E-2</v>
      </c>
      <c r="AF14" s="238">
        <f t="shared" si="4"/>
        <v>4.904E-2</v>
      </c>
      <c r="AG14" s="238">
        <f t="shared" si="4"/>
        <v>0.18706</v>
      </c>
      <c r="AH14" s="238">
        <f t="shared" si="4"/>
        <v>-0.11212</v>
      </c>
      <c r="AI14" s="238">
        <f t="shared" si="4"/>
        <v>-2.7539999999999999E-2</v>
      </c>
      <c r="AJ14" s="238">
        <f t="shared" si="4"/>
        <v>7.4719999999999995E-2</v>
      </c>
      <c r="AK14" s="238">
        <f t="shared" si="4"/>
        <v>-6.4879999999999993E-2</v>
      </c>
      <c r="AL14" s="238">
        <f t="shared" si="4"/>
        <v>-0.37822</v>
      </c>
      <c r="AM14" s="238">
        <f t="shared" si="4"/>
        <v>0.14842</v>
      </c>
      <c r="AN14" s="238">
        <f t="shared" si="4"/>
        <v>-9.5259999999999997E-2</v>
      </c>
      <c r="AO14" s="238">
        <f t="shared" si="4"/>
        <v>0.21742</v>
      </c>
      <c r="AP14" s="238">
        <f t="shared" si="4"/>
        <v>0.19470000000000001</v>
      </c>
      <c r="AQ14" s="170"/>
      <c r="AR14" s="15"/>
      <c r="AT14" s="25"/>
      <c r="AV14" s="239" t="s">
        <v>528</v>
      </c>
      <c r="AW14" s="240">
        <v>13800</v>
      </c>
      <c r="AX14" s="241">
        <v>18900</v>
      </c>
      <c r="AY14" s="240">
        <v>16900</v>
      </c>
      <c r="AZ14" s="241">
        <v>14800</v>
      </c>
      <c r="BA14" s="242">
        <f t="shared" si="1"/>
        <v>0.36956521739130432</v>
      </c>
      <c r="BB14" s="242">
        <f t="shared" si="1"/>
        <v>-0.10582010582010581</v>
      </c>
      <c r="BC14" s="242">
        <f t="shared" si="1"/>
        <v>-0.1242603550295858</v>
      </c>
      <c r="BD14" s="531"/>
      <c r="BE14" s="531"/>
      <c r="BF14" s="243">
        <f t="shared" si="2"/>
        <v>7.2463768115942032E-2</v>
      </c>
      <c r="BH14" s="25"/>
    </row>
    <row r="15" spans="1:60" ht="23.25" customHeight="1">
      <c r="A15" s="174" t="s">
        <v>323</v>
      </c>
      <c r="B15" s="175">
        <v>42</v>
      </c>
      <c r="C15" s="175">
        <v>44</v>
      </c>
      <c r="D15" s="175">
        <v>43</v>
      </c>
      <c r="E15" s="175">
        <v>41</v>
      </c>
      <c r="F15" s="175">
        <v>34</v>
      </c>
      <c r="G15" s="175">
        <v>18</v>
      </c>
      <c r="H15" s="175">
        <v>39</v>
      </c>
      <c r="I15" s="175">
        <v>25</v>
      </c>
      <c r="J15" s="175">
        <v>36</v>
      </c>
      <c r="K15" s="175">
        <v>43</v>
      </c>
      <c r="L15" s="175">
        <v>18</v>
      </c>
      <c r="M15" s="175">
        <v>37</v>
      </c>
      <c r="N15" s="170"/>
      <c r="O15" s="15"/>
      <c r="Q15" s="25"/>
      <c r="S15" s="174" t="s">
        <v>529</v>
      </c>
      <c r="T15" s="234">
        <v>998.46</v>
      </c>
      <c r="U15" s="234">
        <v>1015</v>
      </c>
      <c r="V15" s="234">
        <v>2425</v>
      </c>
      <c r="W15" s="234">
        <v>620</v>
      </c>
      <c r="X15" s="170"/>
      <c r="Y15" s="235"/>
      <c r="AA15" s="25"/>
      <c r="AC15" s="529" t="s">
        <v>530</v>
      </c>
      <c r="AD15" s="174" t="s">
        <v>510</v>
      </c>
      <c r="AE15" s="244">
        <v>52345</v>
      </c>
      <c r="AF15" s="244">
        <v>55234</v>
      </c>
      <c r="AG15" s="244">
        <v>46005</v>
      </c>
      <c r="AH15" s="244">
        <v>50121</v>
      </c>
      <c r="AI15" s="244">
        <v>55126</v>
      </c>
      <c r="AJ15" s="244">
        <f>+AJ13-1500</f>
        <v>52236</v>
      </c>
      <c r="AK15" s="244">
        <v>55231</v>
      </c>
      <c r="AL15" s="244">
        <f>+AL13-1500</f>
        <v>29589</v>
      </c>
      <c r="AM15" s="244">
        <f>+AM13-1500</f>
        <v>55921</v>
      </c>
      <c r="AN15" s="244">
        <v>52131</v>
      </c>
      <c r="AO15" s="244">
        <f>+AO13-1500</f>
        <v>59371</v>
      </c>
      <c r="AP15" s="244">
        <f>+AP13-1500</f>
        <v>58235</v>
      </c>
      <c r="AQ15" s="170"/>
      <c r="AT15" s="25"/>
      <c r="AV15" s="239" t="s">
        <v>531</v>
      </c>
      <c r="AW15" s="240">
        <v>19500</v>
      </c>
      <c r="AX15" s="241">
        <v>14400</v>
      </c>
      <c r="AY15" s="240">
        <v>18700</v>
      </c>
      <c r="AZ15" s="241">
        <v>19600</v>
      </c>
      <c r="BA15" s="242">
        <f t="shared" si="1"/>
        <v>-0.26153846153846155</v>
      </c>
      <c r="BB15" s="242">
        <f t="shared" si="1"/>
        <v>0.2986111111111111</v>
      </c>
      <c r="BC15" s="242">
        <f t="shared" si="1"/>
        <v>4.8128342245989303E-2</v>
      </c>
      <c r="BD15" s="531"/>
      <c r="BE15" s="531"/>
      <c r="BF15" s="243">
        <f t="shared" si="2"/>
        <v>5.1282051282051282E-3</v>
      </c>
      <c r="BH15" s="25"/>
    </row>
    <row r="16" spans="1:60" ht="23.25" customHeight="1">
      <c r="A16" s="174" t="s">
        <v>324</v>
      </c>
      <c r="B16" s="175">
        <v>17</v>
      </c>
      <c r="C16" s="175">
        <v>27</v>
      </c>
      <c r="D16" s="175">
        <v>35</v>
      </c>
      <c r="E16" s="175">
        <v>42</v>
      </c>
      <c r="F16" s="175">
        <v>36</v>
      </c>
      <c r="G16" s="175">
        <v>37</v>
      </c>
      <c r="H16" s="175">
        <v>42</v>
      </c>
      <c r="I16" s="175">
        <v>17</v>
      </c>
      <c r="J16" s="175">
        <v>44</v>
      </c>
      <c r="K16" s="175">
        <v>21</v>
      </c>
      <c r="L16" s="175">
        <v>24</v>
      </c>
      <c r="M16" s="175">
        <v>32</v>
      </c>
      <c r="N16" s="170"/>
      <c r="O16" s="15"/>
      <c r="Q16" s="25"/>
      <c r="S16" s="174" t="s">
        <v>532</v>
      </c>
      <c r="T16" s="234">
        <v>231</v>
      </c>
      <c r="U16" s="234">
        <v>228</v>
      </c>
      <c r="V16" s="234">
        <v>487</v>
      </c>
      <c r="W16" s="234">
        <v>395</v>
      </c>
      <c r="X16" s="170"/>
      <c r="Y16" s="235"/>
      <c r="AA16" s="25"/>
      <c r="AC16" s="530"/>
      <c r="AD16" s="174" t="s">
        <v>522</v>
      </c>
      <c r="AE16" s="238">
        <f t="shared" ref="AE16:AP16" si="5">+(AE15-$AJ$20)/$AJ$20</f>
        <v>4.6899999999999997E-2</v>
      </c>
      <c r="AF16" s="238">
        <f t="shared" si="5"/>
        <v>0.10468</v>
      </c>
      <c r="AG16" s="238">
        <f t="shared" si="5"/>
        <v>-7.9899999999999999E-2</v>
      </c>
      <c r="AH16" s="238">
        <f t="shared" si="5"/>
        <v>2.4199999999999998E-3</v>
      </c>
      <c r="AI16" s="238">
        <f t="shared" si="5"/>
        <v>0.10252</v>
      </c>
      <c r="AJ16" s="238">
        <f t="shared" si="5"/>
        <v>4.4720000000000003E-2</v>
      </c>
      <c r="AK16" s="238">
        <f t="shared" si="5"/>
        <v>0.10462</v>
      </c>
      <c r="AL16" s="238">
        <f t="shared" si="5"/>
        <v>-0.40822000000000003</v>
      </c>
      <c r="AM16" s="238">
        <f t="shared" si="5"/>
        <v>0.11842</v>
      </c>
      <c r="AN16" s="238">
        <f t="shared" si="5"/>
        <v>4.2619999999999998E-2</v>
      </c>
      <c r="AO16" s="238">
        <f t="shared" si="5"/>
        <v>0.18742</v>
      </c>
      <c r="AP16" s="238">
        <f t="shared" si="5"/>
        <v>0.16470000000000001</v>
      </c>
      <c r="AQ16" s="170"/>
      <c r="AR16" s="15"/>
      <c r="AT16" s="25"/>
      <c r="AV16" s="239" t="s">
        <v>533</v>
      </c>
      <c r="AW16" s="240">
        <v>11300</v>
      </c>
      <c r="AX16" s="241">
        <v>16500</v>
      </c>
      <c r="AY16" s="240">
        <v>17500</v>
      </c>
      <c r="AZ16" s="241">
        <v>19800</v>
      </c>
      <c r="BA16" s="242">
        <f t="shared" si="1"/>
        <v>0.46017699115044247</v>
      </c>
      <c r="BB16" s="242">
        <f t="shared" si="1"/>
        <v>6.0606060606060608E-2</v>
      </c>
      <c r="BC16" s="242">
        <f t="shared" si="1"/>
        <v>0.13142857142857142</v>
      </c>
      <c r="BD16" s="531"/>
      <c r="BE16" s="531"/>
      <c r="BF16" s="243">
        <f t="shared" si="2"/>
        <v>0.75221238938053092</v>
      </c>
      <c r="BH16" s="25"/>
    </row>
    <row r="17" spans="1:60" ht="23.25" customHeight="1">
      <c r="A17" s="174" t="s">
        <v>325</v>
      </c>
      <c r="B17" s="175">
        <v>23</v>
      </c>
      <c r="C17" s="175">
        <v>27</v>
      </c>
      <c r="D17" s="175">
        <v>25</v>
      </c>
      <c r="E17" s="175">
        <v>20</v>
      </c>
      <c r="F17" s="175">
        <v>43</v>
      </c>
      <c r="G17" s="175">
        <v>62</v>
      </c>
      <c r="H17" s="175">
        <v>20</v>
      </c>
      <c r="I17" s="175">
        <v>23</v>
      </c>
      <c r="J17" s="175">
        <v>15</v>
      </c>
      <c r="K17" s="175">
        <v>41</v>
      </c>
      <c r="L17" s="175">
        <v>40</v>
      </c>
      <c r="M17" s="175">
        <v>23</v>
      </c>
      <c r="N17" s="170"/>
      <c r="O17" s="15"/>
      <c r="Q17" s="25"/>
      <c r="S17" s="245" t="s">
        <v>534</v>
      </c>
      <c r="T17" s="246">
        <f>SUM(T11:T16)</f>
        <v>6476.46</v>
      </c>
      <c r="U17" s="246">
        <f>SUM(U11:U16)</f>
        <v>6527</v>
      </c>
      <c r="V17" s="246">
        <f>SUM(V11:V16)</f>
        <v>11668</v>
      </c>
      <c r="W17" s="246">
        <f>SUM(W11:W16)</f>
        <v>5337</v>
      </c>
      <c r="X17" s="170"/>
      <c r="Y17" s="235"/>
      <c r="AA17" s="25"/>
      <c r="AC17" s="529" t="s">
        <v>535</v>
      </c>
      <c r="AD17" s="174" t="s">
        <v>510</v>
      </c>
      <c r="AE17" s="244">
        <v>19561</v>
      </c>
      <c r="AF17" s="244">
        <v>49005</v>
      </c>
      <c r="AG17" s="244">
        <v>51235</v>
      </c>
      <c r="AH17" s="244">
        <f t="shared" ref="AH17:AM17" si="6">+AH15-1500</f>
        <v>48621</v>
      </c>
      <c r="AI17" s="244">
        <f t="shared" si="6"/>
        <v>53626</v>
      </c>
      <c r="AJ17" s="244">
        <f t="shared" si="6"/>
        <v>50736</v>
      </c>
      <c r="AK17" s="244">
        <f t="shared" si="6"/>
        <v>53731</v>
      </c>
      <c r="AL17" s="244">
        <f t="shared" si="6"/>
        <v>28089</v>
      </c>
      <c r="AM17" s="244">
        <f t="shared" si="6"/>
        <v>54421</v>
      </c>
      <c r="AN17" s="244">
        <v>45237</v>
      </c>
      <c r="AO17" s="244">
        <f>+AO15-1500</f>
        <v>57871</v>
      </c>
      <c r="AP17" s="244">
        <f>+AP15-1500</f>
        <v>56735</v>
      </c>
      <c r="AQ17" s="170"/>
      <c r="AT17" s="25"/>
      <c r="AV17" s="239" t="s">
        <v>449</v>
      </c>
      <c r="AW17" s="240">
        <v>16400</v>
      </c>
      <c r="AX17" s="241">
        <v>16200</v>
      </c>
      <c r="AY17" s="240">
        <v>15800</v>
      </c>
      <c r="AZ17" s="241">
        <v>14300</v>
      </c>
      <c r="BA17" s="242">
        <f t="shared" si="1"/>
        <v>-1.2195121951219513E-2</v>
      </c>
      <c r="BB17" s="242">
        <f t="shared" si="1"/>
        <v>-2.4691358024691357E-2</v>
      </c>
      <c r="BC17" s="242">
        <f t="shared" si="1"/>
        <v>-9.49367088607595E-2</v>
      </c>
      <c r="BD17" s="531"/>
      <c r="BE17" s="531"/>
      <c r="BF17" s="243">
        <f t="shared" si="2"/>
        <v>-0.12804878048780488</v>
      </c>
      <c r="BH17" s="25"/>
    </row>
    <row r="18" spans="1:60" ht="23.25" customHeight="1">
      <c r="Q18" s="25"/>
      <c r="AA18" s="25"/>
      <c r="AC18" s="530"/>
      <c r="AD18" s="174" t="s">
        <v>522</v>
      </c>
      <c r="AE18" s="238">
        <f t="shared" ref="AE18:AP18" si="7">+(AE17-$AJ$20)/$AJ$20</f>
        <v>-0.60877999999999999</v>
      </c>
      <c r="AF18" s="238">
        <f t="shared" si="7"/>
        <v>-1.9900000000000001E-2</v>
      </c>
      <c r="AG18" s="238">
        <f t="shared" si="7"/>
        <v>2.47E-2</v>
      </c>
      <c r="AH18" s="238">
        <f t="shared" si="7"/>
        <v>-2.758E-2</v>
      </c>
      <c r="AI18" s="238">
        <f t="shared" si="7"/>
        <v>7.2520000000000001E-2</v>
      </c>
      <c r="AJ18" s="238">
        <f t="shared" si="7"/>
        <v>1.472E-2</v>
      </c>
      <c r="AK18" s="238">
        <f t="shared" si="7"/>
        <v>7.4620000000000006E-2</v>
      </c>
      <c r="AL18" s="238">
        <f t="shared" si="7"/>
        <v>-0.43822</v>
      </c>
      <c r="AM18" s="238">
        <f t="shared" si="7"/>
        <v>8.8419999999999999E-2</v>
      </c>
      <c r="AN18" s="238">
        <f t="shared" si="7"/>
        <v>-9.5259999999999997E-2</v>
      </c>
      <c r="AO18" s="238">
        <f t="shared" si="7"/>
        <v>0.15742</v>
      </c>
      <c r="AP18" s="238">
        <f t="shared" si="7"/>
        <v>0.13469999999999999</v>
      </c>
      <c r="AQ18" s="170"/>
      <c r="AR18" s="15"/>
      <c r="AT18" s="25"/>
      <c r="AV18" s="239" t="s">
        <v>439</v>
      </c>
      <c r="AW18" s="240">
        <v>14600</v>
      </c>
      <c r="AX18" s="241">
        <v>17100</v>
      </c>
      <c r="AY18" s="240">
        <v>15800</v>
      </c>
      <c r="AZ18" s="241">
        <v>20600</v>
      </c>
      <c r="BA18" s="242">
        <f t="shared" si="1"/>
        <v>0.17123287671232876</v>
      </c>
      <c r="BB18" s="242">
        <f t="shared" si="1"/>
        <v>-7.6023391812865493E-2</v>
      </c>
      <c r="BC18" s="242">
        <f t="shared" si="1"/>
        <v>0.30379746835443039</v>
      </c>
      <c r="BD18" s="532"/>
      <c r="BE18" s="533"/>
      <c r="BF18" s="243">
        <f t="shared" si="2"/>
        <v>0.41095890410958902</v>
      </c>
      <c r="BH18" s="25"/>
    </row>
    <row r="19" spans="1:60">
      <c r="Q19" s="25"/>
      <c r="AA19" s="25"/>
      <c r="AT19" s="25"/>
      <c r="BH19" s="25"/>
    </row>
    <row r="20" spans="1:60">
      <c r="Q20" s="25"/>
      <c r="AA20" s="25"/>
      <c r="AI20" s="247" t="s">
        <v>536</v>
      </c>
      <c r="AJ20" s="87">
        <v>50000</v>
      </c>
      <c r="AT20" s="25"/>
      <c r="AY20" s="113"/>
      <c r="BH20" s="25"/>
    </row>
    <row r="21" spans="1:60">
      <c r="AY21" s="248"/>
    </row>
  </sheetData>
  <mergeCells count="21">
    <mergeCell ref="A6:O6"/>
    <mergeCell ref="S6:Y6"/>
    <mergeCell ref="AC6:AR6"/>
    <mergeCell ref="AV6:BF6"/>
    <mergeCell ref="A8:O8"/>
    <mergeCell ref="S8:Y8"/>
    <mergeCell ref="AC8:AR8"/>
    <mergeCell ref="AV8:BF9"/>
    <mergeCell ref="AC10:AD10"/>
    <mergeCell ref="AC11:AC12"/>
    <mergeCell ref="BD11:BE11"/>
    <mergeCell ref="BD12:BE12"/>
    <mergeCell ref="AC13:AC14"/>
    <mergeCell ref="BD13:BE13"/>
    <mergeCell ref="BD14:BE14"/>
    <mergeCell ref="AC15:AC16"/>
    <mergeCell ref="BD15:BE15"/>
    <mergeCell ref="BD16:BE16"/>
    <mergeCell ref="AC17:AC18"/>
    <mergeCell ref="BD17:BE17"/>
    <mergeCell ref="BD18:BE18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B4220166-D374-4FE7-835B-E7601AB59D8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NoIcons" iconId="0"/>
              <x14:cfIcon iconSet="3Arrows" iconId="2"/>
            </x14:iconSet>
          </x14:cfRule>
          <xm:sqref>BF12:BF18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high="1" negative="1" displayXAxis="1" xr2:uid="{12395BAF-F6D6-4863-9C76-A99EFC7EEEFB}">
          <x14:colorSeries rgb="FF323232"/>
          <x14:colorNegative rgb="FFD00000"/>
          <x14:colorAxis rgb="FF000000"/>
          <x14:colorMarkers rgb="FFD00000"/>
          <x14:colorFirst rgb="FFD00000"/>
          <x14:colorLast rgb="FFD00000"/>
          <x14:colorHigh rgb="FF00B0F0"/>
          <x14:colorLow rgb="FFD00000"/>
          <x14:sparklines>
            <x14:sparkline>
              <xm:f>'10graphsparline'!BA12:BC12</xm:f>
              <xm:sqref>BD12</xm:sqref>
            </x14:sparkline>
            <x14:sparkline>
              <xm:f>'10graphsparline'!BA13:BC13</xm:f>
              <xm:sqref>BD13</xm:sqref>
            </x14:sparkline>
            <x14:sparkline>
              <xm:f>'10graphsparline'!BA14:BC14</xm:f>
              <xm:sqref>BD14</xm:sqref>
            </x14:sparkline>
            <x14:sparkline>
              <xm:f>'10graphsparline'!BA15:BC15</xm:f>
              <xm:sqref>BD15</xm:sqref>
            </x14:sparkline>
            <x14:sparkline>
              <xm:f>'10graphsparline'!BA16:BC16</xm:f>
              <xm:sqref>BD16</xm:sqref>
            </x14:sparkline>
            <x14:sparkline>
              <xm:f>'10graphsparline'!BA17:BC17</xm:f>
              <xm:sqref>BD17</xm:sqref>
            </x14:sparkline>
            <x14:sparkline>
              <xm:f>'10graphsparline'!BA18:BC18</xm:f>
              <xm:sqref>BD18</xm:sqref>
            </x14:sparkline>
          </x14:sparklines>
        </x14:sparklineGroup>
        <x14:sparklineGroup manualMax="0" manualMin="0" type="stacked" displayEmptyCellsAs="gap" negative="1" xr2:uid="{D273D00C-0124-46B5-8973-EF2BDA3F6369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'10graphsparline'!BF12:BF12</xm:f>
              <xm:sqref>BF12</xm:sqref>
            </x14:sparkline>
            <x14:sparkline>
              <xm:f>'10graphsparline'!BF13:BF13</xm:f>
              <xm:sqref>BF13</xm:sqref>
            </x14:sparkline>
            <x14:sparkline>
              <xm:f>'10graphsparline'!BF14:BF14</xm:f>
              <xm:sqref>BF14</xm:sqref>
            </x14:sparkline>
            <x14:sparkline>
              <xm:f>'10graphsparline'!BF15:BF15</xm:f>
              <xm:sqref>BF15</xm:sqref>
            </x14:sparkline>
            <x14:sparkline>
              <xm:f>'10graphsparline'!BF16:BF16</xm:f>
              <xm:sqref>BF16</xm:sqref>
            </x14:sparkline>
            <x14:sparkline>
              <xm:f>'10graphsparline'!BF17:BF17</xm:f>
              <xm:sqref>BF17</xm:sqref>
            </x14:sparkline>
            <x14:sparkline>
              <xm:f>'10graphsparline'!BF18:BF18</xm:f>
              <xm:sqref>BF18</xm:sqref>
            </x14:sparkline>
          </x14:sparklines>
        </x14:sparklineGroup>
        <x14:sparklineGroup type="column" displayEmptyCellsAs="gap" xr2:uid="{52B6F5B4-0BAD-4CEF-971B-6E772FDCB5A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'10graphsparline'!T11:W11</xm:f>
              <xm:sqref>Y11</xm:sqref>
            </x14:sparkline>
            <x14:sparkline>
              <xm:f>'10graphsparline'!T12:W12</xm:f>
              <xm:sqref>Y12</xm:sqref>
            </x14:sparkline>
            <x14:sparkline>
              <xm:f>'10graphsparline'!T13:W13</xm:f>
              <xm:sqref>Y13</xm:sqref>
            </x14:sparkline>
            <x14:sparkline>
              <xm:f>'10graphsparline'!T14:W14</xm:f>
              <xm:sqref>Y14</xm:sqref>
            </x14:sparkline>
            <x14:sparkline>
              <xm:f>'10graphsparline'!T15:W15</xm:f>
              <xm:sqref>Y15</xm:sqref>
            </x14:sparkline>
            <x14:sparkline>
              <xm:f>'10graphsparline'!T16:W16</xm:f>
              <xm:sqref>Y16</xm:sqref>
            </x14:sparkline>
            <x14:sparkline>
              <xm:f>'10graphsparline'!T17:W17</xm:f>
              <xm:sqref>Y17</xm:sqref>
            </x14:sparkline>
          </x14:sparklines>
        </x14:sparklineGroup>
        <x14:sparklineGroup displayEmptyCellsAs="gap" high="1" low="1" xr2:uid="{C4E48042-0B23-4EF9-842D-4FC2209D4D0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00B050"/>
          <x14:sparklines>
            <x14:sparkline>
              <xm:f>'10graphsparline'!B12:M12</xm:f>
              <xm:sqref>O12</xm:sqref>
            </x14:sparkline>
            <x14:sparkline>
              <xm:f>'10graphsparline'!B13:M13</xm:f>
              <xm:sqref>O13</xm:sqref>
            </x14:sparkline>
            <x14:sparkline>
              <xm:f>'10graphsparline'!B14:M14</xm:f>
              <xm:sqref>O14</xm:sqref>
            </x14:sparkline>
            <x14:sparkline>
              <xm:f>'10graphsparline'!B15:M15</xm:f>
              <xm:sqref>O15</xm:sqref>
            </x14:sparkline>
            <x14:sparkline>
              <xm:f>'10graphsparline'!B16:M16</xm:f>
              <xm:sqref>O16</xm:sqref>
            </x14:sparkline>
            <x14:sparkline>
              <xm:f>'10graphsparline'!B17:M17</xm:f>
              <xm:sqref>O17</xm:sqref>
            </x14:sparkline>
          </x14:sparklines>
        </x14:sparklineGroup>
        <x14:sparklineGroup manualMin="0" type="stacked" displayEmptyCellsAs="gap" negative="1" minAxisType="custom" maxAxisType="group" xr2:uid="{1108CF7A-76BA-429F-9CEE-B92D748C5D6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00B050"/>
          <x14:sparklines>
            <x14:sparkline>
              <xm:f>'10graphsparline'!AE14:AP14</xm:f>
              <xm:sqref>AR14</xm:sqref>
            </x14:sparkline>
          </x14:sparklines>
        </x14:sparklineGroup>
        <x14:sparklineGroup manualMin="0" type="stacked" displayEmptyCellsAs="gap" negative="1" minAxisType="custom" maxAxisType="group" xr2:uid="{633BD564-1781-4BE1-BFBE-7A3CE8098AC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00B050"/>
          <x14:sparklines>
            <x14:sparkline>
              <xm:f>'10graphsparline'!AE12:AP12</xm:f>
              <xm:sqref>AR12</xm:sqref>
            </x14:sparkline>
          </x14:sparklines>
        </x14:sparklineGroup>
        <x14:sparklineGroup manualMin="0" type="stacked" displayEmptyCellsAs="gap" negative="1" minAxisType="custom" maxAxisType="group" xr2:uid="{0509169F-B2ED-4B14-A0FB-65F625AF92C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00B050"/>
          <x14:sparklines>
            <x14:sparkline>
              <xm:f>'10graphsparline'!AE16:AP16</xm:f>
              <xm:sqref>AR16</xm:sqref>
            </x14:sparkline>
          </x14:sparklines>
        </x14:sparklineGroup>
        <x14:sparklineGroup manualMin="0" type="stacked" displayEmptyCellsAs="gap" negative="1" minAxisType="custom" maxAxisType="group" xr2:uid="{A060840E-C5A0-4113-A70D-CDBE7C51546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00B050"/>
          <x14:sparklines>
            <x14:sparkline>
              <xm:f>'10graphsparline'!AE18:AP18</xm:f>
              <xm:sqref>AR18</xm:sqref>
            </x14:sparkline>
          </x14:sparklines>
        </x14:sparklineGroup>
      </x14:sparklineGroup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75404-AF83-48E1-A536-6AEA429DD628}">
  <sheetPr>
    <tabColor theme="8" tint="0.39997558519241921"/>
  </sheetPr>
  <dimension ref="A1:AL94"/>
  <sheetViews>
    <sheetView workbookViewId="0"/>
  </sheetViews>
  <sheetFormatPr baseColWidth="10" defaultRowHeight="14.25"/>
  <cols>
    <col min="1" max="1" width="12.19921875" bestFit="1" customWidth="1"/>
    <col min="2" max="8" width="9.265625" customWidth="1"/>
    <col min="9" max="11" width="3.796875" customWidth="1"/>
    <col min="12" max="16" width="12.06640625" customWidth="1"/>
    <col min="17" max="19" width="3.796875" customWidth="1"/>
    <col min="23" max="25" width="3.796875" customWidth="1"/>
    <col min="31" max="33" width="3.796875" customWidth="1"/>
  </cols>
  <sheetData>
    <row r="1" spans="1:38" ht="80" customHeight="1">
      <c r="A1" s="199" t="s">
        <v>537</v>
      </c>
      <c r="J1" s="211"/>
      <c r="R1" s="211"/>
      <c r="X1" s="211"/>
      <c r="AF1" s="211"/>
    </row>
    <row r="2" spans="1:38" ht="32.25" customHeight="1" thickBot="1">
      <c r="A2" s="536" t="s">
        <v>538</v>
      </c>
      <c r="B2" s="536"/>
      <c r="C2" s="536"/>
      <c r="D2" s="536"/>
      <c r="E2" s="536"/>
      <c r="F2" s="536"/>
      <c r="G2" s="536"/>
      <c r="H2" s="536"/>
      <c r="I2" s="158"/>
      <c r="J2" s="249"/>
      <c r="K2" s="158"/>
      <c r="L2" s="537" t="s">
        <v>539</v>
      </c>
      <c r="M2" s="537"/>
      <c r="N2" s="537"/>
      <c r="O2" s="537"/>
      <c r="P2" s="537"/>
      <c r="Q2" s="158"/>
      <c r="R2" s="249"/>
      <c r="S2" s="158"/>
      <c r="T2" s="537" t="s">
        <v>540</v>
      </c>
      <c r="U2" s="537"/>
      <c r="V2" s="537"/>
      <c r="W2" s="158"/>
      <c r="X2" s="249"/>
      <c r="Y2" s="158"/>
      <c r="Z2" s="537" t="s">
        <v>541</v>
      </c>
      <c r="AA2" s="537"/>
      <c r="AB2" s="537"/>
      <c r="AC2" s="537"/>
      <c r="AD2" s="537"/>
      <c r="AE2" s="158"/>
      <c r="AF2" s="249"/>
      <c r="AG2" s="158"/>
      <c r="AH2" s="488" t="s">
        <v>542</v>
      </c>
      <c r="AI2" s="488"/>
      <c r="AJ2" s="488"/>
      <c r="AK2" s="488"/>
      <c r="AL2" s="158"/>
    </row>
    <row r="3" spans="1:38" ht="28.5">
      <c r="A3" s="250" t="s">
        <v>543</v>
      </c>
      <c r="B3" s="214" t="s">
        <v>266</v>
      </c>
      <c r="C3" s="214" t="s">
        <v>328</v>
      </c>
      <c r="D3" s="214" t="s">
        <v>274</v>
      </c>
      <c r="E3" s="214" t="s">
        <v>330</v>
      </c>
      <c r="F3" s="214" t="s">
        <v>334</v>
      </c>
      <c r="G3" s="214" t="s">
        <v>343</v>
      </c>
      <c r="H3" s="214" t="s">
        <v>336</v>
      </c>
      <c r="J3" s="211"/>
      <c r="L3" s="251" t="s">
        <v>544</v>
      </c>
      <c r="M3" s="252" t="s">
        <v>545</v>
      </c>
      <c r="N3" s="252" t="s">
        <v>546</v>
      </c>
      <c r="O3" s="252" t="s">
        <v>547</v>
      </c>
      <c r="P3" s="253" t="s">
        <v>548</v>
      </c>
      <c r="R3" s="211"/>
      <c r="T3" s="251" t="s">
        <v>549</v>
      </c>
      <c r="U3" s="254" t="s">
        <v>550</v>
      </c>
      <c r="V3" s="255" t="s">
        <v>282</v>
      </c>
      <c r="X3" s="211"/>
      <c r="Z3" s="251" t="s">
        <v>544</v>
      </c>
      <c r="AA3" s="252" t="s">
        <v>545</v>
      </c>
      <c r="AB3" s="252" t="s">
        <v>546</v>
      </c>
      <c r="AC3" s="252" t="s">
        <v>547</v>
      </c>
      <c r="AD3" s="253" t="s">
        <v>548</v>
      </c>
      <c r="AF3" s="211"/>
      <c r="AI3" s="256" t="s">
        <v>551</v>
      </c>
      <c r="AJ3" s="257" t="s">
        <v>552</v>
      </c>
    </row>
    <row r="4" spans="1:38">
      <c r="A4" s="43" t="s">
        <v>553</v>
      </c>
      <c r="B4" s="43">
        <v>25</v>
      </c>
      <c r="C4" s="43">
        <v>22</v>
      </c>
      <c r="D4" s="43">
        <v>23</v>
      </c>
      <c r="E4" s="43">
        <v>24</v>
      </c>
      <c r="F4" s="43">
        <v>20</v>
      </c>
      <c r="G4" s="43">
        <v>26</v>
      </c>
      <c r="H4" s="43">
        <v>28</v>
      </c>
      <c r="J4" s="211"/>
      <c r="L4" s="258" t="s">
        <v>554</v>
      </c>
      <c r="M4" s="34">
        <v>6</v>
      </c>
      <c r="N4" s="34">
        <v>2000</v>
      </c>
      <c r="O4" s="34">
        <v>6000</v>
      </c>
      <c r="P4" s="195">
        <v>3</v>
      </c>
      <c r="R4" s="211"/>
      <c r="T4" s="259">
        <v>43101</v>
      </c>
      <c r="U4" s="43" t="s">
        <v>555</v>
      </c>
      <c r="V4" s="260">
        <v>45</v>
      </c>
      <c r="X4" s="211"/>
      <c r="Z4" s="261" t="s">
        <v>554</v>
      </c>
      <c r="AA4" s="34">
        <v>10</v>
      </c>
      <c r="AB4" s="34">
        <v>1500</v>
      </c>
      <c r="AC4" s="34">
        <v>3000</v>
      </c>
      <c r="AD4" s="195">
        <v>12</v>
      </c>
      <c r="AF4" s="211"/>
      <c r="AI4" s="262" t="s">
        <v>556</v>
      </c>
      <c r="AJ4" s="263">
        <v>14</v>
      </c>
    </row>
    <row r="5" spans="1:38">
      <c r="A5" s="43" t="s">
        <v>557</v>
      </c>
      <c r="B5" s="43">
        <v>18</v>
      </c>
      <c r="C5" s="43">
        <v>17</v>
      </c>
      <c r="D5" s="43">
        <v>19</v>
      </c>
      <c r="E5" s="43">
        <v>16</v>
      </c>
      <c r="F5" s="43">
        <v>17</v>
      </c>
      <c r="G5" s="43">
        <v>20</v>
      </c>
      <c r="H5" s="43">
        <v>23</v>
      </c>
      <c r="J5" s="211"/>
      <c r="L5" s="258" t="s">
        <v>554</v>
      </c>
      <c r="M5" s="34">
        <v>8</v>
      </c>
      <c r="N5" s="34">
        <v>2000</v>
      </c>
      <c r="O5" s="34">
        <v>6000</v>
      </c>
      <c r="P5" s="195">
        <v>3</v>
      </c>
      <c r="R5" s="211"/>
      <c r="T5" s="259">
        <v>43106</v>
      </c>
      <c r="U5" s="264" t="s">
        <v>555</v>
      </c>
      <c r="V5" s="260">
        <v>32</v>
      </c>
      <c r="X5" s="211"/>
      <c r="Z5" s="261" t="s">
        <v>554</v>
      </c>
      <c r="AA5" s="34">
        <v>12</v>
      </c>
      <c r="AB5" s="34">
        <v>1500</v>
      </c>
      <c r="AC5" s="34">
        <v>6000</v>
      </c>
      <c r="AD5" s="195">
        <v>6</v>
      </c>
      <c r="AF5" s="211"/>
      <c r="AI5" s="262" t="s">
        <v>558</v>
      </c>
      <c r="AJ5" s="263">
        <v>13</v>
      </c>
    </row>
    <row r="6" spans="1:38">
      <c r="A6" s="43" t="s">
        <v>559</v>
      </c>
      <c r="B6" s="43">
        <v>20</v>
      </c>
      <c r="C6" s="43">
        <v>18</v>
      </c>
      <c r="D6" s="43">
        <v>19</v>
      </c>
      <c r="E6" s="43">
        <v>15</v>
      </c>
      <c r="F6" s="43">
        <v>17</v>
      </c>
      <c r="G6" s="43">
        <v>22</v>
      </c>
      <c r="H6" s="43">
        <v>26</v>
      </c>
      <c r="J6" s="211"/>
      <c r="L6" s="258" t="s">
        <v>554</v>
      </c>
      <c r="M6" s="34">
        <v>10</v>
      </c>
      <c r="N6" s="34">
        <v>1500</v>
      </c>
      <c r="O6" s="34">
        <v>3000</v>
      </c>
      <c r="P6" s="195">
        <v>12</v>
      </c>
      <c r="R6" s="211"/>
      <c r="T6" s="259">
        <v>43133</v>
      </c>
      <c r="U6" s="43" t="s">
        <v>560</v>
      </c>
      <c r="V6" s="260">
        <v>53</v>
      </c>
      <c r="X6" s="211"/>
      <c r="Z6" s="261" t="s">
        <v>554</v>
      </c>
      <c r="AA6" s="34">
        <v>6</v>
      </c>
      <c r="AB6" s="34">
        <v>2000</v>
      </c>
      <c r="AC6" s="34">
        <v>6000</v>
      </c>
      <c r="AD6" s="195">
        <v>3</v>
      </c>
      <c r="AF6" s="211"/>
      <c r="AI6" s="262" t="s">
        <v>561</v>
      </c>
      <c r="AJ6" s="263">
        <v>11</v>
      </c>
    </row>
    <row r="7" spans="1:38">
      <c r="A7" s="43" t="s">
        <v>562</v>
      </c>
      <c r="B7" s="43">
        <v>12</v>
      </c>
      <c r="C7" s="43">
        <v>13</v>
      </c>
      <c r="D7" s="43">
        <v>6</v>
      </c>
      <c r="E7" s="43">
        <v>8</v>
      </c>
      <c r="F7" s="43">
        <v>10</v>
      </c>
      <c r="G7" s="43">
        <v>14</v>
      </c>
      <c r="H7" s="43">
        <v>15</v>
      </c>
      <c r="J7" s="211"/>
      <c r="L7" s="258" t="s">
        <v>554</v>
      </c>
      <c r="M7" s="34">
        <v>12</v>
      </c>
      <c r="N7" s="34">
        <v>1500</v>
      </c>
      <c r="O7" s="34">
        <v>6000</v>
      </c>
      <c r="P7" s="195">
        <v>6</v>
      </c>
      <c r="R7" s="211"/>
      <c r="T7" s="259">
        <v>43133</v>
      </c>
      <c r="U7" s="43" t="s">
        <v>301</v>
      </c>
      <c r="V7" s="260">
        <v>13</v>
      </c>
      <c r="X7" s="211"/>
      <c r="Z7" s="261" t="s">
        <v>554</v>
      </c>
      <c r="AA7" s="34">
        <v>12</v>
      </c>
      <c r="AB7" s="34">
        <v>2000</v>
      </c>
      <c r="AC7" s="34">
        <v>3000</v>
      </c>
      <c r="AD7" s="195">
        <v>12</v>
      </c>
      <c r="AF7" s="211"/>
      <c r="AI7" s="262" t="s">
        <v>563</v>
      </c>
      <c r="AJ7" s="263">
        <v>12</v>
      </c>
    </row>
    <row r="8" spans="1:38">
      <c r="A8" s="43" t="s">
        <v>564</v>
      </c>
      <c r="B8" s="43">
        <v>10</v>
      </c>
      <c r="C8" s="43">
        <v>8</v>
      </c>
      <c r="D8" s="43">
        <v>9</v>
      </c>
      <c r="E8" s="43">
        <v>6</v>
      </c>
      <c r="F8" s="43">
        <v>8</v>
      </c>
      <c r="G8" s="43">
        <v>12</v>
      </c>
      <c r="H8" s="43">
        <v>14</v>
      </c>
      <c r="J8" s="211"/>
      <c r="L8" s="258" t="s">
        <v>554</v>
      </c>
      <c r="M8" s="34">
        <v>12</v>
      </c>
      <c r="N8" s="34">
        <v>2000</v>
      </c>
      <c r="O8" s="34">
        <v>3000</v>
      </c>
      <c r="P8" s="195">
        <v>12</v>
      </c>
      <c r="R8" s="211"/>
      <c r="T8" s="259">
        <v>43143</v>
      </c>
      <c r="U8" s="43" t="s">
        <v>565</v>
      </c>
      <c r="V8" s="260">
        <v>90</v>
      </c>
      <c r="X8" s="211"/>
      <c r="Z8" s="261" t="s">
        <v>554</v>
      </c>
      <c r="AA8" s="34">
        <v>20</v>
      </c>
      <c r="AB8" s="34">
        <v>1500</v>
      </c>
      <c r="AC8" s="34">
        <v>5500</v>
      </c>
      <c r="AD8" s="195">
        <v>6</v>
      </c>
      <c r="AF8" s="211"/>
      <c r="AI8" s="262" t="s">
        <v>566</v>
      </c>
      <c r="AJ8" s="263">
        <v>10</v>
      </c>
    </row>
    <row r="9" spans="1:38">
      <c r="A9" s="43" t="s">
        <v>567</v>
      </c>
      <c r="B9" s="43">
        <v>10</v>
      </c>
      <c r="C9" s="43">
        <v>8</v>
      </c>
      <c r="D9" s="43">
        <v>9</v>
      </c>
      <c r="E9" s="43">
        <v>6</v>
      </c>
      <c r="F9" s="43">
        <v>8</v>
      </c>
      <c r="G9" s="43">
        <v>12</v>
      </c>
      <c r="H9" s="43">
        <v>14</v>
      </c>
      <c r="J9" s="211"/>
      <c r="L9" s="258" t="s">
        <v>554</v>
      </c>
      <c r="M9" s="34">
        <v>12</v>
      </c>
      <c r="N9" s="34">
        <v>2000</v>
      </c>
      <c r="O9" s="34">
        <v>3000</v>
      </c>
      <c r="P9" s="195">
        <v>12</v>
      </c>
      <c r="R9" s="211"/>
      <c r="T9" s="259">
        <v>43162</v>
      </c>
      <c r="U9" s="264" t="s">
        <v>565</v>
      </c>
      <c r="V9" s="260">
        <v>90</v>
      </c>
      <c r="X9" s="211"/>
      <c r="Z9" s="261" t="s">
        <v>554</v>
      </c>
      <c r="AA9" s="34">
        <v>15</v>
      </c>
      <c r="AB9" s="34">
        <v>2000</v>
      </c>
      <c r="AC9" s="34">
        <v>7200</v>
      </c>
      <c r="AD9" s="195">
        <v>3</v>
      </c>
      <c r="AF9" s="211"/>
      <c r="AI9" s="262" t="s">
        <v>568</v>
      </c>
      <c r="AJ9" s="263">
        <v>9</v>
      </c>
    </row>
    <row r="10" spans="1:38">
      <c r="A10" s="43" t="s">
        <v>569</v>
      </c>
      <c r="B10" s="43">
        <v>20</v>
      </c>
      <c r="C10" s="43">
        <v>18</v>
      </c>
      <c r="D10" s="43">
        <v>19</v>
      </c>
      <c r="E10" s="43">
        <v>15</v>
      </c>
      <c r="F10" s="43">
        <v>17</v>
      </c>
      <c r="G10" s="43">
        <v>22</v>
      </c>
      <c r="H10" s="43">
        <v>26</v>
      </c>
      <c r="J10" s="211"/>
      <c r="L10" s="258" t="s">
        <v>554</v>
      </c>
      <c r="M10" s="34">
        <v>12</v>
      </c>
      <c r="N10" s="34">
        <v>2000</v>
      </c>
      <c r="O10" s="34">
        <v>7200</v>
      </c>
      <c r="P10" s="195">
        <v>3</v>
      </c>
      <c r="R10" s="211"/>
      <c r="T10" s="259">
        <v>43162</v>
      </c>
      <c r="U10" s="264" t="s">
        <v>555</v>
      </c>
      <c r="V10" s="260">
        <v>25</v>
      </c>
      <c r="X10" s="211"/>
      <c r="Z10" s="261" t="s">
        <v>554</v>
      </c>
      <c r="AA10" s="34">
        <v>12</v>
      </c>
      <c r="AB10" s="34">
        <v>2000</v>
      </c>
      <c r="AC10" s="34">
        <v>3000</v>
      </c>
      <c r="AD10" s="195">
        <v>12</v>
      </c>
      <c r="AF10" s="211"/>
      <c r="AI10" s="262" t="s">
        <v>570</v>
      </c>
      <c r="AJ10" s="263">
        <v>8</v>
      </c>
    </row>
    <row r="11" spans="1:38" ht="14.65" thickBot="1">
      <c r="A11" s="43" t="s">
        <v>571</v>
      </c>
      <c r="B11" s="43">
        <v>18</v>
      </c>
      <c r="C11" s="43">
        <v>17</v>
      </c>
      <c r="D11" s="43">
        <v>19</v>
      </c>
      <c r="E11" s="43">
        <v>16</v>
      </c>
      <c r="F11" s="43">
        <v>17</v>
      </c>
      <c r="G11" s="43">
        <v>20</v>
      </c>
      <c r="H11" s="43">
        <v>23</v>
      </c>
      <c r="J11" s="211"/>
      <c r="L11" s="258" t="s">
        <v>554</v>
      </c>
      <c r="M11" s="34">
        <v>15</v>
      </c>
      <c r="N11" s="34">
        <v>1700</v>
      </c>
      <c r="O11" s="34">
        <v>6000</v>
      </c>
      <c r="P11" s="195">
        <v>6</v>
      </c>
      <c r="R11" s="211"/>
      <c r="T11" s="259">
        <v>43182</v>
      </c>
      <c r="U11" s="43" t="s">
        <v>565</v>
      </c>
      <c r="V11" s="260">
        <v>95</v>
      </c>
      <c r="X11" s="211"/>
      <c r="Z11" s="261" t="s">
        <v>554</v>
      </c>
      <c r="AA11" s="34">
        <v>15</v>
      </c>
      <c r="AB11" s="34">
        <v>1700</v>
      </c>
      <c r="AC11" s="34">
        <v>6000</v>
      </c>
      <c r="AD11" s="195">
        <v>6</v>
      </c>
      <c r="AF11" s="211"/>
      <c r="AI11" s="265" t="s">
        <v>572</v>
      </c>
      <c r="AJ11" s="266">
        <v>7</v>
      </c>
    </row>
    <row r="12" spans="1:38">
      <c r="A12" s="43" t="s">
        <v>573</v>
      </c>
      <c r="B12" s="43">
        <v>20</v>
      </c>
      <c r="C12" s="43">
        <v>18</v>
      </c>
      <c r="D12" s="43">
        <v>19</v>
      </c>
      <c r="E12" s="43">
        <v>15</v>
      </c>
      <c r="F12" s="43">
        <v>17</v>
      </c>
      <c r="G12" s="43">
        <v>22</v>
      </c>
      <c r="H12" s="43">
        <v>26</v>
      </c>
      <c r="J12" s="211"/>
      <c r="L12" s="258" t="s">
        <v>554</v>
      </c>
      <c r="M12" s="34">
        <v>15</v>
      </c>
      <c r="N12" s="34">
        <v>2000</v>
      </c>
      <c r="O12" s="34">
        <v>5500</v>
      </c>
      <c r="P12" s="195">
        <v>6</v>
      </c>
      <c r="R12" s="211"/>
      <c r="T12" s="259">
        <v>43215</v>
      </c>
      <c r="U12" s="43" t="s">
        <v>560</v>
      </c>
      <c r="V12" s="260">
        <v>75</v>
      </c>
      <c r="X12" s="211"/>
      <c r="Z12" s="261" t="s">
        <v>554</v>
      </c>
      <c r="AA12" s="34">
        <v>8</v>
      </c>
      <c r="AB12" s="34">
        <v>2000</v>
      </c>
      <c r="AC12" s="34">
        <v>6000</v>
      </c>
      <c r="AD12" s="195">
        <v>3</v>
      </c>
      <c r="AF12" s="211"/>
    </row>
    <row r="13" spans="1:38">
      <c r="A13" s="43" t="s">
        <v>574</v>
      </c>
      <c r="B13" s="43">
        <v>25</v>
      </c>
      <c r="C13" s="43">
        <v>22</v>
      </c>
      <c r="D13" s="43">
        <v>23</v>
      </c>
      <c r="E13" s="43">
        <v>24</v>
      </c>
      <c r="F13" s="43">
        <v>20</v>
      </c>
      <c r="G13" s="43">
        <v>26</v>
      </c>
      <c r="H13" s="43">
        <v>28</v>
      </c>
      <c r="J13" s="211"/>
      <c r="L13" s="258" t="s">
        <v>554</v>
      </c>
      <c r="M13" s="34">
        <v>15</v>
      </c>
      <c r="N13" s="34">
        <v>2000</v>
      </c>
      <c r="O13" s="34">
        <v>7200</v>
      </c>
      <c r="P13" s="195">
        <v>3</v>
      </c>
      <c r="R13" s="211"/>
      <c r="T13" s="259">
        <v>43215</v>
      </c>
      <c r="U13" s="43" t="s">
        <v>301</v>
      </c>
      <c r="V13" s="260">
        <v>12.7</v>
      </c>
      <c r="X13" s="211"/>
      <c r="Z13" s="261" t="s">
        <v>554</v>
      </c>
      <c r="AA13" s="34">
        <v>20</v>
      </c>
      <c r="AB13" s="34">
        <v>2000</v>
      </c>
      <c r="AC13" s="34">
        <v>3000</v>
      </c>
      <c r="AD13" s="195">
        <v>12</v>
      </c>
      <c r="AF13" s="211"/>
    </row>
    <row r="14" spans="1:38">
      <c r="A14" s="43" t="s">
        <v>575</v>
      </c>
      <c r="B14" s="43">
        <v>18</v>
      </c>
      <c r="C14" s="43">
        <v>17</v>
      </c>
      <c r="D14" s="43">
        <v>19</v>
      </c>
      <c r="E14" s="43">
        <v>16</v>
      </c>
      <c r="F14" s="43">
        <v>17</v>
      </c>
      <c r="G14" s="43">
        <v>20</v>
      </c>
      <c r="H14" s="43">
        <v>23</v>
      </c>
      <c r="J14" s="211"/>
      <c r="L14" s="258" t="s">
        <v>554</v>
      </c>
      <c r="M14" s="34">
        <v>20</v>
      </c>
      <c r="N14" s="34">
        <v>1500</v>
      </c>
      <c r="O14" s="34">
        <v>5500</v>
      </c>
      <c r="P14" s="195">
        <v>6</v>
      </c>
      <c r="R14" s="211"/>
      <c r="T14" s="259">
        <v>43242</v>
      </c>
      <c r="U14" s="264" t="s">
        <v>560</v>
      </c>
      <c r="V14" s="260">
        <v>85</v>
      </c>
      <c r="X14" s="211"/>
      <c r="Z14" s="261" t="s">
        <v>554</v>
      </c>
      <c r="AA14" s="34">
        <v>15</v>
      </c>
      <c r="AB14" s="34">
        <v>2000</v>
      </c>
      <c r="AC14" s="34">
        <v>5500</v>
      </c>
      <c r="AD14" s="195">
        <v>6</v>
      </c>
      <c r="AF14" s="211"/>
    </row>
    <row r="15" spans="1:38" ht="14.65" thickBot="1">
      <c r="J15" s="211"/>
      <c r="L15" s="258" t="s">
        <v>554</v>
      </c>
      <c r="M15" s="34">
        <v>20</v>
      </c>
      <c r="N15" s="34">
        <v>2000</v>
      </c>
      <c r="O15" s="34">
        <v>3000</v>
      </c>
      <c r="P15" s="195">
        <v>12</v>
      </c>
      <c r="R15" s="211"/>
      <c r="T15" s="267">
        <v>43266</v>
      </c>
      <c r="U15" s="156" t="s">
        <v>555</v>
      </c>
      <c r="V15" s="268">
        <v>25</v>
      </c>
      <c r="X15" s="211"/>
      <c r="Z15" s="261" t="s">
        <v>554</v>
      </c>
      <c r="AA15" s="34">
        <v>12</v>
      </c>
      <c r="AB15" s="34">
        <v>2000</v>
      </c>
      <c r="AC15" s="34">
        <v>7200</v>
      </c>
      <c r="AD15" s="195">
        <v>3</v>
      </c>
      <c r="AF15" s="211"/>
    </row>
    <row r="16" spans="1:38">
      <c r="J16" s="211"/>
      <c r="L16" s="258" t="s">
        <v>576</v>
      </c>
      <c r="M16" s="34">
        <v>5</v>
      </c>
      <c r="N16" s="34">
        <v>1500</v>
      </c>
      <c r="O16" s="34">
        <v>6000</v>
      </c>
      <c r="P16" s="195">
        <v>2</v>
      </c>
      <c r="R16" s="211"/>
      <c r="U16" s="129"/>
      <c r="X16" s="211"/>
      <c r="Z16" s="269" t="s">
        <v>576</v>
      </c>
      <c r="AA16" s="34">
        <v>5</v>
      </c>
      <c r="AB16" s="34">
        <v>1500</v>
      </c>
      <c r="AC16" s="34">
        <v>6000</v>
      </c>
      <c r="AD16" s="195">
        <v>2</v>
      </c>
      <c r="AF16" s="211"/>
    </row>
    <row r="17" spans="10:32">
      <c r="J17" s="211"/>
      <c r="L17" s="258" t="s">
        <v>576</v>
      </c>
      <c r="M17" s="34">
        <v>10</v>
      </c>
      <c r="N17" s="34">
        <v>1500</v>
      </c>
      <c r="O17" s="34">
        <v>4500</v>
      </c>
      <c r="P17" s="195">
        <v>3</v>
      </c>
      <c r="R17" s="211"/>
      <c r="X17" s="211"/>
      <c r="Z17" s="269" t="s">
        <v>576</v>
      </c>
      <c r="AA17" s="34">
        <v>10</v>
      </c>
      <c r="AB17" s="34">
        <v>1500</v>
      </c>
      <c r="AC17" s="34">
        <v>4500</v>
      </c>
      <c r="AD17" s="195">
        <v>3</v>
      </c>
      <c r="AF17" s="211"/>
    </row>
    <row r="18" spans="10:32">
      <c r="J18" s="211"/>
      <c r="L18" s="258" t="s">
        <v>576</v>
      </c>
      <c r="M18" s="34">
        <v>15</v>
      </c>
      <c r="N18" s="34">
        <v>1000</v>
      </c>
      <c r="O18" s="34">
        <v>2000</v>
      </c>
      <c r="P18" s="195">
        <v>3</v>
      </c>
      <c r="R18" s="211"/>
      <c r="X18" s="211"/>
      <c r="Z18" s="269" t="s">
        <v>576</v>
      </c>
      <c r="AA18" s="34">
        <v>20</v>
      </c>
      <c r="AB18" s="34">
        <v>1500</v>
      </c>
      <c r="AC18" s="34">
        <v>3000</v>
      </c>
      <c r="AD18" s="195">
        <v>2</v>
      </c>
      <c r="AF18" s="211"/>
    </row>
    <row r="19" spans="10:32">
      <c r="J19" s="211"/>
      <c r="L19" s="258" t="s">
        <v>576</v>
      </c>
      <c r="M19" s="34">
        <v>20</v>
      </c>
      <c r="N19" s="34">
        <v>1000</v>
      </c>
      <c r="O19" s="34">
        <v>2000</v>
      </c>
      <c r="P19" s="195">
        <v>3</v>
      </c>
      <c r="R19" s="211"/>
      <c r="X19" s="211"/>
      <c r="Z19" s="269" t="s">
        <v>576</v>
      </c>
      <c r="AA19" s="34">
        <v>15</v>
      </c>
      <c r="AB19" s="34">
        <v>1000</v>
      </c>
      <c r="AC19" s="34">
        <v>2000</v>
      </c>
      <c r="AD19" s="195">
        <v>3</v>
      </c>
      <c r="AF19" s="211"/>
    </row>
    <row r="20" spans="10:32">
      <c r="J20" s="211"/>
      <c r="L20" s="258" t="s">
        <v>576</v>
      </c>
      <c r="M20" s="34">
        <v>20</v>
      </c>
      <c r="N20" s="34">
        <v>1500</v>
      </c>
      <c r="O20" s="34">
        <v>3000</v>
      </c>
      <c r="P20" s="195">
        <v>2</v>
      </c>
      <c r="R20" s="211"/>
      <c r="X20" s="211"/>
      <c r="Z20" s="269" t="s">
        <v>576</v>
      </c>
      <c r="AA20" s="34">
        <v>20</v>
      </c>
      <c r="AB20" s="34">
        <v>1500</v>
      </c>
      <c r="AC20" s="34">
        <v>6000</v>
      </c>
      <c r="AD20" s="195">
        <v>2</v>
      </c>
      <c r="AF20" s="211"/>
    </row>
    <row r="21" spans="10:32">
      <c r="J21" s="211"/>
      <c r="L21" s="258" t="s">
        <v>576</v>
      </c>
      <c r="M21" s="34">
        <v>20</v>
      </c>
      <c r="N21" s="34">
        <v>1500</v>
      </c>
      <c r="O21" s="34">
        <v>6000</v>
      </c>
      <c r="P21" s="195">
        <v>2</v>
      </c>
      <c r="R21" s="211"/>
      <c r="X21" s="211"/>
      <c r="Z21" s="269" t="s">
        <v>576</v>
      </c>
      <c r="AA21" s="34">
        <v>30</v>
      </c>
      <c r="AB21" s="34">
        <v>2000</v>
      </c>
      <c r="AC21" s="34">
        <v>4500</v>
      </c>
      <c r="AD21" s="195">
        <v>3</v>
      </c>
      <c r="AF21" s="211"/>
    </row>
    <row r="22" spans="10:32">
      <c r="J22" s="211"/>
      <c r="L22" s="258" t="s">
        <v>576</v>
      </c>
      <c r="M22" s="34">
        <v>30</v>
      </c>
      <c r="N22" s="34">
        <v>2000</v>
      </c>
      <c r="O22" s="34">
        <v>4500</v>
      </c>
      <c r="P22" s="195">
        <v>3</v>
      </c>
      <c r="R22" s="211"/>
      <c r="X22" s="211"/>
      <c r="Z22" s="269" t="s">
        <v>576</v>
      </c>
      <c r="AA22" s="34">
        <v>35</v>
      </c>
      <c r="AB22" s="34">
        <v>1500</v>
      </c>
      <c r="AC22" s="34">
        <v>3000</v>
      </c>
      <c r="AD22" s="195">
        <v>2</v>
      </c>
      <c r="AF22" s="211"/>
    </row>
    <row r="23" spans="10:32">
      <c r="J23" s="211"/>
      <c r="L23" s="258" t="s">
        <v>576</v>
      </c>
      <c r="M23" s="34">
        <v>35</v>
      </c>
      <c r="N23" s="34">
        <v>1500</v>
      </c>
      <c r="O23" s="34">
        <v>3000</v>
      </c>
      <c r="P23" s="195">
        <v>2</v>
      </c>
      <c r="R23" s="211"/>
      <c r="X23" s="211"/>
      <c r="Z23" s="269" t="s">
        <v>576</v>
      </c>
      <c r="AA23" s="34">
        <v>20</v>
      </c>
      <c r="AB23" s="34">
        <v>1000</v>
      </c>
      <c r="AC23" s="34">
        <v>2000</v>
      </c>
      <c r="AD23" s="195">
        <v>3</v>
      </c>
      <c r="AF23" s="211"/>
    </row>
    <row r="24" spans="10:32">
      <c r="J24" s="211"/>
      <c r="L24" s="258" t="s">
        <v>577</v>
      </c>
      <c r="M24" s="34">
        <v>10</v>
      </c>
      <c r="N24" s="34">
        <v>1500</v>
      </c>
      <c r="O24" s="34">
        <v>4500</v>
      </c>
      <c r="P24" s="195">
        <v>4</v>
      </c>
      <c r="R24" s="211"/>
      <c r="X24" s="211"/>
      <c r="Z24" s="270" t="s">
        <v>577</v>
      </c>
      <c r="AA24" s="34">
        <v>10</v>
      </c>
      <c r="AB24" s="34">
        <v>2000</v>
      </c>
      <c r="AC24" s="34">
        <v>12000</v>
      </c>
      <c r="AD24" s="195">
        <v>5</v>
      </c>
      <c r="AF24" s="211"/>
    </row>
    <row r="25" spans="10:32">
      <c r="J25" s="211"/>
      <c r="L25" s="258" t="s">
        <v>577</v>
      </c>
      <c r="M25" s="34">
        <v>10</v>
      </c>
      <c r="N25" s="34">
        <v>2000</v>
      </c>
      <c r="O25" s="34">
        <v>12000</v>
      </c>
      <c r="P25" s="195">
        <v>5</v>
      </c>
      <c r="R25" s="211"/>
      <c r="X25" s="211"/>
      <c r="Z25" s="270" t="s">
        <v>577</v>
      </c>
      <c r="AA25" s="34">
        <v>15</v>
      </c>
      <c r="AB25" s="34">
        <v>1500</v>
      </c>
      <c r="AC25" s="34">
        <v>3000</v>
      </c>
      <c r="AD25" s="195">
        <v>4</v>
      </c>
      <c r="AF25" s="211"/>
    </row>
    <row r="26" spans="10:32">
      <c r="J26" s="211"/>
      <c r="L26" s="258" t="s">
        <v>577</v>
      </c>
      <c r="M26" s="34">
        <v>15</v>
      </c>
      <c r="N26" s="34">
        <v>1500</v>
      </c>
      <c r="O26" s="34">
        <v>3000</v>
      </c>
      <c r="P26" s="195">
        <v>4</v>
      </c>
      <c r="R26" s="211"/>
      <c r="X26" s="211"/>
      <c r="Z26" s="270" t="s">
        <v>577</v>
      </c>
      <c r="AA26" s="34">
        <v>25</v>
      </c>
      <c r="AB26" s="34">
        <v>2000</v>
      </c>
      <c r="AC26" s="34">
        <v>12000</v>
      </c>
      <c r="AD26" s="195">
        <v>5</v>
      </c>
      <c r="AF26" s="211"/>
    </row>
    <row r="27" spans="10:32">
      <c r="J27" s="211"/>
      <c r="L27" s="258" t="s">
        <v>577</v>
      </c>
      <c r="M27" s="34">
        <v>15</v>
      </c>
      <c r="N27" s="34">
        <v>1500</v>
      </c>
      <c r="O27" s="34">
        <v>4500</v>
      </c>
      <c r="P27" s="195">
        <v>4</v>
      </c>
      <c r="R27" s="211"/>
      <c r="X27" s="211"/>
      <c r="Z27" s="270" t="s">
        <v>577</v>
      </c>
      <c r="AA27" s="34">
        <v>15</v>
      </c>
      <c r="AB27" s="34">
        <v>1500</v>
      </c>
      <c r="AC27" s="34">
        <v>4500</v>
      </c>
      <c r="AD27" s="195">
        <v>4</v>
      </c>
      <c r="AF27" s="211"/>
    </row>
    <row r="28" spans="10:32">
      <c r="J28" s="211"/>
      <c r="L28" s="258" t="s">
        <v>577</v>
      </c>
      <c r="M28" s="34">
        <v>15</v>
      </c>
      <c r="N28" s="34">
        <v>2000</v>
      </c>
      <c r="O28" s="34">
        <v>12000</v>
      </c>
      <c r="P28" s="195">
        <v>5</v>
      </c>
      <c r="R28" s="211"/>
      <c r="X28" s="211"/>
      <c r="Z28" s="270" t="s">
        <v>577</v>
      </c>
      <c r="AA28" s="34">
        <v>25</v>
      </c>
      <c r="AB28" s="34">
        <v>2000</v>
      </c>
      <c r="AC28" s="34">
        <v>12000</v>
      </c>
      <c r="AD28" s="195">
        <v>5</v>
      </c>
      <c r="AF28" s="211"/>
    </row>
    <row r="29" spans="10:32">
      <c r="J29" s="211"/>
      <c r="L29" s="258" t="s">
        <v>577</v>
      </c>
      <c r="M29" s="34">
        <v>25</v>
      </c>
      <c r="N29" s="34">
        <v>1500</v>
      </c>
      <c r="O29" s="34">
        <v>3000</v>
      </c>
      <c r="P29" s="195">
        <v>4</v>
      </c>
      <c r="R29" s="211"/>
      <c r="X29" s="211"/>
      <c r="Z29" s="270" t="s">
        <v>577</v>
      </c>
      <c r="AA29" s="34">
        <v>25</v>
      </c>
      <c r="AB29" s="34">
        <v>1500</v>
      </c>
      <c r="AC29" s="34">
        <v>3000</v>
      </c>
      <c r="AD29" s="195">
        <v>4</v>
      </c>
      <c r="AF29" s="211"/>
    </row>
    <row r="30" spans="10:32">
      <c r="J30" s="211"/>
      <c r="L30" s="258" t="s">
        <v>577</v>
      </c>
      <c r="M30" s="34">
        <v>25</v>
      </c>
      <c r="N30" s="34">
        <v>2000</v>
      </c>
      <c r="O30" s="34">
        <v>12000</v>
      </c>
      <c r="P30" s="195">
        <v>5</v>
      </c>
      <c r="R30" s="211"/>
      <c r="X30" s="211"/>
      <c r="Z30" s="270" t="s">
        <v>577</v>
      </c>
      <c r="AA30" s="34">
        <v>15</v>
      </c>
      <c r="AB30" s="34">
        <v>2000</v>
      </c>
      <c r="AC30" s="34">
        <v>12000</v>
      </c>
      <c r="AD30" s="195">
        <v>5</v>
      </c>
      <c r="AF30" s="211"/>
    </row>
    <row r="31" spans="10:32" ht="14.65" thickBot="1">
      <c r="J31" s="211"/>
      <c r="L31" s="271" t="s">
        <v>577</v>
      </c>
      <c r="M31" s="272">
        <v>25</v>
      </c>
      <c r="N31" s="272">
        <v>2000</v>
      </c>
      <c r="O31" s="272">
        <v>12000</v>
      </c>
      <c r="P31" s="198">
        <v>5</v>
      </c>
      <c r="R31" s="211"/>
      <c r="X31" s="211"/>
      <c r="Z31" s="273" t="s">
        <v>577</v>
      </c>
      <c r="AA31" s="272">
        <v>10</v>
      </c>
      <c r="AB31" s="272">
        <v>1500</v>
      </c>
      <c r="AC31" s="272">
        <v>4500</v>
      </c>
      <c r="AD31" s="198">
        <v>4</v>
      </c>
      <c r="AF31" s="211"/>
    </row>
    <row r="32" spans="10:32">
      <c r="J32" s="211"/>
      <c r="R32" s="211"/>
      <c r="X32" s="211"/>
      <c r="AF32" s="211"/>
    </row>
    <row r="47" ht="30.75" customHeight="1"/>
    <row r="62" ht="33.75" customHeight="1"/>
    <row r="94" ht="27.75" customHeight="1"/>
  </sheetData>
  <mergeCells count="5">
    <mergeCell ref="A2:H2"/>
    <mergeCell ref="L2:P2"/>
    <mergeCell ref="T2:V2"/>
    <mergeCell ref="Z2:AD2"/>
    <mergeCell ref="AH2:AK2"/>
  </mergeCells>
  <conditionalFormatting sqref="AJ4:AJ11">
    <cfRule type="iconSet" priority="1">
      <iconSet iconSet="3Symbols2">
        <cfvo type="percent" val="0"/>
        <cfvo type="num" val="9"/>
        <cfvo type="num" val="13"/>
      </iconSet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4C2FB-449F-437C-843B-C49B553F8ECB}">
  <sheetPr>
    <tabColor theme="4" tint="0.39997558519241921"/>
  </sheetPr>
  <dimension ref="A1:AJ32"/>
  <sheetViews>
    <sheetView zoomScaleNormal="100" workbookViewId="0"/>
  </sheetViews>
  <sheetFormatPr baseColWidth="10" defaultRowHeight="14.25"/>
  <cols>
    <col min="4" max="5" width="11.46484375" bestFit="1" customWidth="1"/>
    <col min="6" max="8" width="3.796875" customWidth="1"/>
    <col min="9" max="9" width="14.796875" customWidth="1"/>
    <col min="12" max="14" width="3.796875" customWidth="1"/>
    <col min="20" max="22" width="3.796875" customWidth="1"/>
    <col min="28" max="30" width="3.796875" customWidth="1"/>
    <col min="31" max="31" width="8.73046875" customWidth="1"/>
    <col min="33" max="33" width="14" customWidth="1"/>
    <col min="35" max="37" width="3.796875" customWidth="1"/>
  </cols>
  <sheetData>
    <row r="1" spans="1:36" ht="88.5" customHeight="1">
      <c r="A1" s="274" t="s">
        <v>578</v>
      </c>
      <c r="G1" s="211"/>
      <c r="M1" s="211"/>
      <c r="U1" s="211"/>
      <c r="AC1" s="211"/>
      <c r="AJ1" s="211"/>
    </row>
    <row r="2" spans="1:36" ht="14.55" customHeight="1">
      <c r="A2" s="488" t="s">
        <v>579</v>
      </c>
      <c r="B2" s="488"/>
      <c r="C2" s="488"/>
      <c r="D2" s="488"/>
      <c r="E2" s="488"/>
      <c r="F2" s="158"/>
      <c r="G2" s="249"/>
      <c r="H2" s="158"/>
      <c r="I2" s="488" t="s">
        <v>580</v>
      </c>
      <c r="J2" s="488"/>
      <c r="K2" s="488"/>
      <c r="L2" s="158"/>
      <c r="M2" s="249"/>
      <c r="O2" s="488" t="s">
        <v>581</v>
      </c>
      <c r="P2" s="488"/>
      <c r="Q2" s="488"/>
      <c r="R2" s="488"/>
      <c r="S2" s="488"/>
      <c r="T2" s="158"/>
      <c r="U2" s="249"/>
      <c r="W2" s="488" t="s">
        <v>582</v>
      </c>
      <c r="X2" s="488"/>
      <c r="Y2" s="488"/>
      <c r="Z2" s="488"/>
      <c r="AA2" s="488"/>
      <c r="AB2" s="158"/>
      <c r="AC2" s="249"/>
      <c r="AE2" s="488" t="s">
        <v>583</v>
      </c>
      <c r="AF2" s="488"/>
      <c r="AG2" s="488"/>
      <c r="AH2" s="488"/>
      <c r="AI2" s="158"/>
      <c r="AJ2" s="249"/>
    </row>
    <row r="3" spans="1:36" ht="14.65" thickBot="1">
      <c r="G3" s="211"/>
      <c r="I3" s="275"/>
      <c r="M3" s="211"/>
      <c r="U3" s="211"/>
      <c r="W3" s="275"/>
      <c r="AC3" s="211"/>
      <c r="AJ3" s="211"/>
    </row>
    <row r="4" spans="1:36" ht="14.65" thickBot="1">
      <c r="A4" s="251" t="s">
        <v>544</v>
      </c>
      <c r="B4" s="252" t="s">
        <v>545</v>
      </c>
      <c r="C4" s="252" t="s">
        <v>546</v>
      </c>
      <c r="D4" s="252" t="s">
        <v>547</v>
      </c>
      <c r="E4" s="253" t="s">
        <v>548</v>
      </c>
      <c r="G4" s="211"/>
      <c r="I4" s="276" t="s">
        <v>584</v>
      </c>
      <c r="J4" s="276" t="s">
        <v>585</v>
      </c>
      <c r="M4" s="211"/>
      <c r="O4" s="277" t="s">
        <v>544</v>
      </c>
      <c r="P4" s="278" t="s">
        <v>545</v>
      </c>
      <c r="Q4" s="278" t="s">
        <v>546</v>
      </c>
      <c r="R4" s="278" t="s">
        <v>547</v>
      </c>
      <c r="S4" s="279" t="s">
        <v>548</v>
      </c>
      <c r="U4" s="211"/>
      <c r="W4" s="277" t="s">
        <v>544</v>
      </c>
      <c r="X4" s="278" t="s">
        <v>545</v>
      </c>
      <c r="Y4" s="278" t="s">
        <v>546</v>
      </c>
      <c r="Z4" s="278" t="s">
        <v>547</v>
      </c>
      <c r="AA4" s="279" t="s">
        <v>548</v>
      </c>
      <c r="AC4" s="211"/>
      <c r="AF4" s="280" t="s">
        <v>551</v>
      </c>
      <c r="AG4" s="281" t="s">
        <v>552</v>
      </c>
      <c r="AJ4" s="211"/>
    </row>
    <row r="5" spans="1:36">
      <c r="A5" s="258" t="s">
        <v>554</v>
      </c>
      <c r="B5" s="34">
        <v>10</v>
      </c>
      <c r="C5" s="34">
        <v>1500</v>
      </c>
      <c r="D5" s="34">
        <v>3000</v>
      </c>
      <c r="E5" s="195">
        <v>12</v>
      </c>
      <c r="G5" s="211"/>
      <c r="I5" s="282" t="s">
        <v>586</v>
      </c>
      <c r="J5" s="43">
        <v>4323</v>
      </c>
      <c r="M5" s="211"/>
      <c r="O5" s="283" t="s">
        <v>554</v>
      </c>
      <c r="P5" s="284">
        <v>10</v>
      </c>
      <c r="Q5" s="284">
        <v>1500</v>
      </c>
      <c r="R5" s="284">
        <v>3000</v>
      </c>
      <c r="S5" s="285">
        <v>12</v>
      </c>
      <c r="U5" s="211"/>
      <c r="W5" s="286" t="s">
        <v>554</v>
      </c>
      <c r="X5" s="284">
        <v>10</v>
      </c>
      <c r="Y5" s="284">
        <v>1500</v>
      </c>
      <c r="Z5" s="284">
        <v>3000</v>
      </c>
      <c r="AA5" s="285">
        <v>12</v>
      </c>
      <c r="AC5" s="211"/>
      <c r="AF5" s="287" t="s">
        <v>570</v>
      </c>
      <c r="AG5" s="288">
        <v>8</v>
      </c>
      <c r="AJ5" s="211"/>
    </row>
    <row r="6" spans="1:36">
      <c r="A6" s="258" t="s">
        <v>576</v>
      </c>
      <c r="B6" s="34">
        <v>5</v>
      </c>
      <c r="C6" s="34">
        <v>1500</v>
      </c>
      <c r="D6" s="34">
        <v>6000</v>
      </c>
      <c r="E6" s="195">
        <v>2</v>
      </c>
      <c r="G6" s="211"/>
      <c r="I6" s="282" t="s">
        <v>587</v>
      </c>
      <c r="J6" s="43">
        <v>4679</v>
      </c>
      <c r="M6" s="211"/>
      <c r="O6" s="258" t="s">
        <v>576</v>
      </c>
      <c r="P6" s="34">
        <v>5</v>
      </c>
      <c r="Q6" s="34">
        <v>1500</v>
      </c>
      <c r="R6" s="34">
        <v>6000</v>
      </c>
      <c r="S6" s="195">
        <v>2</v>
      </c>
      <c r="U6" s="211"/>
      <c r="W6" s="269" t="s">
        <v>576</v>
      </c>
      <c r="X6" s="34">
        <v>5</v>
      </c>
      <c r="Y6" s="34">
        <v>1500</v>
      </c>
      <c r="Z6" s="34">
        <v>6000</v>
      </c>
      <c r="AA6" s="195">
        <v>2</v>
      </c>
      <c r="AC6" s="211"/>
      <c r="AF6" s="262" t="s">
        <v>556</v>
      </c>
      <c r="AG6" s="289">
        <v>14</v>
      </c>
      <c r="AJ6" s="211"/>
    </row>
    <row r="7" spans="1:36">
      <c r="A7" s="258" t="s">
        <v>577</v>
      </c>
      <c r="B7" s="34">
        <v>10</v>
      </c>
      <c r="C7" s="34">
        <v>2000</v>
      </c>
      <c r="D7" s="34">
        <v>12000</v>
      </c>
      <c r="E7" s="195">
        <v>5</v>
      </c>
      <c r="G7" s="211"/>
      <c r="I7" s="282" t="s">
        <v>588</v>
      </c>
      <c r="J7" s="43">
        <v>5574</v>
      </c>
      <c r="M7" s="211"/>
      <c r="O7" s="258" t="s">
        <v>577</v>
      </c>
      <c r="P7" s="34">
        <v>10</v>
      </c>
      <c r="Q7" s="34">
        <v>2000</v>
      </c>
      <c r="R7" s="34">
        <v>12000</v>
      </c>
      <c r="S7" s="195">
        <v>5</v>
      </c>
      <c r="U7" s="211"/>
      <c r="W7" s="270" t="s">
        <v>577</v>
      </c>
      <c r="X7" s="34">
        <v>10</v>
      </c>
      <c r="Y7" s="34">
        <v>2000</v>
      </c>
      <c r="Z7" s="34">
        <v>12000</v>
      </c>
      <c r="AA7" s="195">
        <v>5</v>
      </c>
      <c r="AC7" s="211"/>
      <c r="AF7" s="262" t="s">
        <v>561</v>
      </c>
      <c r="AG7" s="289">
        <v>11</v>
      </c>
      <c r="AJ7" s="211"/>
    </row>
    <row r="8" spans="1:36">
      <c r="A8" s="258" t="s">
        <v>554</v>
      </c>
      <c r="B8" s="34">
        <v>12</v>
      </c>
      <c r="C8" s="34">
        <v>1500</v>
      </c>
      <c r="D8" s="34">
        <v>6000</v>
      </c>
      <c r="E8" s="195">
        <v>6</v>
      </c>
      <c r="G8" s="211"/>
      <c r="I8" s="282" t="s">
        <v>589</v>
      </c>
      <c r="J8" s="43">
        <v>4668</v>
      </c>
      <c r="M8" s="211"/>
      <c r="O8" s="258" t="s">
        <v>554</v>
      </c>
      <c r="P8" s="34">
        <v>12</v>
      </c>
      <c r="Q8" s="34">
        <v>1500</v>
      </c>
      <c r="R8" s="34">
        <v>6000</v>
      </c>
      <c r="S8" s="195">
        <v>6</v>
      </c>
      <c r="U8" s="211"/>
      <c r="W8" s="261" t="s">
        <v>554</v>
      </c>
      <c r="X8" s="34">
        <v>12</v>
      </c>
      <c r="Y8" s="34">
        <v>1500</v>
      </c>
      <c r="Z8" s="34">
        <v>6000</v>
      </c>
      <c r="AA8" s="195">
        <v>6</v>
      </c>
      <c r="AC8" s="211"/>
      <c r="AF8" s="262" t="s">
        <v>563</v>
      </c>
      <c r="AG8" s="289">
        <v>12</v>
      </c>
      <c r="AJ8" s="211"/>
    </row>
    <row r="9" spans="1:36">
      <c r="A9" s="258" t="s">
        <v>554</v>
      </c>
      <c r="B9" s="34">
        <v>6</v>
      </c>
      <c r="C9" s="34">
        <v>2000</v>
      </c>
      <c r="D9" s="34">
        <v>6000</v>
      </c>
      <c r="E9" s="195">
        <v>3</v>
      </c>
      <c r="G9" s="211"/>
      <c r="I9" s="282" t="s">
        <v>590</v>
      </c>
      <c r="J9" s="43">
        <v>4577</v>
      </c>
      <c r="M9" s="211"/>
      <c r="O9" s="258" t="s">
        <v>554</v>
      </c>
      <c r="P9" s="34">
        <v>6</v>
      </c>
      <c r="Q9" s="34">
        <v>2000</v>
      </c>
      <c r="R9" s="34">
        <v>6000</v>
      </c>
      <c r="S9" s="195">
        <v>3</v>
      </c>
      <c r="U9" s="211"/>
      <c r="W9" s="261" t="s">
        <v>554</v>
      </c>
      <c r="X9" s="34">
        <v>6</v>
      </c>
      <c r="Y9" s="34">
        <v>2000</v>
      </c>
      <c r="Z9" s="34">
        <v>6000</v>
      </c>
      <c r="AA9" s="195">
        <v>3</v>
      </c>
      <c r="AC9" s="211"/>
      <c r="AF9" s="262" t="s">
        <v>558</v>
      </c>
      <c r="AG9" s="289">
        <v>13</v>
      </c>
      <c r="AJ9" s="211"/>
    </row>
    <row r="10" spans="1:36">
      <c r="A10" s="258" t="s">
        <v>577</v>
      </c>
      <c r="B10" s="34">
        <v>15</v>
      </c>
      <c r="C10" s="34">
        <v>1500</v>
      </c>
      <c r="D10" s="34">
        <v>3000</v>
      </c>
      <c r="E10" s="195">
        <v>4</v>
      </c>
      <c r="G10" s="211"/>
      <c r="I10" s="282" t="s">
        <v>591</v>
      </c>
      <c r="J10" s="43">
        <v>5675</v>
      </c>
      <c r="M10" s="211"/>
      <c r="O10" s="258" t="s">
        <v>577</v>
      </c>
      <c r="P10" s="34">
        <v>15</v>
      </c>
      <c r="Q10" s="34">
        <v>1500</v>
      </c>
      <c r="R10" s="34">
        <v>3000</v>
      </c>
      <c r="S10" s="195">
        <v>4</v>
      </c>
      <c r="U10" s="211"/>
      <c r="W10" s="270" t="s">
        <v>577</v>
      </c>
      <c r="X10" s="34">
        <v>15</v>
      </c>
      <c r="Y10" s="34">
        <v>1500</v>
      </c>
      <c r="Z10" s="34">
        <v>3000</v>
      </c>
      <c r="AA10" s="195">
        <v>4</v>
      </c>
      <c r="AC10" s="211"/>
      <c r="AF10" s="262" t="s">
        <v>572</v>
      </c>
      <c r="AG10" s="289">
        <v>7</v>
      </c>
      <c r="AJ10" s="211"/>
    </row>
    <row r="11" spans="1:36">
      <c r="A11" s="258" t="s">
        <v>576</v>
      </c>
      <c r="B11" s="34">
        <v>10</v>
      </c>
      <c r="C11" s="34">
        <v>1500</v>
      </c>
      <c r="D11" s="34">
        <v>4500</v>
      </c>
      <c r="E11" s="195">
        <v>3</v>
      </c>
      <c r="G11" s="211"/>
      <c r="I11" s="282" t="s">
        <v>592</v>
      </c>
      <c r="J11" s="43">
        <v>3435</v>
      </c>
      <c r="M11" s="211"/>
      <c r="O11" s="258" t="s">
        <v>576</v>
      </c>
      <c r="P11" s="34">
        <v>10</v>
      </c>
      <c r="Q11" s="34">
        <v>1500</v>
      </c>
      <c r="R11" s="34">
        <v>4500</v>
      </c>
      <c r="S11" s="195">
        <v>3</v>
      </c>
      <c r="U11" s="211"/>
      <c r="W11" s="269" t="s">
        <v>576</v>
      </c>
      <c r="X11" s="34">
        <v>10</v>
      </c>
      <c r="Y11" s="34">
        <v>1500</v>
      </c>
      <c r="Z11" s="34">
        <v>4500</v>
      </c>
      <c r="AA11" s="195">
        <v>3</v>
      </c>
      <c r="AC11" s="211"/>
      <c r="AF11" s="262" t="s">
        <v>566</v>
      </c>
      <c r="AG11" s="289">
        <v>10</v>
      </c>
      <c r="AJ11" s="211"/>
    </row>
    <row r="12" spans="1:36" ht="14.65" thickBot="1">
      <c r="A12" s="258" t="s">
        <v>554</v>
      </c>
      <c r="B12" s="34">
        <v>12</v>
      </c>
      <c r="C12" s="34">
        <v>2000</v>
      </c>
      <c r="D12" s="34">
        <v>3000</v>
      </c>
      <c r="E12" s="195">
        <v>12</v>
      </c>
      <c r="G12" s="211"/>
      <c r="I12" s="282" t="s">
        <v>593</v>
      </c>
      <c r="J12" s="43">
        <v>5646</v>
      </c>
      <c r="M12" s="211"/>
      <c r="O12" s="258" t="s">
        <v>554</v>
      </c>
      <c r="P12" s="34">
        <v>12</v>
      </c>
      <c r="Q12" s="34">
        <v>2000</v>
      </c>
      <c r="R12" s="34">
        <v>3000</v>
      </c>
      <c r="S12" s="195">
        <v>12</v>
      </c>
      <c r="U12" s="211"/>
      <c r="W12" s="261" t="s">
        <v>554</v>
      </c>
      <c r="X12" s="34">
        <v>12</v>
      </c>
      <c r="Y12" s="34">
        <v>2000</v>
      </c>
      <c r="Z12" s="34">
        <v>3000</v>
      </c>
      <c r="AA12" s="195">
        <v>12</v>
      </c>
      <c r="AC12" s="211"/>
      <c r="AF12" s="265" t="s">
        <v>568</v>
      </c>
      <c r="AG12" s="290">
        <v>9</v>
      </c>
      <c r="AJ12" s="211"/>
    </row>
    <row r="13" spans="1:36">
      <c r="A13" s="258" t="s">
        <v>576</v>
      </c>
      <c r="B13" s="34">
        <v>20</v>
      </c>
      <c r="C13" s="34">
        <v>1500</v>
      </c>
      <c r="D13" s="34">
        <v>3000</v>
      </c>
      <c r="E13" s="195">
        <v>2</v>
      </c>
      <c r="G13" s="211"/>
      <c r="I13" s="282" t="s">
        <v>594</v>
      </c>
      <c r="J13" s="43">
        <v>4567</v>
      </c>
      <c r="M13" s="211"/>
      <c r="O13" s="258" t="s">
        <v>576</v>
      </c>
      <c r="P13" s="34">
        <v>20</v>
      </c>
      <c r="Q13" s="34">
        <v>1500</v>
      </c>
      <c r="R13" s="34">
        <v>3000</v>
      </c>
      <c r="S13" s="195">
        <v>2</v>
      </c>
      <c r="U13" s="211"/>
      <c r="W13" s="269" t="s">
        <v>576</v>
      </c>
      <c r="X13" s="34">
        <v>20</v>
      </c>
      <c r="Y13" s="34">
        <v>1500</v>
      </c>
      <c r="Z13" s="34">
        <v>3000</v>
      </c>
      <c r="AA13" s="195">
        <v>2</v>
      </c>
      <c r="AC13" s="211"/>
      <c r="AJ13" s="211"/>
    </row>
    <row r="14" spans="1:36">
      <c r="A14" s="258" t="s">
        <v>577</v>
      </c>
      <c r="B14" s="34">
        <v>25</v>
      </c>
      <c r="C14" s="34">
        <v>2000</v>
      </c>
      <c r="D14" s="34">
        <v>12000</v>
      </c>
      <c r="E14" s="195">
        <v>5</v>
      </c>
      <c r="G14" s="211"/>
      <c r="I14" s="282" t="s">
        <v>595</v>
      </c>
      <c r="J14" s="43">
        <v>5746</v>
      </c>
      <c r="M14" s="211"/>
      <c r="O14" s="258" t="s">
        <v>577</v>
      </c>
      <c r="P14" s="34">
        <v>25</v>
      </c>
      <c r="Q14" s="34">
        <v>2000</v>
      </c>
      <c r="R14" s="34">
        <v>12000</v>
      </c>
      <c r="S14" s="195">
        <v>5</v>
      </c>
      <c r="U14" s="211"/>
      <c r="W14" s="270" t="s">
        <v>577</v>
      </c>
      <c r="X14" s="34">
        <v>25</v>
      </c>
      <c r="Y14" s="34">
        <v>2000</v>
      </c>
      <c r="Z14" s="34">
        <v>12000</v>
      </c>
      <c r="AA14" s="195">
        <v>5</v>
      </c>
      <c r="AC14" s="211"/>
      <c r="AJ14" s="211"/>
    </row>
    <row r="15" spans="1:36">
      <c r="A15" s="258" t="s">
        <v>554</v>
      </c>
      <c r="B15" s="34">
        <v>20</v>
      </c>
      <c r="C15" s="34">
        <v>1500</v>
      </c>
      <c r="D15" s="34">
        <v>5500</v>
      </c>
      <c r="E15" s="195">
        <v>6</v>
      </c>
      <c r="G15" s="211"/>
      <c r="I15" s="282" t="s">
        <v>596</v>
      </c>
      <c r="J15" s="43">
        <v>4567</v>
      </c>
      <c r="M15" s="211"/>
      <c r="O15" s="258" t="s">
        <v>554</v>
      </c>
      <c r="P15" s="34">
        <v>20</v>
      </c>
      <c r="Q15" s="34">
        <v>1500</v>
      </c>
      <c r="R15" s="34">
        <v>5500</v>
      </c>
      <c r="S15" s="195">
        <v>6</v>
      </c>
      <c r="U15" s="211"/>
      <c r="W15" s="261" t="s">
        <v>554</v>
      </c>
      <c r="X15" s="34">
        <v>20</v>
      </c>
      <c r="Y15" s="34">
        <v>1500</v>
      </c>
      <c r="Z15" s="34">
        <v>5500</v>
      </c>
      <c r="AA15" s="195">
        <v>6</v>
      </c>
      <c r="AC15" s="211"/>
      <c r="AJ15" s="211"/>
    </row>
    <row r="16" spans="1:36">
      <c r="A16" s="258" t="s">
        <v>554</v>
      </c>
      <c r="B16" s="34">
        <v>15</v>
      </c>
      <c r="C16" s="34">
        <v>2000</v>
      </c>
      <c r="D16" s="34">
        <v>7200</v>
      </c>
      <c r="E16" s="195">
        <v>3</v>
      </c>
      <c r="G16" s="211"/>
      <c r="I16" s="282" t="s">
        <v>597</v>
      </c>
      <c r="J16" s="43">
        <v>6888</v>
      </c>
      <c r="M16" s="211"/>
      <c r="O16" s="258" t="s">
        <v>554</v>
      </c>
      <c r="P16" s="34">
        <v>15</v>
      </c>
      <c r="Q16" s="34">
        <v>2000</v>
      </c>
      <c r="R16" s="34">
        <v>7200</v>
      </c>
      <c r="S16" s="195">
        <v>3</v>
      </c>
      <c r="U16" s="211"/>
      <c r="W16" s="261" t="s">
        <v>554</v>
      </c>
      <c r="X16" s="34">
        <v>15</v>
      </c>
      <c r="Y16" s="34">
        <v>2000</v>
      </c>
      <c r="Z16" s="34">
        <v>7200</v>
      </c>
      <c r="AA16" s="195">
        <v>3</v>
      </c>
      <c r="AC16" s="211"/>
      <c r="AJ16" s="211"/>
    </row>
    <row r="17" spans="1:36">
      <c r="A17" s="258" t="s">
        <v>577</v>
      </c>
      <c r="B17" s="34">
        <v>15</v>
      </c>
      <c r="C17" s="34">
        <v>1500</v>
      </c>
      <c r="D17" s="34">
        <v>4500</v>
      </c>
      <c r="E17" s="195">
        <v>4</v>
      </c>
      <c r="G17" s="211"/>
      <c r="I17" s="282" t="s">
        <v>598</v>
      </c>
      <c r="J17" s="43">
        <v>2467</v>
      </c>
      <c r="M17" s="211"/>
      <c r="O17" s="258" t="s">
        <v>577</v>
      </c>
      <c r="P17" s="34">
        <v>15</v>
      </c>
      <c r="Q17" s="34">
        <v>1500</v>
      </c>
      <c r="R17" s="34">
        <v>4500</v>
      </c>
      <c r="S17" s="195">
        <v>4</v>
      </c>
      <c r="U17" s="211"/>
      <c r="W17" s="270" t="s">
        <v>577</v>
      </c>
      <c r="X17" s="34">
        <v>15</v>
      </c>
      <c r="Y17" s="34">
        <v>1500</v>
      </c>
      <c r="Z17" s="34">
        <v>4500</v>
      </c>
      <c r="AA17" s="195">
        <v>4</v>
      </c>
      <c r="AC17" s="211"/>
      <c r="AJ17" s="211"/>
    </row>
    <row r="18" spans="1:36">
      <c r="A18" s="258" t="s">
        <v>576</v>
      </c>
      <c r="B18" s="34">
        <v>15</v>
      </c>
      <c r="C18" s="34">
        <v>1000</v>
      </c>
      <c r="D18" s="34">
        <v>2000</v>
      </c>
      <c r="E18" s="195">
        <v>3</v>
      </c>
      <c r="G18" s="211"/>
      <c r="I18" s="282" t="s">
        <v>599</v>
      </c>
      <c r="J18" s="43">
        <v>6688</v>
      </c>
      <c r="M18" s="211"/>
      <c r="O18" s="258" t="s">
        <v>576</v>
      </c>
      <c r="P18" s="34">
        <v>15</v>
      </c>
      <c r="Q18" s="34">
        <v>1000</v>
      </c>
      <c r="R18" s="34">
        <v>2000</v>
      </c>
      <c r="S18" s="195">
        <v>3</v>
      </c>
      <c r="U18" s="211"/>
      <c r="W18" s="269" t="s">
        <v>576</v>
      </c>
      <c r="X18" s="34">
        <v>15</v>
      </c>
      <c r="Y18" s="34">
        <v>1000</v>
      </c>
      <c r="Z18" s="34">
        <v>2000</v>
      </c>
      <c r="AA18" s="195">
        <v>3</v>
      </c>
      <c r="AC18" s="211"/>
      <c r="AJ18" s="211"/>
    </row>
    <row r="19" spans="1:36">
      <c r="A19" s="258" t="s">
        <v>554</v>
      </c>
      <c r="B19" s="34">
        <v>12</v>
      </c>
      <c r="C19" s="34">
        <v>2000</v>
      </c>
      <c r="D19" s="34">
        <v>3000</v>
      </c>
      <c r="E19" s="195">
        <v>12</v>
      </c>
      <c r="G19" s="211"/>
      <c r="I19" s="282" t="s">
        <v>600</v>
      </c>
      <c r="J19" s="43">
        <v>2424</v>
      </c>
      <c r="M19" s="211"/>
      <c r="O19" s="258" t="s">
        <v>554</v>
      </c>
      <c r="P19" s="34">
        <v>12</v>
      </c>
      <c r="Q19" s="34">
        <v>2000</v>
      </c>
      <c r="R19" s="34">
        <v>3000</v>
      </c>
      <c r="S19" s="195">
        <v>12</v>
      </c>
      <c r="U19" s="211"/>
      <c r="W19" s="261" t="s">
        <v>554</v>
      </c>
      <c r="X19" s="34">
        <v>12</v>
      </c>
      <c r="Y19" s="34">
        <v>2000</v>
      </c>
      <c r="Z19" s="34">
        <v>3000</v>
      </c>
      <c r="AA19" s="195">
        <v>12</v>
      </c>
      <c r="AC19" s="211"/>
      <c r="AJ19" s="211"/>
    </row>
    <row r="20" spans="1:36">
      <c r="A20" s="258" t="s">
        <v>576</v>
      </c>
      <c r="B20" s="34">
        <v>20</v>
      </c>
      <c r="C20" s="34">
        <v>1500</v>
      </c>
      <c r="D20" s="34">
        <v>6000</v>
      </c>
      <c r="E20" s="195">
        <v>2</v>
      </c>
      <c r="G20" s="211"/>
      <c r="I20" s="282" t="s">
        <v>601</v>
      </c>
      <c r="J20" s="43">
        <v>6767</v>
      </c>
      <c r="M20" s="211"/>
      <c r="O20" s="258" t="s">
        <v>576</v>
      </c>
      <c r="P20" s="34">
        <v>20</v>
      </c>
      <c r="Q20" s="34">
        <v>1500</v>
      </c>
      <c r="R20" s="34">
        <v>6000</v>
      </c>
      <c r="S20" s="195">
        <v>2</v>
      </c>
      <c r="U20" s="211"/>
      <c r="W20" s="269" t="s">
        <v>576</v>
      </c>
      <c r="X20" s="34">
        <v>20</v>
      </c>
      <c r="Y20" s="34">
        <v>1500</v>
      </c>
      <c r="Z20" s="34">
        <v>6000</v>
      </c>
      <c r="AA20" s="195">
        <v>2</v>
      </c>
      <c r="AC20" s="211"/>
      <c r="AJ20" s="211"/>
    </row>
    <row r="21" spans="1:36">
      <c r="A21" s="258" t="s">
        <v>577</v>
      </c>
      <c r="B21" s="34">
        <v>25</v>
      </c>
      <c r="C21" s="34">
        <v>2000</v>
      </c>
      <c r="D21" s="34">
        <v>12000</v>
      </c>
      <c r="E21" s="195">
        <v>5</v>
      </c>
      <c r="G21" s="211"/>
      <c r="M21" s="211"/>
      <c r="O21" s="258" t="s">
        <v>577</v>
      </c>
      <c r="P21" s="34">
        <v>25</v>
      </c>
      <c r="Q21" s="34">
        <v>2000</v>
      </c>
      <c r="R21" s="34">
        <v>12000</v>
      </c>
      <c r="S21" s="195">
        <v>5</v>
      </c>
      <c r="U21" s="211"/>
      <c r="W21" s="270" t="s">
        <v>577</v>
      </c>
      <c r="X21" s="34">
        <v>25</v>
      </c>
      <c r="Y21" s="34">
        <v>2000</v>
      </c>
      <c r="Z21" s="34">
        <v>12000</v>
      </c>
      <c r="AA21" s="195">
        <v>5</v>
      </c>
      <c r="AC21" s="211"/>
      <c r="AJ21" s="211"/>
    </row>
    <row r="22" spans="1:36">
      <c r="A22" s="258" t="s">
        <v>554</v>
      </c>
      <c r="B22" s="34">
        <v>15</v>
      </c>
      <c r="C22" s="34">
        <v>1700</v>
      </c>
      <c r="D22" s="34">
        <v>6000</v>
      </c>
      <c r="E22" s="195">
        <v>6</v>
      </c>
      <c r="G22" s="211"/>
      <c r="M22" s="211"/>
      <c r="O22" s="258" t="s">
        <v>554</v>
      </c>
      <c r="P22" s="34">
        <v>15</v>
      </c>
      <c r="Q22" s="34">
        <v>1700</v>
      </c>
      <c r="R22" s="34">
        <v>6000</v>
      </c>
      <c r="S22" s="195">
        <v>6</v>
      </c>
      <c r="U22" s="211"/>
      <c r="W22" s="261" t="s">
        <v>554</v>
      </c>
      <c r="X22" s="34">
        <v>15</v>
      </c>
      <c r="Y22" s="34">
        <v>1700</v>
      </c>
      <c r="Z22" s="34">
        <v>6000</v>
      </c>
      <c r="AA22" s="195">
        <v>6</v>
      </c>
      <c r="AC22" s="211"/>
      <c r="AJ22" s="211"/>
    </row>
    <row r="23" spans="1:36">
      <c r="A23" s="258" t="s">
        <v>554</v>
      </c>
      <c r="B23" s="34">
        <v>8</v>
      </c>
      <c r="C23" s="34">
        <v>2000</v>
      </c>
      <c r="D23" s="34">
        <v>6000</v>
      </c>
      <c r="E23" s="195">
        <v>3</v>
      </c>
      <c r="G23" s="211"/>
      <c r="M23" s="211"/>
      <c r="O23" s="258" t="s">
        <v>554</v>
      </c>
      <c r="P23" s="34">
        <v>8</v>
      </c>
      <c r="Q23" s="34">
        <v>2000</v>
      </c>
      <c r="R23" s="34">
        <v>6000</v>
      </c>
      <c r="S23" s="195">
        <v>3</v>
      </c>
      <c r="U23" s="211"/>
      <c r="W23" s="261" t="s">
        <v>554</v>
      </c>
      <c r="X23" s="34">
        <v>8</v>
      </c>
      <c r="Y23" s="34">
        <v>2000</v>
      </c>
      <c r="Z23" s="34">
        <v>6000</v>
      </c>
      <c r="AA23" s="195">
        <v>3</v>
      </c>
      <c r="AC23" s="211"/>
      <c r="AJ23" s="211"/>
    </row>
    <row r="24" spans="1:36">
      <c r="A24" s="258" t="s">
        <v>577</v>
      </c>
      <c r="B24" s="34">
        <v>25</v>
      </c>
      <c r="C24" s="34">
        <v>1500</v>
      </c>
      <c r="D24" s="34">
        <v>3000</v>
      </c>
      <c r="E24" s="195">
        <v>4</v>
      </c>
      <c r="G24" s="211"/>
      <c r="M24" s="211"/>
      <c r="O24" s="258" t="s">
        <v>577</v>
      </c>
      <c r="P24" s="34">
        <v>25</v>
      </c>
      <c r="Q24" s="34">
        <v>1500</v>
      </c>
      <c r="R24" s="34">
        <v>3000</v>
      </c>
      <c r="S24" s="195">
        <v>4</v>
      </c>
      <c r="U24" s="211"/>
      <c r="W24" s="270" t="s">
        <v>577</v>
      </c>
      <c r="X24" s="34">
        <v>25</v>
      </c>
      <c r="Y24" s="34">
        <v>1500</v>
      </c>
      <c r="Z24" s="34">
        <v>3000</v>
      </c>
      <c r="AA24" s="195">
        <v>4</v>
      </c>
      <c r="AC24" s="211"/>
      <c r="AJ24" s="211"/>
    </row>
    <row r="25" spans="1:36">
      <c r="A25" s="258" t="s">
        <v>576</v>
      </c>
      <c r="B25" s="34">
        <v>30</v>
      </c>
      <c r="C25" s="34">
        <v>2000</v>
      </c>
      <c r="D25" s="34">
        <v>4500</v>
      </c>
      <c r="E25" s="195">
        <v>3</v>
      </c>
      <c r="G25" s="211"/>
      <c r="M25" s="211"/>
      <c r="O25" s="258" t="s">
        <v>576</v>
      </c>
      <c r="P25" s="34">
        <v>30</v>
      </c>
      <c r="Q25" s="34">
        <v>2000</v>
      </c>
      <c r="R25" s="34">
        <v>4500</v>
      </c>
      <c r="S25" s="195">
        <v>3</v>
      </c>
      <c r="U25" s="211"/>
      <c r="W25" s="269" t="s">
        <v>576</v>
      </c>
      <c r="X25" s="34">
        <v>30</v>
      </c>
      <c r="Y25" s="34">
        <v>2000</v>
      </c>
      <c r="Z25" s="34">
        <v>4500</v>
      </c>
      <c r="AA25" s="195">
        <v>3</v>
      </c>
      <c r="AC25" s="211"/>
      <c r="AJ25" s="211"/>
    </row>
    <row r="26" spans="1:36">
      <c r="A26" s="258" t="s">
        <v>554</v>
      </c>
      <c r="B26" s="34">
        <v>20</v>
      </c>
      <c r="C26" s="34">
        <v>2000</v>
      </c>
      <c r="D26" s="34">
        <v>3000</v>
      </c>
      <c r="E26" s="195">
        <v>12</v>
      </c>
      <c r="G26" s="211"/>
      <c r="M26" s="211"/>
      <c r="O26" s="258" t="s">
        <v>554</v>
      </c>
      <c r="P26" s="34">
        <v>20</v>
      </c>
      <c r="Q26" s="34">
        <v>2000</v>
      </c>
      <c r="R26" s="34">
        <v>3000</v>
      </c>
      <c r="S26" s="195">
        <v>12</v>
      </c>
      <c r="U26" s="211"/>
      <c r="W26" s="261" t="s">
        <v>554</v>
      </c>
      <c r="X26" s="34">
        <v>20</v>
      </c>
      <c r="Y26" s="34">
        <v>2000</v>
      </c>
      <c r="Z26" s="34">
        <v>3000</v>
      </c>
      <c r="AA26" s="195">
        <v>12</v>
      </c>
      <c r="AC26" s="211"/>
      <c r="AJ26" s="211"/>
    </row>
    <row r="27" spans="1:36">
      <c r="A27" s="258" t="s">
        <v>576</v>
      </c>
      <c r="B27" s="34">
        <v>35</v>
      </c>
      <c r="C27" s="34">
        <v>1500</v>
      </c>
      <c r="D27" s="34">
        <v>3000</v>
      </c>
      <c r="E27" s="195">
        <v>2</v>
      </c>
      <c r="G27" s="211"/>
      <c r="M27" s="211"/>
      <c r="O27" s="258" t="s">
        <v>576</v>
      </c>
      <c r="P27" s="34">
        <v>35</v>
      </c>
      <c r="Q27" s="34">
        <v>1500</v>
      </c>
      <c r="R27" s="34">
        <v>3000</v>
      </c>
      <c r="S27" s="195">
        <v>2</v>
      </c>
      <c r="U27" s="211"/>
      <c r="W27" s="269" t="s">
        <v>576</v>
      </c>
      <c r="X27" s="34">
        <v>35</v>
      </c>
      <c r="Y27" s="34">
        <v>1500</v>
      </c>
      <c r="Z27" s="34">
        <v>3000</v>
      </c>
      <c r="AA27" s="195">
        <v>2</v>
      </c>
      <c r="AC27" s="211"/>
      <c r="AJ27" s="211"/>
    </row>
    <row r="28" spans="1:36">
      <c r="A28" s="258" t="s">
        <v>577</v>
      </c>
      <c r="B28" s="34">
        <v>15</v>
      </c>
      <c r="C28" s="34">
        <v>2000</v>
      </c>
      <c r="D28" s="34">
        <v>12000</v>
      </c>
      <c r="E28" s="195">
        <v>5</v>
      </c>
      <c r="G28" s="211"/>
      <c r="M28" s="211"/>
      <c r="O28" s="258" t="s">
        <v>577</v>
      </c>
      <c r="P28" s="34">
        <v>15</v>
      </c>
      <c r="Q28" s="34">
        <v>2000</v>
      </c>
      <c r="R28" s="34">
        <v>12000</v>
      </c>
      <c r="S28" s="195">
        <v>5</v>
      </c>
      <c r="U28" s="211"/>
      <c r="W28" s="270" t="s">
        <v>577</v>
      </c>
      <c r="X28" s="34">
        <v>15</v>
      </c>
      <c r="Y28" s="34">
        <v>2000</v>
      </c>
      <c r="Z28" s="34">
        <v>12000</v>
      </c>
      <c r="AA28" s="195">
        <v>5</v>
      </c>
      <c r="AC28" s="211"/>
      <c r="AJ28" s="211"/>
    </row>
    <row r="29" spans="1:36">
      <c r="A29" s="258" t="s">
        <v>554</v>
      </c>
      <c r="B29" s="34">
        <v>15</v>
      </c>
      <c r="C29" s="34">
        <v>2000</v>
      </c>
      <c r="D29" s="34">
        <v>5500</v>
      </c>
      <c r="E29" s="195">
        <v>6</v>
      </c>
      <c r="G29" s="211"/>
      <c r="M29" s="211"/>
      <c r="O29" s="258" t="s">
        <v>554</v>
      </c>
      <c r="P29" s="34">
        <v>15</v>
      </c>
      <c r="Q29" s="34">
        <v>2000</v>
      </c>
      <c r="R29" s="34">
        <v>5500</v>
      </c>
      <c r="S29" s="195">
        <v>6</v>
      </c>
      <c r="U29" s="211"/>
      <c r="W29" s="261" t="s">
        <v>554</v>
      </c>
      <c r="X29" s="34">
        <v>15</v>
      </c>
      <c r="Y29" s="34">
        <v>2000</v>
      </c>
      <c r="Z29" s="34">
        <v>5500</v>
      </c>
      <c r="AA29" s="195">
        <v>6</v>
      </c>
      <c r="AC29" s="211"/>
      <c r="AJ29" s="211"/>
    </row>
    <row r="30" spans="1:36">
      <c r="A30" s="258" t="s">
        <v>554</v>
      </c>
      <c r="B30" s="34">
        <v>12</v>
      </c>
      <c r="C30" s="34">
        <v>2000</v>
      </c>
      <c r="D30" s="34">
        <v>7200</v>
      </c>
      <c r="E30" s="195">
        <v>3</v>
      </c>
      <c r="G30" s="211"/>
      <c r="M30" s="211"/>
      <c r="O30" s="258" t="s">
        <v>554</v>
      </c>
      <c r="P30" s="34">
        <v>12</v>
      </c>
      <c r="Q30" s="34">
        <v>2000</v>
      </c>
      <c r="R30" s="34">
        <v>7200</v>
      </c>
      <c r="S30" s="195">
        <v>3</v>
      </c>
      <c r="U30" s="211"/>
      <c r="W30" s="261" t="s">
        <v>554</v>
      </c>
      <c r="X30" s="34">
        <v>12</v>
      </c>
      <c r="Y30" s="34">
        <v>2000</v>
      </c>
      <c r="Z30" s="34">
        <v>7200</v>
      </c>
      <c r="AA30" s="195">
        <v>3</v>
      </c>
      <c r="AC30" s="211"/>
      <c r="AJ30" s="211"/>
    </row>
    <row r="31" spans="1:36">
      <c r="A31" s="258" t="s">
        <v>577</v>
      </c>
      <c r="B31" s="34">
        <v>10</v>
      </c>
      <c r="C31" s="34">
        <v>1500</v>
      </c>
      <c r="D31" s="34">
        <v>4500</v>
      </c>
      <c r="E31" s="195">
        <v>4</v>
      </c>
      <c r="G31" s="211"/>
      <c r="M31" s="211"/>
      <c r="O31" s="258" t="s">
        <v>577</v>
      </c>
      <c r="P31" s="34">
        <v>10</v>
      </c>
      <c r="Q31" s="34">
        <v>1500</v>
      </c>
      <c r="R31" s="34">
        <v>4500</v>
      </c>
      <c r="S31" s="195">
        <v>4</v>
      </c>
      <c r="U31" s="211"/>
      <c r="W31" s="270" t="s">
        <v>577</v>
      </c>
      <c r="X31" s="34">
        <v>10</v>
      </c>
      <c r="Y31" s="34">
        <v>1500</v>
      </c>
      <c r="Z31" s="34">
        <v>4500</v>
      </c>
      <c r="AA31" s="195">
        <v>4</v>
      </c>
      <c r="AC31" s="211"/>
      <c r="AJ31" s="211"/>
    </row>
    <row r="32" spans="1:36" ht="14.65" thickBot="1">
      <c r="A32" s="271" t="s">
        <v>576</v>
      </c>
      <c r="B32" s="272">
        <v>20</v>
      </c>
      <c r="C32" s="272">
        <v>1000</v>
      </c>
      <c r="D32" s="272">
        <v>2000</v>
      </c>
      <c r="E32" s="198">
        <v>3</v>
      </c>
      <c r="G32" s="211"/>
      <c r="M32" s="211"/>
      <c r="O32" s="271" t="s">
        <v>576</v>
      </c>
      <c r="P32" s="272">
        <v>20</v>
      </c>
      <c r="Q32" s="272">
        <v>1000</v>
      </c>
      <c r="R32" s="272">
        <v>2000</v>
      </c>
      <c r="S32" s="198">
        <v>3</v>
      </c>
      <c r="U32" s="211"/>
      <c r="W32" s="291" t="s">
        <v>576</v>
      </c>
      <c r="X32" s="272">
        <v>20</v>
      </c>
      <c r="Y32" s="272">
        <v>1000</v>
      </c>
      <c r="Z32" s="272">
        <v>2000</v>
      </c>
      <c r="AA32" s="198">
        <v>3</v>
      </c>
      <c r="AC32" s="211"/>
      <c r="AJ32" s="211"/>
    </row>
  </sheetData>
  <sheetProtection selectLockedCells="1" selectUnlockedCells="1"/>
  <mergeCells count="5">
    <mergeCell ref="A2:E2"/>
    <mergeCell ref="I2:K2"/>
    <mergeCell ref="O2:S2"/>
    <mergeCell ref="W2:AA2"/>
    <mergeCell ref="AE2:AH2"/>
  </mergeCells>
  <conditionalFormatting sqref="AG5:AG12">
    <cfRule type="iconSet" priority="1">
      <iconSet iconSet="3Symbols2">
        <cfvo type="percent" val="0"/>
        <cfvo type="num" val="9"/>
        <cfvo type="num" val="13"/>
      </iconSet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92B55-190E-4AE9-A9E3-E41FB2166A32}">
  <dimension ref="A1:R30"/>
  <sheetViews>
    <sheetView topLeftCell="A6" workbookViewId="0"/>
  </sheetViews>
  <sheetFormatPr baseColWidth="10" defaultRowHeight="14.25"/>
  <cols>
    <col min="3" max="3" width="13.53125" customWidth="1"/>
    <col min="8" max="9" width="1.73046875" customWidth="1"/>
    <col min="12" max="13" width="12.06640625" bestFit="1" customWidth="1"/>
    <col min="16" max="16" width="6" customWidth="1"/>
  </cols>
  <sheetData>
    <row r="1" spans="1:18" ht="92" customHeight="1">
      <c r="A1" s="292" t="s">
        <v>602</v>
      </c>
      <c r="I1" s="211"/>
    </row>
    <row r="2" spans="1:18">
      <c r="I2" s="211"/>
      <c r="K2" s="523" t="s">
        <v>603</v>
      </c>
      <c r="L2" s="523"/>
      <c r="M2" s="523"/>
      <c r="N2" s="523"/>
      <c r="O2" s="523"/>
      <c r="P2" s="523"/>
      <c r="Q2" s="523"/>
      <c r="R2" s="523"/>
    </row>
    <row r="3" spans="1:18">
      <c r="I3" s="211"/>
    </row>
    <row r="4" spans="1:18">
      <c r="I4" s="211"/>
      <c r="K4" s="538" t="s">
        <v>604</v>
      </c>
      <c r="L4" s="538"/>
      <c r="M4" s="538"/>
      <c r="N4" s="538"/>
      <c r="O4" s="538"/>
      <c r="P4" s="538"/>
    </row>
    <row r="5" spans="1:18" ht="14.65" thickBot="1">
      <c r="I5" s="211"/>
      <c r="K5" s="538"/>
      <c r="L5" s="538"/>
      <c r="M5" s="538"/>
      <c r="N5" s="538"/>
      <c r="O5" s="538"/>
      <c r="P5" s="538"/>
    </row>
    <row r="6" spans="1:18" ht="14.65" thickBot="1">
      <c r="A6" s="293" t="s">
        <v>605</v>
      </c>
      <c r="B6" s="294" t="s">
        <v>606</v>
      </c>
      <c r="C6" s="294" t="s">
        <v>607</v>
      </c>
      <c r="D6" s="294" t="s">
        <v>608</v>
      </c>
      <c r="E6" s="294" t="s">
        <v>609</v>
      </c>
      <c r="F6" s="294" t="s">
        <v>610</v>
      </c>
      <c r="G6" s="295" t="s">
        <v>611</v>
      </c>
      <c r="I6" s="211"/>
    </row>
    <row r="7" spans="1:18" ht="14.65" thickBot="1">
      <c r="A7" s="296" t="s">
        <v>612</v>
      </c>
      <c r="B7" s="81" t="s">
        <v>613</v>
      </c>
      <c r="C7" s="297">
        <v>36561</v>
      </c>
      <c r="D7" s="81">
        <v>15</v>
      </c>
      <c r="E7" s="81">
        <v>12</v>
      </c>
      <c r="F7" s="81">
        <v>14</v>
      </c>
      <c r="G7" s="298">
        <f t="shared" ref="G7:G15" si="0">AVERAGE(D7:F7)</f>
        <v>13.666666666666666</v>
      </c>
      <c r="I7" s="211"/>
      <c r="K7" s="293" t="s">
        <v>605</v>
      </c>
      <c r="L7" s="294" t="s">
        <v>606</v>
      </c>
      <c r="M7" s="294" t="s">
        <v>607</v>
      </c>
      <c r="N7" s="294" t="s">
        <v>608</v>
      </c>
      <c r="O7" s="294" t="s">
        <v>609</v>
      </c>
      <c r="P7" s="294" t="s">
        <v>610</v>
      </c>
      <c r="Q7" s="295" t="s">
        <v>611</v>
      </c>
    </row>
    <row r="8" spans="1:18">
      <c r="A8" s="202" t="s">
        <v>614</v>
      </c>
      <c r="B8" s="15" t="s">
        <v>615</v>
      </c>
      <c r="C8" s="41">
        <v>36414</v>
      </c>
      <c r="D8" s="15">
        <v>17</v>
      </c>
      <c r="E8" s="15">
        <v>14</v>
      </c>
      <c r="F8" s="15">
        <v>19</v>
      </c>
      <c r="G8" s="299">
        <f t="shared" si="0"/>
        <v>16.666666666666668</v>
      </c>
      <c r="I8" s="211"/>
      <c r="K8" s="300"/>
      <c r="L8" s="15" t="s">
        <v>597</v>
      </c>
      <c r="M8" s="300"/>
      <c r="N8" s="300" t="s">
        <v>616</v>
      </c>
      <c r="O8" s="300"/>
      <c r="P8" s="300"/>
    </row>
    <row r="9" spans="1:18">
      <c r="A9" s="202" t="s">
        <v>617</v>
      </c>
      <c r="B9" s="15" t="s">
        <v>600</v>
      </c>
      <c r="C9" s="41">
        <v>36852</v>
      </c>
      <c r="D9" s="15">
        <v>10</v>
      </c>
      <c r="E9" s="15">
        <v>12</v>
      </c>
      <c r="F9" s="15">
        <v>13</v>
      </c>
      <c r="G9" s="299">
        <f t="shared" si="0"/>
        <v>11.666666666666666</v>
      </c>
      <c r="I9" s="211"/>
      <c r="K9" s="300" t="s">
        <v>618</v>
      </c>
      <c r="L9" s="300"/>
      <c r="M9" s="300"/>
      <c r="N9" s="300"/>
      <c r="O9" s="300"/>
      <c r="P9" s="300"/>
      <c r="Q9" s="300" t="s">
        <v>619</v>
      </c>
    </row>
    <row r="10" spans="1:18" ht="14.65" thickBot="1">
      <c r="A10" s="202" t="s">
        <v>620</v>
      </c>
      <c r="B10" s="15" t="s">
        <v>621</v>
      </c>
      <c r="C10" s="41">
        <v>36628</v>
      </c>
      <c r="D10" s="15">
        <v>17</v>
      </c>
      <c r="E10" s="15">
        <v>13</v>
      </c>
      <c r="F10" s="15">
        <v>16</v>
      </c>
      <c r="G10" s="299">
        <f t="shared" si="0"/>
        <v>15.333333333333334</v>
      </c>
      <c r="I10" s="211"/>
    </row>
    <row r="11" spans="1:18" ht="14.65" thickBot="1">
      <c r="A11" s="202" t="s">
        <v>622</v>
      </c>
      <c r="B11" s="15" t="s">
        <v>594</v>
      </c>
      <c r="C11" s="41">
        <v>36562</v>
      </c>
      <c r="D11" s="15">
        <v>15</v>
      </c>
      <c r="E11" s="15">
        <v>10</v>
      </c>
      <c r="F11" s="15">
        <v>12</v>
      </c>
      <c r="G11" s="299">
        <f t="shared" si="0"/>
        <v>12.333333333333334</v>
      </c>
      <c r="I11" s="211"/>
      <c r="K11" s="293" t="s">
        <v>605</v>
      </c>
      <c r="L11" s="294" t="s">
        <v>606</v>
      </c>
      <c r="M11" s="294" t="s">
        <v>607</v>
      </c>
      <c r="N11" s="294" t="s">
        <v>608</v>
      </c>
      <c r="O11" s="294" t="s">
        <v>609</v>
      </c>
      <c r="P11" s="294" t="s">
        <v>610</v>
      </c>
      <c r="Q11" s="295" t="s">
        <v>611</v>
      </c>
    </row>
    <row r="12" spans="1:18">
      <c r="A12" s="202" t="s">
        <v>623</v>
      </c>
      <c r="B12" s="15" t="s">
        <v>597</v>
      </c>
      <c r="C12" s="41">
        <v>36428</v>
      </c>
      <c r="D12" s="15">
        <v>16</v>
      </c>
      <c r="E12" s="15">
        <v>16</v>
      </c>
      <c r="F12" s="15">
        <v>18</v>
      </c>
      <c r="G12" s="299">
        <f t="shared" si="0"/>
        <v>16.666666666666668</v>
      </c>
      <c r="I12" s="211"/>
      <c r="K12" s="202" t="s">
        <v>614</v>
      </c>
      <c r="L12" s="15" t="s">
        <v>615</v>
      </c>
      <c r="M12" s="41">
        <v>36414</v>
      </c>
      <c r="N12" s="15">
        <v>17</v>
      </c>
      <c r="O12" s="15">
        <v>14</v>
      </c>
      <c r="P12" s="15">
        <v>19</v>
      </c>
      <c r="Q12" s="299">
        <v>16.666666666666668</v>
      </c>
    </row>
    <row r="13" spans="1:18">
      <c r="A13" s="202" t="s">
        <v>67</v>
      </c>
      <c r="B13" s="15" t="s">
        <v>594</v>
      </c>
      <c r="C13" s="41">
        <v>36878</v>
      </c>
      <c r="D13" s="15">
        <v>14</v>
      </c>
      <c r="E13" s="15">
        <v>15</v>
      </c>
      <c r="F13" s="15">
        <v>18</v>
      </c>
      <c r="G13" s="299">
        <f t="shared" si="0"/>
        <v>15.666666666666666</v>
      </c>
      <c r="I13" s="211"/>
      <c r="K13" s="202" t="s">
        <v>622</v>
      </c>
      <c r="L13" s="15" t="s">
        <v>594</v>
      </c>
      <c r="M13" s="41">
        <v>36562</v>
      </c>
      <c r="N13" s="15">
        <v>15</v>
      </c>
      <c r="O13" s="15">
        <v>10</v>
      </c>
      <c r="P13" s="15">
        <v>12</v>
      </c>
      <c r="Q13" s="299">
        <v>12.333333333333334</v>
      </c>
    </row>
    <row r="14" spans="1:18">
      <c r="A14" s="202" t="s">
        <v>66</v>
      </c>
      <c r="B14" s="15" t="s">
        <v>597</v>
      </c>
      <c r="C14" s="41">
        <v>36600</v>
      </c>
      <c r="D14" s="15">
        <v>11</v>
      </c>
      <c r="E14" s="15">
        <v>14</v>
      </c>
      <c r="F14" s="15">
        <v>8</v>
      </c>
      <c r="G14" s="299">
        <f t="shared" si="0"/>
        <v>11</v>
      </c>
      <c r="I14" s="211"/>
      <c r="K14" s="202" t="s">
        <v>623</v>
      </c>
      <c r="L14" s="15" t="s">
        <v>597</v>
      </c>
      <c r="M14" s="41">
        <v>36428</v>
      </c>
      <c r="N14" s="15">
        <v>16</v>
      </c>
      <c r="O14" s="15">
        <v>16</v>
      </c>
      <c r="P14" s="15">
        <v>18</v>
      </c>
      <c r="Q14" s="299">
        <v>16.666666666666668</v>
      </c>
    </row>
    <row r="15" spans="1:18" ht="14.65" thickBot="1">
      <c r="A15" s="204" t="s">
        <v>65</v>
      </c>
      <c r="B15" s="301" t="s">
        <v>597</v>
      </c>
      <c r="C15" s="302">
        <v>36564</v>
      </c>
      <c r="D15" s="301">
        <v>12</v>
      </c>
      <c r="E15" s="301">
        <v>15</v>
      </c>
      <c r="F15" s="301">
        <v>17</v>
      </c>
      <c r="G15" s="303">
        <f t="shared" si="0"/>
        <v>14.666666666666666</v>
      </c>
      <c r="I15" s="211"/>
    </row>
    <row r="16" spans="1:18">
      <c r="I16" s="211"/>
    </row>
    <row r="17" spans="3:17">
      <c r="C17" s="141"/>
      <c r="G17" s="304"/>
      <c r="I17" s="211"/>
      <c r="K17" s="538" t="s">
        <v>624</v>
      </c>
      <c r="L17" s="538"/>
      <c r="M17" s="538"/>
      <c r="N17" s="538"/>
      <c r="O17" s="538"/>
      <c r="P17" s="538"/>
      <c r="Q17" s="538"/>
    </row>
    <row r="18" spans="3:17" ht="14.65" thickBot="1">
      <c r="C18" s="141"/>
      <c r="G18" s="304"/>
      <c r="I18" s="211"/>
      <c r="K18" s="538"/>
      <c r="L18" s="538"/>
      <c r="M18" s="538"/>
      <c r="N18" s="538"/>
      <c r="O18" s="538"/>
      <c r="P18" s="538"/>
      <c r="Q18" s="538"/>
    </row>
    <row r="19" spans="3:17" ht="14.65" thickBot="1">
      <c r="C19" s="141"/>
      <c r="G19" s="304"/>
      <c r="I19" s="211"/>
      <c r="K19" s="293" t="s">
        <v>605</v>
      </c>
      <c r="L19" s="294" t="s">
        <v>607</v>
      </c>
      <c r="M19" s="294" t="s">
        <v>607</v>
      </c>
      <c r="N19" s="294" t="s">
        <v>608</v>
      </c>
      <c r="O19" s="294" t="s">
        <v>609</v>
      </c>
      <c r="P19" s="294" t="s">
        <v>610</v>
      </c>
      <c r="Q19" s="295" t="s">
        <v>611</v>
      </c>
    </row>
    <row r="20" spans="3:17">
      <c r="C20" s="141"/>
      <c r="G20" s="304"/>
      <c r="I20" s="211"/>
      <c r="L20" t="s">
        <v>625</v>
      </c>
      <c r="M20" t="s">
        <v>626</v>
      </c>
      <c r="Q20" t="s">
        <v>627</v>
      </c>
    </row>
    <row r="21" spans="3:17">
      <c r="C21" s="141"/>
      <c r="G21" s="304"/>
      <c r="I21" s="211"/>
      <c r="L21" t="s">
        <v>628</v>
      </c>
      <c r="M21" t="s">
        <v>629</v>
      </c>
      <c r="Q21" t="s">
        <v>630</v>
      </c>
    </row>
    <row r="22" spans="3:17" ht="14.65" thickBot="1">
      <c r="C22" s="141"/>
      <c r="G22" s="304"/>
      <c r="I22" s="211"/>
    </row>
    <row r="23" spans="3:17" ht="14.65" thickBot="1">
      <c r="C23" s="141"/>
      <c r="G23" s="304"/>
      <c r="I23" s="211"/>
      <c r="K23" s="293" t="s">
        <v>605</v>
      </c>
      <c r="L23" s="294" t="s">
        <v>606</v>
      </c>
      <c r="M23" s="294" t="s">
        <v>607</v>
      </c>
      <c r="N23" s="294" t="s">
        <v>608</v>
      </c>
      <c r="O23" s="294" t="s">
        <v>609</v>
      </c>
      <c r="P23" s="294" t="s">
        <v>610</v>
      </c>
      <c r="Q23" s="295" t="s">
        <v>611</v>
      </c>
    </row>
    <row r="24" spans="3:17">
      <c r="C24" s="141"/>
      <c r="G24" s="304"/>
      <c r="I24" s="211"/>
      <c r="K24" s="202" t="s">
        <v>614</v>
      </c>
      <c r="L24" s="15" t="s">
        <v>615</v>
      </c>
      <c r="M24" s="41">
        <v>36414</v>
      </c>
      <c r="N24" s="15">
        <v>17</v>
      </c>
      <c r="O24" s="15">
        <v>14</v>
      </c>
      <c r="P24" s="15">
        <v>19</v>
      </c>
      <c r="Q24" s="299">
        <v>16.666666666666668</v>
      </c>
    </row>
    <row r="25" spans="3:17">
      <c r="I25" s="211"/>
      <c r="K25" s="202" t="s">
        <v>620</v>
      </c>
      <c r="L25" s="15" t="s">
        <v>621</v>
      </c>
      <c r="M25" s="41">
        <v>36628</v>
      </c>
      <c r="N25" s="15">
        <v>17</v>
      </c>
      <c r="O25" s="15">
        <v>13</v>
      </c>
      <c r="P25" s="15">
        <v>16</v>
      </c>
      <c r="Q25" s="299">
        <v>15.333333333333334</v>
      </c>
    </row>
    <row r="26" spans="3:17">
      <c r="I26" s="211"/>
      <c r="K26" s="202" t="s">
        <v>623</v>
      </c>
      <c r="L26" s="15" t="s">
        <v>597</v>
      </c>
      <c r="M26" s="41">
        <v>36428</v>
      </c>
      <c r="N26" s="15">
        <v>16</v>
      </c>
      <c r="O26" s="15">
        <v>16</v>
      </c>
      <c r="P26" s="15">
        <v>18</v>
      </c>
      <c r="Q26" s="299">
        <v>16.666666666666668</v>
      </c>
    </row>
    <row r="27" spans="3:17">
      <c r="I27" s="211"/>
      <c r="K27" s="202" t="s">
        <v>67</v>
      </c>
      <c r="L27" s="15" t="s">
        <v>594</v>
      </c>
      <c r="M27" s="41">
        <v>36878</v>
      </c>
      <c r="N27" s="15">
        <v>14</v>
      </c>
      <c r="O27" s="15">
        <v>15</v>
      </c>
      <c r="P27" s="15">
        <v>18</v>
      </c>
      <c r="Q27" s="299">
        <v>15.666666666666666</v>
      </c>
    </row>
    <row r="28" spans="3:17" ht="14.65" thickBot="1">
      <c r="I28" s="211"/>
      <c r="K28" s="204" t="s">
        <v>65</v>
      </c>
      <c r="L28" s="301" t="s">
        <v>597</v>
      </c>
      <c r="M28" s="302">
        <v>36564</v>
      </c>
      <c r="N28" s="301">
        <v>12</v>
      </c>
      <c r="O28" s="301">
        <v>15</v>
      </c>
      <c r="P28" s="301">
        <v>17</v>
      </c>
      <c r="Q28" s="303">
        <v>14.666666666666666</v>
      </c>
    </row>
    <row r="29" spans="3:17">
      <c r="I29" s="211"/>
    </row>
    <row r="30" spans="3:17">
      <c r="I30" s="211"/>
    </row>
  </sheetData>
  <mergeCells count="3">
    <mergeCell ref="K2:R2"/>
    <mergeCell ref="K4:P5"/>
    <mergeCell ref="K17:Q18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D1F63-C746-4202-B6B2-76BDF072DAE4}">
  <dimension ref="A1:K24"/>
  <sheetViews>
    <sheetView workbookViewId="0"/>
  </sheetViews>
  <sheetFormatPr baseColWidth="10" defaultRowHeight="14.25"/>
  <cols>
    <col min="1" max="1" width="1.73046875" customWidth="1"/>
  </cols>
  <sheetData>
    <row r="1" spans="1:11" ht="100.15" customHeight="1" thickBot="1">
      <c r="A1" s="274" t="s">
        <v>602</v>
      </c>
    </row>
    <row r="2" spans="1:11" ht="14.65" thickBot="1">
      <c r="B2" s="294" t="s">
        <v>631</v>
      </c>
      <c r="C2" s="294" t="s">
        <v>632</v>
      </c>
      <c r="D2" s="294" t="s">
        <v>633</v>
      </c>
      <c r="E2" s="294" t="s">
        <v>634</v>
      </c>
      <c r="F2" s="294" t="s">
        <v>635</v>
      </c>
      <c r="G2" s="294" t="s">
        <v>632</v>
      </c>
      <c r="I2" s="539" t="s">
        <v>636</v>
      </c>
      <c r="J2" s="539"/>
      <c r="K2" s="539"/>
    </row>
    <row r="3" spans="1:11">
      <c r="B3" t="s">
        <v>637</v>
      </c>
      <c r="C3" t="s">
        <v>638</v>
      </c>
      <c r="G3" t="s">
        <v>639</v>
      </c>
      <c r="I3" s="539"/>
      <c r="J3" s="539"/>
      <c r="K3" s="539"/>
    </row>
    <row r="4" spans="1:11">
      <c r="B4" t="s">
        <v>640</v>
      </c>
      <c r="D4" t="s">
        <v>638</v>
      </c>
      <c r="I4" s="539"/>
      <c r="J4" s="539"/>
      <c r="K4" s="539"/>
    </row>
    <row r="5" spans="1:11">
      <c r="I5" s="539"/>
      <c r="J5" s="539"/>
      <c r="K5" s="539"/>
    </row>
    <row r="6" spans="1:11">
      <c r="B6" s="250" t="s">
        <v>631</v>
      </c>
      <c r="C6" s="250" t="s">
        <v>632</v>
      </c>
      <c r="D6" s="250" t="s">
        <v>633</v>
      </c>
      <c r="E6" s="250" t="s">
        <v>634</v>
      </c>
      <c r="F6" s="250" t="s">
        <v>635</v>
      </c>
    </row>
    <row r="7" spans="1:11">
      <c r="B7" s="15" t="s">
        <v>637</v>
      </c>
      <c r="C7" s="15">
        <v>18</v>
      </c>
      <c r="D7" s="15">
        <v>20</v>
      </c>
      <c r="E7" s="15">
        <v>14</v>
      </c>
      <c r="F7" s="305">
        <v>105</v>
      </c>
    </row>
    <row r="8" spans="1:11">
      <c r="B8" s="15" t="s">
        <v>640</v>
      </c>
      <c r="C8" s="15">
        <v>12</v>
      </c>
      <c r="D8" s="15">
        <v>12</v>
      </c>
      <c r="E8" s="15">
        <v>10</v>
      </c>
      <c r="F8" s="305">
        <v>96</v>
      </c>
    </row>
    <row r="9" spans="1:11">
      <c r="B9" s="15" t="s">
        <v>641</v>
      </c>
      <c r="C9" s="15">
        <v>13</v>
      </c>
      <c r="D9" s="15">
        <v>14</v>
      </c>
      <c r="E9" s="15">
        <v>9</v>
      </c>
      <c r="F9" s="305">
        <v>105</v>
      </c>
    </row>
    <row r="10" spans="1:11">
      <c r="B10" s="15" t="s">
        <v>637</v>
      </c>
      <c r="C10" s="15">
        <v>14</v>
      </c>
      <c r="D10" s="15">
        <v>15</v>
      </c>
      <c r="E10" s="15">
        <v>10</v>
      </c>
      <c r="F10" s="305">
        <v>75</v>
      </c>
    </row>
    <row r="11" spans="1:11">
      <c r="B11" s="15" t="s">
        <v>640</v>
      </c>
      <c r="C11" s="15">
        <v>9</v>
      </c>
      <c r="D11" s="15">
        <v>8</v>
      </c>
      <c r="E11" s="15">
        <v>8</v>
      </c>
      <c r="F11" s="305">
        <v>77</v>
      </c>
    </row>
    <row r="12" spans="1:11">
      <c r="B12" s="15" t="s">
        <v>637</v>
      </c>
      <c r="C12" s="15">
        <v>8</v>
      </c>
      <c r="D12" s="15">
        <v>9</v>
      </c>
      <c r="E12" s="15">
        <v>6</v>
      </c>
      <c r="F12" s="305">
        <v>45</v>
      </c>
    </row>
    <row r="13" spans="1:11">
      <c r="B13" s="15" t="s">
        <v>641</v>
      </c>
      <c r="C13" s="15">
        <v>10</v>
      </c>
      <c r="D13" s="15">
        <v>11</v>
      </c>
      <c r="E13" s="15">
        <v>12</v>
      </c>
      <c r="F13" s="305">
        <v>100</v>
      </c>
    </row>
    <row r="14" spans="1:11">
      <c r="B14" s="15" t="s">
        <v>640</v>
      </c>
      <c r="C14" s="15">
        <v>15</v>
      </c>
      <c r="D14" s="15">
        <v>14</v>
      </c>
      <c r="E14" s="15">
        <v>12</v>
      </c>
      <c r="F14" s="305">
        <v>96</v>
      </c>
    </row>
    <row r="15" spans="1:11">
      <c r="B15" s="15" t="s">
        <v>637</v>
      </c>
      <c r="C15" s="15">
        <v>12</v>
      </c>
      <c r="D15" s="15">
        <v>13</v>
      </c>
      <c r="E15" s="15">
        <v>10</v>
      </c>
      <c r="F15" s="305">
        <v>88</v>
      </c>
    </row>
    <row r="16" spans="1:11">
      <c r="B16" s="15" t="s">
        <v>641</v>
      </c>
      <c r="C16" s="15">
        <v>8</v>
      </c>
      <c r="D16" s="15">
        <v>7</v>
      </c>
      <c r="E16" s="15">
        <v>8</v>
      </c>
      <c r="F16" s="305">
        <v>67</v>
      </c>
    </row>
    <row r="18" spans="2:6">
      <c r="B18">
        <f>+DSUM(B6:F16,F6,B2:G4)</f>
        <v>355</v>
      </c>
    </row>
    <row r="20" spans="2:6">
      <c r="B20" s="250" t="s">
        <v>631</v>
      </c>
      <c r="C20" s="250" t="s">
        <v>632</v>
      </c>
      <c r="D20" s="250" t="s">
        <v>633</v>
      </c>
      <c r="E20" s="250" t="s">
        <v>634</v>
      </c>
      <c r="F20" s="250" t="s">
        <v>635</v>
      </c>
    </row>
    <row r="21" spans="2:6">
      <c r="B21" s="15" t="s">
        <v>640</v>
      </c>
      <c r="C21" s="15">
        <v>12</v>
      </c>
      <c r="D21" s="15">
        <v>12</v>
      </c>
      <c r="E21" s="15">
        <v>10</v>
      </c>
      <c r="F21" s="305">
        <v>96</v>
      </c>
    </row>
    <row r="22" spans="2:6">
      <c r="B22" s="15" t="s">
        <v>637</v>
      </c>
      <c r="C22" s="15">
        <v>14</v>
      </c>
      <c r="D22" s="15">
        <v>15</v>
      </c>
      <c r="E22" s="15">
        <v>10</v>
      </c>
      <c r="F22" s="305">
        <v>75</v>
      </c>
    </row>
    <row r="23" spans="2:6">
      <c r="B23" s="15" t="s">
        <v>640</v>
      </c>
      <c r="C23" s="15">
        <v>15</v>
      </c>
      <c r="D23" s="15">
        <v>14</v>
      </c>
      <c r="E23" s="15">
        <v>12</v>
      </c>
      <c r="F23" s="305">
        <v>96</v>
      </c>
    </row>
    <row r="24" spans="2:6">
      <c r="B24" s="15" t="s">
        <v>637</v>
      </c>
      <c r="C24" s="15">
        <v>12</v>
      </c>
      <c r="D24" s="15">
        <v>13</v>
      </c>
      <c r="E24" s="15">
        <v>10</v>
      </c>
      <c r="F24" s="305">
        <v>88</v>
      </c>
    </row>
  </sheetData>
  <mergeCells count="1">
    <mergeCell ref="I2:K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2DB88-4B95-4542-8246-9228456D0C23}">
  <dimension ref="A1:P121"/>
  <sheetViews>
    <sheetView workbookViewId="0"/>
  </sheetViews>
  <sheetFormatPr baseColWidth="10" defaultRowHeight="14.25"/>
  <cols>
    <col min="1" max="1" width="14" customWidth="1"/>
    <col min="10" max="10" width="12" customWidth="1"/>
    <col min="11" max="11" width="13.3984375" customWidth="1"/>
    <col min="13" max="13" width="13.19921875" bestFit="1" customWidth="1"/>
    <col min="14" max="14" width="6.1328125" bestFit="1" customWidth="1"/>
    <col min="15" max="15" width="20.19921875" customWidth="1"/>
    <col min="16" max="16" width="10.6640625" hidden="1" customWidth="1"/>
  </cols>
  <sheetData>
    <row r="1" spans="1:16" ht="83.25" customHeight="1">
      <c r="A1" s="274" t="s">
        <v>642</v>
      </c>
    </row>
    <row r="2" spans="1:16" ht="28.9" thickBot="1">
      <c r="A2" s="6" t="s">
        <v>643</v>
      </c>
      <c r="B2" s="6" t="s">
        <v>644</v>
      </c>
      <c r="C2" s="6" t="s">
        <v>645</v>
      </c>
      <c r="D2" s="6" t="s">
        <v>646</v>
      </c>
      <c r="E2" s="6" t="s">
        <v>647</v>
      </c>
      <c r="F2" s="6" t="s">
        <v>648</v>
      </c>
      <c r="G2" s="306" t="s">
        <v>649</v>
      </c>
    </row>
    <row r="3" spans="1:16" ht="15" customHeight="1" thickTop="1" thickBot="1">
      <c r="A3" s="76" t="s">
        <v>650</v>
      </c>
      <c r="B3" s="307">
        <v>42737</v>
      </c>
      <c r="C3" s="76">
        <v>1</v>
      </c>
      <c r="D3" s="76" t="s">
        <v>651</v>
      </c>
      <c r="E3" s="76">
        <v>6</v>
      </c>
      <c r="F3" s="76">
        <v>2</v>
      </c>
      <c r="G3" s="308">
        <v>528</v>
      </c>
      <c r="I3" s="490" t="s">
        <v>652</v>
      </c>
      <c r="J3" s="490"/>
      <c r="K3" s="490"/>
      <c r="L3" s="490"/>
      <c r="M3" s="490"/>
      <c r="O3" s="138">
        <f>DSUM(A2:G121,G2,I6:O8)</f>
        <v>19761</v>
      </c>
      <c r="P3" s="309"/>
    </row>
    <row r="4" spans="1:16" ht="14.65" thickTop="1">
      <c r="A4" s="76" t="s">
        <v>653</v>
      </c>
      <c r="B4" s="307">
        <v>42741</v>
      </c>
      <c r="C4" s="76">
        <v>2</v>
      </c>
      <c r="D4" s="76" t="s">
        <v>654</v>
      </c>
      <c r="E4" s="76">
        <v>8</v>
      </c>
      <c r="F4" s="76">
        <v>5</v>
      </c>
      <c r="G4" s="308">
        <v>1680</v>
      </c>
      <c r="I4" s="490"/>
      <c r="J4" s="490"/>
      <c r="K4" s="490"/>
      <c r="L4" s="490"/>
      <c r="M4" s="490"/>
    </row>
    <row r="5" spans="1:16">
      <c r="A5" s="76" t="s">
        <v>655</v>
      </c>
      <c r="B5" s="307">
        <v>42742</v>
      </c>
      <c r="C5" s="76">
        <v>3</v>
      </c>
      <c r="D5" s="76" t="s">
        <v>656</v>
      </c>
      <c r="E5" s="76">
        <v>6</v>
      </c>
      <c r="F5" s="76">
        <v>3</v>
      </c>
      <c r="G5" s="308">
        <v>1008</v>
      </c>
      <c r="I5" s="247"/>
    </row>
    <row r="6" spans="1:16">
      <c r="A6" s="76" t="s">
        <v>655</v>
      </c>
      <c r="B6" s="307">
        <v>42743</v>
      </c>
      <c r="C6" s="76">
        <v>2</v>
      </c>
      <c r="D6" s="76" t="s">
        <v>654</v>
      </c>
      <c r="E6" s="76">
        <v>7</v>
      </c>
      <c r="F6" s="76">
        <v>5</v>
      </c>
      <c r="G6" s="308">
        <v>1960</v>
      </c>
      <c r="I6" s="6" t="s">
        <v>643</v>
      </c>
      <c r="J6" s="6" t="s">
        <v>643</v>
      </c>
      <c r="K6" s="6" t="s">
        <v>644</v>
      </c>
      <c r="L6" s="6" t="s">
        <v>644</v>
      </c>
      <c r="M6" s="6" t="s">
        <v>647</v>
      </c>
      <c r="N6" s="6" t="s">
        <v>648</v>
      </c>
      <c r="O6" s="306" t="s">
        <v>649</v>
      </c>
    </row>
    <row r="7" spans="1:16">
      <c r="A7" s="76" t="s">
        <v>657</v>
      </c>
      <c r="B7" s="307">
        <v>42746</v>
      </c>
      <c r="C7" s="76">
        <v>2</v>
      </c>
      <c r="D7" s="76" t="s">
        <v>654</v>
      </c>
      <c r="E7" s="76">
        <v>5</v>
      </c>
      <c r="F7" s="76">
        <v>5</v>
      </c>
      <c r="G7" s="308">
        <v>1225</v>
      </c>
      <c r="I7" s="76" t="s">
        <v>650</v>
      </c>
      <c r="J7" s="76"/>
      <c r="K7" s="76" t="s">
        <v>658</v>
      </c>
      <c r="L7" s="76" t="s">
        <v>659</v>
      </c>
    </row>
    <row r="8" spans="1:16">
      <c r="A8" s="76" t="s">
        <v>655</v>
      </c>
      <c r="B8" s="307">
        <v>42755</v>
      </c>
      <c r="C8" s="76">
        <v>1</v>
      </c>
      <c r="D8" s="76" t="s">
        <v>654</v>
      </c>
      <c r="E8" s="76">
        <v>8</v>
      </c>
      <c r="F8" s="76">
        <v>4</v>
      </c>
      <c r="G8" s="308">
        <v>1792</v>
      </c>
      <c r="I8" s="76" t="s">
        <v>660</v>
      </c>
      <c r="K8" s="76" t="s">
        <v>658</v>
      </c>
      <c r="L8" s="76" t="s">
        <v>659</v>
      </c>
    </row>
    <row r="9" spans="1:16" ht="14.65" thickBot="1">
      <c r="A9" s="76" t="s">
        <v>655</v>
      </c>
      <c r="B9" s="307">
        <v>42759</v>
      </c>
      <c r="C9" s="76">
        <v>1</v>
      </c>
      <c r="D9" s="76" t="s">
        <v>654</v>
      </c>
      <c r="E9" s="76">
        <v>4</v>
      </c>
      <c r="F9" s="76">
        <v>5</v>
      </c>
      <c r="G9" s="308">
        <v>1120</v>
      </c>
      <c r="I9" s="247"/>
    </row>
    <row r="10" spans="1:16" ht="15" thickTop="1" thickBot="1">
      <c r="A10" s="76" t="s">
        <v>655</v>
      </c>
      <c r="B10" s="307">
        <v>42759</v>
      </c>
      <c r="C10" s="76">
        <v>1</v>
      </c>
      <c r="D10" s="76" t="s">
        <v>651</v>
      </c>
      <c r="E10" s="76">
        <v>8</v>
      </c>
      <c r="F10" s="76">
        <v>4</v>
      </c>
      <c r="G10" s="308">
        <v>1792</v>
      </c>
      <c r="I10" s="247" t="s">
        <v>661</v>
      </c>
      <c r="O10" s="310">
        <f>DCOUNTA(A2:G121,D2,I12:O14)</f>
        <v>3</v>
      </c>
    </row>
    <row r="11" spans="1:16" ht="14.65" thickTop="1">
      <c r="A11" s="76" t="s">
        <v>657</v>
      </c>
      <c r="B11" s="307">
        <v>42760</v>
      </c>
      <c r="C11" s="76">
        <v>3</v>
      </c>
      <c r="D11" s="76" t="s">
        <v>651</v>
      </c>
      <c r="E11" s="76">
        <v>7</v>
      </c>
      <c r="F11" s="76">
        <v>8</v>
      </c>
      <c r="G11" s="308">
        <v>2744</v>
      </c>
      <c r="I11" s="247"/>
    </row>
    <row r="12" spans="1:16">
      <c r="A12" s="76" t="s">
        <v>650</v>
      </c>
      <c r="B12" s="307">
        <v>42760</v>
      </c>
      <c r="C12" s="76">
        <v>2</v>
      </c>
      <c r="D12" s="76" t="s">
        <v>651</v>
      </c>
      <c r="E12" s="76">
        <v>6</v>
      </c>
      <c r="F12" s="76">
        <v>2</v>
      </c>
      <c r="G12" s="308">
        <v>528</v>
      </c>
      <c r="I12" s="6" t="s">
        <v>643</v>
      </c>
      <c r="J12" s="6" t="s">
        <v>644</v>
      </c>
      <c r="K12" s="6" t="s">
        <v>644</v>
      </c>
      <c r="L12" s="6" t="s">
        <v>646</v>
      </c>
      <c r="M12" s="6" t="s">
        <v>647</v>
      </c>
      <c r="N12" s="6" t="s">
        <v>648</v>
      </c>
      <c r="O12" s="306" t="s">
        <v>649</v>
      </c>
    </row>
    <row r="13" spans="1:16">
      <c r="A13" s="76" t="s">
        <v>660</v>
      </c>
      <c r="B13" s="307">
        <v>42761</v>
      </c>
      <c r="C13" s="76">
        <v>2</v>
      </c>
      <c r="D13" s="76" t="s">
        <v>656</v>
      </c>
      <c r="E13" s="76">
        <v>9</v>
      </c>
      <c r="F13" s="76">
        <v>3</v>
      </c>
      <c r="G13" s="308">
        <v>945</v>
      </c>
      <c r="I13" s="76" t="s">
        <v>655</v>
      </c>
      <c r="J13" t="s">
        <v>662</v>
      </c>
      <c r="K13" t="s">
        <v>663</v>
      </c>
      <c r="L13" s="76" t="s">
        <v>651</v>
      </c>
    </row>
    <row r="14" spans="1:16">
      <c r="A14" s="76" t="s">
        <v>650</v>
      </c>
      <c r="B14" s="307">
        <v>42765</v>
      </c>
      <c r="C14" s="76">
        <v>1</v>
      </c>
      <c r="D14" s="76" t="s">
        <v>651</v>
      </c>
      <c r="E14" s="76">
        <v>6</v>
      </c>
      <c r="F14" s="76">
        <v>5</v>
      </c>
      <c r="G14" s="308">
        <v>1320</v>
      </c>
      <c r="I14" s="76" t="s">
        <v>655</v>
      </c>
      <c r="J14" t="s">
        <v>662</v>
      </c>
      <c r="K14" t="s">
        <v>663</v>
      </c>
      <c r="L14" s="76" t="s">
        <v>656</v>
      </c>
    </row>
    <row r="15" spans="1:16">
      <c r="A15" s="76" t="s">
        <v>664</v>
      </c>
      <c r="B15" s="307">
        <v>42765</v>
      </c>
      <c r="C15" s="76">
        <v>2</v>
      </c>
      <c r="D15" s="76" t="s">
        <v>651</v>
      </c>
      <c r="E15" s="76">
        <v>4</v>
      </c>
      <c r="F15" s="76">
        <v>5</v>
      </c>
      <c r="G15" s="308">
        <v>940</v>
      </c>
      <c r="I15" s="247"/>
    </row>
    <row r="16" spans="1:16" ht="14.65" thickBot="1">
      <c r="A16" s="76" t="s">
        <v>653</v>
      </c>
      <c r="B16" s="307">
        <v>42767</v>
      </c>
      <c r="C16" s="76">
        <v>1</v>
      </c>
      <c r="D16" s="76" t="s">
        <v>654</v>
      </c>
      <c r="E16" s="76">
        <v>7</v>
      </c>
      <c r="F16" s="76">
        <v>3</v>
      </c>
      <c r="G16" s="308">
        <v>882</v>
      </c>
      <c r="I16" s="247"/>
    </row>
    <row r="17" spans="1:15" ht="15" thickTop="1" thickBot="1">
      <c r="A17" s="76" t="s">
        <v>650</v>
      </c>
      <c r="B17" s="307">
        <v>42767</v>
      </c>
      <c r="C17" s="76">
        <v>2</v>
      </c>
      <c r="D17" s="76" t="s">
        <v>651</v>
      </c>
      <c r="E17" s="76">
        <v>8</v>
      </c>
      <c r="F17" s="76">
        <v>5</v>
      </c>
      <c r="G17" s="308">
        <v>1760</v>
      </c>
      <c r="I17" s="490" t="s">
        <v>665</v>
      </c>
      <c r="J17" s="490"/>
      <c r="K17" s="490"/>
      <c r="L17" s="490"/>
      <c r="M17" s="490"/>
      <c r="O17" s="138">
        <f>DAVERAGE(A2:G121,G2,I20:O22)</f>
        <v>1573</v>
      </c>
    </row>
    <row r="18" spans="1:15" ht="14.65" thickTop="1">
      <c r="A18" s="76" t="s">
        <v>650</v>
      </c>
      <c r="B18" s="307">
        <v>42768</v>
      </c>
      <c r="C18" s="76">
        <v>3</v>
      </c>
      <c r="D18" s="76" t="s">
        <v>654</v>
      </c>
      <c r="E18" s="76">
        <v>6</v>
      </c>
      <c r="F18" s="76">
        <v>2</v>
      </c>
      <c r="G18" s="308">
        <v>528</v>
      </c>
      <c r="I18" s="490"/>
      <c r="J18" s="490"/>
      <c r="K18" s="490"/>
      <c r="L18" s="490"/>
      <c r="M18" s="490"/>
    </row>
    <row r="19" spans="1:15">
      <c r="A19" s="76" t="s">
        <v>660</v>
      </c>
      <c r="B19" s="307">
        <v>42774</v>
      </c>
      <c r="C19" s="76">
        <v>3</v>
      </c>
      <c r="D19" s="76" t="s">
        <v>656</v>
      </c>
      <c r="E19" s="76">
        <v>5</v>
      </c>
      <c r="F19" s="76">
        <v>6</v>
      </c>
      <c r="G19" s="308">
        <v>1050</v>
      </c>
      <c r="I19" s="247"/>
    </row>
    <row r="20" spans="1:15">
      <c r="A20" s="76" t="s">
        <v>660</v>
      </c>
      <c r="B20" s="307">
        <v>42778</v>
      </c>
      <c r="C20" s="76">
        <v>1</v>
      </c>
      <c r="D20" s="76" t="s">
        <v>651</v>
      </c>
      <c r="E20" s="76">
        <v>4</v>
      </c>
      <c r="F20" s="76">
        <v>5</v>
      </c>
      <c r="G20" s="308">
        <v>700</v>
      </c>
      <c r="I20" s="6" t="s">
        <v>643</v>
      </c>
      <c r="J20" s="6" t="s">
        <v>644</v>
      </c>
      <c r="K20" s="6" t="s">
        <v>645</v>
      </c>
      <c r="L20" s="6" t="s">
        <v>646</v>
      </c>
      <c r="M20" s="6" t="s">
        <v>647</v>
      </c>
      <c r="N20" s="6" t="s">
        <v>648</v>
      </c>
      <c r="O20" s="306" t="s">
        <v>649</v>
      </c>
    </row>
    <row r="21" spans="1:15">
      <c r="A21" s="76" t="s">
        <v>655</v>
      </c>
      <c r="B21" s="307">
        <v>42782</v>
      </c>
      <c r="C21" s="76">
        <v>3</v>
      </c>
      <c r="D21" s="76" t="s">
        <v>656</v>
      </c>
      <c r="E21" s="76">
        <v>9</v>
      </c>
      <c r="F21" s="76">
        <v>1</v>
      </c>
      <c r="G21" s="308">
        <v>504</v>
      </c>
      <c r="I21" s="76" t="s">
        <v>650</v>
      </c>
      <c r="K21">
        <v>1</v>
      </c>
      <c r="L21" s="76" t="s">
        <v>654</v>
      </c>
    </row>
    <row r="22" spans="1:15">
      <c r="A22" s="76" t="s">
        <v>660</v>
      </c>
      <c r="B22" s="307">
        <v>42787</v>
      </c>
      <c r="C22" s="76">
        <v>3</v>
      </c>
      <c r="D22" s="76" t="s">
        <v>651</v>
      </c>
      <c r="E22" s="76">
        <v>6</v>
      </c>
      <c r="F22" s="76">
        <v>5</v>
      </c>
      <c r="G22" s="308">
        <v>1050</v>
      </c>
      <c r="I22" s="76" t="s">
        <v>650</v>
      </c>
      <c r="K22">
        <v>1</v>
      </c>
      <c r="L22" s="76" t="s">
        <v>656</v>
      </c>
    </row>
    <row r="23" spans="1:15" ht="14.65" thickBot="1">
      <c r="A23" s="76" t="s">
        <v>653</v>
      </c>
      <c r="B23" s="307">
        <v>42790</v>
      </c>
      <c r="C23" s="76">
        <v>3</v>
      </c>
      <c r="D23" s="76" t="s">
        <v>651</v>
      </c>
      <c r="E23" s="76">
        <v>5</v>
      </c>
      <c r="F23" s="76">
        <v>5</v>
      </c>
      <c r="G23" s="308">
        <v>1050</v>
      </c>
      <c r="I23" s="247"/>
    </row>
    <row r="24" spans="1:15" ht="15" thickTop="1" thickBot="1">
      <c r="A24" s="76" t="s">
        <v>655</v>
      </c>
      <c r="B24" s="307">
        <v>42791</v>
      </c>
      <c r="C24" s="76">
        <v>3</v>
      </c>
      <c r="D24" s="76" t="s">
        <v>651</v>
      </c>
      <c r="E24" s="76">
        <v>8</v>
      </c>
      <c r="F24" s="76">
        <v>1</v>
      </c>
      <c r="G24" s="308">
        <v>448</v>
      </c>
      <c r="I24" s="490" t="s">
        <v>666</v>
      </c>
      <c r="J24" s="490"/>
      <c r="K24" s="490"/>
      <c r="L24" s="490"/>
      <c r="M24" s="490"/>
      <c r="O24" s="310">
        <f>DMAX(A2:G121,E2,I27:O28)</f>
        <v>9</v>
      </c>
    </row>
    <row r="25" spans="1:15" ht="14.65" thickTop="1">
      <c r="A25" s="76" t="s">
        <v>650</v>
      </c>
      <c r="B25" s="307">
        <v>42791</v>
      </c>
      <c r="C25" s="76">
        <v>3</v>
      </c>
      <c r="D25" s="76" t="s">
        <v>656</v>
      </c>
      <c r="E25" s="76">
        <v>4</v>
      </c>
      <c r="F25" s="76">
        <v>5</v>
      </c>
      <c r="G25" s="308">
        <v>880</v>
      </c>
      <c r="I25" s="490"/>
      <c r="J25" s="490"/>
      <c r="K25" s="490"/>
      <c r="L25" s="490"/>
      <c r="M25" s="490"/>
    </row>
    <row r="26" spans="1:15">
      <c r="A26" s="76" t="s">
        <v>650</v>
      </c>
      <c r="B26" s="307">
        <v>42791</v>
      </c>
      <c r="C26" s="76">
        <v>2</v>
      </c>
      <c r="D26" s="76" t="s">
        <v>656</v>
      </c>
      <c r="E26" s="76">
        <v>5</v>
      </c>
      <c r="F26" s="76">
        <v>1</v>
      </c>
      <c r="G26" s="308">
        <v>220</v>
      </c>
      <c r="I26" s="247"/>
    </row>
    <row r="27" spans="1:15">
      <c r="A27" s="76" t="s">
        <v>650</v>
      </c>
      <c r="B27" s="307">
        <v>42792</v>
      </c>
      <c r="C27" s="76">
        <v>1</v>
      </c>
      <c r="D27" s="76" t="s">
        <v>651</v>
      </c>
      <c r="E27" s="76">
        <v>9</v>
      </c>
      <c r="F27" s="76">
        <v>5</v>
      </c>
      <c r="G27" s="308">
        <v>1980</v>
      </c>
      <c r="I27" s="6" t="s">
        <v>643</v>
      </c>
      <c r="J27" s="6" t="s">
        <v>644</v>
      </c>
      <c r="K27" s="6" t="s">
        <v>645</v>
      </c>
      <c r="L27" s="6" t="s">
        <v>646</v>
      </c>
      <c r="M27" s="6" t="s">
        <v>647</v>
      </c>
      <c r="N27" s="6" t="s">
        <v>648</v>
      </c>
      <c r="O27" s="6" t="s">
        <v>648</v>
      </c>
    </row>
    <row r="28" spans="1:15">
      <c r="A28" s="76" t="s">
        <v>650</v>
      </c>
      <c r="B28" s="307">
        <v>42792</v>
      </c>
      <c r="C28" s="76">
        <v>2</v>
      </c>
      <c r="D28" s="76" t="s">
        <v>651</v>
      </c>
      <c r="E28" s="76">
        <v>7</v>
      </c>
      <c r="F28" s="76">
        <v>2</v>
      </c>
      <c r="G28" s="308">
        <v>616</v>
      </c>
      <c r="I28" s="76" t="s">
        <v>650</v>
      </c>
      <c r="N28" t="s">
        <v>667</v>
      </c>
      <c r="O28" t="s">
        <v>668</v>
      </c>
    </row>
    <row r="29" spans="1:15" ht="14.65" thickBot="1">
      <c r="A29" s="76" t="s">
        <v>650</v>
      </c>
      <c r="B29" s="307">
        <v>42792</v>
      </c>
      <c r="C29" s="76">
        <v>1</v>
      </c>
      <c r="D29" s="76" t="s">
        <v>651</v>
      </c>
      <c r="E29" s="76">
        <v>8</v>
      </c>
      <c r="F29" s="76">
        <v>1</v>
      </c>
      <c r="G29" s="308">
        <v>352</v>
      </c>
      <c r="I29" s="247"/>
    </row>
    <row r="30" spans="1:15" ht="15" thickTop="1" thickBot="1">
      <c r="A30" s="76" t="s">
        <v>653</v>
      </c>
      <c r="B30" s="307">
        <v>42795</v>
      </c>
      <c r="C30" s="76">
        <v>3</v>
      </c>
      <c r="D30" s="76" t="s">
        <v>656</v>
      </c>
      <c r="E30" s="76">
        <v>4</v>
      </c>
      <c r="F30" s="76">
        <v>5</v>
      </c>
      <c r="G30" s="308">
        <v>840</v>
      </c>
      <c r="I30" s="247" t="s">
        <v>669</v>
      </c>
      <c r="O30" s="310">
        <f>DMIN(A2:G121,E2,I32:K34)</f>
        <v>5</v>
      </c>
    </row>
    <row r="31" spans="1:15" ht="14.65" thickTop="1">
      <c r="A31" s="76" t="s">
        <v>650</v>
      </c>
      <c r="B31" s="307">
        <v>42799</v>
      </c>
      <c r="C31" s="76">
        <v>2</v>
      </c>
      <c r="D31" s="76" t="s">
        <v>651</v>
      </c>
      <c r="E31" s="76">
        <v>7</v>
      </c>
      <c r="F31" s="76">
        <v>5</v>
      </c>
      <c r="G31" s="308">
        <v>1540</v>
      </c>
    </row>
    <row r="32" spans="1:15">
      <c r="A32" s="76" t="s">
        <v>650</v>
      </c>
      <c r="B32" s="307">
        <v>42804</v>
      </c>
      <c r="C32" s="76">
        <v>1</v>
      </c>
      <c r="D32" s="76" t="s">
        <v>651</v>
      </c>
      <c r="E32" s="76">
        <v>8</v>
      </c>
      <c r="F32" s="76">
        <v>3</v>
      </c>
      <c r="G32" s="308">
        <v>1056</v>
      </c>
      <c r="I32" s="6" t="s">
        <v>643</v>
      </c>
      <c r="J32" s="6" t="s">
        <v>644</v>
      </c>
      <c r="K32" s="6" t="s">
        <v>645</v>
      </c>
      <c r="L32" s="6" t="s">
        <v>646</v>
      </c>
      <c r="M32" s="6" t="s">
        <v>647</v>
      </c>
      <c r="N32" s="6" t="s">
        <v>648</v>
      </c>
    </row>
    <row r="33" spans="1:15">
      <c r="A33" s="76" t="s">
        <v>650</v>
      </c>
      <c r="B33" s="307">
        <v>42808</v>
      </c>
      <c r="C33" s="76">
        <v>1</v>
      </c>
      <c r="D33" s="76" t="s">
        <v>651</v>
      </c>
      <c r="E33" s="76">
        <v>4</v>
      </c>
      <c r="F33" s="76">
        <v>3</v>
      </c>
      <c r="G33" s="308">
        <v>528</v>
      </c>
      <c r="I33" s="76" t="s">
        <v>657</v>
      </c>
      <c r="K33">
        <v>1</v>
      </c>
    </row>
    <row r="34" spans="1:15">
      <c r="A34" s="76" t="s">
        <v>650</v>
      </c>
      <c r="B34" s="307">
        <v>42810</v>
      </c>
      <c r="C34" s="76">
        <v>2</v>
      </c>
      <c r="D34" s="76" t="s">
        <v>654</v>
      </c>
      <c r="E34" s="76">
        <v>5</v>
      </c>
      <c r="F34" s="76">
        <v>5</v>
      </c>
      <c r="G34" s="308">
        <v>1100</v>
      </c>
      <c r="I34" s="76" t="s">
        <v>657</v>
      </c>
      <c r="K34">
        <v>2</v>
      </c>
    </row>
    <row r="35" spans="1:15" ht="14.65" thickBot="1">
      <c r="A35" s="76" t="s">
        <v>650</v>
      </c>
      <c r="B35" s="307">
        <v>42813</v>
      </c>
      <c r="C35" s="76">
        <v>1</v>
      </c>
      <c r="D35" s="76" t="s">
        <v>651</v>
      </c>
      <c r="E35" s="76">
        <v>6</v>
      </c>
      <c r="F35" s="76">
        <v>5</v>
      </c>
      <c r="G35" s="308">
        <v>1320</v>
      </c>
    </row>
    <row r="36" spans="1:15" ht="15" thickTop="1" thickBot="1">
      <c r="A36" s="76" t="s">
        <v>650</v>
      </c>
      <c r="B36" s="307">
        <v>42819</v>
      </c>
      <c r="C36" s="76">
        <v>1</v>
      </c>
      <c r="D36" s="76" t="s">
        <v>656</v>
      </c>
      <c r="E36" s="76">
        <v>8</v>
      </c>
      <c r="F36" s="76">
        <v>5</v>
      </c>
      <c r="G36" s="308">
        <v>1760</v>
      </c>
      <c r="I36" s="490" t="s">
        <v>670</v>
      </c>
      <c r="J36" s="490"/>
      <c r="K36" s="490"/>
      <c r="L36" s="490"/>
      <c r="M36" s="490"/>
      <c r="O36" s="310">
        <f>+DCOUNT(A2:G121,E2,I39:O41)</f>
        <v>2</v>
      </c>
    </row>
    <row r="37" spans="1:15" ht="14.65" thickTop="1">
      <c r="A37" s="76" t="s">
        <v>655</v>
      </c>
      <c r="B37" s="307">
        <v>42823</v>
      </c>
      <c r="C37" s="76">
        <v>2</v>
      </c>
      <c r="D37" s="76" t="s">
        <v>651</v>
      </c>
      <c r="E37" s="76">
        <v>7</v>
      </c>
      <c r="F37" s="76">
        <v>5</v>
      </c>
      <c r="G37" s="308">
        <v>1960</v>
      </c>
      <c r="I37" s="490"/>
      <c r="J37" s="490"/>
      <c r="K37" s="490"/>
      <c r="L37" s="490"/>
      <c r="M37" s="490"/>
    </row>
    <row r="38" spans="1:15">
      <c r="A38" s="76" t="s">
        <v>664</v>
      </c>
      <c r="B38" s="307">
        <v>42824</v>
      </c>
      <c r="C38" s="76">
        <v>2</v>
      </c>
      <c r="D38" s="76" t="s">
        <v>656</v>
      </c>
      <c r="E38" s="76">
        <v>6</v>
      </c>
      <c r="F38" s="76">
        <v>5</v>
      </c>
      <c r="G38" s="308">
        <v>1410</v>
      </c>
    </row>
    <row r="39" spans="1:15">
      <c r="A39" s="76" t="s">
        <v>653</v>
      </c>
      <c r="B39" s="307">
        <v>42827</v>
      </c>
      <c r="C39" s="76">
        <v>3</v>
      </c>
      <c r="D39" s="76" t="s">
        <v>654</v>
      </c>
      <c r="E39" s="76">
        <v>9</v>
      </c>
      <c r="F39" s="76">
        <v>5</v>
      </c>
      <c r="G39" s="308">
        <v>1890</v>
      </c>
      <c r="I39" s="6" t="s">
        <v>643</v>
      </c>
      <c r="J39" s="6" t="s">
        <v>644</v>
      </c>
      <c r="K39" s="6" t="s">
        <v>644</v>
      </c>
      <c r="L39" s="6" t="s">
        <v>646</v>
      </c>
      <c r="M39" s="6" t="s">
        <v>647</v>
      </c>
      <c r="N39" s="6" t="s">
        <v>648</v>
      </c>
      <c r="O39" s="306" t="s">
        <v>649</v>
      </c>
    </row>
    <row r="40" spans="1:15">
      <c r="A40" s="76" t="s">
        <v>650</v>
      </c>
      <c r="B40" s="307">
        <v>42832</v>
      </c>
      <c r="C40" s="76">
        <v>3</v>
      </c>
      <c r="D40" s="76" t="s">
        <v>651</v>
      </c>
      <c r="E40" s="76">
        <v>7</v>
      </c>
      <c r="F40" s="76">
        <v>5</v>
      </c>
      <c r="G40" s="308">
        <v>1540</v>
      </c>
      <c r="I40" s="76" t="s">
        <v>653</v>
      </c>
      <c r="J40" t="s">
        <v>671</v>
      </c>
      <c r="K40" t="s">
        <v>672</v>
      </c>
      <c r="L40" s="76" t="s">
        <v>654</v>
      </c>
    </row>
    <row r="41" spans="1:15">
      <c r="A41" s="76" t="s">
        <v>653</v>
      </c>
      <c r="B41" s="307">
        <v>42833</v>
      </c>
      <c r="C41" s="76">
        <v>1</v>
      </c>
      <c r="D41" s="76" t="s">
        <v>651</v>
      </c>
      <c r="E41" s="76">
        <v>8</v>
      </c>
      <c r="F41" s="76">
        <v>5</v>
      </c>
      <c r="G41" s="308">
        <v>1680</v>
      </c>
      <c r="I41" s="76" t="s">
        <v>653</v>
      </c>
      <c r="J41" t="s">
        <v>671</v>
      </c>
      <c r="K41" t="s">
        <v>672</v>
      </c>
      <c r="L41" s="76" t="s">
        <v>656</v>
      </c>
    </row>
    <row r="42" spans="1:15">
      <c r="A42" s="76" t="s">
        <v>655</v>
      </c>
      <c r="B42" s="307">
        <v>42834</v>
      </c>
      <c r="C42" s="76">
        <v>1</v>
      </c>
      <c r="D42" s="76" t="s">
        <v>651</v>
      </c>
      <c r="E42" s="76">
        <v>4</v>
      </c>
      <c r="F42" s="76">
        <v>5</v>
      </c>
      <c r="G42" s="308">
        <v>1120</v>
      </c>
    </row>
    <row r="43" spans="1:15">
      <c r="A43" s="76" t="s">
        <v>650</v>
      </c>
      <c r="B43" s="307">
        <v>42834</v>
      </c>
      <c r="C43" s="76">
        <v>2</v>
      </c>
      <c r="D43" s="76" t="s">
        <v>656</v>
      </c>
      <c r="E43" s="76">
        <v>8</v>
      </c>
      <c r="F43" s="76">
        <v>5</v>
      </c>
      <c r="G43" s="308">
        <v>1760</v>
      </c>
    </row>
    <row r="44" spans="1:15">
      <c r="A44" s="76" t="s">
        <v>653</v>
      </c>
      <c r="B44" s="307">
        <v>42835</v>
      </c>
      <c r="C44" s="76">
        <v>2</v>
      </c>
      <c r="D44" s="76" t="s">
        <v>651</v>
      </c>
      <c r="E44" s="76">
        <v>5</v>
      </c>
      <c r="F44" s="76">
        <v>5</v>
      </c>
      <c r="G44" s="308">
        <v>1050</v>
      </c>
    </row>
    <row r="45" spans="1:15">
      <c r="A45" s="76" t="s">
        <v>655</v>
      </c>
      <c r="B45" s="307">
        <v>42838</v>
      </c>
      <c r="C45" s="76">
        <v>2</v>
      </c>
      <c r="D45" s="76" t="s">
        <v>651</v>
      </c>
      <c r="E45" s="76">
        <v>9</v>
      </c>
      <c r="F45" s="76">
        <v>5</v>
      </c>
      <c r="G45" s="308">
        <v>2520</v>
      </c>
    </row>
    <row r="46" spans="1:15">
      <c r="A46" s="76" t="s">
        <v>660</v>
      </c>
      <c r="B46" s="307">
        <v>42845</v>
      </c>
      <c r="C46" s="76">
        <v>3</v>
      </c>
      <c r="D46" s="76" t="s">
        <v>656</v>
      </c>
      <c r="E46" s="76">
        <v>5</v>
      </c>
      <c r="F46" s="76">
        <v>6</v>
      </c>
      <c r="G46" s="308">
        <v>1050</v>
      </c>
    </row>
    <row r="47" spans="1:15">
      <c r="A47" s="76" t="s">
        <v>653</v>
      </c>
      <c r="B47" s="307">
        <v>42859</v>
      </c>
      <c r="C47" s="76">
        <v>3</v>
      </c>
      <c r="D47" s="76" t="s">
        <v>651</v>
      </c>
      <c r="E47" s="76">
        <v>4</v>
      </c>
      <c r="F47" s="76">
        <v>5</v>
      </c>
      <c r="G47" s="308">
        <v>840</v>
      </c>
    </row>
    <row r="48" spans="1:15">
      <c r="A48" s="76" t="s">
        <v>660</v>
      </c>
      <c r="B48" s="307">
        <v>42863</v>
      </c>
      <c r="C48" s="76">
        <v>1</v>
      </c>
      <c r="D48" s="76" t="s">
        <v>651</v>
      </c>
      <c r="E48" s="76">
        <v>8</v>
      </c>
      <c r="F48" s="76">
        <v>2</v>
      </c>
      <c r="G48" s="308">
        <v>560</v>
      </c>
    </row>
    <row r="49" spans="1:7">
      <c r="A49" s="76" t="s">
        <v>657</v>
      </c>
      <c r="B49" s="307">
        <v>42871</v>
      </c>
      <c r="C49" s="76">
        <v>1</v>
      </c>
      <c r="D49" s="76" t="s">
        <v>651</v>
      </c>
      <c r="E49" s="76">
        <v>5</v>
      </c>
      <c r="F49" s="76">
        <v>3</v>
      </c>
      <c r="G49" s="308">
        <v>735</v>
      </c>
    </row>
    <row r="50" spans="1:7">
      <c r="A50" s="76" t="s">
        <v>650</v>
      </c>
      <c r="B50" s="307">
        <v>42873</v>
      </c>
      <c r="C50" s="76">
        <v>2</v>
      </c>
      <c r="D50" s="76" t="s">
        <v>656</v>
      </c>
      <c r="E50" s="76">
        <v>7</v>
      </c>
      <c r="F50" s="76">
        <v>5</v>
      </c>
      <c r="G50" s="308">
        <v>1540</v>
      </c>
    </row>
    <row r="51" spans="1:7">
      <c r="A51" s="76" t="s">
        <v>655</v>
      </c>
      <c r="B51" s="307">
        <v>42874</v>
      </c>
      <c r="C51" s="76">
        <v>1</v>
      </c>
      <c r="D51" s="76" t="s">
        <v>651</v>
      </c>
      <c r="E51" s="76">
        <v>5</v>
      </c>
      <c r="F51" s="76">
        <v>5</v>
      </c>
      <c r="G51" s="308">
        <v>1400</v>
      </c>
    </row>
    <row r="52" spans="1:7">
      <c r="A52" s="76" t="s">
        <v>650</v>
      </c>
      <c r="B52" s="307">
        <v>42886</v>
      </c>
      <c r="C52" s="76">
        <v>1</v>
      </c>
      <c r="D52" s="76" t="s">
        <v>651</v>
      </c>
      <c r="E52" s="76">
        <v>6</v>
      </c>
      <c r="F52" s="76">
        <v>4</v>
      </c>
      <c r="G52" s="308">
        <v>1056</v>
      </c>
    </row>
    <row r="53" spans="1:7">
      <c r="A53" s="76" t="s">
        <v>650</v>
      </c>
      <c r="B53" s="307">
        <v>42887</v>
      </c>
      <c r="C53" s="76">
        <v>1</v>
      </c>
      <c r="D53" s="76" t="s">
        <v>651</v>
      </c>
      <c r="E53" s="76">
        <v>6</v>
      </c>
      <c r="F53" s="76">
        <v>4</v>
      </c>
      <c r="G53" s="308">
        <v>1056</v>
      </c>
    </row>
    <row r="54" spans="1:7">
      <c r="A54" s="76" t="s">
        <v>650</v>
      </c>
      <c r="B54" s="307">
        <v>42892</v>
      </c>
      <c r="C54" s="76">
        <v>1</v>
      </c>
      <c r="D54" s="76" t="s">
        <v>651</v>
      </c>
      <c r="E54" s="76">
        <v>7</v>
      </c>
      <c r="F54" s="76">
        <v>5</v>
      </c>
      <c r="G54" s="308">
        <v>1540</v>
      </c>
    </row>
    <row r="55" spans="1:7">
      <c r="A55" s="76" t="s">
        <v>657</v>
      </c>
      <c r="B55" s="307">
        <v>42896</v>
      </c>
      <c r="C55" s="76">
        <v>3</v>
      </c>
      <c r="D55" s="76" t="s">
        <v>654</v>
      </c>
      <c r="E55" s="76">
        <v>4</v>
      </c>
      <c r="F55" s="76">
        <v>5</v>
      </c>
      <c r="G55" s="308">
        <v>980</v>
      </c>
    </row>
    <row r="56" spans="1:7">
      <c r="A56" s="76" t="s">
        <v>650</v>
      </c>
      <c r="B56" s="307">
        <v>42899</v>
      </c>
      <c r="C56" s="76">
        <v>2</v>
      </c>
      <c r="D56" s="76" t="s">
        <v>651</v>
      </c>
      <c r="E56" s="76">
        <v>6</v>
      </c>
      <c r="F56" s="76">
        <v>3</v>
      </c>
      <c r="G56" s="308">
        <v>792</v>
      </c>
    </row>
    <row r="57" spans="1:7">
      <c r="A57" s="76" t="s">
        <v>650</v>
      </c>
      <c r="B57" s="307">
        <v>42902</v>
      </c>
      <c r="C57" s="76">
        <v>3</v>
      </c>
      <c r="D57" s="76" t="s">
        <v>656</v>
      </c>
      <c r="E57" s="76">
        <v>5</v>
      </c>
      <c r="F57" s="76">
        <v>5</v>
      </c>
      <c r="G57" s="308">
        <v>1100</v>
      </c>
    </row>
    <row r="58" spans="1:7">
      <c r="A58" s="76" t="s">
        <v>650</v>
      </c>
      <c r="B58" s="307">
        <v>42904</v>
      </c>
      <c r="C58" s="76">
        <v>2</v>
      </c>
      <c r="D58" s="76" t="s">
        <v>656</v>
      </c>
      <c r="E58" s="76">
        <v>7</v>
      </c>
      <c r="F58" s="76">
        <v>5</v>
      </c>
      <c r="G58" s="308">
        <v>1540</v>
      </c>
    </row>
    <row r="59" spans="1:7">
      <c r="A59" s="76" t="s">
        <v>650</v>
      </c>
      <c r="B59" s="307">
        <v>42907</v>
      </c>
      <c r="C59" s="76">
        <v>1</v>
      </c>
      <c r="D59" s="76" t="s">
        <v>656</v>
      </c>
      <c r="E59" s="76">
        <v>8</v>
      </c>
      <c r="F59" s="76">
        <v>5</v>
      </c>
      <c r="G59" s="308">
        <v>1760</v>
      </c>
    </row>
    <row r="60" spans="1:7">
      <c r="A60" s="76" t="s">
        <v>655</v>
      </c>
      <c r="B60" s="307">
        <v>42910</v>
      </c>
      <c r="C60" s="76">
        <v>3</v>
      </c>
      <c r="D60" s="76" t="s">
        <v>654</v>
      </c>
      <c r="E60" s="76">
        <v>9</v>
      </c>
      <c r="F60" s="76">
        <v>5</v>
      </c>
      <c r="G60" s="308">
        <v>2520</v>
      </c>
    </row>
    <row r="61" spans="1:7">
      <c r="A61" s="76" t="s">
        <v>650</v>
      </c>
      <c r="B61" s="307">
        <v>42912</v>
      </c>
      <c r="C61" s="76">
        <v>1</v>
      </c>
      <c r="D61" s="76" t="s">
        <v>654</v>
      </c>
      <c r="E61" s="76">
        <v>7</v>
      </c>
      <c r="F61" s="76">
        <v>8</v>
      </c>
      <c r="G61" s="308">
        <v>2464</v>
      </c>
    </row>
    <row r="62" spans="1:7">
      <c r="A62" s="76" t="s">
        <v>650</v>
      </c>
      <c r="B62" s="307">
        <v>42914</v>
      </c>
      <c r="C62" s="76">
        <v>3</v>
      </c>
      <c r="D62" s="76" t="s">
        <v>651</v>
      </c>
      <c r="E62" s="76">
        <v>9</v>
      </c>
      <c r="F62" s="76">
        <v>5</v>
      </c>
      <c r="G62" s="308">
        <v>1980</v>
      </c>
    </row>
    <row r="63" spans="1:7">
      <c r="A63" s="76" t="s">
        <v>650</v>
      </c>
      <c r="B63" s="307">
        <v>42918</v>
      </c>
      <c r="C63" s="76">
        <v>3</v>
      </c>
      <c r="D63" s="76" t="s">
        <v>654</v>
      </c>
      <c r="E63" s="76">
        <v>4</v>
      </c>
      <c r="F63" s="76">
        <v>5</v>
      </c>
      <c r="G63" s="308">
        <v>880</v>
      </c>
    </row>
    <row r="64" spans="1:7">
      <c r="A64" s="76" t="s">
        <v>650</v>
      </c>
      <c r="B64" s="307">
        <v>42918</v>
      </c>
      <c r="C64" s="76">
        <v>1</v>
      </c>
      <c r="D64" s="76" t="s">
        <v>656</v>
      </c>
      <c r="E64" s="76">
        <v>7</v>
      </c>
      <c r="F64" s="76">
        <v>5</v>
      </c>
      <c r="G64" s="308">
        <v>1540</v>
      </c>
    </row>
    <row r="65" spans="1:7">
      <c r="A65" s="76" t="s">
        <v>655</v>
      </c>
      <c r="B65" s="307">
        <v>42922</v>
      </c>
      <c r="C65" s="76">
        <v>3</v>
      </c>
      <c r="D65" s="76" t="s">
        <v>656</v>
      </c>
      <c r="E65" s="76">
        <v>9</v>
      </c>
      <c r="F65" s="76">
        <v>1</v>
      </c>
      <c r="G65" s="308">
        <v>504</v>
      </c>
    </row>
    <row r="66" spans="1:7">
      <c r="A66" s="76" t="s">
        <v>660</v>
      </c>
      <c r="B66" s="307">
        <v>42925</v>
      </c>
      <c r="C66" s="76">
        <v>2</v>
      </c>
      <c r="D66" s="76" t="s">
        <v>656</v>
      </c>
      <c r="E66" s="76">
        <v>8</v>
      </c>
      <c r="F66" s="76">
        <v>3</v>
      </c>
      <c r="G66" s="308">
        <v>840</v>
      </c>
    </row>
    <row r="67" spans="1:7">
      <c r="A67" s="76" t="s">
        <v>653</v>
      </c>
      <c r="B67" s="307">
        <v>42928</v>
      </c>
      <c r="C67" s="76">
        <v>2</v>
      </c>
      <c r="D67" s="76" t="s">
        <v>654</v>
      </c>
      <c r="E67" s="76">
        <v>4</v>
      </c>
      <c r="F67" s="76">
        <v>2</v>
      </c>
      <c r="G67" s="308">
        <v>336</v>
      </c>
    </row>
    <row r="68" spans="1:7">
      <c r="A68" s="76" t="s">
        <v>650</v>
      </c>
      <c r="B68" s="307">
        <v>42933</v>
      </c>
      <c r="C68" s="76">
        <v>3</v>
      </c>
      <c r="D68" s="76" t="s">
        <v>651</v>
      </c>
      <c r="E68" s="76">
        <v>4</v>
      </c>
      <c r="F68" s="76">
        <v>5</v>
      </c>
      <c r="G68" s="308">
        <v>880</v>
      </c>
    </row>
    <row r="69" spans="1:7">
      <c r="A69" s="76" t="s">
        <v>660</v>
      </c>
      <c r="B69" s="307">
        <v>42939</v>
      </c>
      <c r="C69" s="76">
        <v>3</v>
      </c>
      <c r="D69" s="76" t="s">
        <v>651</v>
      </c>
      <c r="E69" s="76">
        <v>9</v>
      </c>
      <c r="F69" s="76">
        <v>5</v>
      </c>
      <c r="G69" s="308">
        <v>1575</v>
      </c>
    </row>
    <row r="70" spans="1:7">
      <c r="A70" s="76" t="s">
        <v>653</v>
      </c>
      <c r="B70" s="307">
        <v>42947</v>
      </c>
      <c r="C70" s="76">
        <v>3</v>
      </c>
      <c r="D70" s="76" t="s">
        <v>654</v>
      </c>
      <c r="E70" s="76">
        <v>8</v>
      </c>
      <c r="F70" s="76">
        <v>2</v>
      </c>
      <c r="G70" s="308">
        <v>672</v>
      </c>
    </row>
    <row r="71" spans="1:7">
      <c r="A71" s="76" t="s">
        <v>660</v>
      </c>
      <c r="B71" s="307">
        <v>42949</v>
      </c>
      <c r="C71" s="76">
        <v>2</v>
      </c>
      <c r="D71" s="76" t="s">
        <v>651</v>
      </c>
      <c r="E71" s="76">
        <v>6</v>
      </c>
      <c r="F71" s="76">
        <v>5</v>
      </c>
      <c r="G71" s="308">
        <v>1050</v>
      </c>
    </row>
    <row r="72" spans="1:7">
      <c r="A72" s="76" t="s">
        <v>650</v>
      </c>
      <c r="B72" s="307">
        <v>42952</v>
      </c>
      <c r="C72" s="76">
        <v>1</v>
      </c>
      <c r="D72" s="76" t="s">
        <v>651</v>
      </c>
      <c r="E72" s="76">
        <v>8</v>
      </c>
      <c r="F72" s="76">
        <v>5</v>
      </c>
      <c r="G72" s="308">
        <v>1760</v>
      </c>
    </row>
    <row r="73" spans="1:7">
      <c r="A73" s="76" t="s">
        <v>650</v>
      </c>
      <c r="B73" s="307">
        <v>42954</v>
      </c>
      <c r="C73" s="76">
        <v>3</v>
      </c>
      <c r="D73" s="76" t="s">
        <v>651</v>
      </c>
      <c r="E73" s="76">
        <v>5</v>
      </c>
      <c r="F73" s="76">
        <v>2</v>
      </c>
      <c r="G73" s="308">
        <v>440</v>
      </c>
    </row>
    <row r="74" spans="1:7">
      <c r="A74" s="76" t="s">
        <v>650</v>
      </c>
      <c r="B74" s="307">
        <v>42969</v>
      </c>
      <c r="C74" s="76">
        <v>1</v>
      </c>
      <c r="D74" s="76" t="s">
        <v>651</v>
      </c>
      <c r="E74" s="76">
        <v>6</v>
      </c>
      <c r="F74" s="76">
        <v>3</v>
      </c>
      <c r="G74" s="308">
        <v>792</v>
      </c>
    </row>
    <row r="75" spans="1:7">
      <c r="A75" s="76" t="s">
        <v>650</v>
      </c>
      <c r="B75" s="307">
        <v>42977</v>
      </c>
      <c r="C75" s="76">
        <v>1</v>
      </c>
      <c r="D75" s="76" t="s">
        <v>656</v>
      </c>
      <c r="E75" s="76">
        <v>6</v>
      </c>
      <c r="F75" s="76">
        <v>5</v>
      </c>
      <c r="G75" s="308">
        <v>1320</v>
      </c>
    </row>
    <row r="76" spans="1:7">
      <c r="A76" s="76" t="s">
        <v>650</v>
      </c>
      <c r="B76" s="307">
        <v>42978</v>
      </c>
      <c r="C76" s="76">
        <v>3</v>
      </c>
      <c r="D76" s="76" t="s">
        <v>651</v>
      </c>
      <c r="E76" s="76">
        <v>6</v>
      </c>
      <c r="F76" s="76">
        <v>5</v>
      </c>
      <c r="G76" s="308">
        <v>1320</v>
      </c>
    </row>
    <row r="77" spans="1:7">
      <c r="A77" s="76" t="s">
        <v>650</v>
      </c>
      <c r="B77" s="307">
        <v>42980</v>
      </c>
      <c r="C77" s="76">
        <v>2</v>
      </c>
      <c r="D77" s="76" t="s">
        <v>651</v>
      </c>
      <c r="E77" s="76">
        <v>5</v>
      </c>
      <c r="F77" s="76">
        <v>2</v>
      </c>
      <c r="G77" s="308">
        <v>440</v>
      </c>
    </row>
    <row r="78" spans="1:7">
      <c r="A78" s="76" t="s">
        <v>660</v>
      </c>
      <c r="B78" s="307">
        <v>42980</v>
      </c>
      <c r="C78" s="76">
        <v>1</v>
      </c>
      <c r="D78" s="76" t="s">
        <v>656</v>
      </c>
      <c r="E78" s="76">
        <v>4</v>
      </c>
      <c r="F78" s="76">
        <v>5</v>
      </c>
      <c r="G78" s="308">
        <v>700</v>
      </c>
    </row>
    <row r="79" spans="1:7">
      <c r="A79" s="76" t="s">
        <v>650</v>
      </c>
      <c r="B79" s="307">
        <v>42982</v>
      </c>
      <c r="C79" s="76">
        <v>2</v>
      </c>
      <c r="D79" s="76" t="s">
        <v>651</v>
      </c>
      <c r="E79" s="76">
        <v>5</v>
      </c>
      <c r="F79" s="76">
        <v>3</v>
      </c>
      <c r="G79" s="308">
        <v>660</v>
      </c>
    </row>
    <row r="80" spans="1:7">
      <c r="A80" s="76" t="s">
        <v>653</v>
      </c>
      <c r="B80" s="307">
        <v>42986</v>
      </c>
      <c r="C80" s="76">
        <v>1</v>
      </c>
      <c r="D80" s="76" t="s">
        <v>651</v>
      </c>
      <c r="E80" s="76">
        <v>5</v>
      </c>
      <c r="F80" s="76">
        <v>5</v>
      </c>
      <c r="G80" s="308">
        <v>1050</v>
      </c>
    </row>
    <row r="81" spans="1:7">
      <c r="A81" s="76" t="s">
        <v>650</v>
      </c>
      <c r="B81" s="307">
        <v>42987</v>
      </c>
      <c r="C81" s="76">
        <v>2</v>
      </c>
      <c r="D81" s="76" t="s">
        <v>651</v>
      </c>
      <c r="E81" s="76">
        <v>8</v>
      </c>
      <c r="F81" s="76">
        <v>5</v>
      </c>
      <c r="G81" s="308">
        <v>1760</v>
      </c>
    </row>
    <row r="82" spans="1:7">
      <c r="A82" s="76" t="s">
        <v>653</v>
      </c>
      <c r="B82" s="307">
        <v>42991</v>
      </c>
      <c r="C82" s="76">
        <v>2</v>
      </c>
      <c r="D82" s="76" t="s">
        <v>651</v>
      </c>
      <c r="E82" s="76">
        <v>7</v>
      </c>
      <c r="F82" s="76">
        <v>5</v>
      </c>
      <c r="G82" s="308">
        <v>1470</v>
      </c>
    </row>
    <row r="83" spans="1:7">
      <c r="A83" s="76" t="s">
        <v>650</v>
      </c>
      <c r="B83" s="307">
        <v>42992</v>
      </c>
      <c r="C83" s="76">
        <v>3</v>
      </c>
      <c r="D83" s="76" t="s">
        <v>651</v>
      </c>
      <c r="E83" s="76">
        <v>9</v>
      </c>
      <c r="F83" s="76">
        <v>5</v>
      </c>
      <c r="G83" s="308">
        <v>1980</v>
      </c>
    </row>
    <row r="84" spans="1:7">
      <c r="A84" s="76" t="s">
        <v>650</v>
      </c>
      <c r="B84" s="307">
        <v>43001</v>
      </c>
      <c r="C84" s="76">
        <v>2</v>
      </c>
      <c r="D84" s="76" t="s">
        <v>651</v>
      </c>
      <c r="E84" s="76">
        <v>9</v>
      </c>
      <c r="F84" s="76">
        <v>1</v>
      </c>
      <c r="G84" s="308">
        <v>396</v>
      </c>
    </row>
    <row r="85" spans="1:7">
      <c r="A85" s="76" t="s">
        <v>653</v>
      </c>
      <c r="B85" s="307">
        <v>43008</v>
      </c>
      <c r="C85" s="76">
        <v>3</v>
      </c>
      <c r="D85" s="76" t="s">
        <v>651</v>
      </c>
      <c r="E85" s="76">
        <v>4</v>
      </c>
      <c r="F85" s="76">
        <v>5</v>
      </c>
      <c r="G85" s="308">
        <v>840</v>
      </c>
    </row>
    <row r="86" spans="1:7">
      <c r="A86" s="76" t="s">
        <v>653</v>
      </c>
      <c r="B86" s="307">
        <v>43013</v>
      </c>
      <c r="C86" s="76">
        <v>3</v>
      </c>
      <c r="D86" s="76" t="s">
        <v>651</v>
      </c>
      <c r="E86" s="76">
        <v>5</v>
      </c>
      <c r="F86" s="76">
        <v>4</v>
      </c>
      <c r="G86" s="308">
        <v>840</v>
      </c>
    </row>
    <row r="87" spans="1:7">
      <c r="A87" s="76" t="s">
        <v>660</v>
      </c>
      <c r="B87" s="307">
        <v>43015</v>
      </c>
      <c r="C87" s="76">
        <v>2</v>
      </c>
      <c r="D87" s="76" t="s">
        <v>654</v>
      </c>
      <c r="E87" s="76">
        <v>9</v>
      </c>
      <c r="F87" s="76">
        <v>5</v>
      </c>
      <c r="G87" s="308">
        <v>1575</v>
      </c>
    </row>
    <row r="88" spans="1:7">
      <c r="A88" s="76" t="s">
        <v>650</v>
      </c>
      <c r="B88" s="307">
        <v>43017</v>
      </c>
      <c r="C88" s="76">
        <v>3</v>
      </c>
      <c r="D88" s="76" t="s">
        <v>651</v>
      </c>
      <c r="E88" s="76">
        <v>5</v>
      </c>
      <c r="F88" s="76">
        <v>5</v>
      </c>
      <c r="G88" s="308">
        <v>1100</v>
      </c>
    </row>
    <row r="89" spans="1:7">
      <c r="A89" s="76" t="s">
        <v>655</v>
      </c>
      <c r="B89" s="307">
        <v>43019</v>
      </c>
      <c r="C89" s="76">
        <v>2</v>
      </c>
      <c r="D89" s="76" t="s">
        <v>654</v>
      </c>
      <c r="E89" s="76">
        <v>6</v>
      </c>
      <c r="F89" s="76">
        <v>5</v>
      </c>
      <c r="G89" s="308">
        <v>1680</v>
      </c>
    </row>
    <row r="90" spans="1:7">
      <c r="A90" s="76" t="s">
        <v>660</v>
      </c>
      <c r="B90" s="307">
        <v>43019</v>
      </c>
      <c r="C90" s="76">
        <v>2</v>
      </c>
      <c r="D90" s="76" t="s">
        <v>651</v>
      </c>
      <c r="E90" s="76">
        <v>4</v>
      </c>
      <c r="F90" s="76">
        <v>5</v>
      </c>
      <c r="G90" s="308">
        <v>700</v>
      </c>
    </row>
    <row r="91" spans="1:7">
      <c r="A91" s="76" t="s">
        <v>650</v>
      </c>
      <c r="B91" s="307">
        <v>43020</v>
      </c>
      <c r="C91" s="76">
        <v>2</v>
      </c>
      <c r="D91" s="76" t="s">
        <v>656</v>
      </c>
      <c r="E91" s="76">
        <v>6</v>
      </c>
      <c r="F91" s="76">
        <v>4</v>
      </c>
      <c r="G91" s="308">
        <v>1056</v>
      </c>
    </row>
    <row r="92" spans="1:7">
      <c r="A92" s="76" t="s">
        <v>650</v>
      </c>
      <c r="B92" s="307">
        <v>43021</v>
      </c>
      <c r="C92" s="76">
        <v>1</v>
      </c>
      <c r="D92" s="76" t="s">
        <v>651</v>
      </c>
      <c r="E92" s="76">
        <v>5</v>
      </c>
      <c r="F92" s="76">
        <v>5</v>
      </c>
      <c r="G92" s="308">
        <v>1100</v>
      </c>
    </row>
    <row r="93" spans="1:7">
      <c r="A93" s="76" t="s">
        <v>660</v>
      </c>
      <c r="B93" s="307">
        <v>43022</v>
      </c>
      <c r="C93" s="76">
        <v>2</v>
      </c>
      <c r="D93" s="76" t="s">
        <v>651</v>
      </c>
      <c r="E93" s="76">
        <v>5</v>
      </c>
      <c r="F93" s="76">
        <v>5</v>
      </c>
      <c r="G93" s="308">
        <v>875</v>
      </c>
    </row>
    <row r="94" spans="1:7">
      <c r="A94" s="76" t="s">
        <v>653</v>
      </c>
      <c r="B94" s="307">
        <v>43023</v>
      </c>
      <c r="C94" s="76">
        <v>3</v>
      </c>
      <c r="D94" s="76" t="s">
        <v>651</v>
      </c>
      <c r="E94" s="76">
        <v>5</v>
      </c>
      <c r="F94" s="76">
        <v>5</v>
      </c>
      <c r="G94" s="308">
        <v>1050</v>
      </c>
    </row>
    <row r="95" spans="1:7">
      <c r="A95" s="76" t="s">
        <v>655</v>
      </c>
      <c r="B95" s="307">
        <v>43027</v>
      </c>
      <c r="C95" s="76">
        <v>3</v>
      </c>
      <c r="D95" s="76" t="s">
        <v>651</v>
      </c>
      <c r="E95" s="76">
        <v>4</v>
      </c>
      <c r="F95" s="76">
        <v>3</v>
      </c>
      <c r="G95" s="308">
        <v>672</v>
      </c>
    </row>
    <row r="96" spans="1:7">
      <c r="A96" s="76" t="s">
        <v>660</v>
      </c>
      <c r="B96" s="307">
        <v>43029</v>
      </c>
      <c r="C96" s="76">
        <v>1</v>
      </c>
      <c r="D96" s="76" t="s">
        <v>656</v>
      </c>
      <c r="E96" s="76">
        <v>8</v>
      </c>
      <c r="F96" s="76">
        <v>6</v>
      </c>
      <c r="G96" s="308">
        <v>1680</v>
      </c>
    </row>
    <row r="97" spans="1:7">
      <c r="A97" s="76" t="s">
        <v>657</v>
      </c>
      <c r="B97" s="307">
        <v>43033</v>
      </c>
      <c r="C97" s="76">
        <v>2</v>
      </c>
      <c r="D97" s="76" t="s">
        <v>651</v>
      </c>
      <c r="E97" s="76">
        <v>7</v>
      </c>
      <c r="F97" s="76">
        <v>2</v>
      </c>
      <c r="G97" s="308">
        <v>686</v>
      </c>
    </row>
    <row r="98" spans="1:7">
      <c r="A98" s="76" t="s">
        <v>664</v>
      </c>
      <c r="B98" s="307">
        <v>43035</v>
      </c>
      <c r="C98" s="76">
        <v>3</v>
      </c>
      <c r="D98" s="76" t="s">
        <v>651</v>
      </c>
      <c r="E98" s="76">
        <v>7</v>
      </c>
      <c r="F98" s="76">
        <v>2</v>
      </c>
      <c r="G98" s="308">
        <v>658</v>
      </c>
    </row>
    <row r="99" spans="1:7">
      <c r="A99" s="76" t="s">
        <v>650</v>
      </c>
      <c r="B99" s="307">
        <v>43037</v>
      </c>
      <c r="C99" s="76">
        <v>1</v>
      </c>
      <c r="D99" s="76" t="s">
        <v>651</v>
      </c>
      <c r="E99" s="76">
        <v>9</v>
      </c>
      <c r="F99" s="76">
        <v>5</v>
      </c>
      <c r="G99" s="308">
        <v>1980</v>
      </c>
    </row>
    <row r="100" spans="1:7">
      <c r="A100" s="76" t="s">
        <v>650</v>
      </c>
      <c r="B100" s="307">
        <v>43037</v>
      </c>
      <c r="C100" s="76">
        <v>2</v>
      </c>
      <c r="D100" s="76" t="s">
        <v>656</v>
      </c>
      <c r="E100" s="76">
        <v>9</v>
      </c>
      <c r="F100" s="76">
        <v>5</v>
      </c>
      <c r="G100" s="308">
        <v>1980</v>
      </c>
    </row>
    <row r="101" spans="1:7">
      <c r="A101" s="76" t="s">
        <v>650</v>
      </c>
      <c r="B101" s="307">
        <v>43037</v>
      </c>
      <c r="C101" s="76">
        <v>1</v>
      </c>
      <c r="D101" s="76" t="s">
        <v>656</v>
      </c>
      <c r="E101" s="76">
        <v>9</v>
      </c>
      <c r="F101" s="76">
        <v>5</v>
      </c>
      <c r="G101" s="308">
        <v>1980</v>
      </c>
    </row>
    <row r="102" spans="1:7">
      <c r="A102" s="76" t="s">
        <v>650</v>
      </c>
      <c r="B102" s="307">
        <v>43039</v>
      </c>
      <c r="C102" s="76">
        <v>2</v>
      </c>
      <c r="D102" s="76" t="s">
        <v>654</v>
      </c>
      <c r="E102" s="76">
        <v>6</v>
      </c>
      <c r="F102" s="76">
        <v>5</v>
      </c>
      <c r="G102" s="308">
        <v>1320</v>
      </c>
    </row>
    <row r="103" spans="1:7">
      <c r="A103" s="76" t="s">
        <v>660</v>
      </c>
      <c r="B103" s="307">
        <v>43041</v>
      </c>
      <c r="C103" s="76">
        <v>3</v>
      </c>
      <c r="D103" s="76" t="s">
        <v>656</v>
      </c>
      <c r="E103" s="76">
        <v>9</v>
      </c>
      <c r="F103" s="76">
        <v>4</v>
      </c>
      <c r="G103" s="308">
        <v>1260</v>
      </c>
    </row>
    <row r="104" spans="1:7">
      <c r="A104" s="76" t="s">
        <v>657</v>
      </c>
      <c r="B104" s="307">
        <v>43042</v>
      </c>
      <c r="C104" s="76">
        <v>3</v>
      </c>
      <c r="D104" s="76" t="s">
        <v>651</v>
      </c>
      <c r="E104" s="76">
        <v>4</v>
      </c>
      <c r="F104" s="76">
        <v>3</v>
      </c>
      <c r="G104" s="308">
        <v>588</v>
      </c>
    </row>
    <row r="105" spans="1:7">
      <c r="A105" s="76" t="s">
        <v>650</v>
      </c>
      <c r="B105" s="307">
        <v>43046</v>
      </c>
      <c r="C105" s="76">
        <v>2</v>
      </c>
      <c r="D105" s="76" t="s">
        <v>651</v>
      </c>
      <c r="E105" s="76">
        <v>6</v>
      </c>
      <c r="F105" s="76">
        <v>5</v>
      </c>
      <c r="G105" s="308">
        <v>1320</v>
      </c>
    </row>
    <row r="106" spans="1:7">
      <c r="A106" s="76" t="s">
        <v>660</v>
      </c>
      <c r="B106" s="307">
        <v>43048</v>
      </c>
      <c r="C106" s="76">
        <v>1</v>
      </c>
      <c r="D106" s="76" t="s">
        <v>656</v>
      </c>
      <c r="E106" s="76">
        <v>9</v>
      </c>
      <c r="F106" s="76">
        <v>6</v>
      </c>
      <c r="G106" s="308">
        <v>1890</v>
      </c>
    </row>
    <row r="107" spans="1:7">
      <c r="A107" s="76" t="s">
        <v>650</v>
      </c>
      <c r="B107" s="307">
        <v>43051</v>
      </c>
      <c r="C107" s="76">
        <v>1</v>
      </c>
      <c r="D107" s="76" t="s">
        <v>651</v>
      </c>
      <c r="E107" s="76">
        <v>6</v>
      </c>
      <c r="F107" s="76">
        <v>5</v>
      </c>
      <c r="G107" s="308">
        <v>1320</v>
      </c>
    </row>
    <row r="108" spans="1:7">
      <c r="A108" s="76" t="s">
        <v>650</v>
      </c>
      <c r="B108" s="307">
        <v>43054</v>
      </c>
      <c r="C108" s="76">
        <v>2</v>
      </c>
      <c r="D108" s="76" t="s">
        <v>651</v>
      </c>
      <c r="E108" s="76">
        <v>8</v>
      </c>
      <c r="F108" s="76">
        <v>6</v>
      </c>
      <c r="G108" s="308">
        <v>2112</v>
      </c>
    </row>
    <row r="109" spans="1:7">
      <c r="A109" s="76" t="s">
        <v>653</v>
      </c>
      <c r="B109" s="307">
        <v>43059</v>
      </c>
      <c r="C109" s="76">
        <v>3</v>
      </c>
      <c r="D109" s="76" t="s">
        <v>654</v>
      </c>
      <c r="E109" s="76">
        <v>5</v>
      </c>
      <c r="F109" s="76">
        <v>2</v>
      </c>
      <c r="G109" s="308">
        <v>420</v>
      </c>
    </row>
    <row r="110" spans="1:7">
      <c r="A110" s="76" t="s">
        <v>655</v>
      </c>
      <c r="B110" s="307">
        <v>43064</v>
      </c>
      <c r="C110" s="76">
        <v>2</v>
      </c>
      <c r="D110" s="76" t="s">
        <v>651</v>
      </c>
      <c r="E110" s="76">
        <v>9</v>
      </c>
      <c r="F110" s="76">
        <v>5</v>
      </c>
      <c r="G110" s="308">
        <v>2520</v>
      </c>
    </row>
    <row r="111" spans="1:7">
      <c r="A111" s="76" t="s">
        <v>660</v>
      </c>
      <c r="B111" s="307">
        <v>43069</v>
      </c>
      <c r="C111" s="76">
        <v>2</v>
      </c>
      <c r="D111" s="76" t="s">
        <v>656</v>
      </c>
      <c r="E111" s="76">
        <v>8</v>
      </c>
      <c r="F111" s="76">
        <v>4</v>
      </c>
      <c r="G111" s="308">
        <v>1120</v>
      </c>
    </row>
    <row r="112" spans="1:7">
      <c r="A112" s="76" t="s">
        <v>650</v>
      </c>
      <c r="B112" s="307">
        <v>43070</v>
      </c>
      <c r="C112" s="76">
        <v>2</v>
      </c>
      <c r="D112" s="76" t="s">
        <v>651</v>
      </c>
      <c r="E112" s="76">
        <v>4</v>
      </c>
      <c r="F112" s="76">
        <v>5</v>
      </c>
      <c r="G112" s="308">
        <v>880</v>
      </c>
    </row>
    <row r="113" spans="1:7">
      <c r="A113" s="76" t="s">
        <v>650</v>
      </c>
      <c r="B113" s="307">
        <v>43075</v>
      </c>
      <c r="C113" s="76">
        <v>1</v>
      </c>
      <c r="D113" s="76" t="s">
        <v>651</v>
      </c>
      <c r="E113" s="76">
        <v>5</v>
      </c>
      <c r="F113" s="76">
        <v>5</v>
      </c>
      <c r="G113" s="308">
        <v>1100</v>
      </c>
    </row>
    <row r="114" spans="1:7">
      <c r="A114" s="76" t="s">
        <v>650</v>
      </c>
      <c r="B114" s="307">
        <v>43078</v>
      </c>
      <c r="C114" s="76">
        <v>1</v>
      </c>
      <c r="D114" s="76" t="s">
        <v>656</v>
      </c>
      <c r="E114" s="76">
        <v>4</v>
      </c>
      <c r="F114" s="76">
        <v>5</v>
      </c>
      <c r="G114" s="308">
        <v>880</v>
      </c>
    </row>
    <row r="115" spans="1:7">
      <c r="A115" s="76" t="s">
        <v>660</v>
      </c>
      <c r="B115" s="307">
        <v>43079</v>
      </c>
      <c r="C115" s="76">
        <v>2</v>
      </c>
      <c r="D115" s="76" t="s">
        <v>651</v>
      </c>
      <c r="E115" s="76">
        <v>6</v>
      </c>
      <c r="F115" s="76">
        <v>5</v>
      </c>
      <c r="G115" s="308">
        <v>1050</v>
      </c>
    </row>
    <row r="116" spans="1:7">
      <c r="A116" s="76" t="s">
        <v>650</v>
      </c>
      <c r="B116" s="307">
        <v>43080</v>
      </c>
      <c r="C116" s="76">
        <v>1</v>
      </c>
      <c r="D116" s="76" t="s">
        <v>656</v>
      </c>
      <c r="E116" s="76">
        <v>4</v>
      </c>
      <c r="F116" s="76">
        <v>5</v>
      </c>
      <c r="G116" s="308">
        <v>880</v>
      </c>
    </row>
    <row r="117" spans="1:7">
      <c r="A117" s="76" t="s">
        <v>653</v>
      </c>
      <c r="B117" s="307">
        <v>43083</v>
      </c>
      <c r="C117" s="76">
        <v>2</v>
      </c>
      <c r="D117" s="76" t="s">
        <v>651</v>
      </c>
      <c r="E117" s="76">
        <v>6</v>
      </c>
      <c r="F117" s="76">
        <v>5</v>
      </c>
      <c r="G117" s="308">
        <v>1260</v>
      </c>
    </row>
    <row r="118" spans="1:7">
      <c r="A118" s="76" t="s">
        <v>650</v>
      </c>
      <c r="B118" s="307">
        <v>43085</v>
      </c>
      <c r="C118" s="76">
        <v>2</v>
      </c>
      <c r="D118" s="76" t="s">
        <v>654</v>
      </c>
      <c r="E118" s="76">
        <v>9</v>
      </c>
      <c r="F118" s="76">
        <v>5</v>
      </c>
      <c r="G118" s="308">
        <v>1980</v>
      </c>
    </row>
    <row r="119" spans="1:7">
      <c r="A119" s="76" t="s">
        <v>653</v>
      </c>
      <c r="B119" s="307">
        <v>43085</v>
      </c>
      <c r="C119" s="76">
        <v>1</v>
      </c>
      <c r="D119" s="76" t="s">
        <v>654</v>
      </c>
      <c r="E119" s="76">
        <v>7</v>
      </c>
      <c r="F119" s="76">
        <v>5</v>
      </c>
      <c r="G119" s="308">
        <v>1470</v>
      </c>
    </row>
    <row r="120" spans="1:7">
      <c r="A120" s="76" t="s">
        <v>653</v>
      </c>
      <c r="B120" s="307">
        <v>43088</v>
      </c>
      <c r="C120" s="76">
        <v>1</v>
      </c>
      <c r="D120" s="76" t="s">
        <v>654</v>
      </c>
      <c r="E120" s="76">
        <v>5</v>
      </c>
      <c r="F120" s="76">
        <v>5</v>
      </c>
      <c r="G120" s="308">
        <v>1050</v>
      </c>
    </row>
    <row r="121" spans="1:7">
      <c r="A121" s="76" t="s">
        <v>660</v>
      </c>
      <c r="B121" s="307">
        <v>43096</v>
      </c>
      <c r="C121" s="76">
        <v>3</v>
      </c>
      <c r="D121" s="76" t="s">
        <v>656</v>
      </c>
      <c r="E121" s="76">
        <v>6</v>
      </c>
      <c r="F121" s="76">
        <v>4</v>
      </c>
      <c r="G121" s="308">
        <v>840</v>
      </c>
    </row>
  </sheetData>
  <autoFilter ref="A2:G121" xr:uid="{8D32B1B2-1C8B-4D78-9CA6-937575DF4749}"/>
  <mergeCells count="4">
    <mergeCell ref="I3:M4"/>
    <mergeCell ref="I17:M18"/>
    <mergeCell ref="I24:M25"/>
    <mergeCell ref="I36:M37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E4F43-8AA3-4F7C-9A16-966759563539}">
  <dimension ref="A1:BI40"/>
  <sheetViews>
    <sheetView topLeftCell="AT1" zoomScale="75" zoomScaleNormal="75" workbookViewId="0">
      <selection activeCell="D1" sqref="D1"/>
    </sheetView>
  </sheetViews>
  <sheetFormatPr baseColWidth="10" defaultRowHeight="14.25"/>
  <cols>
    <col min="1" max="4" width="16.59765625" customWidth="1"/>
    <col min="5" max="7" width="2.59765625" customWidth="1"/>
    <col min="8" max="8" width="12.265625" bestFit="1" customWidth="1"/>
    <col min="9" max="9" width="11.33203125" bestFit="1" customWidth="1"/>
    <col min="10" max="10" width="4.46484375" customWidth="1"/>
    <col min="11" max="11" width="15.19921875" bestFit="1" customWidth="1"/>
    <col min="13" max="15" width="2.59765625" customWidth="1"/>
    <col min="17" max="17" width="5.9296875" bestFit="1" customWidth="1"/>
    <col min="18" max="18" width="5.3984375" bestFit="1" customWidth="1"/>
    <col min="19" max="19" width="6.46484375" bestFit="1" customWidth="1"/>
    <col min="20" max="20" width="5.86328125" bestFit="1" customWidth="1"/>
    <col min="21" max="21" width="6.33203125" bestFit="1" customWidth="1"/>
    <col min="22" max="22" width="5.86328125" bestFit="1" customWidth="1"/>
    <col min="23" max="23" width="8.265625" bestFit="1" customWidth="1"/>
    <col min="24" max="24" width="11.53125" bestFit="1" customWidth="1"/>
    <col min="25" max="25" width="8.265625" bestFit="1" customWidth="1"/>
    <col min="26" max="27" width="2.59765625" customWidth="1"/>
    <col min="31" max="31" width="13.19921875" customWidth="1"/>
    <col min="32" max="32" width="11.9296875" bestFit="1" customWidth="1"/>
    <col min="33" max="35" width="2.59765625" customWidth="1"/>
    <col min="48" max="50" width="2.59765625" customWidth="1"/>
  </cols>
  <sheetData>
    <row r="1" spans="1:61" ht="97.15" customHeight="1">
      <c r="A1" s="199" t="s">
        <v>939</v>
      </c>
      <c r="F1" s="311"/>
      <c r="N1" s="311"/>
      <c r="Z1" s="311"/>
      <c r="AH1" s="311"/>
      <c r="AJ1" s="199" t="s">
        <v>940</v>
      </c>
      <c r="AW1" s="311"/>
    </row>
    <row r="2" spans="1:61">
      <c r="A2" s="552" t="s">
        <v>673</v>
      </c>
      <c r="B2" s="552"/>
      <c r="C2" s="552"/>
      <c r="D2" s="552"/>
      <c r="F2" s="311"/>
      <c r="H2" s="552" t="s">
        <v>674</v>
      </c>
      <c r="I2" s="552"/>
      <c r="J2" s="552"/>
      <c r="K2" s="552"/>
      <c r="L2" s="552"/>
      <c r="N2" s="311"/>
      <c r="P2" s="552" t="s">
        <v>675</v>
      </c>
      <c r="Q2" s="552"/>
      <c r="R2" s="552"/>
      <c r="S2" s="552"/>
      <c r="T2" s="552"/>
      <c r="U2" s="552"/>
      <c r="V2" s="552"/>
      <c r="W2" s="552"/>
      <c r="X2" s="552"/>
      <c r="Y2" s="552"/>
      <c r="Z2" s="311"/>
      <c r="AH2" s="311"/>
      <c r="AW2" s="311"/>
    </row>
    <row r="3" spans="1:61" ht="57.75" customHeight="1">
      <c r="A3" s="553" t="s">
        <v>676</v>
      </c>
      <c r="B3" s="553"/>
      <c r="C3" s="553"/>
      <c r="D3" s="553"/>
      <c r="F3" s="311"/>
      <c r="H3" s="553" t="s">
        <v>677</v>
      </c>
      <c r="I3" s="553"/>
      <c r="J3" s="553"/>
      <c r="K3" s="553"/>
      <c r="L3" s="553"/>
      <c r="N3" s="311"/>
      <c r="P3" s="553" t="s">
        <v>678</v>
      </c>
      <c r="Q3" s="553"/>
      <c r="R3" s="553"/>
      <c r="S3" s="553"/>
      <c r="T3" s="553"/>
      <c r="U3" s="553"/>
      <c r="V3" s="553"/>
      <c r="W3" s="553"/>
      <c r="X3" s="553"/>
      <c r="Y3" s="553"/>
      <c r="Z3" s="311"/>
      <c r="AB3" s="541" t="s">
        <v>679</v>
      </c>
      <c r="AC3" s="541"/>
      <c r="AD3" s="541"/>
      <c r="AE3" s="541"/>
      <c r="AF3" s="541"/>
      <c r="AH3" s="311"/>
      <c r="AJ3" s="545" t="s">
        <v>941</v>
      </c>
      <c r="AK3" s="545"/>
      <c r="AL3" s="545"/>
      <c r="AM3" s="545"/>
      <c r="AN3" s="545"/>
      <c r="AO3" s="545"/>
      <c r="AP3" s="545"/>
      <c r="AQ3" s="545"/>
      <c r="AR3" s="545"/>
      <c r="AS3" s="545"/>
      <c r="AT3" s="545"/>
      <c r="AU3" s="545"/>
      <c r="AW3" s="311"/>
    </row>
    <row r="4" spans="1:61" ht="14.65" thickBot="1">
      <c r="F4" s="311"/>
      <c r="N4" s="311"/>
      <c r="Z4" s="311"/>
      <c r="AB4" s="312"/>
      <c r="AC4" s="313" t="s">
        <v>680</v>
      </c>
      <c r="AD4" s="314">
        <v>0</v>
      </c>
      <c r="AE4" s="314">
        <v>1</v>
      </c>
      <c r="AF4" s="314">
        <v>2</v>
      </c>
      <c r="AH4" s="311"/>
      <c r="AJ4" s="440"/>
      <c r="AK4" s="440"/>
      <c r="AL4" s="546" t="s">
        <v>942</v>
      </c>
      <c r="AM4" s="547"/>
      <c r="AN4" s="547"/>
      <c r="AO4" s="547"/>
      <c r="AP4" s="547"/>
      <c r="AQ4" s="547"/>
      <c r="AR4" s="547"/>
      <c r="AS4" s="547"/>
      <c r="AT4" s="547"/>
      <c r="AU4" s="548"/>
      <c r="AW4" s="311"/>
      <c r="AY4" s="441" t="s">
        <v>943</v>
      </c>
    </row>
    <row r="5" spans="1:61" ht="26.65" thickBot="1">
      <c r="A5" s="315" t="s">
        <v>681</v>
      </c>
      <c r="B5" s="316" t="s">
        <v>172</v>
      </c>
      <c r="C5" s="316" t="s">
        <v>682</v>
      </c>
      <c r="D5" s="316" t="s">
        <v>71</v>
      </c>
      <c r="F5" s="311"/>
      <c r="H5" s="317" t="s">
        <v>683</v>
      </c>
      <c r="I5" s="318">
        <v>30000</v>
      </c>
      <c r="J5" s="170"/>
      <c r="K5" s="319" t="s">
        <v>684</v>
      </c>
      <c r="L5" s="319" t="s">
        <v>685</v>
      </c>
      <c r="N5" s="311"/>
      <c r="Q5" s="442" t="s">
        <v>686</v>
      </c>
      <c r="R5" s="442" t="s">
        <v>687</v>
      </c>
      <c r="S5" s="442" t="s">
        <v>688</v>
      </c>
      <c r="T5" s="442" t="s">
        <v>689</v>
      </c>
      <c r="U5" s="442" t="s">
        <v>690</v>
      </c>
      <c r="V5" s="442" t="s">
        <v>691</v>
      </c>
      <c r="W5" s="442" t="s">
        <v>692</v>
      </c>
      <c r="X5" s="442" t="s">
        <v>693</v>
      </c>
      <c r="Y5" s="442" t="s">
        <v>694</v>
      </c>
      <c r="Z5" s="311"/>
      <c r="AB5" s="312"/>
      <c r="AC5" s="313" t="s">
        <v>695</v>
      </c>
      <c r="AD5" s="320">
        <v>0.19600000000000001</v>
      </c>
      <c r="AE5" s="320">
        <v>5.5E-2</v>
      </c>
      <c r="AF5" s="320">
        <v>2.1000000000000001E-2</v>
      </c>
      <c r="AH5" s="311"/>
      <c r="AJ5" s="440"/>
      <c r="AK5" s="440"/>
      <c r="AL5" s="443">
        <v>1</v>
      </c>
      <c r="AM5" s="443">
        <v>2</v>
      </c>
      <c r="AN5" s="443">
        <v>3</v>
      </c>
      <c r="AO5" s="443">
        <v>4</v>
      </c>
      <c r="AP5" s="443">
        <v>5</v>
      </c>
      <c r="AQ5" s="443">
        <v>6</v>
      </c>
      <c r="AR5" s="443">
        <v>7</v>
      </c>
      <c r="AS5" s="443">
        <v>8</v>
      </c>
      <c r="AT5" s="443">
        <v>9</v>
      </c>
      <c r="AU5" s="443">
        <v>10</v>
      </c>
      <c r="AW5" s="311"/>
    </row>
    <row r="6" spans="1:61">
      <c r="A6" s="321" t="s">
        <v>696</v>
      </c>
      <c r="B6" s="322">
        <v>13</v>
      </c>
      <c r="C6" s="323">
        <v>76804</v>
      </c>
      <c r="D6" s="324">
        <f>VLOOKUP(B6,A$22:B$27,2,TRUE)*C6</f>
        <v>5376.2800000000007</v>
      </c>
      <c r="F6" s="311"/>
      <c r="K6" s="43" t="s">
        <v>697</v>
      </c>
      <c r="L6" s="325">
        <v>0.05</v>
      </c>
      <c r="N6" s="311"/>
      <c r="P6" s="326" t="s">
        <v>698</v>
      </c>
      <c r="Q6" s="10">
        <v>12</v>
      </c>
      <c r="R6" s="10">
        <v>18</v>
      </c>
      <c r="S6" s="10">
        <v>24</v>
      </c>
      <c r="T6" s="10">
        <v>56</v>
      </c>
      <c r="U6" s="10">
        <v>32</v>
      </c>
      <c r="V6" s="327">
        <v>128</v>
      </c>
      <c r="W6" s="10">
        <v>47</v>
      </c>
      <c r="X6" s="15">
        <v>63</v>
      </c>
      <c r="Y6" s="15">
        <v>4</v>
      </c>
      <c r="Z6" s="311"/>
      <c r="AB6" s="328"/>
      <c r="AC6" s="328"/>
      <c r="AD6" s="328"/>
      <c r="AE6" s="328"/>
      <c r="AF6" s="328"/>
      <c r="AH6" s="311"/>
      <c r="AJ6" s="549" t="s">
        <v>857</v>
      </c>
      <c r="AK6" s="443">
        <v>1</v>
      </c>
      <c r="AL6" s="444">
        <v>10</v>
      </c>
      <c r="AM6" s="444">
        <f t="shared" ref="AM6:AU6" si="0">+AL35+10</f>
        <v>310</v>
      </c>
      <c r="AN6" s="444">
        <f t="shared" si="0"/>
        <v>610</v>
      </c>
      <c r="AO6" s="444">
        <f t="shared" si="0"/>
        <v>910</v>
      </c>
      <c r="AP6" s="444">
        <f t="shared" si="0"/>
        <v>1210</v>
      </c>
      <c r="AQ6" s="444">
        <f t="shared" si="0"/>
        <v>1510</v>
      </c>
      <c r="AR6" s="444">
        <f t="shared" si="0"/>
        <v>1810</v>
      </c>
      <c r="AS6" s="444">
        <f t="shared" si="0"/>
        <v>2110</v>
      </c>
      <c r="AT6" s="444">
        <f t="shared" si="0"/>
        <v>2410</v>
      </c>
      <c r="AU6" s="444">
        <f t="shared" si="0"/>
        <v>2710</v>
      </c>
      <c r="AW6" s="311"/>
    </row>
    <row r="7" spans="1:61">
      <c r="A7" s="76" t="s">
        <v>699</v>
      </c>
      <c r="B7" s="322">
        <v>4</v>
      </c>
      <c r="C7" s="323">
        <v>23460</v>
      </c>
      <c r="D7" s="324">
        <f t="shared" ref="D7:D19" si="1">VLOOKUP(B7,A$22:B$27,2,TRUE)*C7</f>
        <v>703.8</v>
      </c>
      <c r="F7" s="311"/>
      <c r="H7" s="329" t="s">
        <v>700</v>
      </c>
      <c r="I7" s="330" t="s">
        <v>701</v>
      </c>
      <c r="J7" s="331">
        <v>4</v>
      </c>
      <c r="K7" s="43" t="s">
        <v>701</v>
      </c>
      <c r="L7" s="325">
        <v>7.0000000000000007E-2</v>
      </c>
      <c r="N7" s="311"/>
      <c r="Z7" s="311"/>
      <c r="AB7" s="542" t="s">
        <v>702</v>
      </c>
      <c r="AC7" s="542"/>
      <c r="AD7" s="542"/>
      <c r="AE7" s="542"/>
      <c r="AF7" s="542"/>
      <c r="AH7" s="311"/>
      <c r="AJ7" s="550"/>
      <c r="AK7" s="443">
        <v>2</v>
      </c>
      <c r="AL7" s="444">
        <f t="shared" ref="AL7:AU22" si="2">AL6+10</f>
        <v>20</v>
      </c>
      <c r="AM7" s="444">
        <f t="shared" si="2"/>
        <v>320</v>
      </c>
      <c r="AN7" s="444">
        <f t="shared" si="2"/>
        <v>620</v>
      </c>
      <c r="AO7" s="444">
        <f t="shared" si="2"/>
        <v>920</v>
      </c>
      <c r="AP7" s="444">
        <f t="shared" si="2"/>
        <v>1220</v>
      </c>
      <c r="AQ7" s="444">
        <f t="shared" si="2"/>
        <v>1520</v>
      </c>
      <c r="AR7" s="444">
        <f t="shared" si="2"/>
        <v>1820</v>
      </c>
      <c r="AS7" s="444">
        <f t="shared" si="2"/>
        <v>2120</v>
      </c>
      <c r="AT7" s="444">
        <f t="shared" si="2"/>
        <v>2420</v>
      </c>
      <c r="AU7" s="444">
        <f t="shared" si="2"/>
        <v>2720</v>
      </c>
      <c r="AW7" s="311"/>
      <c r="AZ7" s="442" t="s">
        <v>686</v>
      </c>
      <c r="BA7" s="442" t="s">
        <v>689</v>
      </c>
      <c r="BB7" s="442" t="s">
        <v>691</v>
      </c>
      <c r="BC7" s="442" t="s">
        <v>818</v>
      </c>
      <c r="BD7" s="442" t="s">
        <v>944</v>
      </c>
      <c r="BE7" s="442" t="s">
        <v>945</v>
      </c>
      <c r="BF7" s="442" t="s">
        <v>692</v>
      </c>
      <c r="BG7" s="442" t="s">
        <v>946</v>
      </c>
      <c r="BH7" s="442" t="s">
        <v>833</v>
      </c>
      <c r="BI7" s="442" t="s">
        <v>947</v>
      </c>
    </row>
    <row r="8" spans="1:61" ht="14.65" thickBot="1">
      <c r="A8" s="332" t="s">
        <v>703</v>
      </c>
      <c r="B8" s="322">
        <v>18</v>
      </c>
      <c r="C8" s="323">
        <v>97398</v>
      </c>
      <c r="D8" s="324">
        <f t="shared" si="1"/>
        <v>6817.8600000000006</v>
      </c>
      <c r="F8" s="311"/>
      <c r="K8" s="43" t="s">
        <v>704</v>
      </c>
      <c r="L8" s="325">
        <v>0.09</v>
      </c>
      <c r="N8" s="311"/>
      <c r="Z8" s="311"/>
      <c r="AB8" s="333" t="s">
        <v>490</v>
      </c>
      <c r="AC8" s="333" t="s">
        <v>705</v>
      </c>
      <c r="AD8" s="333" t="s">
        <v>680</v>
      </c>
      <c r="AE8" s="333" t="s">
        <v>695</v>
      </c>
      <c r="AF8" s="333" t="s">
        <v>706</v>
      </c>
      <c r="AH8" s="311"/>
      <c r="AJ8" s="550"/>
      <c r="AK8" s="443">
        <v>3</v>
      </c>
      <c r="AL8" s="444">
        <f t="shared" si="2"/>
        <v>30</v>
      </c>
      <c r="AM8" s="444">
        <f t="shared" si="2"/>
        <v>330</v>
      </c>
      <c r="AN8" s="444">
        <f t="shared" si="2"/>
        <v>630</v>
      </c>
      <c r="AO8" s="444">
        <f t="shared" si="2"/>
        <v>930</v>
      </c>
      <c r="AP8" s="444">
        <f t="shared" si="2"/>
        <v>1230</v>
      </c>
      <c r="AQ8" s="444">
        <f t="shared" si="2"/>
        <v>1530</v>
      </c>
      <c r="AR8" s="444">
        <f t="shared" si="2"/>
        <v>1830</v>
      </c>
      <c r="AS8" s="444">
        <f t="shared" si="2"/>
        <v>2130</v>
      </c>
      <c r="AT8" s="444">
        <f t="shared" si="2"/>
        <v>2430</v>
      </c>
      <c r="AU8" s="444">
        <f t="shared" si="2"/>
        <v>2730</v>
      </c>
      <c r="AW8" s="311"/>
      <c r="AY8" s="360" t="s">
        <v>948</v>
      </c>
      <c r="AZ8" s="445">
        <v>13</v>
      </c>
      <c r="BA8" s="446">
        <f t="shared" ref="BA8:BI13" si="3">AZ8*1.2</f>
        <v>15.6</v>
      </c>
      <c r="BB8" s="446">
        <f t="shared" si="3"/>
        <v>18.72</v>
      </c>
      <c r="BC8" s="446">
        <f t="shared" si="3"/>
        <v>22.463999999999999</v>
      </c>
      <c r="BD8" s="446">
        <f t="shared" si="3"/>
        <v>26.956799999999998</v>
      </c>
      <c r="BE8" s="446">
        <f t="shared" si="3"/>
        <v>32.348159999999993</v>
      </c>
      <c r="BF8" s="446">
        <f t="shared" si="3"/>
        <v>38.81779199999999</v>
      </c>
      <c r="BG8" s="446">
        <f t="shared" si="3"/>
        <v>46.581350399999984</v>
      </c>
      <c r="BH8" s="446">
        <f t="shared" si="3"/>
        <v>55.897620479999979</v>
      </c>
      <c r="BI8" s="446">
        <f t="shared" si="3"/>
        <v>67.077144575999966</v>
      </c>
    </row>
    <row r="9" spans="1:61" ht="14.65" thickBot="1">
      <c r="A9" s="332" t="s">
        <v>707</v>
      </c>
      <c r="B9" s="322">
        <v>4</v>
      </c>
      <c r="C9" s="323">
        <v>19932</v>
      </c>
      <c r="D9" s="324">
        <f t="shared" si="1"/>
        <v>597.95999999999992</v>
      </c>
      <c r="F9" s="311"/>
      <c r="K9" s="43" t="s">
        <v>708</v>
      </c>
      <c r="L9" s="325">
        <v>0.1</v>
      </c>
      <c r="N9" s="311"/>
      <c r="P9" s="329" t="s">
        <v>709</v>
      </c>
      <c r="Q9" s="543" t="s">
        <v>692</v>
      </c>
      <c r="R9" s="544"/>
      <c r="Z9" s="311"/>
      <c r="AB9" s="334" t="s">
        <v>710</v>
      </c>
      <c r="AC9" s="335">
        <v>20000</v>
      </c>
      <c r="AD9" s="336">
        <v>1</v>
      </c>
      <c r="AE9" s="337">
        <f>IF(AD9=AD$4,AD$5,IF(AD9=AE$4,AE$5,IF(AD9=AF$4,AF$5,"code inconnu")))</f>
        <v>5.5E-2</v>
      </c>
      <c r="AF9" s="338">
        <f>IFERROR(AE9*AC9,"")</f>
        <v>1100</v>
      </c>
      <c r="AH9" s="311"/>
      <c r="AJ9" s="550"/>
      <c r="AK9" s="443">
        <v>4</v>
      </c>
      <c r="AL9" s="444">
        <f t="shared" si="2"/>
        <v>40</v>
      </c>
      <c r="AM9" s="444">
        <f t="shared" si="2"/>
        <v>340</v>
      </c>
      <c r="AN9" s="444">
        <f t="shared" si="2"/>
        <v>640</v>
      </c>
      <c r="AO9" s="444">
        <f t="shared" si="2"/>
        <v>940</v>
      </c>
      <c r="AP9" s="444">
        <f t="shared" si="2"/>
        <v>1240</v>
      </c>
      <c r="AQ9" s="444">
        <f t="shared" si="2"/>
        <v>1540</v>
      </c>
      <c r="AR9" s="444">
        <f t="shared" si="2"/>
        <v>1840</v>
      </c>
      <c r="AS9" s="444">
        <f t="shared" si="2"/>
        <v>2140</v>
      </c>
      <c r="AT9" s="444">
        <f t="shared" si="2"/>
        <v>2440</v>
      </c>
      <c r="AU9" s="444">
        <f t="shared" si="2"/>
        <v>2740</v>
      </c>
      <c r="AW9" s="311"/>
      <c r="AY9" s="360" t="s">
        <v>949</v>
      </c>
      <c r="AZ9" s="445">
        <f t="shared" ref="AZ9:AZ13" si="4">+AZ8*1.35</f>
        <v>17.55</v>
      </c>
      <c r="BA9" s="446">
        <f t="shared" si="3"/>
        <v>21.06</v>
      </c>
      <c r="BB9" s="446">
        <f t="shared" si="3"/>
        <v>25.271999999999998</v>
      </c>
      <c r="BC9" s="446">
        <f t="shared" si="3"/>
        <v>30.326399999999996</v>
      </c>
      <c r="BD9" s="446">
        <f t="shared" si="3"/>
        <v>36.391679999999994</v>
      </c>
      <c r="BE9" s="446">
        <f t="shared" si="3"/>
        <v>43.67001599999999</v>
      </c>
      <c r="BF9" s="446">
        <f t="shared" si="3"/>
        <v>52.404019199999986</v>
      </c>
      <c r="BG9" s="446">
        <f t="shared" si="3"/>
        <v>62.884823039999979</v>
      </c>
      <c r="BH9" s="446">
        <f t="shared" si="3"/>
        <v>75.461787647999969</v>
      </c>
      <c r="BI9" s="446">
        <f t="shared" si="3"/>
        <v>90.554145177599963</v>
      </c>
    </row>
    <row r="10" spans="1:61" ht="14.65" thickBot="1">
      <c r="A10" s="332" t="s">
        <v>711</v>
      </c>
      <c r="B10" s="322">
        <v>7</v>
      </c>
      <c r="C10" s="323">
        <v>33299</v>
      </c>
      <c r="D10" s="324">
        <f t="shared" si="1"/>
        <v>1664.95</v>
      </c>
      <c r="F10" s="311"/>
      <c r="H10" s="339" t="s">
        <v>712</v>
      </c>
      <c r="I10" s="340">
        <f>I5*(1-VLOOKUP(I7,K6:L10,2,FALSE))</f>
        <v>27899.999999999996</v>
      </c>
      <c r="K10" s="43" t="s">
        <v>713</v>
      </c>
      <c r="L10" s="325">
        <v>0.05</v>
      </c>
      <c r="N10" s="311"/>
      <c r="Z10" s="311"/>
      <c r="AB10" s="334" t="s">
        <v>714</v>
      </c>
      <c r="AC10" s="335">
        <v>25000</v>
      </c>
      <c r="AD10" s="336">
        <v>0</v>
      </c>
      <c r="AE10" s="337">
        <f t="shared" ref="AE10:AE14" si="5">IF(AD10=AD$4,AD$5,IF(AD10=AE$4,AE$5,IF(AD10=AF$4,AF$5,"code inconnu")))</f>
        <v>0.19600000000000001</v>
      </c>
      <c r="AF10" s="338">
        <f t="shared" ref="AF10:AF14" si="6">IFERROR(AE10*AC10,"")</f>
        <v>4900</v>
      </c>
      <c r="AH10" s="311"/>
      <c r="AJ10" s="550"/>
      <c r="AK10" s="443">
        <v>5</v>
      </c>
      <c r="AL10" s="444">
        <f t="shared" si="2"/>
        <v>50</v>
      </c>
      <c r="AM10" s="444">
        <f t="shared" si="2"/>
        <v>350</v>
      </c>
      <c r="AN10" s="444">
        <f t="shared" si="2"/>
        <v>650</v>
      </c>
      <c r="AO10" s="444">
        <f t="shared" si="2"/>
        <v>950</v>
      </c>
      <c r="AP10" s="444">
        <f t="shared" si="2"/>
        <v>1250</v>
      </c>
      <c r="AQ10" s="444">
        <f t="shared" si="2"/>
        <v>1550</v>
      </c>
      <c r="AR10" s="444">
        <f t="shared" si="2"/>
        <v>1850</v>
      </c>
      <c r="AS10" s="444">
        <f t="shared" si="2"/>
        <v>2150</v>
      </c>
      <c r="AT10" s="444">
        <f t="shared" si="2"/>
        <v>2450</v>
      </c>
      <c r="AU10" s="444">
        <f t="shared" si="2"/>
        <v>2750</v>
      </c>
      <c r="AW10" s="311"/>
      <c r="AY10" s="360" t="s">
        <v>950</v>
      </c>
      <c r="AZ10" s="445">
        <f t="shared" si="4"/>
        <v>23.692500000000003</v>
      </c>
      <c r="BA10" s="446">
        <f t="shared" si="3"/>
        <v>28.431000000000001</v>
      </c>
      <c r="BB10" s="446">
        <f t="shared" si="3"/>
        <v>34.117199999999997</v>
      </c>
      <c r="BC10" s="446">
        <f t="shared" si="3"/>
        <v>40.940639999999995</v>
      </c>
      <c r="BD10" s="446">
        <f t="shared" si="3"/>
        <v>49.128767999999994</v>
      </c>
      <c r="BE10" s="446">
        <f t="shared" si="3"/>
        <v>58.954521599999993</v>
      </c>
      <c r="BF10" s="446">
        <f t="shared" si="3"/>
        <v>70.745425919999988</v>
      </c>
      <c r="BG10" s="446">
        <f t="shared" si="3"/>
        <v>84.894511103999989</v>
      </c>
      <c r="BH10" s="446">
        <f t="shared" si="3"/>
        <v>101.87341332479998</v>
      </c>
      <c r="BI10" s="446">
        <f t="shared" si="3"/>
        <v>122.24809598975997</v>
      </c>
    </row>
    <row r="11" spans="1:61">
      <c r="A11" s="332" t="s">
        <v>715</v>
      </c>
      <c r="B11" s="322">
        <v>13</v>
      </c>
      <c r="C11" s="323">
        <v>70772</v>
      </c>
      <c r="D11" s="324">
        <f t="shared" si="1"/>
        <v>4954.0400000000009</v>
      </c>
      <c r="F11" s="311"/>
      <c r="N11" s="311"/>
      <c r="Z11" s="311"/>
      <c r="AB11" s="334" t="s">
        <v>716</v>
      </c>
      <c r="AC11" s="335">
        <v>30000</v>
      </c>
      <c r="AD11" s="336">
        <v>3</v>
      </c>
      <c r="AE11" s="337" t="str">
        <f t="shared" si="5"/>
        <v>code inconnu</v>
      </c>
      <c r="AF11" s="338" t="str">
        <f t="shared" si="6"/>
        <v/>
      </c>
      <c r="AH11" s="311"/>
      <c r="AJ11" s="550"/>
      <c r="AK11" s="443">
        <v>6</v>
      </c>
      <c r="AL11" s="444">
        <f t="shared" si="2"/>
        <v>60</v>
      </c>
      <c r="AM11" s="444">
        <f t="shared" si="2"/>
        <v>360</v>
      </c>
      <c r="AN11" s="444">
        <f t="shared" si="2"/>
        <v>660</v>
      </c>
      <c r="AO11" s="444">
        <f t="shared" si="2"/>
        <v>960</v>
      </c>
      <c r="AP11" s="444">
        <f t="shared" si="2"/>
        <v>1260</v>
      </c>
      <c r="AQ11" s="444">
        <f t="shared" si="2"/>
        <v>1560</v>
      </c>
      <c r="AR11" s="444">
        <f t="shared" si="2"/>
        <v>1860</v>
      </c>
      <c r="AS11" s="444">
        <f t="shared" si="2"/>
        <v>2160</v>
      </c>
      <c r="AT11" s="444">
        <f t="shared" si="2"/>
        <v>2460</v>
      </c>
      <c r="AU11" s="444">
        <f t="shared" si="2"/>
        <v>2760</v>
      </c>
      <c r="AW11" s="311"/>
      <c r="AY11" s="360" t="s">
        <v>951</v>
      </c>
      <c r="AZ11" s="445">
        <f t="shared" si="4"/>
        <v>31.984875000000006</v>
      </c>
      <c r="BA11" s="446">
        <f t="shared" si="3"/>
        <v>38.381850000000007</v>
      </c>
      <c r="BB11" s="446">
        <f t="shared" si="3"/>
        <v>46.058220000000006</v>
      </c>
      <c r="BC11" s="446">
        <f t="shared" si="3"/>
        <v>55.269864000000005</v>
      </c>
      <c r="BD11" s="446">
        <f t="shared" si="3"/>
        <v>66.323836800000009</v>
      </c>
      <c r="BE11" s="446">
        <f t="shared" si="3"/>
        <v>79.588604160000003</v>
      </c>
      <c r="BF11" s="446">
        <f t="shared" si="3"/>
        <v>95.506324992000003</v>
      </c>
      <c r="BG11" s="447">
        <f t="shared" si="3"/>
        <v>114.6075899904</v>
      </c>
      <c r="BH11" s="446">
        <f t="shared" si="3"/>
        <v>137.52910798848001</v>
      </c>
      <c r="BI11" s="446">
        <f t="shared" si="3"/>
        <v>165.03492958617599</v>
      </c>
    </row>
    <row r="12" spans="1:61">
      <c r="A12" s="332" t="s">
        <v>717</v>
      </c>
      <c r="B12" s="322">
        <v>5</v>
      </c>
      <c r="C12" s="323">
        <v>18000</v>
      </c>
      <c r="D12" s="324">
        <f t="shared" si="1"/>
        <v>540</v>
      </c>
      <c r="F12" s="311"/>
      <c r="N12" s="311"/>
      <c r="P12" s="329" t="s">
        <v>718</v>
      </c>
      <c r="Q12" s="341">
        <f>HLOOKUP(Q9,Q5:Y6,2,FALSE)</f>
        <v>47</v>
      </c>
      <c r="Z12" s="311"/>
      <c r="AB12" s="334" t="s">
        <v>719</v>
      </c>
      <c r="AC12" s="335">
        <v>35000</v>
      </c>
      <c r="AD12" s="336">
        <v>0</v>
      </c>
      <c r="AE12" s="337">
        <f t="shared" si="5"/>
        <v>0.19600000000000001</v>
      </c>
      <c r="AF12" s="338">
        <f t="shared" si="6"/>
        <v>6860</v>
      </c>
      <c r="AH12" s="311"/>
      <c r="AJ12" s="550"/>
      <c r="AK12" s="443">
        <v>7</v>
      </c>
      <c r="AL12" s="444">
        <f t="shared" si="2"/>
        <v>70</v>
      </c>
      <c r="AM12" s="444">
        <f t="shared" si="2"/>
        <v>370</v>
      </c>
      <c r="AN12" s="444">
        <f t="shared" si="2"/>
        <v>670</v>
      </c>
      <c r="AO12" s="444">
        <f t="shared" si="2"/>
        <v>970</v>
      </c>
      <c r="AP12" s="444">
        <f t="shared" si="2"/>
        <v>1270</v>
      </c>
      <c r="AQ12" s="444">
        <f t="shared" si="2"/>
        <v>1570</v>
      </c>
      <c r="AR12" s="444">
        <f t="shared" si="2"/>
        <v>1870</v>
      </c>
      <c r="AS12" s="444">
        <f t="shared" si="2"/>
        <v>2170</v>
      </c>
      <c r="AT12" s="444">
        <f t="shared" si="2"/>
        <v>2470</v>
      </c>
      <c r="AU12" s="444">
        <f t="shared" si="2"/>
        <v>2770</v>
      </c>
      <c r="AW12" s="311"/>
      <c r="AY12" s="360" t="s">
        <v>952</v>
      </c>
      <c r="AZ12" s="445">
        <f t="shared" si="4"/>
        <v>43.179581250000012</v>
      </c>
      <c r="BA12" s="446">
        <f t="shared" si="3"/>
        <v>51.815497500000014</v>
      </c>
      <c r="BB12" s="446">
        <f t="shared" si="3"/>
        <v>62.178597000000011</v>
      </c>
      <c r="BC12" s="446">
        <f t="shared" si="3"/>
        <v>74.614316400000007</v>
      </c>
      <c r="BD12" s="446">
        <f t="shared" si="3"/>
        <v>89.537179680000008</v>
      </c>
      <c r="BE12" s="446">
        <f t="shared" si="3"/>
        <v>107.44461561600001</v>
      </c>
      <c r="BF12" s="446">
        <f t="shared" si="3"/>
        <v>128.9335387392</v>
      </c>
      <c r="BG12" s="447">
        <f t="shared" si="3"/>
        <v>154.72024648703999</v>
      </c>
      <c r="BH12" s="446">
        <f t="shared" si="3"/>
        <v>185.66429578444797</v>
      </c>
      <c r="BI12" s="446">
        <f t="shared" si="3"/>
        <v>222.79715494133757</v>
      </c>
    </row>
    <row r="13" spans="1:61">
      <c r="A13" s="76" t="s">
        <v>720</v>
      </c>
      <c r="B13" s="322">
        <v>6</v>
      </c>
      <c r="C13" s="323">
        <v>34902</v>
      </c>
      <c r="D13" s="324">
        <f t="shared" si="1"/>
        <v>1745.1000000000001</v>
      </c>
      <c r="F13" s="311"/>
      <c r="N13" s="311"/>
      <c r="Z13" s="311"/>
      <c r="AB13" s="334" t="s">
        <v>721</v>
      </c>
      <c r="AC13" s="335">
        <v>40000</v>
      </c>
      <c r="AD13" s="336">
        <v>1</v>
      </c>
      <c r="AE13" s="337">
        <f t="shared" si="5"/>
        <v>5.5E-2</v>
      </c>
      <c r="AF13" s="338">
        <f t="shared" si="6"/>
        <v>2200</v>
      </c>
      <c r="AH13" s="311"/>
      <c r="AJ13" s="550"/>
      <c r="AK13" s="443">
        <v>8</v>
      </c>
      <c r="AL13" s="444">
        <f t="shared" si="2"/>
        <v>80</v>
      </c>
      <c r="AM13" s="444">
        <f t="shared" si="2"/>
        <v>380</v>
      </c>
      <c r="AN13" s="444">
        <f t="shared" si="2"/>
        <v>680</v>
      </c>
      <c r="AO13" s="444">
        <f t="shared" si="2"/>
        <v>980</v>
      </c>
      <c r="AP13" s="444">
        <f t="shared" si="2"/>
        <v>1280</v>
      </c>
      <c r="AQ13" s="444">
        <f t="shared" si="2"/>
        <v>1580</v>
      </c>
      <c r="AR13" s="444">
        <f t="shared" si="2"/>
        <v>1880</v>
      </c>
      <c r="AS13" s="444">
        <f t="shared" si="2"/>
        <v>2180</v>
      </c>
      <c r="AT13" s="444">
        <f t="shared" si="2"/>
        <v>2480</v>
      </c>
      <c r="AU13" s="444">
        <f t="shared" si="2"/>
        <v>2780</v>
      </c>
      <c r="AW13" s="311"/>
      <c r="AY13" s="360" t="s">
        <v>953</v>
      </c>
      <c r="AZ13" s="445">
        <f t="shared" si="4"/>
        <v>58.29243468750002</v>
      </c>
      <c r="BA13" s="446">
        <f t="shared" si="3"/>
        <v>69.950921625000021</v>
      </c>
      <c r="BB13" s="446">
        <f t="shared" si="3"/>
        <v>83.941105950000022</v>
      </c>
      <c r="BC13" s="446">
        <f t="shared" si="3"/>
        <v>100.72932714000002</v>
      </c>
      <c r="BD13" s="446">
        <f t="shared" si="3"/>
        <v>120.87519256800002</v>
      </c>
      <c r="BE13" s="446">
        <f t="shared" si="3"/>
        <v>145.0502310816</v>
      </c>
      <c r="BF13" s="446">
        <f t="shared" si="3"/>
        <v>174.06027729792001</v>
      </c>
      <c r="BG13" s="447">
        <f t="shared" si="3"/>
        <v>208.87233275750401</v>
      </c>
      <c r="BH13" s="446">
        <f t="shared" si="3"/>
        <v>250.64679930900479</v>
      </c>
      <c r="BI13" s="446">
        <f t="shared" si="3"/>
        <v>300.77615917080573</v>
      </c>
    </row>
    <row r="14" spans="1:61" ht="23.25">
      <c r="A14" s="332" t="s">
        <v>722</v>
      </c>
      <c r="B14" s="322">
        <v>2</v>
      </c>
      <c r="C14" s="323">
        <v>10080</v>
      </c>
      <c r="D14" s="324">
        <f t="shared" si="1"/>
        <v>302.39999999999998</v>
      </c>
      <c r="F14" s="311"/>
      <c r="H14" s="199" t="s">
        <v>954</v>
      </c>
      <c r="N14" s="311"/>
      <c r="Z14" s="311"/>
      <c r="AB14" s="334" t="s">
        <v>723</v>
      </c>
      <c r="AC14" s="335">
        <v>45000</v>
      </c>
      <c r="AD14" s="336">
        <v>2</v>
      </c>
      <c r="AE14" s="337">
        <f t="shared" si="5"/>
        <v>2.1000000000000001E-2</v>
      </c>
      <c r="AF14" s="338">
        <f t="shared" si="6"/>
        <v>945.00000000000011</v>
      </c>
      <c r="AH14" s="311"/>
      <c r="AJ14" s="550"/>
      <c r="AK14" s="443">
        <v>9</v>
      </c>
      <c r="AL14" s="444">
        <f t="shared" si="2"/>
        <v>90</v>
      </c>
      <c r="AM14" s="444">
        <f t="shared" si="2"/>
        <v>390</v>
      </c>
      <c r="AN14" s="444">
        <f t="shared" si="2"/>
        <v>690</v>
      </c>
      <c r="AO14" s="444">
        <f t="shared" si="2"/>
        <v>990</v>
      </c>
      <c r="AP14" s="444">
        <f t="shared" si="2"/>
        <v>1290</v>
      </c>
      <c r="AQ14" s="444">
        <f t="shared" si="2"/>
        <v>1590</v>
      </c>
      <c r="AR14" s="444">
        <f t="shared" si="2"/>
        <v>1890</v>
      </c>
      <c r="AS14" s="444">
        <f t="shared" si="2"/>
        <v>2190</v>
      </c>
      <c r="AT14" s="444">
        <f t="shared" si="2"/>
        <v>2490</v>
      </c>
      <c r="AU14" s="444">
        <f t="shared" si="2"/>
        <v>2790</v>
      </c>
      <c r="AW14" s="311"/>
      <c r="AY14" s="448"/>
      <c r="BG14" s="448"/>
    </row>
    <row r="15" spans="1:61">
      <c r="A15" s="332" t="s">
        <v>724</v>
      </c>
      <c r="B15" s="322">
        <v>10</v>
      </c>
      <c r="C15" s="323">
        <v>34710</v>
      </c>
      <c r="D15" s="324">
        <f t="shared" si="1"/>
        <v>1735.5</v>
      </c>
      <c r="F15" s="311"/>
      <c r="N15" s="311"/>
      <c r="Z15" s="311"/>
      <c r="AB15" s="342"/>
      <c r="AC15" s="343"/>
      <c r="AD15" s="344"/>
      <c r="AE15" s="343"/>
      <c r="AF15" s="343"/>
      <c r="AH15" s="311"/>
      <c r="AJ15" s="550"/>
      <c r="AK15" s="443">
        <v>10</v>
      </c>
      <c r="AL15" s="444">
        <f t="shared" si="2"/>
        <v>100</v>
      </c>
      <c r="AM15" s="444">
        <f t="shared" si="2"/>
        <v>400</v>
      </c>
      <c r="AN15" s="444">
        <f t="shared" si="2"/>
        <v>700</v>
      </c>
      <c r="AO15" s="444">
        <f t="shared" si="2"/>
        <v>1000</v>
      </c>
      <c r="AP15" s="444">
        <f t="shared" si="2"/>
        <v>1300</v>
      </c>
      <c r="AQ15" s="444">
        <f t="shared" si="2"/>
        <v>1600</v>
      </c>
      <c r="AR15" s="444">
        <f t="shared" si="2"/>
        <v>1900</v>
      </c>
      <c r="AS15" s="444">
        <f t="shared" si="2"/>
        <v>2200</v>
      </c>
      <c r="AT15" s="444">
        <f t="shared" si="2"/>
        <v>2500</v>
      </c>
      <c r="AU15" s="444">
        <f t="shared" si="2"/>
        <v>2800</v>
      </c>
      <c r="AW15" s="311"/>
      <c r="BG15" s="448"/>
    </row>
    <row r="16" spans="1:61">
      <c r="A16" s="332" t="s">
        <v>725</v>
      </c>
      <c r="B16" s="322">
        <v>6</v>
      </c>
      <c r="C16" s="323">
        <v>29670</v>
      </c>
      <c r="D16" s="324">
        <f t="shared" si="1"/>
        <v>1483.5</v>
      </c>
      <c r="F16" s="311"/>
      <c r="N16" s="311"/>
      <c r="Z16" s="311"/>
      <c r="AB16" s="328"/>
      <c r="AC16" s="328"/>
      <c r="AD16" s="328"/>
      <c r="AE16" s="328"/>
      <c r="AF16" s="328"/>
      <c r="AH16" s="311"/>
      <c r="AJ16" s="550"/>
      <c r="AK16" s="443">
        <v>11</v>
      </c>
      <c r="AL16" s="444">
        <f t="shared" si="2"/>
        <v>110</v>
      </c>
      <c r="AM16" s="444">
        <f t="shared" si="2"/>
        <v>410</v>
      </c>
      <c r="AN16" s="444">
        <f t="shared" si="2"/>
        <v>710</v>
      </c>
      <c r="AO16" s="444">
        <f t="shared" si="2"/>
        <v>1010</v>
      </c>
      <c r="AP16" s="444">
        <f t="shared" si="2"/>
        <v>1310</v>
      </c>
      <c r="AQ16" s="444">
        <f t="shared" si="2"/>
        <v>1610</v>
      </c>
      <c r="AR16" s="444">
        <f t="shared" si="2"/>
        <v>1910</v>
      </c>
      <c r="AS16" s="444">
        <f t="shared" si="2"/>
        <v>2210</v>
      </c>
      <c r="AT16" s="444">
        <f t="shared" si="2"/>
        <v>2510</v>
      </c>
      <c r="AU16" s="444">
        <f t="shared" si="2"/>
        <v>2810</v>
      </c>
      <c r="AW16" s="311"/>
      <c r="AY16" s="540" t="s">
        <v>955</v>
      </c>
      <c r="AZ16" s="540"/>
      <c r="BA16" s="540"/>
      <c r="BB16" s="15" t="s">
        <v>950</v>
      </c>
    </row>
    <row r="17" spans="1:54">
      <c r="A17" s="332" t="s">
        <v>726</v>
      </c>
      <c r="B17" s="322">
        <v>6</v>
      </c>
      <c r="C17" s="323">
        <v>22512</v>
      </c>
      <c r="D17" s="324">
        <f t="shared" si="1"/>
        <v>1125.6000000000001</v>
      </c>
      <c r="F17" s="311"/>
      <c r="N17" s="311"/>
      <c r="Z17" s="311"/>
      <c r="AB17" s="542" t="s">
        <v>727</v>
      </c>
      <c r="AC17" s="542"/>
      <c r="AD17" s="542"/>
      <c r="AE17" s="542"/>
      <c r="AF17" s="542"/>
      <c r="AH17" s="311"/>
      <c r="AJ17" s="550"/>
      <c r="AK17" s="443">
        <v>12</v>
      </c>
      <c r="AL17" s="444">
        <f t="shared" si="2"/>
        <v>120</v>
      </c>
      <c r="AM17" s="444">
        <f t="shared" si="2"/>
        <v>420</v>
      </c>
      <c r="AN17" s="444">
        <f t="shared" si="2"/>
        <v>720</v>
      </c>
      <c r="AO17" s="444">
        <f t="shared" si="2"/>
        <v>1020</v>
      </c>
      <c r="AP17" s="444">
        <f t="shared" si="2"/>
        <v>1320</v>
      </c>
      <c r="AQ17" s="444">
        <f t="shared" si="2"/>
        <v>1620</v>
      </c>
      <c r="AR17" s="444">
        <f t="shared" si="2"/>
        <v>1920</v>
      </c>
      <c r="AS17" s="444">
        <f t="shared" si="2"/>
        <v>2220</v>
      </c>
      <c r="AT17" s="444">
        <f t="shared" si="2"/>
        <v>2520</v>
      </c>
      <c r="AU17" s="444">
        <f t="shared" si="2"/>
        <v>2820</v>
      </c>
      <c r="AW17" s="311"/>
    </row>
    <row r="18" spans="1:54">
      <c r="A18" s="76" t="s">
        <v>728</v>
      </c>
      <c r="B18" s="322">
        <v>2</v>
      </c>
      <c r="C18" s="323">
        <v>11792</v>
      </c>
      <c r="D18" s="324">
        <f t="shared" si="1"/>
        <v>353.76</v>
      </c>
      <c r="F18" s="311"/>
      <c r="N18" s="311"/>
      <c r="Z18" s="311"/>
      <c r="AB18" s="333" t="s">
        <v>490</v>
      </c>
      <c r="AC18" s="333" t="s">
        <v>705</v>
      </c>
      <c r="AD18" s="333" t="s">
        <v>680</v>
      </c>
      <c r="AE18" s="333" t="s">
        <v>695</v>
      </c>
      <c r="AF18" s="333" t="s">
        <v>706</v>
      </c>
      <c r="AH18" s="311"/>
      <c r="AJ18" s="550"/>
      <c r="AK18" s="443">
        <v>13</v>
      </c>
      <c r="AL18" s="444">
        <f t="shared" si="2"/>
        <v>130</v>
      </c>
      <c r="AM18" s="444">
        <f t="shared" si="2"/>
        <v>430</v>
      </c>
      <c r="AN18" s="444">
        <f t="shared" si="2"/>
        <v>730</v>
      </c>
      <c r="AO18" s="444">
        <f t="shared" si="2"/>
        <v>1030</v>
      </c>
      <c r="AP18" s="444">
        <f t="shared" si="2"/>
        <v>1330</v>
      </c>
      <c r="AQ18" s="444">
        <f t="shared" si="2"/>
        <v>1630</v>
      </c>
      <c r="AR18" s="444">
        <f t="shared" si="2"/>
        <v>1930</v>
      </c>
      <c r="AS18" s="444">
        <f t="shared" si="2"/>
        <v>2230</v>
      </c>
      <c r="AT18" s="444">
        <f t="shared" si="2"/>
        <v>2530</v>
      </c>
      <c r="AU18" s="444">
        <f t="shared" si="2"/>
        <v>2830</v>
      </c>
      <c r="AW18" s="311"/>
      <c r="AY18" s="540" t="s">
        <v>956</v>
      </c>
      <c r="AZ18" s="540"/>
      <c r="BA18" s="540"/>
      <c r="BB18" s="15" t="s">
        <v>944</v>
      </c>
    </row>
    <row r="19" spans="1:54">
      <c r="A19" s="81" t="s">
        <v>729</v>
      </c>
      <c r="B19" s="345">
        <v>15</v>
      </c>
      <c r="C19" s="346">
        <v>34275</v>
      </c>
      <c r="D19" s="324">
        <f t="shared" si="1"/>
        <v>2399.2500000000005</v>
      </c>
      <c r="F19" s="311"/>
      <c r="N19" s="311"/>
      <c r="Z19" s="311"/>
      <c r="AB19" s="334" t="s">
        <v>710</v>
      </c>
      <c r="AC19" s="335">
        <v>20000</v>
      </c>
      <c r="AD19" s="336">
        <v>1</v>
      </c>
      <c r="AE19" s="337">
        <f>IFERROR(HLOOKUP(AD19,AD$4:AF$5,2,FALSE),"")</f>
        <v>5.5E-2</v>
      </c>
      <c r="AF19" s="338">
        <f>IFERROR(AE19*AC19,"")</f>
        <v>1100</v>
      </c>
      <c r="AH19" s="311"/>
      <c r="AJ19" s="550"/>
      <c r="AK19" s="443">
        <v>14</v>
      </c>
      <c r="AL19" s="444">
        <f t="shared" si="2"/>
        <v>140</v>
      </c>
      <c r="AM19" s="444">
        <f t="shared" si="2"/>
        <v>440</v>
      </c>
      <c r="AN19" s="444">
        <f t="shared" si="2"/>
        <v>740</v>
      </c>
      <c r="AO19" s="444">
        <f t="shared" si="2"/>
        <v>1040</v>
      </c>
      <c r="AP19" s="444">
        <f t="shared" si="2"/>
        <v>1340</v>
      </c>
      <c r="AQ19" s="444">
        <f t="shared" si="2"/>
        <v>1640</v>
      </c>
      <c r="AR19" s="444">
        <f t="shared" si="2"/>
        <v>1940</v>
      </c>
      <c r="AS19" s="444">
        <f t="shared" si="2"/>
        <v>2240</v>
      </c>
      <c r="AT19" s="444">
        <f t="shared" si="2"/>
        <v>2540</v>
      </c>
      <c r="AU19" s="444">
        <f t="shared" si="2"/>
        <v>2840</v>
      </c>
      <c r="AW19" s="311"/>
    </row>
    <row r="20" spans="1:54">
      <c r="F20" s="311"/>
      <c r="N20" s="311"/>
      <c r="Z20" s="311"/>
      <c r="AB20" s="334" t="s">
        <v>714</v>
      </c>
      <c r="AC20" s="335">
        <v>25000</v>
      </c>
      <c r="AD20" s="336">
        <v>0</v>
      </c>
      <c r="AE20" s="337">
        <f t="shared" ref="AE20:AE24" si="7">IFERROR(HLOOKUP(AD20,AD$4:AF$5,2,FALSE),"")</f>
        <v>0.19600000000000001</v>
      </c>
      <c r="AF20" s="338">
        <f t="shared" ref="AF20:AF24" si="8">IFERROR(AE20*AC20,"")</f>
        <v>4900</v>
      </c>
      <c r="AH20" s="311"/>
      <c r="AJ20" s="550"/>
      <c r="AK20" s="443">
        <v>15</v>
      </c>
      <c r="AL20" s="444">
        <f t="shared" si="2"/>
        <v>150</v>
      </c>
      <c r="AM20" s="444">
        <f t="shared" si="2"/>
        <v>450</v>
      </c>
      <c r="AN20" s="444">
        <f t="shared" si="2"/>
        <v>750</v>
      </c>
      <c r="AO20" s="444">
        <f t="shared" si="2"/>
        <v>1050</v>
      </c>
      <c r="AP20" s="444">
        <f t="shared" si="2"/>
        <v>1350</v>
      </c>
      <c r="AQ20" s="444">
        <f t="shared" si="2"/>
        <v>1650</v>
      </c>
      <c r="AR20" s="444">
        <f t="shared" si="2"/>
        <v>1950</v>
      </c>
      <c r="AS20" s="444">
        <f t="shared" si="2"/>
        <v>2250</v>
      </c>
      <c r="AT20" s="444">
        <f t="shared" si="2"/>
        <v>2550</v>
      </c>
      <c r="AU20" s="444">
        <f t="shared" si="2"/>
        <v>2850</v>
      </c>
      <c r="AW20" s="311"/>
      <c r="AY20" s="540" t="s">
        <v>957</v>
      </c>
      <c r="AZ20" s="540"/>
      <c r="BA20" s="540"/>
      <c r="BB20" s="42">
        <f>INDEX(AZ8:BI13,MATCH(BB16,AY8:AY13,0),MATCH(BB18,AZ7:BI7,0))</f>
        <v>49.128767999999994</v>
      </c>
    </row>
    <row r="21" spans="1:54">
      <c r="A21" s="329" t="s">
        <v>730</v>
      </c>
      <c r="B21" s="347" t="s">
        <v>731</v>
      </c>
      <c r="D21" s="348"/>
      <c r="F21" s="311"/>
      <c r="N21" s="311"/>
      <c r="Z21" s="311"/>
      <c r="AB21" s="334" t="s">
        <v>716</v>
      </c>
      <c r="AC21" s="335">
        <v>30000</v>
      </c>
      <c r="AD21" s="336">
        <v>3</v>
      </c>
      <c r="AE21" s="337" t="str">
        <f t="shared" si="7"/>
        <v/>
      </c>
      <c r="AF21" s="338" t="str">
        <f t="shared" si="8"/>
        <v/>
      </c>
      <c r="AH21" s="311"/>
      <c r="AJ21" s="550"/>
      <c r="AK21" s="443">
        <v>16</v>
      </c>
      <c r="AL21" s="444">
        <f t="shared" si="2"/>
        <v>160</v>
      </c>
      <c r="AM21" s="444">
        <f t="shared" si="2"/>
        <v>460</v>
      </c>
      <c r="AN21" s="444">
        <f t="shared" si="2"/>
        <v>760</v>
      </c>
      <c r="AO21" s="444">
        <f t="shared" si="2"/>
        <v>1060</v>
      </c>
      <c r="AP21" s="444">
        <f t="shared" si="2"/>
        <v>1360</v>
      </c>
      <c r="AQ21" s="444">
        <f t="shared" si="2"/>
        <v>1660</v>
      </c>
      <c r="AR21" s="444">
        <f t="shared" si="2"/>
        <v>1960</v>
      </c>
      <c r="AS21" s="444">
        <f t="shared" si="2"/>
        <v>2260</v>
      </c>
      <c r="AT21" s="444">
        <f t="shared" si="2"/>
        <v>2560</v>
      </c>
      <c r="AU21" s="444">
        <f t="shared" si="2"/>
        <v>2860</v>
      </c>
      <c r="AW21" s="311"/>
    </row>
    <row r="22" spans="1:54">
      <c r="A22" s="349">
        <v>0</v>
      </c>
      <c r="B22" s="350">
        <v>0.03</v>
      </c>
      <c r="F22" s="311"/>
      <c r="N22" s="311"/>
      <c r="Z22" s="311"/>
      <c r="AB22" s="334" t="s">
        <v>719</v>
      </c>
      <c r="AC22" s="335">
        <v>35000</v>
      </c>
      <c r="AD22" s="336">
        <v>0</v>
      </c>
      <c r="AE22" s="337">
        <f t="shared" si="7"/>
        <v>0.19600000000000001</v>
      </c>
      <c r="AF22" s="338">
        <f t="shared" si="8"/>
        <v>6860</v>
      </c>
      <c r="AH22" s="311"/>
      <c r="AJ22" s="550"/>
      <c r="AK22" s="443">
        <v>17</v>
      </c>
      <c r="AL22" s="444">
        <f t="shared" si="2"/>
        <v>170</v>
      </c>
      <c r="AM22" s="444">
        <f t="shared" si="2"/>
        <v>470</v>
      </c>
      <c r="AN22" s="444">
        <f t="shared" si="2"/>
        <v>770</v>
      </c>
      <c r="AO22" s="444">
        <f t="shared" si="2"/>
        <v>1070</v>
      </c>
      <c r="AP22" s="444">
        <f t="shared" si="2"/>
        <v>1370</v>
      </c>
      <c r="AQ22" s="444">
        <f t="shared" si="2"/>
        <v>1670</v>
      </c>
      <c r="AR22" s="444">
        <f t="shared" si="2"/>
        <v>1970</v>
      </c>
      <c r="AS22" s="444">
        <f t="shared" si="2"/>
        <v>2270</v>
      </c>
      <c r="AT22" s="444">
        <f t="shared" si="2"/>
        <v>2570</v>
      </c>
      <c r="AU22" s="444">
        <f t="shared" si="2"/>
        <v>2870</v>
      </c>
      <c r="AW22" s="311"/>
    </row>
    <row r="23" spans="1:54">
      <c r="A23" s="349">
        <v>6</v>
      </c>
      <c r="B23" s="350">
        <f t="shared" ref="B23:B27" si="9">+B22+2%</f>
        <v>0.05</v>
      </c>
      <c r="F23" s="311"/>
      <c r="N23" s="311"/>
      <c r="Z23" s="311"/>
      <c r="AB23" s="334" t="s">
        <v>721</v>
      </c>
      <c r="AC23" s="335">
        <v>40000</v>
      </c>
      <c r="AD23" s="336">
        <v>1</v>
      </c>
      <c r="AE23" s="337">
        <f t="shared" si="7"/>
        <v>5.5E-2</v>
      </c>
      <c r="AF23" s="338">
        <f t="shared" si="8"/>
        <v>2200</v>
      </c>
      <c r="AH23" s="311"/>
      <c r="AJ23" s="550"/>
      <c r="AK23" s="443">
        <v>18</v>
      </c>
      <c r="AL23" s="444">
        <f t="shared" ref="AL23:AU35" si="10">AL22+10</f>
        <v>180</v>
      </c>
      <c r="AM23" s="444">
        <f t="shared" si="10"/>
        <v>480</v>
      </c>
      <c r="AN23" s="444">
        <f t="shared" si="10"/>
        <v>780</v>
      </c>
      <c r="AO23" s="444">
        <f t="shared" si="10"/>
        <v>1080</v>
      </c>
      <c r="AP23" s="444">
        <f t="shared" si="10"/>
        <v>1380</v>
      </c>
      <c r="AQ23" s="444">
        <f t="shared" si="10"/>
        <v>1680</v>
      </c>
      <c r="AR23" s="444">
        <f t="shared" si="10"/>
        <v>1980</v>
      </c>
      <c r="AS23" s="444">
        <f t="shared" si="10"/>
        <v>2280</v>
      </c>
      <c r="AT23" s="444">
        <f t="shared" si="10"/>
        <v>2580</v>
      </c>
      <c r="AU23" s="444">
        <f t="shared" si="10"/>
        <v>2880</v>
      </c>
      <c r="AW23" s="311"/>
    </row>
    <row r="24" spans="1:54">
      <c r="A24" s="349">
        <v>11</v>
      </c>
      <c r="B24" s="350">
        <f t="shared" si="9"/>
        <v>7.0000000000000007E-2</v>
      </c>
      <c r="F24" s="311"/>
      <c r="N24" s="311"/>
      <c r="Z24" s="311"/>
      <c r="AB24" s="334" t="s">
        <v>723</v>
      </c>
      <c r="AC24" s="335">
        <v>45000</v>
      </c>
      <c r="AD24" s="336">
        <v>2</v>
      </c>
      <c r="AE24" s="337">
        <f t="shared" si="7"/>
        <v>2.1000000000000001E-2</v>
      </c>
      <c r="AF24" s="338">
        <f t="shared" si="8"/>
        <v>945.00000000000011</v>
      </c>
      <c r="AH24" s="311"/>
      <c r="AJ24" s="550"/>
      <c r="AK24" s="443">
        <v>19</v>
      </c>
      <c r="AL24" s="444">
        <f t="shared" si="10"/>
        <v>190</v>
      </c>
      <c r="AM24" s="444">
        <f t="shared" si="10"/>
        <v>490</v>
      </c>
      <c r="AN24" s="444">
        <f t="shared" si="10"/>
        <v>790</v>
      </c>
      <c r="AO24" s="444">
        <f t="shared" si="10"/>
        <v>1090</v>
      </c>
      <c r="AP24" s="444">
        <f t="shared" si="10"/>
        <v>1390</v>
      </c>
      <c r="AQ24" s="444">
        <f t="shared" si="10"/>
        <v>1690</v>
      </c>
      <c r="AR24" s="444">
        <f t="shared" si="10"/>
        <v>1990</v>
      </c>
      <c r="AS24" s="444">
        <f t="shared" si="10"/>
        <v>2290</v>
      </c>
      <c r="AT24" s="444">
        <f t="shared" si="10"/>
        <v>2590</v>
      </c>
      <c r="AU24" s="444">
        <f t="shared" si="10"/>
        <v>2890</v>
      </c>
      <c r="AW24" s="311"/>
    </row>
    <row r="25" spans="1:54">
      <c r="A25" s="349">
        <v>21</v>
      </c>
      <c r="B25" s="350">
        <f t="shared" si="9"/>
        <v>9.0000000000000011E-2</v>
      </c>
      <c r="F25" s="311"/>
      <c r="N25" s="311"/>
      <c r="Z25" s="311"/>
      <c r="AB25" s="342"/>
      <c r="AC25" s="343"/>
      <c r="AD25" s="344"/>
      <c r="AE25" s="343"/>
      <c r="AF25" s="343"/>
      <c r="AH25" s="311"/>
      <c r="AJ25" s="550"/>
      <c r="AK25" s="443">
        <v>20</v>
      </c>
      <c r="AL25" s="444">
        <f t="shared" si="10"/>
        <v>200</v>
      </c>
      <c r="AM25" s="444">
        <f t="shared" si="10"/>
        <v>500</v>
      </c>
      <c r="AN25" s="444">
        <f t="shared" si="10"/>
        <v>800</v>
      </c>
      <c r="AO25" s="444">
        <f t="shared" si="10"/>
        <v>1100</v>
      </c>
      <c r="AP25" s="444">
        <f t="shared" si="10"/>
        <v>1400</v>
      </c>
      <c r="AQ25" s="444">
        <f t="shared" si="10"/>
        <v>1700</v>
      </c>
      <c r="AR25" s="444">
        <f t="shared" si="10"/>
        <v>2000</v>
      </c>
      <c r="AS25" s="444">
        <f t="shared" si="10"/>
        <v>2300</v>
      </c>
      <c r="AT25" s="444">
        <f t="shared" si="10"/>
        <v>2600</v>
      </c>
      <c r="AU25" s="444">
        <f t="shared" si="10"/>
        <v>2900</v>
      </c>
      <c r="AW25" s="311"/>
    </row>
    <row r="26" spans="1:54">
      <c r="A26" s="349">
        <v>31</v>
      </c>
      <c r="B26" s="350">
        <f t="shared" si="9"/>
        <v>0.11000000000000001</v>
      </c>
      <c r="F26" s="311"/>
      <c r="N26" s="311"/>
      <c r="Z26" s="311"/>
      <c r="AH26" s="311"/>
      <c r="AJ26" s="550"/>
      <c r="AK26" s="443">
        <v>21</v>
      </c>
      <c r="AL26" s="444">
        <f t="shared" si="10"/>
        <v>210</v>
      </c>
      <c r="AM26" s="444">
        <f t="shared" si="10"/>
        <v>510</v>
      </c>
      <c r="AN26" s="444">
        <f t="shared" si="10"/>
        <v>810</v>
      </c>
      <c r="AO26" s="444">
        <f t="shared" si="10"/>
        <v>1110</v>
      </c>
      <c r="AP26" s="444">
        <f t="shared" si="10"/>
        <v>1410</v>
      </c>
      <c r="AQ26" s="444">
        <f t="shared" si="10"/>
        <v>1710</v>
      </c>
      <c r="AR26" s="444">
        <f t="shared" si="10"/>
        <v>2010</v>
      </c>
      <c r="AS26" s="444">
        <f t="shared" si="10"/>
        <v>2310</v>
      </c>
      <c r="AT26" s="444">
        <f t="shared" si="10"/>
        <v>2610</v>
      </c>
      <c r="AU26" s="444">
        <f t="shared" si="10"/>
        <v>2910</v>
      </c>
      <c r="AW26" s="311"/>
    </row>
    <row r="27" spans="1:54">
      <c r="A27" s="349">
        <v>51</v>
      </c>
      <c r="B27" s="350">
        <f t="shared" si="9"/>
        <v>0.13</v>
      </c>
      <c r="F27" s="311"/>
      <c r="N27" s="311"/>
      <c r="Z27" s="311"/>
      <c r="AH27" s="311"/>
      <c r="AJ27" s="550"/>
      <c r="AK27" s="443">
        <v>22</v>
      </c>
      <c r="AL27" s="444">
        <f t="shared" si="10"/>
        <v>220</v>
      </c>
      <c r="AM27" s="444">
        <f t="shared" si="10"/>
        <v>520</v>
      </c>
      <c r="AN27" s="444">
        <f t="shared" si="10"/>
        <v>820</v>
      </c>
      <c r="AO27" s="444">
        <f t="shared" si="10"/>
        <v>1120</v>
      </c>
      <c r="AP27" s="444">
        <f t="shared" si="10"/>
        <v>1420</v>
      </c>
      <c r="AQ27" s="444">
        <f t="shared" si="10"/>
        <v>1720</v>
      </c>
      <c r="AR27" s="444">
        <f t="shared" si="10"/>
        <v>2020</v>
      </c>
      <c r="AS27" s="444">
        <f t="shared" si="10"/>
        <v>2320</v>
      </c>
      <c r="AT27" s="444">
        <f t="shared" si="10"/>
        <v>2620</v>
      </c>
      <c r="AU27" s="444">
        <f t="shared" si="10"/>
        <v>2920</v>
      </c>
      <c r="AW27" s="311"/>
    </row>
    <row r="28" spans="1:54">
      <c r="F28" s="311"/>
      <c r="N28" s="311"/>
      <c r="Z28" s="311"/>
      <c r="AH28" s="311"/>
      <c r="AJ28" s="550"/>
      <c r="AK28" s="443">
        <v>23</v>
      </c>
      <c r="AL28" s="444">
        <f t="shared" si="10"/>
        <v>230</v>
      </c>
      <c r="AM28" s="444">
        <f t="shared" si="10"/>
        <v>530</v>
      </c>
      <c r="AN28" s="444">
        <f t="shared" si="10"/>
        <v>830</v>
      </c>
      <c r="AO28" s="444">
        <f t="shared" si="10"/>
        <v>1130</v>
      </c>
      <c r="AP28" s="444">
        <f t="shared" si="10"/>
        <v>1430</v>
      </c>
      <c r="AQ28" s="444">
        <f t="shared" si="10"/>
        <v>1730</v>
      </c>
      <c r="AR28" s="444">
        <f t="shared" si="10"/>
        <v>2030</v>
      </c>
      <c r="AS28" s="444">
        <f t="shared" si="10"/>
        <v>2330</v>
      </c>
      <c r="AT28" s="444">
        <f t="shared" si="10"/>
        <v>2630</v>
      </c>
      <c r="AU28" s="444">
        <f t="shared" si="10"/>
        <v>2930</v>
      </c>
      <c r="AW28" s="311"/>
    </row>
    <row r="29" spans="1:54">
      <c r="AH29" s="311"/>
      <c r="AJ29" s="550"/>
      <c r="AK29" s="443">
        <v>24</v>
      </c>
      <c r="AL29" s="444">
        <f t="shared" si="10"/>
        <v>240</v>
      </c>
      <c r="AM29" s="444">
        <f t="shared" si="10"/>
        <v>540</v>
      </c>
      <c r="AN29" s="444">
        <f t="shared" si="10"/>
        <v>840</v>
      </c>
      <c r="AO29" s="444">
        <f t="shared" si="10"/>
        <v>1140</v>
      </c>
      <c r="AP29" s="444">
        <f t="shared" si="10"/>
        <v>1440</v>
      </c>
      <c r="AQ29" s="444">
        <f t="shared" si="10"/>
        <v>1740</v>
      </c>
      <c r="AR29" s="444">
        <f t="shared" si="10"/>
        <v>2040</v>
      </c>
      <c r="AS29" s="444">
        <f t="shared" si="10"/>
        <v>2340</v>
      </c>
      <c r="AT29" s="444">
        <f t="shared" si="10"/>
        <v>2640</v>
      </c>
      <c r="AU29" s="444">
        <f t="shared" si="10"/>
        <v>2940</v>
      </c>
      <c r="AW29" s="311"/>
    </row>
    <row r="30" spans="1:54">
      <c r="AH30" s="311"/>
      <c r="AJ30" s="550"/>
      <c r="AK30" s="443">
        <v>25</v>
      </c>
      <c r="AL30" s="444">
        <f t="shared" si="10"/>
        <v>250</v>
      </c>
      <c r="AM30" s="444">
        <f t="shared" si="10"/>
        <v>550</v>
      </c>
      <c r="AN30" s="444">
        <f t="shared" si="10"/>
        <v>850</v>
      </c>
      <c r="AO30" s="444">
        <f t="shared" si="10"/>
        <v>1150</v>
      </c>
      <c r="AP30" s="444">
        <f t="shared" si="10"/>
        <v>1450</v>
      </c>
      <c r="AQ30" s="444">
        <f t="shared" si="10"/>
        <v>1750</v>
      </c>
      <c r="AR30" s="444">
        <f t="shared" si="10"/>
        <v>2050</v>
      </c>
      <c r="AS30" s="444">
        <f t="shared" si="10"/>
        <v>2350</v>
      </c>
      <c r="AT30" s="444">
        <f t="shared" si="10"/>
        <v>2650</v>
      </c>
      <c r="AU30" s="444">
        <f t="shared" si="10"/>
        <v>2950</v>
      </c>
      <c r="AW30" s="311"/>
    </row>
    <row r="31" spans="1:54">
      <c r="AH31" s="311"/>
      <c r="AJ31" s="550"/>
      <c r="AK31" s="443">
        <v>26</v>
      </c>
      <c r="AL31" s="444">
        <f t="shared" si="10"/>
        <v>260</v>
      </c>
      <c r="AM31" s="444">
        <f t="shared" si="10"/>
        <v>560</v>
      </c>
      <c r="AN31" s="444">
        <f t="shared" si="10"/>
        <v>860</v>
      </c>
      <c r="AO31" s="444">
        <f t="shared" si="10"/>
        <v>1160</v>
      </c>
      <c r="AP31" s="444">
        <f t="shared" si="10"/>
        <v>1460</v>
      </c>
      <c r="AQ31" s="444">
        <f t="shared" si="10"/>
        <v>1760</v>
      </c>
      <c r="AR31" s="444">
        <f t="shared" si="10"/>
        <v>2060</v>
      </c>
      <c r="AS31" s="444">
        <f t="shared" si="10"/>
        <v>2360</v>
      </c>
      <c r="AT31" s="444">
        <f t="shared" si="10"/>
        <v>2660</v>
      </c>
      <c r="AU31" s="444">
        <f t="shared" si="10"/>
        <v>2960</v>
      </c>
      <c r="AW31" s="311"/>
    </row>
    <row r="32" spans="1:54">
      <c r="AH32" s="311"/>
      <c r="AJ32" s="550"/>
      <c r="AK32" s="443">
        <v>27</v>
      </c>
      <c r="AL32" s="444">
        <f t="shared" si="10"/>
        <v>270</v>
      </c>
      <c r="AM32" s="444">
        <f t="shared" si="10"/>
        <v>570</v>
      </c>
      <c r="AN32" s="444">
        <f t="shared" si="10"/>
        <v>870</v>
      </c>
      <c r="AO32" s="444">
        <f t="shared" si="10"/>
        <v>1170</v>
      </c>
      <c r="AP32" s="444">
        <f t="shared" si="10"/>
        <v>1470</v>
      </c>
      <c r="AQ32" s="444">
        <f t="shared" si="10"/>
        <v>1770</v>
      </c>
      <c r="AR32" s="444">
        <f t="shared" si="10"/>
        <v>2070</v>
      </c>
      <c r="AS32" s="444">
        <f t="shared" si="10"/>
        <v>2370</v>
      </c>
      <c r="AT32" s="444">
        <f t="shared" si="10"/>
        <v>2670</v>
      </c>
      <c r="AU32" s="444">
        <f t="shared" si="10"/>
        <v>2970</v>
      </c>
      <c r="AW32" s="311"/>
    </row>
    <row r="33" spans="34:49">
      <c r="AH33" s="311"/>
      <c r="AJ33" s="550"/>
      <c r="AK33" s="443">
        <v>28</v>
      </c>
      <c r="AL33" s="444">
        <f t="shared" si="10"/>
        <v>280</v>
      </c>
      <c r="AM33" s="444">
        <f t="shared" si="10"/>
        <v>580</v>
      </c>
      <c r="AN33" s="444">
        <f t="shared" si="10"/>
        <v>880</v>
      </c>
      <c r="AO33" s="444">
        <f t="shared" si="10"/>
        <v>1180</v>
      </c>
      <c r="AP33" s="444">
        <f t="shared" si="10"/>
        <v>1480</v>
      </c>
      <c r="AQ33" s="444">
        <f t="shared" si="10"/>
        <v>1780</v>
      </c>
      <c r="AR33" s="444">
        <f t="shared" si="10"/>
        <v>2080</v>
      </c>
      <c r="AS33" s="444">
        <f t="shared" si="10"/>
        <v>2380</v>
      </c>
      <c r="AT33" s="444">
        <f t="shared" si="10"/>
        <v>2680</v>
      </c>
      <c r="AU33" s="444">
        <f t="shared" si="10"/>
        <v>2980</v>
      </c>
      <c r="AW33" s="311"/>
    </row>
    <row r="34" spans="34:49">
      <c r="AH34" s="311"/>
      <c r="AJ34" s="550"/>
      <c r="AK34" s="443">
        <v>29</v>
      </c>
      <c r="AL34" s="444">
        <f t="shared" si="10"/>
        <v>290</v>
      </c>
      <c r="AM34" s="444">
        <f t="shared" si="10"/>
        <v>590</v>
      </c>
      <c r="AN34" s="444">
        <f t="shared" si="10"/>
        <v>890</v>
      </c>
      <c r="AO34" s="444">
        <f t="shared" si="10"/>
        <v>1190</v>
      </c>
      <c r="AP34" s="444">
        <f t="shared" si="10"/>
        <v>1490</v>
      </c>
      <c r="AQ34" s="444">
        <f t="shared" si="10"/>
        <v>1790</v>
      </c>
      <c r="AR34" s="444">
        <f t="shared" si="10"/>
        <v>2090</v>
      </c>
      <c r="AS34" s="444">
        <f t="shared" si="10"/>
        <v>2390</v>
      </c>
      <c r="AT34" s="444">
        <f t="shared" si="10"/>
        <v>2690</v>
      </c>
      <c r="AU34" s="444">
        <f t="shared" si="10"/>
        <v>2990</v>
      </c>
      <c r="AW34" s="311"/>
    </row>
    <row r="35" spans="34:49">
      <c r="AH35" s="311"/>
      <c r="AJ35" s="551"/>
      <c r="AK35" s="443">
        <v>30</v>
      </c>
      <c r="AL35" s="444">
        <f t="shared" si="10"/>
        <v>300</v>
      </c>
      <c r="AM35" s="444">
        <f t="shared" si="10"/>
        <v>600</v>
      </c>
      <c r="AN35" s="444">
        <f t="shared" si="10"/>
        <v>900</v>
      </c>
      <c r="AO35" s="444">
        <f t="shared" si="10"/>
        <v>1200</v>
      </c>
      <c r="AP35" s="444">
        <f t="shared" si="10"/>
        <v>1500</v>
      </c>
      <c r="AQ35" s="444">
        <f t="shared" si="10"/>
        <v>1800</v>
      </c>
      <c r="AR35" s="444">
        <f t="shared" si="10"/>
        <v>2100</v>
      </c>
      <c r="AS35" s="444">
        <f t="shared" si="10"/>
        <v>2400</v>
      </c>
      <c r="AT35" s="444">
        <f t="shared" si="10"/>
        <v>2700</v>
      </c>
      <c r="AU35" s="444">
        <f t="shared" si="10"/>
        <v>3000</v>
      </c>
      <c r="AW35" s="311"/>
    </row>
    <row r="36" spans="34:49">
      <c r="AH36" s="311"/>
      <c r="AJ36" s="440"/>
      <c r="AK36" s="440"/>
      <c r="AL36" s="440"/>
      <c r="AM36" s="440"/>
      <c r="AN36" s="440"/>
      <c r="AO36" s="440"/>
      <c r="AP36" s="440"/>
      <c r="AQ36" s="440"/>
      <c r="AR36" s="440"/>
      <c r="AS36" s="440"/>
      <c r="AT36" s="440"/>
      <c r="AU36" s="440"/>
      <c r="AW36" s="311"/>
    </row>
    <row r="37" spans="34:49" ht="14.65" thickBot="1">
      <c r="AH37" s="311"/>
      <c r="AJ37" s="440"/>
      <c r="AK37" s="440"/>
      <c r="AL37" s="440"/>
      <c r="AM37" s="440"/>
      <c r="AN37" s="440"/>
      <c r="AO37" s="440"/>
      <c r="AP37" s="440"/>
      <c r="AQ37" s="440"/>
      <c r="AR37" s="440"/>
      <c r="AS37" s="440"/>
      <c r="AT37" s="440"/>
      <c r="AU37" s="440"/>
      <c r="AW37" s="311"/>
    </row>
    <row r="38" spans="34:49" ht="14.65" thickBot="1">
      <c r="AH38" s="311"/>
      <c r="AJ38" s="440"/>
      <c r="AK38" s="449" t="s">
        <v>857</v>
      </c>
      <c r="AL38" s="450"/>
      <c r="AM38" s="451">
        <v>3</v>
      </c>
      <c r="AN38" s="440"/>
      <c r="AO38" s="440"/>
      <c r="AP38" s="440"/>
      <c r="AQ38" s="440"/>
      <c r="AR38" s="440"/>
      <c r="AS38" s="440"/>
      <c r="AT38" s="440"/>
      <c r="AU38" s="440"/>
      <c r="AW38" s="311"/>
    </row>
    <row r="39" spans="34:49" ht="14.65" thickBot="1">
      <c r="AH39" s="311"/>
      <c r="AJ39" s="440"/>
      <c r="AK39" s="452" t="s">
        <v>113</v>
      </c>
      <c r="AL39" s="453"/>
      <c r="AM39" s="454">
        <v>7</v>
      </c>
      <c r="AN39" s="440"/>
      <c r="AO39" s="440"/>
      <c r="AP39" s="440"/>
      <c r="AQ39" s="440"/>
      <c r="AR39" s="440"/>
      <c r="AS39" s="440"/>
      <c r="AT39" s="440"/>
      <c r="AU39" s="440"/>
      <c r="AW39" s="311"/>
    </row>
    <row r="40" spans="34:49" ht="14.65" thickBot="1">
      <c r="AH40" s="311"/>
      <c r="AJ40" s="440"/>
      <c r="AK40" s="455" t="s">
        <v>71</v>
      </c>
      <c r="AL40" s="456"/>
      <c r="AM40" s="457">
        <f>INDEX(AL6:AU35,AM38,AM39)</f>
        <v>1830</v>
      </c>
      <c r="AN40" s="440"/>
      <c r="AO40" s="440"/>
      <c r="AP40" s="440"/>
      <c r="AQ40" s="440"/>
      <c r="AR40" s="440"/>
      <c r="AS40" s="440"/>
      <c r="AT40" s="440"/>
      <c r="AU40" s="440"/>
      <c r="AW40" s="311"/>
    </row>
  </sheetData>
  <mergeCells count="16">
    <mergeCell ref="A2:D2"/>
    <mergeCell ref="H2:L2"/>
    <mergeCell ref="P2:Y2"/>
    <mergeCell ref="A3:D3"/>
    <mergeCell ref="H3:L3"/>
    <mergeCell ref="P3:Y3"/>
    <mergeCell ref="Q9:R9"/>
    <mergeCell ref="AB17:AF17"/>
    <mergeCell ref="AJ3:AU3"/>
    <mergeCell ref="AL4:AU4"/>
    <mergeCell ref="AJ6:AJ35"/>
    <mergeCell ref="AY16:BA16"/>
    <mergeCell ref="AY18:BA18"/>
    <mergeCell ref="AY20:BA20"/>
    <mergeCell ref="AB3:AF3"/>
    <mergeCell ref="AB7:AF7"/>
  </mergeCells>
  <dataValidations count="6">
    <dataValidation type="list" allowBlank="1" showInputMessage="1" showErrorMessage="1" sqref="Q9 S9" xr:uid="{3D95DD1B-71BD-4ACE-A9F0-F5638AFD7DD0}">
      <formula1>$B$3:$J$3</formula1>
    </dataValidation>
    <dataValidation type="list" allowBlank="1" showInputMessage="1" showErrorMessage="1" sqref="I7" xr:uid="{62E78204-E48D-4ADF-900D-812582D07190}">
      <formula1>$D$5:$D$9</formula1>
    </dataValidation>
    <dataValidation type="list" allowBlank="1" showInputMessage="1" showErrorMessage="1" sqref="BB16" xr:uid="{74D8D3A4-C95C-4E20-9AB7-0B2BECD1AC3B}">
      <formula1>$A$5:$A$10</formula1>
    </dataValidation>
    <dataValidation type="list" allowBlank="1" showInputMessage="1" showErrorMessage="1" sqref="BB18" xr:uid="{B12F79F5-81F6-4220-8759-D4EAB7B629D1}">
      <formula1>$B$4:$K$4</formula1>
    </dataValidation>
    <dataValidation type="list" allowBlank="1" showInputMessage="1" showErrorMessage="1" sqref="AM38" xr:uid="{B64D48AE-9391-4200-9DC7-048F55D7D428}">
      <formula1>$B$5:$B$34</formula1>
    </dataValidation>
    <dataValidation type="list" allowBlank="1" showInputMessage="1" showErrorMessage="1" sqref="AM39" xr:uid="{701896C5-6F1D-4926-8340-EA4422F97E71}">
      <formula1>$C$4:$L$4</formula1>
    </dataValidation>
  </dataValidation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959E6-E719-43F8-B588-55C754ADC957}">
  <dimension ref="A1:AD40"/>
  <sheetViews>
    <sheetView workbookViewId="0"/>
  </sheetViews>
  <sheetFormatPr baseColWidth="10" defaultRowHeight="14.25"/>
  <cols>
    <col min="1" max="1" width="5.796875" customWidth="1"/>
    <col min="2" max="2" width="14.59765625" customWidth="1"/>
    <col min="4" max="4" width="6" customWidth="1"/>
    <col min="5" max="7" width="2.19921875" customWidth="1"/>
    <col min="8" max="8" width="25.19921875" customWidth="1"/>
    <col min="9" max="9" width="11.46484375" customWidth="1"/>
    <col min="10" max="10" width="12.1328125" customWidth="1"/>
    <col min="11" max="13" width="2.19921875" customWidth="1"/>
    <col min="14" max="14" width="18.3984375" customWidth="1"/>
    <col min="15" max="15" width="14.06640625" style="1" customWidth="1"/>
    <col min="16" max="16" width="13.6640625" customWidth="1"/>
    <col min="17" max="19" width="2.19921875" customWidth="1"/>
    <col min="20" max="20" width="19" customWidth="1"/>
    <col min="21" max="21" width="13.46484375" bestFit="1" customWidth="1"/>
    <col min="22" max="22" width="9.1328125" bestFit="1" customWidth="1"/>
    <col min="23" max="25" width="2.19921875" customWidth="1"/>
    <col min="26" max="26" width="14" customWidth="1"/>
    <col min="27" max="27" width="10.73046875" bestFit="1" customWidth="1"/>
    <col min="28" max="28" width="22.796875" bestFit="1" customWidth="1"/>
    <col min="29" max="31" width="2.19921875" customWidth="1"/>
  </cols>
  <sheetData>
    <row r="1" spans="1:30">
      <c r="F1" s="311"/>
      <c r="L1" s="311"/>
      <c r="R1" s="311"/>
      <c r="X1" s="311"/>
      <c r="AD1" s="311"/>
    </row>
    <row r="2" spans="1:30">
      <c r="F2" s="311"/>
      <c r="L2" s="311"/>
      <c r="R2" s="311"/>
      <c r="X2" s="311"/>
      <c r="AD2" s="311"/>
    </row>
    <row r="3" spans="1:30" ht="50.25" customHeight="1">
      <c r="F3" s="311"/>
      <c r="L3" s="311"/>
      <c r="R3" s="311"/>
      <c r="X3" s="311"/>
      <c r="AD3" s="311"/>
    </row>
    <row r="4" spans="1:30" ht="14.25" customHeight="1">
      <c r="A4" s="555" t="s">
        <v>732</v>
      </c>
      <c r="B4" s="555"/>
      <c r="C4" s="555"/>
      <c r="D4" s="555"/>
      <c r="F4" s="311"/>
      <c r="H4" s="552" t="s">
        <v>733</v>
      </c>
      <c r="I4" s="552"/>
      <c r="J4" s="552"/>
      <c r="L4" s="311"/>
      <c r="N4" s="553" t="s">
        <v>734</v>
      </c>
      <c r="O4" s="553"/>
      <c r="P4" s="553"/>
      <c r="R4" s="311"/>
      <c r="T4" s="351" t="s">
        <v>735</v>
      </c>
      <c r="U4" s="352"/>
      <c r="V4" s="352"/>
      <c r="X4" s="311"/>
      <c r="Z4" s="556" t="s">
        <v>736</v>
      </c>
      <c r="AA4" s="556"/>
      <c r="AB4" s="556"/>
      <c r="AD4" s="311"/>
    </row>
    <row r="5" spans="1:30">
      <c r="B5" s="353"/>
      <c r="F5" s="311"/>
      <c r="L5" s="311"/>
      <c r="N5" s="553"/>
      <c r="O5" s="553"/>
      <c r="P5" s="553"/>
      <c r="R5" s="311"/>
      <c r="T5" s="352"/>
      <c r="U5" s="352"/>
      <c r="V5" s="352"/>
      <c r="X5" s="311"/>
      <c r="Z5" s="556"/>
      <c r="AA5" s="556"/>
      <c r="AB5" s="556"/>
      <c r="AD5" s="311"/>
    </row>
    <row r="6" spans="1:30" ht="31.5" customHeight="1">
      <c r="A6" s="553" t="s">
        <v>737</v>
      </c>
      <c r="B6" s="553"/>
      <c r="C6" s="553"/>
      <c r="D6" s="553"/>
      <c r="F6" s="311"/>
      <c r="H6" s="354" t="s">
        <v>738</v>
      </c>
      <c r="I6" s="355" t="s">
        <v>739</v>
      </c>
      <c r="J6" s="355" t="s">
        <v>740</v>
      </c>
      <c r="L6" s="311"/>
      <c r="R6" s="311"/>
      <c r="T6" s="354" t="s">
        <v>741</v>
      </c>
      <c r="U6" s="354" t="s">
        <v>742</v>
      </c>
      <c r="V6" s="354" t="s">
        <v>743</v>
      </c>
      <c r="X6" s="311"/>
      <c r="Z6" s="556"/>
      <c r="AA6" s="556"/>
      <c r="AB6" s="556"/>
      <c r="AD6" s="311"/>
    </row>
    <row r="7" spans="1:30">
      <c r="F7" s="311"/>
      <c r="H7" s="356" t="s">
        <v>744</v>
      </c>
      <c r="I7" s="356" t="s">
        <v>745</v>
      </c>
      <c r="J7" s="357">
        <f>IFERROR(SEARCH(I7,H7),"pas de chaine")</f>
        <v>9</v>
      </c>
      <c r="L7" s="311"/>
      <c r="N7" s="354" t="s">
        <v>746</v>
      </c>
      <c r="O7" s="43">
        <v>3</v>
      </c>
      <c r="R7" s="311"/>
      <c r="T7" s="358" t="s">
        <v>747</v>
      </c>
      <c r="U7" s="359" t="str">
        <f>PROPER(LEFT(T7,SEARCH(" ",T7)))</f>
        <v xml:space="preserve">Thierry </v>
      </c>
      <c r="V7" s="359" t="str">
        <f>UPPER(RIGHT(T7,LEN(T7)-SEARCH(" ",T7)))</f>
        <v>CORENTIN</v>
      </c>
      <c r="X7" s="311"/>
      <c r="Z7" s="354" t="s">
        <v>742</v>
      </c>
      <c r="AA7" s="354" t="s">
        <v>743</v>
      </c>
      <c r="AB7" s="354" t="s">
        <v>748</v>
      </c>
      <c r="AD7" s="311"/>
    </row>
    <row r="8" spans="1:30">
      <c r="B8" s="360" t="s">
        <v>749</v>
      </c>
      <c r="C8" s="15">
        <v>5</v>
      </c>
      <c r="F8" s="311"/>
      <c r="H8" s="356" t="s">
        <v>750</v>
      </c>
      <c r="I8" s="356" t="s">
        <v>751</v>
      </c>
      <c r="J8" s="357">
        <f t="shared" ref="J8:J13" si="0">IFERROR(SEARCH(I8,H8),"pas de chaine")</f>
        <v>12</v>
      </c>
      <c r="L8" s="311"/>
      <c r="R8" s="311"/>
      <c r="T8" s="358" t="s">
        <v>752</v>
      </c>
      <c r="U8" s="359" t="str">
        <f t="shared" ref="U8:U12" si="1">PROPER(LEFT(T8,SEARCH(" ",T8)))</f>
        <v xml:space="preserve">Anne-Catherine </v>
      </c>
      <c r="V8" s="359" t="str">
        <f t="shared" ref="V8:V12" si="2">UPPER(RIGHT(T8,LEN(T8)-SEARCH(" ",T8)))</f>
        <v>DEMANGE</v>
      </c>
      <c r="X8" s="311"/>
      <c r="Z8" s="15" t="s">
        <v>753</v>
      </c>
      <c r="AA8" s="15" t="s">
        <v>707</v>
      </c>
      <c r="AB8" s="330" t="str">
        <f>LOWER(LEFT(Z8,1))&amp;"."&amp;LOWER(AA8)&amp;"@eurotrans.com"</f>
        <v>t.corentin@eurotrans.com</v>
      </c>
      <c r="AD8" s="311"/>
    </row>
    <row r="9" spans="1:30">
      <c r="B9" s="360" t="s">
        <v>754</v>
      </c>
      <c r="C9" s="15">
        <v>4</v>
      </c>
      <c r="F9" s="311"/>
      <c r="H9" s="356" t="s">
        <v>755</v>
      </c>
      <c r="I9" s="356" t="s">
        <v>756</v>
      </c>
      <c r="J9" s="357">
        <f t="shared" si="0"/>
        <v>6</v>
      </c>
      <c r="L9" s="311"/>
      <c r="N9" s="354" t="s">
        <v>757</v>
      </c>
      <c r="O9" s="264">
        <v>14536.42</v>
      </c>
      <c r="R9" s="311"/>
      <c r="T9" s="358" t="s">
        <v>758</v>
      </c>
      <c r="U9" s="359" t="str">
        <f t="shared" si="1"/>
        <v xml:space="preserve">Laura </v>
      </c>
      <c r="V9" s="359" t="str">
        <f t="shared" si="2"/>
        <v>KIEFFER</v>
      </c>
      <c r="X9" s="311"/>
      <c r="Z9" s="15" t="s">
        <v>759</v>
      </c>
      <c r="AA9" s="15" t="s">
        <v>760</v>
      </c>
      <c r="AB9" s="330" t="str">
        <f t="shared" ref="AB9:AB15" si="3">LOWER(LEFT(Z9,1))&amp;"."&amp;LOWER(AA9)&amp;"@eurotrans.com"</f>
        <v>a.demange@eurotrans.com</v>
      </c>
      <c r="AD9" s="311"/>
    </row>
    <row r="10" spans="1:30">
      <c r="F10" s="311"/>
      <c r="H10" s="361" t="s">
        <v>761</v>
      </c>
      <c r="I10" s="356" t="s">
        <v>762</v>
      </c>
      <c r="J10" s="357">
        <f t="shared" si="0"/>
        <v>8</v>
      </c>
      <c r="L10" s="311"/>
      <c r="R10" s="311"/>
      <c r="T10" s="358" t="s">
        <v>763</v>
      </c>
      <c r="U10" s="359" t="str">
        <f t="shared" si="1"/>
        <v xml:space="preserve">Colette </v>
      </c>
      <c r="V10" s="359" t="str">
        <f t="shared" si="2"/>
        <v>CHAMARD</v>
      </c>
      <c r="X10" s="311"/>
      <c r="Z10" s="15" t="s">
        <v>764</v>
      </c>
      <c r="AA10" s="15" t="s">
        <v>765</v>
      </c>
      <c r="AB10" s="330" t="str">
        <f t="shared" si="3"/>
        <v>l.kieffer@eurotrans.com</v>
      </c>
      <c r="AD10" s="311"/>
    </row>
    <row r="11" spans="1:30" ht="26.65">
      <c r="A11" s="362"/>
      <c r="B11" s="354" t="s">
        <v>105</v>
      </c>
      <c r="C11" s="355" t="s">
        <v>700</v>
      </c>
      <c r="D11" s="362"/>
      <c r="F11" s="311"/>
      <c r="H11" s="361" t="s">
        <v>766</v>
      </c>
      <c r="I11" s="356" t="s">
        <v>762</v>
      </c>
      <c r="J11" s="357">
        <f t="shared" si="0"/>
        <v>15</v>
      </c>
      <c r="L11" s="311"/>
      <c r="N11" s="354" t="s">
        <v>767</v>
      </c>
      <c r="O11" s="363">
        <v>43010</v>
      </c>
      <c r="R11" s="311"/>
      <c r="T11" s="358" t="s">
        <v>768</v>
      </c>
      <c r="U11" s="359" t="str">
        <f t="shared" si="1"/>
        <v xml:space="preserve">Marie </v>
      </c>
      <c r="V11" s="359" t="str">
        <f t="shared" si="2"/>
        <v>GLEYZE</v>
      </c>
      <c r="X11" s="311"/>
      <c r="Z11" s="15" t="s">
        <v>769</v>
      </c>
      <c r="AA11" s="15" t="s">
        <v>770</v>
      </c>
      <c r="AB11" s="330" t="str">
        <f t="shared" si="3"/>
        <v>c.chamard@eurotrans.com</v>
      </c>
      <c r="AD11" s="311"/>
    </row>
    <row r="12" spans="1:30">
      <c r="B12" s="356" t="s">
        <v>771</v>
      </c>
      <c r="C12" s="364" t="str">
        <f>MID(B12,C$8,C$9)</f>
        <v>INDU</v>
      </c>
      <c r="F12" s="311"/>
      <c r="H12" s="356" t="s">
        <v>772</v>
      </c>
      <c r="I12" s="356" t="s">
        <v>773</v>
      </c>
      <c r="J12" s="357">
        <f t="shared" si="0"/>
        <v>13</v>
      </c>
      <c r="L12" s="311"/>
      <c r="R12" s="311"/>
      <c r="T12" s="358" t="s">
        <v>774</v>
      </c>
      <c r="U12" s="359" t="str">
        <f t="shared" si="1"/>
        <v xml:space="preserve">Véronique </v>
      </c>
      <c r="V12" s="359" t="str">
        <f t="shared" si="2"/>
        <v>MOULIN</v>
      </c>
      <c r="X12" s="311"/>
      <c r="Z12" s="15" t="s">
        <v>775</v>
      </c>
      <c r="AA12" s="15" t="s">
        <v>776</v>
      </c>
      <c r="AB12" s="330" t="str">
        <f t="shared" si="3"/>
        <v>m.gleyze@eurotrans.com</v>
      </c>
      <c r="AD12" s="311"/>
    </row>
    <row r="13" spans="1:30">
      <c r="B13" s="356" t="s">
        <v>777</v>
      </c>
      <c r="C13" s="364" t="str">
        <f t="shared" ref="C13:C21" si="4">MID(B13,C$8,C$9)</f>
        <v>PROF</v>
      </c>
      <c r="F13" s="311"/>
      <c r="H13" s="356" t="s">
        <v>778</v>
      </c>
      <c r="I13" s="356" t="s">
        <v>779</v>
      </c>
      <c r="J13" s="365" t="str">
        <f t="shared" si="0"/>
        <v>pas de chaine</v>
      </c>
      <c r="L13" s="311"/>
      <c r="R13" s="311"/>
      <c r="X13" s="311"/>
      <c r="Z13" s="15" t="s">
        <v>780</v>
      </c>
      <c r="AA13" s="15" t="s">
        <v>781</v>
      </c>
      <c r="AB13" s="330" t="str">
        <f t="shared" si="3"/>
        <v>v.moulin@eurotrans.com</v>
      </c>
      <c r="AD13" s="311"/>
    </row>
    <row r="14" spans="1:30">
      <c r="B14" s="356" t="s">
        <v>782</v>
      </c>
      <c r="C14" s="364" t="str">
        <f t="shared" si="4"/>
        <v>PART</v>
      </c>
      <c r="F14" s="311"/>
      <c r="L14" s="311"/>
      <c r="R14" s="311"/>
      <c r="X14" s="311"/>
      <c r="Z14" s="356" t="s">
        <v>775</v>
      </c>
      <c r="AA14" s="356" t="s">
        <v>783</v>
      </c>
      <c r="AB14" s="330" t="str">
        <f t="shared" si="3"/>
        <v>m.toulouze@eurotrans.com</v>
      </c>
      <c r="AD14" s="311"/>
    </row>
    <row r="15" spans="1:30">
      <c r="B15" s="356" t="s">
        <v>784</v>
      </c>
      <c r="C15" s="364" t="str">
        <f t="shared" si="4"/>
        <v>PROF</v>
      </c>
      <c r="F15" s="311"/>
      <c r="L15" s="311"/>
      <c r="N15" s="557" t="str">
        <f>"le "&amp;TEXT(O11,"jjjj jj mmmm aaaa")&amp;", le montant des ventes HT a été de "&amp;O9&amp;" pour "&amp;O7&amp;" vendeurs."</f>
        <v>le lundi 02 octobre 2017, le montant des ventes HT a été de 14536,42 pour 3 vendeurs.</v>
      </c>
      <c r="O15" s="557"/>
      <c r="P15" s="557"/>
      <c r="R15" s="311"/>
      <c r="X15" s="311"/>
      <c r="Z15" s="356" t="s">
        <v>785</v>
      </c>
      <c r="AA15" s="356" t="s">
        <v>786</v>
      </c>
      <c r="AB15" s="330" t="str">
        <f t="shared" si="3"/>
        <v>l.lagrange@eurotrans.com</v>
      </c>
      <c r="AD15" s="311"/>
    </row>
    <row r="16" spans="1:30">
      <c r="B16" s="356" t="s">
        <v>787</v>
      </c>
      <c r="C16" s="364" t="str">
        <f t="shared" si="4"/>
        <v>PROF</v>
      </c>
      <c r="F16" s="311"/>
      <c r="L16" s="311"/>
      <c r="N16" s="557"/>
      <c r="O16" s="557"/>
      <c r="P16" s="557"/>
      <c r="R16" s="311"/>
      <c r="X16" s="311"/>
      <c r="AD16" s="311"/>
    </row>
    <row r="17" spans="2:30">
      <c r="B17" s="356" t="s">
        <v>788</v>
      </c>
      <c r="C17" s="364" t="str">
        <f t="shared" si="4"/>
        <v>SERV</v>
      </c>
      <c r="F17" s="311"/>
      <c r="L17" s="311"/>
      <c r="R17" s="311"/>
      <c r="X17" s="311"/>
      <c r="AD17" s="311"/>
    </row>
    <row r="18" spans="2:30">
      <c r="B18" s="356" t="s">
        <v>789</v>
      </c>
      <c r="C18" s="364" t="str">
        <f t="shared" si="4"/>
        <v>PROF</v>
      </c>
      <c r="F18" s="311"/>
      <c r="L18" s="311"/>
      <c r="R18" s="311"/>
      <c r="X18" s="311"/>
      <c r="AD18" s="311"/>
    </row>
    <row r="19" spans="2:30">
      <c r="B19" s="356" t="s">
        <v>790</v>
      </c>
      <c r="C19" s="364" t="str">
        <f t="shared" si="4"/>
        <v>PROF</v>
      </c>
      <c r="F19" s="311"/>
      <c r="L19" s="311"/>
      <c r="R19" s="311"/>
      <c r="X19" s="311"/>
      <c r="AD19" s="311"/>
    </row>
    <row r="20" spans="2:30">
      <c r="B20" s="356" t="s">
        <v>791</v>
      </c>
      <c r="C20" s="364" t="str">
        <f t="shared" si="4"/>
        <v>PART</v>
      </c>
      <c r="F20" s="311"/>
      <c r="L20" s="311"/>
      <c r="R20" s="311"/>
      <c r="X20" s="311"/>
      <c r="AD20" s="311"/>
    </row>
    <row r="21" spans="2:30">
      <c r="B21" s="356" t="s">
        <v>792</v>
      </c>
      <c r="C21" s="364" t="str">
        <f t="shared" si="4"/>
        <v>PART</v>
      </c>
      <c r="F21" s="311"/>
      <c r="L21" s="311"/>
      <c r="R21" s="311"/>
      <c r="X21" s="311"/>
      <c r="AD21" s="311"/>
    </row>
    <row r="24" spans="2:30">
      <c r="O24"/>
      <c r="P24" s="1"/>
    </row>
    <row r="25" spans="2:30" ht="23.25">
      <c r="B25" s="366" t="s">
        <v>793</v>
      </c>
      <c r="O25"/>
      <c r="P25" s="1"/>
    </row>
    <row r="26" spans="2:30" ht="23.25">
      <c r="B26" s="367" t="s">
        <v>794</v>
      </c>
      <c r="I26" s="368" t="s">
        <v>795</v>
      </c>
      <c r="O26"/>
      <c r="P26" s="1"/>
    </row>
    <row r="27" spans="2:30">
      <c r="J27" s="554" t="s">
        <v>796</v>
      </c>
      <c r="K27" s="554"/>
      <c r="L27" s="554"/>
      <c r="M27" s="554"/>
      <c r="N27" s="554"/>
      <c r="O27" s="554"/>
      <c r="P27" s="554"/>
      <c r="Q27" s="554"/>
      <c r="R27" s="554"/>
      <c r="S27" s="554"/>
      <c r="T27" s="554"/>
      <c r="U27" s="554"/>
      <c r="V27" s="554"/>
    </row>
    <row r="28" spans="2:30" ht="23.25">
      <c r="B28" s="367" t="s">
        <v>797</v>
      </c>
      <c r="J28" s="554"/>
      <c r="K28" s="554"/>
      <c r="L28" s="554"/>
      <c r="M28" s="554"/>
      <c r="N28" s="554"/>
      <c r="O28" s="554"/>
      <c r="P28" s="554"/>
      <c r="Q28" s="554"/>
      <c r="R28" s="554"/>
      <c r="S28" s="554"/>
      <c r="T28" s="554"/>
      <c r="U28" s="554"/>
      <c r="V28" s="554"/>
    </row>
    <row r="29" spans="2:30" ht="31.5" customHeight="1">
      <c r="J29" s="554"/>
      <c r="K29" s="554"/>
      <c r="L29" s="554"/>
      <c r="M29" s="554"/>
      <c r="N29" s="554"/>
      <c r="O29" s="554"/>
      <c r="P29" s="554"/>
      <c r="Q29" s="554"/>
      <c r="R29" s="554"/>
      <c r="S29" s="554"/>
      <c r="T29" s="554"/>
      <c r="U29" s="554"/>
      <c r="V29" s="554"/>
    </row>
    <row r="30" spans="2:30" ht="23.25">
      <c r="B30" s="367" t="s">
        <v>798</v>
      </c>
      <c r="I30" s="368" t="s">
        <v>799</v>
      </c>
      <c r="J30" s="369"/>
      <c r="K30" s="369"/>
      <c r="L30" s="369"/>
      <c r="M30" s="369"/>
      <c r="N30" s="369"/>
      <c r="O30" s="369"/>
      <c r="P30" s="369"/>
      <c r="Q30" s="369"/>
      <c r="R30" s="369"/>
      <c r="S30" s="369"/>
      <c r="T30" s="369"/>
      <c r="U30" s="369"/>
      <c r="V30" s="369"/>
    </row>
    <row r="31" spans="2:30" ht="23.25">
      <c r="B31" s="367" t="s">
        <v>800</v>
      </c>
      <c r="I31" s="368" t="s">
        <v>801</v>
      </c>
      <c r="O31"/>
      <c r="P31" s="1"/>
    </row>
    <row r="32" spans="2:30" ht="23.25">
      <c r="B32" s="367" t="s">
        <v>802</v>
      </c>
      <c r="I32" s="554" t="s">
        <v>803</v>
      </c>
      <c r="J32" s="554"/>
      <c r="K32" s="554"/>
      <c r="L32" s="554"/>
      <c r="M32" s="554"/>
      <c r="N32" s="554"/>
      <c r="O32" s="554"/>
      <c r="P32" s="554"/>
      <c r="Q32" s="554"/>
      <c r="R32" s="554"/>
      <c r="S32" s="554"/>
      <c r="T32" s="554"/>
      <c r="U32" s="554"/>
      <c r="V32" s="554"/>
    </row>
    <row r="33" spans="2:22">
      <c r="I33" s="554"/>
      <c r="J33" s="554"/>
      <c r="K33" s="554"/>
      <c r="L33" s="554"/>
      <c r="M33" s="554"/>
      <c r="N33" s="554"/>
      <c r="O33" s="554"/>
      <c r="P33" s="554"/>
      <c r="Q33" s="554"/>
      <c r="R33" s="554"/>
      <c r="S33" s="554"/>
      <c r="T33" s="554"/>
      <c r="U33" s="554"/>
      <c r="V33" s="554"/>
    </row>
    <row r="34" spans="2:22" ht="23.25">
      <c r="B34" s="367" t="s">
        <v>804</v>
      </c>
      <c r="I34" s="369"/>
      <c r="J34" s="369"/>
      <c r="K34" s="369"/>
      <c r="L34" s="369"/>
      <c r="M34" s="369"/>
      <c r="N34" s="369"/>
      <c r="O34" s="369"/>
      <c r="P34" s="369"/>
      <c r="Q34" s="369"/>
      <c r="R34" s="369"/>
      <c r="S34" s="369"/>
      <c r="T34" s="369"/>
      <c r="U34" s="369"/>
      <c r="V34" s="369"/>
    </row>
    <row r="35" spans="2:22" ht="23.25">
      <c r="B35" s="367" t="s">
        <v>805</v>
      </c>
      <c r="I35" s="369"/>
      <c r="J35" s="369"/>
      <c r="K35" s="369"/>
      <c r="L35" s="369"/>
      <c r="M35" s="369"/>
      <c r="N35" s="369"/>
      <c r="O35" s="369"/>
      <c r="P35" s="369"/>
      <c r="Q35" s="369"/>
      <c r="R35" s="369"/>
      <c r="S35" s="369"/>
      <c r="T35" s="369"/>
      <c r="U35" s="369"/>
      <c r="V35" s="369"/>
    </row>
    <row r="36" spans="2:22" ht="23.25">
      <c r="B36" s="367" t="s">
        <v>806</v>
      </c>
      <c r="I36" s="368" t="s">
        <v>807</v>
      </c>
      <c r="O36"/>
      <c r="P36" s="1"/>
    </row>
    <row r="37" spans="2:22" ht="23.25">
      <c r="B37" s="367" t="s">
        <v>808</v>
      </c>
      <c r="I37" s="368" t="s">
        <v>809</v>
      </c>
      <c r="O37"/>
      <c r="P37" s="1"/>
    </row>
    <row r="38" spans="2:22">
      <c r="O38"/>
      <c r="P38" s="1"/>
    </row>
    <row r="39" spans="2:22">
      <c r="O39"/>
      <c r="P39" s="1"/>
    </row>
    <row r="40" spans="2:22">
      <c r="O40"/>
      <c r="P40" s="1"/>
    </row>
  </sheetData>
  <mergeCells count="8">
    <mergeCell ref="Z4:AB6"/>
    <mergeCell ref="A6:D6"/>
    <mergeCell ref="N15:P16"/>
    <mergeCell ref="J27:V29"/>
    <mergeCell ref="I32:V33"/>
    <mergeCell ref="A4:D4"/>
    <mergeCell ref="H4:J4"/>
    <mergeCell ref="N4:P5"/>
  </mergeCells>
  <hyperlinks>
    <hyperlink ref="H10" r:id="rId1" xr:uid="{70AD15A3-2F7C-4936-AA9F-42CCF64C9BEA}"/>
    <hyperlink ref="H11" r:id="rId2" xr:uid="{4D3DD7EB-5AA7-4823-BADC-809FEAACBBB2}"/>
  </hyperlinks>
  <pageMargins left="0.7" right="0.7" top="0.75" bottom="0.75" header="0.3" footer="0.3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A4B4-FA04-4E6A-A883-754E86C796A4}">
  <dimension ref="A1:BK44"/>
  <sheetViews>
    <sheetView topLeftCell="Q2" workbookViewId="0"/>
  </sheetViews>
  <sheetFormatPr baseColWidth="10" defaultRowHeight="14.25"/>
  <cols>
    <col min="2" max="2" width="20.33203125" customWidth="1"/>
    <col min="3" max="3" width="15.19921875" bestFit="1" customWidth="1"/>
    <col min="4" max="6" width="2.6640625" customWidth="1"/>
    <col min="7" max="7" width="15" customWidth="1"/>
    <col min="11" max="11" width="6.19921875" bestFit="1" customWidth="1"/>
    <col min="12" max="12" width="10.19921875" bestFit="1" customWidth="1"/>
    <col min="13" max="15" width="2.6640625" customWidth="1"/>
    <col min="16" max="16" width="9.73046875" customWidth="1"/>
    <col min="18" max="18" width="11.53125" customWidth="1"/>
    <col min="19" max="19" width="12.06640625" customWidth="1"/>
    <col min="20" max="20" width="4.59765625" bestFit="1" customWidth="1"/>
    <col min="21" max="21" width="10.6640625" customWidth="1"/>
    <col min="22" max="24" width="2.6640625" customWidth="1"/>
    <col min="27" max="29" width="2.6640625" customWidth="1"/>
    <col min="34" max="36" width="2.6640625" customWidth="1"/>
    <col min="41" max="43" width="2.6640625" customWidth="1"/>
    <col min="44" max="44" width="2.6640625" style="380" customWidth="1"/>
    <col min="45" max="45" width="25.33203125" customWidth="1"/>
    <col min="46" max="46" width="9.19921875" customWidth="1"/>
    <col min="47" max="47" width="8.86328125" customWidth="1"/>
    <col min="48" max="48" width="14" customWidth="1"/>
    <col min="49" max="51" width="2.6640625" customWidth="1"/>
    <col min="52" max="52" width="7.59765625" customWidth="1"/>
    <col min="53" max="53" width="21.3984375" customWidth="1"/>
    <col min="55" max="57" width="2.6640625" customWidth="1"/>
    <col min="58" max="58" width="14.1328125" customWidth="1"/>
    <col min="59" max="59" width="23.6640625" customWidth="1"/>
    <col min="60" max="60" width="3.46484375" customWidth="1"/>
    <col min="61" max="61" width="3.59765625" customWidth="1"/>
    <col min="62" max="62" width="17.59765625" customWidth="1"/>
  </cols>
  <sheetData>
    <row r="1" spans="1:63">
      <c r="E1" s="25"/>
      <c r="N1" s="25"/>
      <c r="W1" s="25"/>
      <c r="AB1" s="25"/>
      <c r="AI1" s="25"/>
      <c r="AP1" s="25"/>
      <c r="AQ1" s="25"/>
      <c r="AX1" s="25"/>
      <c r="BD1" s="25"/>
    </row>
    <row r="2" spans="1:63">
      <c r="E2" s="25"/>
      <c r="N2" s="25"/>
      <c r="W2" s="25"/>
      <c r="AB2" s="25"/>
      <c r="AI2" s="25"/>
      <c r="AP2" s="25"/>
      <c r="AQ2" s="25"/>
      <c r="AX2" s="25"/>
      <c r="BD2" s="25"/>
    </row>
    <row r="3" spans="1:63" ht="52.5" customHeight="1">
      <c r="E3" s="25"/>
      <c r="N3" s="25"/>
      <c r="W3" s="25"/>
      <c r="AB3" s="25"/>
      <c r="AI3" s="25"/>
      <c r="AP3" s="25"/>
      <c r="AQ3" s="25"/>
      <c r="AX3" s="25"/>
      <c r="BD3" s="25"/>
    </row>
    <row r="4" spans="1:63">
      <c r="A4" s="353" t="s">
        <v>837</v>
      </c>
      <c r="E4" s="25"/>
      <c r="G4" s="353" t="s">
        <v>838</v>
      </c>
      <c r="N4" s="25"/>
      <c r="P4" s="353" t="s">
        <v>839</v>
      </c>
      <c r="W4" s="25"/>
      <c r="AB4" s="25"/>
      <c r="AI4" s="25"/>
      <c r="AP4" s="25"/>
      <c r="AQ4" s="25"/>
      <c r="AX4" s="25"/>
      <c r="BD4" s="25"/>
    </row>
    <row r="5" spans="1:63">
      <c r="E5" s="25"/>
      <c r="J5" s="571" t="s">
        <v>840</v>
      </c>
      <c r="K5" s="572"/>
      <c r="L5" s="381">
        <f ca="1">+TODAY()</f>
        <v>43595</v>
      </c>
      <c r="N5" s="25"/>
      <c r="W5" s="25"/>
      <c r="Y5" s="353" t="s">
        <v>841</v>
      </c>
      <c r="Z5" s="382"/>
      <c r="AB5" s="25"/>
      <c r="AD5" s="353" t="s">
        <v>842</v>
      </c>
      <c r="AI5" s="25"/>
      <c r="AK5" s="353" t="s">
        <v>843</v>
      </c>
      <c r="AP5" s="25"/>
      <c r="AQ5" s="25"/>
      <c r="AS5" s="383" t="s">
        <v>823</v>
      </c>
      <c r="AT5" s="15">
        <v>2018</v>
      </c>
      <c r="AX5" s="25"/>
      <c r="BD5" s="25"/>
    </row>
    <row r="6" spans="1:63" ht="14.65" thickBot="1">
      <c r="A6" t="s">
        <v>844</v>
      </c>
      <c r="C6" s="384">
        <f ca="1">NOW()</f>
        <v>43595.38506886574</v>
      </c>
      <c r="E6" s="25"/>
      <c r="J6" s="385"/>
      <c r="K6" s="385"/>
      <c r="L6" s="385"/>
      <c r="N6" s="25"/>
      <c r="W6" s="25"/>
      <c r="AB6" s="25"/>
      <c r="AI6" s="25"/>
      <c r="AP6" s="25"/>
      <c r="AQ6" s="25"/>
      <c r="AS6" s="383" t="s">
        <v>845</v>
      </c>
      <c r="AT6" s="15">
        <v>9</v>
      </c>
      <c r="AX6" s="25"/>
      <c r="BD6" s="25"/>
    </row>
    <row r="7" spans="1:63" ht="25.5" customHeight="1" thickTop="1" thickBot="1">
      <c r="A7" t="s">
        <v>846</v>
      </c>
      <c r="C7" s="381">
        <f ca="1">TODAY()</f>
        <v>43595</v>
      </c>
      <c r="E7" s="25"/>
      <c r="G7" s="564" t="s">
        <v>847</v>
      </c>
      <c r="H7" s="564" t="s">
        <v>848</v>
      </c>
      <c r="I7" s="564" t="s">
        <v>849</v>
      </c>
      <c r="J7" s="564" t="s">
        <v>850</v>
      </c>
      <c r="K7" s="564" t="s">
        <v>851</v>
      </c>
      <c r="L7" s="564" t="s">
        <v>852</v>
      </c>
      <c r="N7" s="25"/>
      <c r="P7" s="386" t="s">
        <v>743</v>
      </c>
      <c r="Q7" s="386" t="s">
        <v>853</v>
      </c>
      <c r="R7" s="386" t="s">
        <v>854</v>
      </c>
      <c r="S7" s="386" t="s">
        <v>855</v>
      </c>
      <c r="T7" s="386" t="s">
        <v>856</v>
      </c>
      <c r="U7" s="386" t="s">
        <v>857</v>
      </c>
      <c r="W7" s="25"/>
      <c r="Y7" s="387" t="s">
        <v>823</v>
      </c>
      <c r="Z7" s="388">
        <v>2018</v>
      </c>
      <c r="AB7" s="25"/>
      <c r="AD7" s="386" t="s">
        <v>858</v>
      </c>
      <c r="AE7" s="386" t="s">
        <v>859</v>
      </c>
      <c r="AF7" s="386" t="s">
        <v>860</v>
      </c>
      <c r="AG7" s="386" t="s">
        <v>861</v>
      </c>
      <c r="AI7" s="25"/>
      <c r="AL7" s="383" t="s">
        <v>862</v>
      </c>
      <c r="AM7" s="383" t="s">
        <v>863</v>
      </c>
      <c r="AN7" s="383" t="s">
        <v>864</v>
      </c>
      <c r="AP7" s="25"/>
      <c r="AQ7" s="25"/>
      <c r="AS7" s="565" t="s">
        <v>865</v>
      </c>
      <c r="AT7" s="566"/>
      <c r="AU7" s="566"/>
      <c r="AV7" s="566"/>
      <c r="AX7" s="25"/>
      <c r="AZ7" s="512" t="s">
        <v>866</v>
      </c>
      <c r="BA7" s="512"/>
      <c r="BB7" s="512"/>
      <c r="BD7" s="25"/>
      <c r="BF7" s="389" t="s">
        <v>867</v>
      </c>
      <c r="BG7" s="4"/>
      <c r="BH7" s="4"/>
      <c r="BI7" s="4"/>
      <c r="BJ7" s="4"/>
      <c r="BK7" s="4"/>
    </row>
    <row r="8" spans="1:63" ht="18.75" customHeight="1" thickTop="1" thickBot="1">
      <c r="E8" s="25"/>
      <c r="G8" s="564"/>
      <c r="H8" s="564"/>
      <c r="I8" s="564"/>
      <c r="J8" s="564"/>
      <c r="K8" s="564"/>
      <c r="L8" s="564"/>
      <c r="N8" s="25"/>
      <c r="P8" s="15" t="s">
        <v>868</v>
      </c>
      <c r="Q8" s="390">
        <v>32995</v>
      </c>
      <c r="R8" s="41">
        <v>40270</v>
      </c>
      <c r="S8" s="391">
        <f>WEEKDAY(Q8,1)</f>
        <v>4</v>
      </c>
      <c r="T8" s="392">
        <f ca="1">YEAR(TODAY())-YEAR(Q8)</f>
        <v>29</v>
      </c>
      <c r="U8" s="392">
        <f ca="1">YEAR(TODAY())-YEAR(R8)</f>
        <v>9</v>
      </c>
      <c r="W8" s="25"/>
      <c r="Y8" s="393"/>
      <c r="Z8" s="393"/>
      <c r="AB8" s="25"/>
      <c r="AD8" s="394">
        <v>0.20833333333333334</v>
      </c>
      <c r="AE8" s="394">
        <v>0.20833333333333334</v>
      </c>
      <c r="AF8" s="394">
        <v>0.20833333333333334</v>
      </c>
      <c r="AG8" s="394">
        <v>0.20833333333333334</v>
      </c>
      <c r="AI8" s="25"/>
      <c r="AK8" s="15" t="s">
        <v>869</v>
      </c>
      <c r="AL8" s="394">
        <v>0.33333333333333331</v>
      </c>
      <c r="AM8" s="394">
        <v>0.72916666666666663</v>
      </c>
      <c r="AN8" s="395">
        <f>IF(AM8&gt;13.5/24,AM8-AL8-0.75/24,AM8-AL8)</f>
        <v>0.36458333333333331</v>
      </c>
      <c r="AP8" s="25"/>
      <c r="AQ8" s="25"/>
      <c r="AS8" s="565"/>
      <c r="AT8" s="566"/>
      <c r="AU8" s="566"/>
      <c r="AV8" s="566"/>
      <c r="AX8" s="25"/>
      <c r="AZ8" s="512"/>
      <c r="BA8" s="512"/>
      <c r="BB8" s="512"/>
      <c r="BD8" s="25"/>
      <c r="BF8" s="4"/>
      <c r="BG8" s="4"/>
      <c r="BH8" s="4"/>
      <c r="BI8" s="4"/>
      <c r="BJ8" s="4"/>
      <c r="BK8" s="4"/>
    </row>
    <row r="9" spans="1:63" ht="14.65" thickTop="1">
      <c r="A9" t="s">
        <v>870</v>
      </c>
      <c r="C9" s="396">
        <f ca="1">MONTH(TODAY())</f>
        <v>5</v>
      </c>
      <c r="E9" s="25"/>
      <c r="G9" s="397" t="s">
        <v>871</v>
      </c>
      <c r="H9" s="398">
        <v>41641</v>
      </c>
      <c r="I9" s="398">
        <v>41848</v>
      </c>
      <c r="J9" s="398">
        <v>41841</v>
      </c>
      <c r="K9" s="399" t="str">
        <f>IF(H9="","",IF(AND(J9&lt;I9,J9&lt;&gt;""),"avance",IF(OR(J9&gt;I9,AND(J9="",L$2&gt;I9)),"retard","")))</f>
        <v>avance</v>
      </c>
      <c r="L9" s="400">
        <f>IF(H9="","",IF(J9="",IF(L$2&gt;I9,L$2-I9,""),J9-I9))</f>
        <v>-7</v>
      </c>
      <c r="N9" s="25"/>
      <c r="P9" s="15" t="s">
        <v>22</v>
      </c>
      <c r="Q9" s="390">
        <v>32454</v>
      </c>
      <c r="R9" s="41">
        <v>40506</v>
      </c>
      <c r="S9" s="391">
        <f t="shared" ref="S9:S13" si="0">WEEKDAY(Q9,1)</f>
        <v>2</v>
      </c>
      <c r="T9" s="392">
        <f t="shared" ref="T9:U13" ca="1" si="1">YEAR(TODAY())-YEAR(Q9)</f>
        <v>31</v>
      </c>
      <c r="U9" s="392">
        <f t="shared" ca="1" si="1"/>
        <v>9</v>
      </c>
      <c r="W9" s="25"/>
      <c r="Y9" s="569" t="s">
        <v>872</v>
      </c>
      <c r="Z9" s="569" t="s">
        <v>873</v>
      </c>
      <c r="AB9" s="25"/>
      <c r="AD9" s="395">
        <f>+AD8+2/24</f>
        <v>0.29166666666666669</v>
      </c>
      <c r="AE9" s="395">
        <f>+AE8+1/24</f>
        <v>0.25</v>
      </c>
      <c r="AF9" s="395">
        <f>+AF8+1/24/4</f>
        <v>0.21875</v>
      </c>
      <c r="AG9" s="395">
        <f>+AG8+1/24/6</f>
        <v>0.21527777777777779</v>
      </c>
      <c r="AI9" s="25"/>
      <c r="AK9" s="15" t="s">
        <v>874</v>
      </c>
      <c r="AL9" s="394">
        <v>0.33333333333333331</v>
      </c>
      <c r="AM9" s="394">
        <v>0.72916666666666663</v>
      </c>
      <c r="AN9" s="395">
        <f t="shared" ref="AN9:AN13" si="2">IF(AM9&gt;13.5/24,AM9-AL9-0.75/24,AM9-AL9)</f>
        <v>0.36458333333333331</v>
      </c>
      <c r="AP9" s="25"/>
      <c r="AQ9" s="25"/>
      <c r="AS9" s="567"/>
      <c r="AT9" s="568"/>
      <c r="AU9" s="568"/>
      <c r="AV9" s="568"/>
      <c r="AX9" s="25"/>
      <c r="AZ9" s="512"/>
      <c r="BA9" s="512"/>
      <c r="BB9" s="512"/>
      <c r="BD9" s="25"/>
      <c r="BF9" s="560" t="s">
        <v>875</v>
      </c>
      <c r="BG9" s="561"/>
      <c r="BH9" s="4"/>
      <c r="BI9" s="4"/>
      <c r="BJ9" s="559" t="s">
        <v>876</v>
      </c>
      <c r="BK9" s="559"/>
    </row>
    <row r="10" spans="1:63" ht="14.65" thickBot="1">
      <c r="A10" t="s">
        <v>877</v>
      </c>
      <c r="C10" s="396">
        <f ca="1">YEAR(TODAY())</f>
        <v>2019</v>
      </c>
      <c r="E10" s="25"/>
      <c r="G10" s="401" t="s">
        <v>878</v>
      </c>
      <c r="H10" s="307">
        <v>41692</v>
      </c>
      <c r="I10" s="307">
        <v>41732</v>
      </c>
      <c r="J10" s="307">
        <v>41785</v>
      </c>
      <c r="K10" s="402" t="str">
        <f t="shared" ref="K10:K14" si="3">IF(H10="","",IF(AND(J10&lt;I10,J10&lt;&gt;""),"avance",IF(OR(J10&gt;I10,AND(J10="",L$2&gt;I10)),"retard","")))</f>
        <v>retard</v>
      </c>
      <c r="L10" s="403">
        <f t="shared" ref="L10:L15" si="4">IF(H10="","",IF(J10="",IF(L$2&gt;I10,L$2-I10,""),J10-I10))</f>
        <v>53</v>
      </c>
      <c r="N10" s="25"/>
      <c r="P10" s="15" t="s">
        <v>879</v>
      </c>
      <c r="Q10" s="390">
        <v>26256</v>
      </c>
      <c r="R10" s="41">
        <v>34674</v>
      </c>
      <c r="S10" s="391">
        <f t="shared" si="0"/>
        <v>6</v>
      </c>
      <c r="T10" s="392">
        <f t="shared" ca="1" si="1"/>
        <v>48</v>
      </c>
      <c r="U10" s="392">
        <f t="shared" ca="1" si="1"/>
        <v>25</v>
      </c>
      <c r="W10" s="25"/>
      <c r="Y10" s="570"/>
      <c r="Z10" s="570"/>
      <c r="AB10" s="25"/>
      <c r="AD10" s="395">
        <f t="shared" ref="AD10:AD20" si="5">+AD9+2/24</f>
        <v>0.375</v>
      </c>
      <c r="AE10" s="395">
        <f t="shared" ref="AE10:AE20" si="6">+AE9+1/24</f>
        <v>0.29166666666666669</v>
      </c>
      <c r="AF10" s="395">
        <f t="shared" ref="AF10:AF20" si="7">+AF9+1/24/4</f>
        <v>0.22916666666666666</v>
      </c>
      <c r="AG10" s="395">
        <f t="shared" ref="AG10:AG20" si="8">+AG9+1/24/6</f>
        <v>0.22222222222222224</v>
      </c>
      <c r="AI10" s="25"/>
      <c r="AK10" s="15" t="s">
        <v>880</v>
      </c>
      <c r="AL10" s="394">
        <v>0.33333333333333331</v>
      </c>
      <c r="AM10" s="394">
        <v>0.625</v>
      </c>
      <c r="AN10" s="395">
        <f t="shared" si="2"/>
        <v>0.26041666666666669</v>
      </c>
      <c r="AP10" s="25"/>
      <c r="AQ10" s="25"/>
      <c r="AS10" s="404" t="s">
        <v>767</v>
      </c>
      <c r="AT10" s="405" t="s">
        <v>881</v>
      </c>
      <c r="AU10" s="405" t="s">
        <v>606</v>
      </c>
      <c r="AV10" s="405" t="s">
        <v>882</v>
      </c>
      <c r="AX10" s="25"/>
      <c r="BD10" s="25"/>
      <c r="BF10" s="406" t="s">
        <v>883</v>
      </c>
      <c r="BG10" s="407">
        <v>41822</v>
      </c>
      <c r="BH10" s="4"/>
      <c r="BI10" s="4"/>
      <c r="BJ10" s="408" t="s">
        <v>884</v>
      </c>
      <c r="BK10" s="409">
        <v>41275</v>
      </c>
    </row>
    <row r="11" spans="1:63" ht="14.65" thickTop="1">
      <c r="E11" s="25"/>
      <c r="G11" s="401" t="s">
        <v>885</v>
      </c>
      <c r="H11" s="307">
        <v>41712</v>
      </c>
      <c r="I11" s="307">
        <v>41961</v>
      </c>
      <c r="J11" s="76"/>
      <c r="K11" s="402" t="str">
        <f t="shared" si="3"/>
        <v/>
      </c>
      <c r="L11" s="403" t="str">
        <f t="shared" si="4"/>
        <v/>
      </c>
      <c r="N11" s="25"/>
      <c r="P11" s="15" t="s">
        <v>886</v>
      </c>
      <c r="Q11" s="390">
        <v>30970</v>
      </c>
      <c r="R11" s="41">
        <v>40483</v>
      </c>
      <c r="S11" s="391">
        <f t="shared" si="0"/>
        <v>2</v>
      </c>
      <c r="T11" s="392">
        <f t="shared" ca="1" si="1"/>
        <v>35</v>
      </c>
      <c r="U11" s="392">
        <f t="shared" ca="1" si="1"/>
        <v>9</v>
      </c>
      <c r="W11" s="25"/>
      <c r="Y11" s="410">
        <f>+DATE(Z7,1,1)</f>
        <v>43101</v>
      </c>
      <c r="Z11" s="410">
        <f>EOMONTH(Y11,0)</f>
        <v>43131</v>
      </c>
      <c r="AB11" s="25"/>
      <c r="AD11" s="395">
        <f t="shared" si="5"/>
        <v>0.45833333333333331</v>
      </c>
      <c r="AE11" s="395">
        <f t="shared" si="6"/>
        <v>0.33333333333333337</v>
      </c>
      <c r="AF11" s="395">
        <f t="shared" si="7"/>
        <v>0.23958333333333331</v>
      </c>
      <c r="AG11" s="395">
        <f t="shared" si="8"/>
        <v>0.22916666666666669</v>
      </c>
      <c r="AI11" s="25"/>
      <c r="AK11" s="15" t="s">
        <v>887</v>
      </c>
      <c r="AL11" s="394">
        <v>0.33333333333333331</v>
      </c>
      <c r="AM11" s="394">
        <v>0.67708333333333337</v>
      </c>
      <c r="AN11" s="395">
        <f t="shared" si="2"/>
        <v>0.31250000000000006</v>
      </c>
      <c r="AP11" s="25"/>
      <c r="AQ11" s="25"/>
      <c r="AR11" s="380">
        <f>IFERROR(WEEKDAY(AS11,16),"")</f>
        <v>1</v>
      </c>
      <c r="AS11" s="411">
        <f>DATE(AT5,AT6,1)</f>
        <v>43344</v>
      </c>
      <c r="AT11" s="412"/>
      <c r="AU11" s="412"/>
      <c r="AV11" s="412"/>
      <c r="AX11" s="25"/>
      <c r="AZ11" s="413" t="s">
        <v>888</v>
      </c>
      <c r="BA11" s="4"/>
      <c r="BB11" s="4"/>
      <c r="BD11" s="25"/>
      <c r="BF11" s="406" t="s">
        <v>889</v>
      </c>
      <c r="BG11" s="407">
        <v>42272</v>
      </c>
      <c r="BH11" s="4"/>
      <c r="BI11" s="4"/>
      <c r="BJ11" s="408" t="s">
        <v>890</v>
      </c>
      <c r="BK11" s="409">
        <v>41380</v>
      </c>
    </row>
    <row r="12" spans="1:63">
      <c r="A12" t="s">
        <v>891</v>
      </c>
      <c r="C12" s="396">
        <f ca="1">DAY(TODAY())</f>
        <v>10</v>
      </c>
      <c r="E12" s="25"/>
      <c r="G12" s="401" t="s">
        <v>892</v>
      </c>
      <c r="H12" s="307">
        <v>41746</v>
      </c>
      <c r="I12" s="414" t="s">
        <v>893</v>
      </c>
      <c r="J12" s="76"/>
      <c r="K12" s="402" t="str">
        <f t="shared" si="3"/>
        <v/>
      </c>
      <c r="L12" s="403" t="str">
        <f t="shared" si="4"/>
        <v/>
      </c>
      <c r="N12" s="25"/>
      <c r="P12" s="15" t="s">
        <v>894</v>
      </c>
      <c r="Q12" s="390">
        <v>27670</v>
      </c>
      <c r="R12" s="41">
        <v>38282</v>
      </c>
      <c r="S12" s="391">
        <f t="shared" si="0"/>
        <v>6</v>
      </c>
      <c r="T12" s="392">
        <f t="shared" ca="1" si="1"/>
        <v>44</v>
      </c>
      <c r="U12" s="392">
        <f t="shared" ca="1" si="1"/>
        <v>15</v>
      </c>
      <c r="W12" s="25"/>
      <c r="Y12" s="381">
        <f>+Z11+1</f>
        <v>43132</v>
      </c>
      <c r="Z12" s="381">
        <f t="shared" ref="Z12:Z22" si="9">EOMONTH(Y12,0)</f>
        <v>43159</v>
      </c>
      <c r="AB12" s="25"/>
      <c r="AD12" s="395">
        <f t="shared" si="5"/>
        <v>0.54166666666666663</v>
      </c>
      <c r="AE12" s="395">
        <f t="shared" si="6"/>
        <v>0.37500000000000006</v>
      </c>
      <c r="AF12" s="395">
        <f t="shared" si="7"/>
        <v>0.24999999999999997</v>
      </c>
      <c r="AG12" s="395">
        <f t="shared" si="8"/>
        <v>0.23611111111111113</v>
      </c>
      <c r="AI12" s="25"/>
      <c r="AK12" s="15" t="s">
        <v>895</v>
      </c>
      <c r="AL12" s="394">
        <v>0.33333333333333331</v>
      </c>
      <c r="AM12" s="394">
        <v>0.59375</v>
      </c>
      <c r="AN12" s="395">
        <f t="shared" si="2"/>
        <v>0.22916666666666669</v>
      </c>
      <c r="AP12" s="25"/>
      <c r="AQ12" s="25"/>
      <c r="AR12" s="380">
        <f t="shared" ref="AR12:AR41" si="10">IFERROR(WEEKDAY(AS12,16),"")</f>
        <v>2</v>
      </c>
      <c r="AS12" s="412">
        <f t="shared" ref="AS12:AS41" si="11">IF(AS11="","",IF(MONTH(AS11)=MONTH(AS11+1),AS11+1,""))</f>
        <v>43345</v>
      </c>
      <c r="AT12" s="412"/>
      <c r="AU12" s="412"/>
      <c r="AV12" s="412"/>
      <c r="AX12" s="25"/>
      <c r="BD12" s="25"/>
      <c r="BF12" s="415"/>
      <c r="BG12" s="416"/>
      <c r="BH12" s="4"/>
      <c r="BI12" s="4"/>
      <c r="BJ12" s="408" t="s">
        <v>896</v>
      </c>
      <c r="BK12" s="409">
        <v>41394</v>
      </c>
    </row>
    <row r="13" spans="1:63" ht="14.65" thickBot="1">
      <c r="E13" s="25"/>
      <c r="G13" s="401" t="s">
        <v>897</v>
      </c>
      <c r="H13" s="307">
        <v>41748</v>
      </c>
      <c r="I13" s="307">
        <v>41862</v>
      </c>
      <c r="J13" s="307">
        <v>41851</v>
      </c>
      <c r="K13" s="402" t="str">
        <f t="shared" si="3"/>
        <v>avance</v>
      </c>
      <c r="L13" s="403">
        <f t="shared" si="4"/>
        <v>-11</v>
      </c>
      <c r="N13" s="25"/>
      <c r="P13" s="15" t="s">
        <v>898</v>
      </c>
      <c r="Q13" s="390">
        <v>20530</v>
      </c>
      <c r="R13" s="41">
        <v>31504</v>
      </c>
      <c r="S13" s="391">
        <f t="shared" si="0"/>
        <v>6</v>
      </c>
      <c r="T13" s="392">
        <f t="shared" ca="1" si="1"/>
        <v>63</v>
      </c>
      <c r="U13" s="392">
        <f t="shared" ca="1" si="1"/>
        <v>33</v>
      </c>
      <c r="W13" s="25"/>
      <c r="Y13" s="381">
        <f t="shared" ref="Y13:Y22" si="12">+Z12+1</f>
        <v>43160</v>
      </c>
      <c r="Z13" s="381">
        <f t="shared" si="9"/>
        <v>43190</v>
      </c>
      <c r="AB13" s="25"/>
      <c r="AD13" s="395">
        <f t="shared" si="5"/>
        <v>0.625</v>
      </c>
      <c r="AE13" s="395">
        <f t="shared" si="6"/>
        <v>0.41666666666666674</v>
      </c>
      <c r="AF13" s="395">
        <f t="shared" si="7"/>
        <v>0.26041666666666663</v>
      </c>
      <c r="AG13" s="395">
        <f t="shared" si="8"/>
        <v>0.24305555555555558</v>
      </c>
      <c r="AI13" s="25"/>
      <c r="AK13" s="15" t="s">
        <v>899</v>
      </c>
      <c r="AL13" s="394">
        <v>0.33333333333333331</v>
      </c>
      <c r="AM13" s="394">
        <v>0.5</v>
      </c>
      <c r="AN13" s="395">
        <f t="shared" si="2"/>
        <v>0.16666666666666669</v>
      </c>
      <c r="AP13" s="25"/>
      <c r="AQ13" s="25"/>
      <c r="AR13" s="380">
        <f t="shared" si="10"/>
        <v>3</v>
      </c>
      <c r="AS13" s="412">
        <f t="shared" si="11"/>
        <v>43346</v>
      </c>
      <c r="AT13" s="412"/>
      <c r="AU13" s="412"/>
      <c r="AV13" s="412"/>
      <c r="AX13" s="25"/>
      <c r="AZ13" s="4" t="s">
        <v>900</v>
      </c>
      <c r="BA13" s="417">
        <v>2</v>
      </c>
      <c r="BB13" s="4" t="s">
        <v>901</v>
      </c>
      <c r="BD13" s="25"/>
      <c r="BF13" s="418" t="s">
        <v>867</v>
      </c>
      <c r="BG13" s="419">
        <f>NETWORKDAYS(BG10,BG11,BK10:BK42)</f>
        <v>311</v>
      </c>
      <c r="BH13" s="4"/>
      <c r="BI13" s="4"/>
      <c r="BJ13" s="420" t="s">
        <v>902</v>
      </c>
      <c r="BK13" s="409">
        <v>41401</v>
      </c>
    </row>
    <row r="14" spans="1:63">
      <c r="A14" t="s">
        <v>903</v>
      </c>
      <c r="C14" s="396">
        <f ca="1">WEEKDAY(TODAY())</f>
        <v>6</v>
      </c>
      <c r="E14" s="25"/>
      <c r="G14" s="401" t="s">
        <v>904</v>
      </c>
      <c r="H14" s="307">
        <v>41788</v>
      </c>
      <c r="I14" s="307">
        <v>41912</v>
      </c>
      <c r="J14" s="76"/>
      <c r="K14" s="402" t="str">
        <f t="shared" si="3"/>
        <v/>
      </c>
      <c r="L14" s="403" t="str">
        <f t="shared" si="4"/>
        <v/>
      </c>
      <c r="N14" s="25"/>
      <c r="W14" s="25"/>
      <c r="Y14" s="381">
        <f t="shared" si="12"/>
        <v>43191</v>
      </c>
      <c r="Z14" s="381">
        <f t="shared" si="9"/>
        <v>43220</v>
      </c>
      <c r="AB14" s="25"/>
      <c r="AD14" s="395">
        <f t="shared" si="5"/>
        <v>0.70833333333333337</v>
      </c>
      <c r="AE14" s="395">
        <f t="shared" si="6"/>
        <v>0.45833333333333343</v>
      </c>
      <c r="AF14" s="395">
        <f t="shared" si="7"/>
        <v>0.27083333333333331</v>
      </c>
      <c r="AG14" s="395">
        <f t="shared" si="8"/>
        <v>0.25</v>
      </c>
      <c r="AI14" s="25"/>
      <c r="AM14" t="s">
        <v>905</v>
      </c>
      <c r="AN14" s="395">
        <f>SUM(AN8:AN13)</f>
        <v>1.6979166666666667</v>
      </c>
      <c r="AP14" s="25"/>
      <c r="AQ14" s="25"/>
      <c r="AR14" s="380">
        <f t="shared" si="10"/>
        <v>4</v>
      </c>
      <c r="AS14" s="412">
        <f t="shared" si="11"/>
        <v>43347</v>
      </c>
      <c r="AT14" s="412"/>
      <c r="AU14" s="412"/>
      <c r="AV14" s="412"/>
      <c r="AX14" s="25"/>
      <c r="BB14" s="4"/>
      <c r="BD14" s="25"/>
      <c r="BF14" s="4"/>
      <c r="BG14" s="4"/>
      <c r="BH14" s="4"/>
      <c r="BI14" s="4"/>
      <c r="BJ14" s="408" t="s">
        <v>906</v>
      </c>
      <c r="BK14" s="409">
        <v>41418</v>
      </c>
    </row>
    <row r="15" spans="1:63" ht="14.65" thickBot="1">
      <c r="E15" s="25"/>
      <c r="G15" s="401" t="s">
        <v>907</v>
      </c>
      <c r="H15" s="307">
        <v>41788</v>
      </c>
      <c r="I15" s="307">
        <v>41866</v>
      </c>
      <c r="J15" s="307">
        <v>41852</v>
      </c>
      <c r="K15" s="402" t="str">
        <f>IF(H15="","",IF(AND(J15&lt;I15,J15&lt;&gt;""),"avance",IF(OR(J15&gt;I15,AND(J15="",L$2&gt;I15)),"retard","")))</f>
        <v>avance</v>
      </c>
      <c r="L15" s="403">
        <f t="shared" si="4"/>
        <v>-14</v>
      </c>
      <c r="N15" s="25"/>
      <c r="W15" s="25"/>
      <c r="Y15" s="381">
        <f t="shared" si="12"/>
        <v>43221</v>
      </c>
      <c r="Z15" s="381">
        <f t="shared" si="9"/>
        <v>43251</v>
      </c>
      <c r="AB15" s="25"/>
      <c r="AD15" s="395">
        <f t="shared" si="5"/>
        <v>0.79166666666666674</v>
      </c>
      <c r="AE15" s="395">
        <f t="shared" si="6"/>
        <v>0.50000000000000011</v>
      </c>
      <c r="AF15" s="395">
        <f t="shared" si="7"/>
        <v>0.28125</v>
      </c>
      <c r="AG15" s="395">
        <f t="shared" si="8"/>
        <v>0.25694444444444442</v>
      </c>
      <c r="AI15" s="25"/>
      <c r="AK15" t="s">
        <v>908</v>
      </c>
      <c r="AP15" s="25"/>
      <c r="AQ15" s="25"/>
      <c r="AR15" s="380">
        <f t="shared" si="10"/>
        <v>5</v>
      </c>
      <c r="AS15" s="412">
        <f t="shared" si="11"/>
        <v>43348</v>
      </c>
      <c r="AT15" s="412"/>
      <c r="AU15" s="412"/>
      <c r="AV15" s="412"/>
      <c r="AX15" s="25"/>
      <c r="BB15" s="421"/>
      <c r="BD15" s="25"/>
      <c r="BF15" s="4"/>
      <c r="BG15" s="4"/>
      <c r="BH15" s="4"/>
      <c r="BI15" s="4"/>
      <c r="BJ15" s="408" t="s">
        <v>909</v>
      </c>
      <c r="BK15" s="409">
        <v>41428</v>
      </c>
    </row>
    <row r="16" spans="1:63" ht="14.65" thickBot="1">
      <c r="E16" s="25"/>
      <c r="G16" s="422"/>
      <c r="H16" s="423"/>
      <c r="I16" s="423"/>
      <c r="J16" s="423"/>
      <c r="K16" s="424" t="str">
        <f t="shared" ref="K16" si="13">+IF(ISBLANK(J16)," ",IF(J16&lt;I16,"avance",IF(J16&gt;I16,"retard")))</f>
        <v xml:space="preserve"> </v>
      </c>
      <c r="L16" s="425"/>
      <c r="N16" s="25"/>
      <c r="W16" s="25"/>
      <c r="Y16" s="381">
        <f t="shared" si="12"/>
        <v>43252</v>
      </c>
      <c r="Z16" s="381">
        <f t="shared" si="9"/>
        <v>43281</v>
      </c>
      <c r="AB16" s="25"/>
      <c r="AD16" s="395">
        <f t="shared" si="5"/>
        <v>0.87500000000000011</v>
      </c>
      <c r="AE16" s="395">
        <f t="shared" si="6"/>
        <v>0.54166666666666674</v>
      </c>
      <c r="AF16" s="395">
        <f t="shared" si="7"/>
        <v>0.29166666666666669</v>
      </c>
      <c r="AG16" s="395">
        <f t="shared" si="8"/>
        <v>0.26388888888888884</v>
      </c>
      <c r="AI16" s="25"/>
      <c r="AP16" s="25"/>
      <c r="AQ16" s="25"/>
      <c r="AR16" s="380">
        <f t="shared" si="10"/>
        <v>6</v>
      </c>
      <c r="AS16" s="412">
        <f t="shared" si="11"/>
        <v>43349</v>
      </c>
      <c r="AT16" s="412"/>
      <c r="AU16" s="412"/>
      <c r="AV16" s="412"/>
      <c r="AX16" s="25"/>
      <c r="BB16" s="421"/>
      <c r="BD16" s="25"/>
      <c r="BF16" s="560" t="s">
        <v>910</v>
      </c>
      <c r="BG16" s="561"/>
      <c r="BH16" s="4"/>
      <c r="BI16" s="4"/>
      <c r="BJ16" s="408" t="s">
        <v>911</v>
      </c>
      <c r="BK16" s="409">
        <v>41468</v>
      </c>
    </row>
    <row r="17" spans="1:63" ht="15" thickTop="1" thickBot="1">
      <c r="A17" t="s">
        <v>912</v>
      </c>
      <c r="E17" s="25"/>
      <c r="N17" s="25"/>
      <c r="W17" s="25"/>
      <c r="Y17" s="381">
        <f t="shared" si="12"/>
        <v>43282</v>
      </c>
      <c r="Z17" s="381">
        <f t="shared" si="9"/>
        <v>43312</v>
      </c>
      <c r="AB17" s="25"/>
      <c r="AD17" s="395">
        <f t="shared" si="5"/>
        <v>0.95833333333333348</v>
      </c>
      <c r="AE17" s="395">
        <f t="shared" si="6"/>
        <v>0.58333333333333337</v>
      </c>
      <c r="AF17" s="395">
        <f t="shared" si="7"/>
        <v>0.30208333333333337</v>
      </c>
      <c r="AG17" s="395">
        <f t="shared" si="8"/>
        <v>0.27083333333333326</v>
      </c>
      <c r="AI17" s="25"/>
      <c r="AK17" s="562" t="s">
        <v>913</v>
      </c>
      <c r="AL17" s="562"/>
      <c r="AM17" s="562"/>
      <c r="AN17" s="562"/>
      <c r="AP17" s="25"/>
      <c r="AQ17" s="25"/>
      <c r="AR17" s="380">
        <f t="shared" si="10"/>
        <v>7</v>
      </c>
      <c r="AS17" s="412">
        <f t="shared" si="11"/>
        <v>43350</v>
      </c>
      <c r="AT17" s="412"/>
      <c r="AU17" s="412"/>
      <c r="AV17" s="412"/>
      <c r="AX17" s="25"/>
      <c r="AZ17" s="426"/>
      <c r="BA17" s="427" t="s">
        <v>914</v>
      </c>
      <c r="BB17" s="421"/>
      <c r="BD17" s="25"/>
      <c r="BF17" s="428" t="s">
        <v>823</v>
      </c>
      <c r="BG17" s="429">
        <v>2014</v>
      </c>
      <c r="BH17" s="4"/>
      <c r="BI17" s="4"/>
      <c r="BJ17" s="408" t="s">
        <v>915</v>
      </c>
      <c r="BK17" s="409">
        <v>41500</v>
      </c>
    </row>
    <row r="18" spans="1:63" ht="15" thickTop="1" thickBot="1">
      <c r="B18" s="15" t="s">
        <v>916</v>
      </c>
      <c r="C18" s="15">
        <v>20</v>
      </c>
      <c r="E18" s="25"/>
      <c r="G18" s="512" t="s">
        <v>917</v>
      </c>
      <c r="H18" s="512"/>
      <c r="I18" s="512"/>
      <c r="J18" s="512"/>
      <c r="K18" s="512"/>
      <c r="L18" s="512"/>
      <c r="N18" s="25"/>
      <c r="W18" s="25"/>
      <c r="Y18" s="381">
        <f t="shared" si="12"/>
        <v>43313</v>
      </c>
      <c r="Z18" s="381">
        <f t="shared" si="9"/>
        <v>43343</v>
      </c>
      <c r="AB18" s="25"/>
      <c r="AD18" s="395">
        <f t="shared" si="5"/>
        <v>1.0416666666666667</v>
      </c>
      <c r="AE18" s="395">
        <f t="shared" si="6"/>
        <v>0.625</v>
      </c>
      <c r="AF18" s="395">
        <f t="shared" si="7"/>
        <v>0.31250000000000006</v>
      </c>
      <c r="AG18" s="395">
        <f t="shared" si="8"/>
        <v>0.27777777777777768</v>
      </c>
      <c r="AI18" s="25"/>
      <c r="AK18" s="562"/>
      <c r="AL18" s="562"/>
      <c r="AM18" s="562"/>
      <c r="AN18" s="562"/>
      <c r="AP18" s="25"/>
      <c r="AQ18" s="25"/>
      <c r="AR18" s="380">
        <f t="shared" si="10"/>
        <v>1</v>
      </c>
      <c r="AS18" s="412">
        <f t="shared" si="11"/>
        <v>43351</v>
      </c>
      <c r="AT18" s="412"/>
      <c r="AU18" s="412"/>
      <c r="AV18" s="412"/>
      <c r="AX18" s="25"/>
      <c r="AZ18" s="430">
        <v>1</v>
      </c>
      <c r="BA18" s="431">
        <v>43103</v>
      </c>
      <c r="BB18" s="421"/>
      <c r="BD18" s="25"/>
      <c r="BF18" s="415"/>
      <c r="BG18" s="416"/>
      <c r="BH18" s="4"/>
      <c r="BI18" s="4"/>
      <c r="BJ18" s="408" t="s">
        <v>918</v>
      </c>
      <c r="BK18" s="409">
        <v>41578</v>
      </c>
    </row>
    <row r="19" spans="1:63" ht="15" thickTop="1" thickBot="1">
      <c r="B19" s="15" t="s">
        <v>845</v>
      </c>
      <c r="C19" s="15">
        <v>8</v>
      </c>
      <c r="E19" s="25"/>
      <c r="G19" s="512"/>
      <c r="H19" s="512"/>
      <c r="I19" s="512"/>
      <c r="J19" s="512"/>
      <c r="K19" s="512"/>
      <c r="L19" s="512"/>
      <c r="N19" s="25"/>
      <c r="W19" s="25"/>
      <c r="Y19" s="381">
        <f t="shared" si="12"/>
        <v>43344</v>
      </c>
      <c r="Z19" s="381">
        <f t="shared" si="9"/>
        <v>43373</v>
      </c>
      <c r="AB19" s="25"/>
      <c r="AD19" s="395">
        <f t="shared" si="5"/>
        <v>1.125</v>
      </c>
      <c r="AE19" s="395">
        <f t="shared" si="6"/>
        <v>0.66666666666666663</v>
      </c>
      <c r="AF19" s="395">
        <f t="shared" si="7"/>
        <v>0.32291666666666674</v>
      </c>
      <c r="AG19" s="395">
        <f t="shared" si="8"/>
        <v>0.2847222222222221</v>
      </c>
      <c r="AI19" s="25"/>
      <c r="AK19" s="562"/>
      <c r="AL19" s="562"/>
      <c r="AM19" s="562"/>
      <c r="AN19" s="562"/>
      <c r="AP19" s="25"/>
      <c r="AQ19" s="25"/>
      <c r="AR19" s="380">
        <f t="shared" si="10"/>
        <v>2</v>
      </c>
      <c r="AS19" s="412">
        <f t="shared" si="11"/>
        <v>43352</v>
      </c>
      <c r="AT19" s="412"/>
      <c r="AU19" s="412"/>
      <c r="AV19" s="412"/>
      <c r="AX19" s="25"/>
      <c r="AZ19" s="430">
        <f t="shared" ref="AZ19:AZ27" si="14">+AZ18+1</f>
        <v>2</v>
      </c>
      <c r="BA19" s="432">
        <f t="shared" ref="BA19:BA27" si="15">IF(WEEKDAY(EDATE(BA18,BA$13),16)=1,EDATE(BA18,BA$13)+2,IF(WEEKDAY(EDATE(BA18,BA$13),16)=2,EDATE(BA18,BA$13)+1,EDATE(BA18,BA$13)))</f>
        <v>43164</v>
      </c>
      <c r="BB19" s="421"/>
      <c r="BD19" s="25"/>
      <c r="BF19" s="418" t="s">
        <v>867</v>
      </c>
      <c r="BG19" s="419">
        <f>NETWORKDAYS(DATE(BG17,1,1),DATE(BG17,12,31),BK10:BK20)</f>
        <v>261</v>
      </c>
      <c r="BH19" s="4"/>
      <c r="BI19" s="4"/>
      <c r="BJ19" s="408" t="s">
        <v>919</v>
      </c>
      <c r="BK19" s="409">
        <v>41588</v>
      </c>
    </row>
    <row r="20" spans="1:63" ht="15" thickTop="1" thickBot="1">
      <c r="B20" s="15" t="s">
        <v>823</v>
      </c>
      <c r="C20" s="15">
        <v>2017</v>
      </c>
      <c r="E20" s="25"/>
      <c r="N20" s="25"/>
      <c r="W20" s="25"/>
      <c r="Y20" s="381">
        <f t="shared" si="12"/>
        <v>43374</v>
      </c>
      <c r="Z20" s="381">
        <f t="shared" si="9"/>
        <v>43404</v>
      </c>
      <c r="AB20" s="25"/>
      <c r="AD20" s="395">
        <f t="shared" si="5"/>
        <v>1.2083333333333333</v>
      </c>
      <c r="AE20" s="395">
        <f t="shared" si="6"/>
        <v>0.70833333333333326</v>
      </c>
      <c r="AF20" s="395">
        <f t="shared" si="7"/>
        <v>0.33333333333333343</v>
      </c>
      <c r="AG20" s="395">
        <f t="shared" si="8"/>
        <v>0.29166666666666652</v>
      </c>
      <c r="AI20" s="25"/>
      <c r="AK20" s="562"/>
      <c r="AL20" s="562"/>
      <c r="AM20" s="562"/>
      <c r="AN20" s="562"/>
      <c r="AP20" s="25"/>
      <c r="AQ20" s="25"/>
      <c r="AR20" s="380">
        <f t="shared" si="10"/>
        <v>3</v>
      </c>
      <c r="AS20" s="412">
        <f t="shared" si="11"/>
        <v>43353</v>
      </c>
      <c r="AT20" s="412"/>
      <c r="AU20" s="412"/>
      <c r="AV20" s="412"/>
      <c r="AX20" s="25"/>
      <c r="AZ20" s="430">
        <f t="shared" si="14"/>
        <v>3</v>
      </c>
      <c r="BA20" s="432">
        <f t="shared" si="15"/>
        <v>43227</v>
      </c>
      <c r="BB20" s="421"/>
      <c r="BD20" s="25"/>
      <c r="BF20" s="4"/>
      <c r="BG20" s="4"/>
      <c r="BH20" s="4"/>
      <c r="BI20" s="4"/>
      <c r="BJ20" s="408" t="s">
        <v>920</v>
      </c>
      <c r="BK20" s="409">
        <v>41632</v>
      </c>
    </row>
    <row r="21" spans="1:63" ht="15" thickTop="1" thickBot="1">
      <c r="B21" s="15" t="s">
        <v>644</v>
      </c>
      <c r="C21" s="381">
        <f>DATE(C20,C19,C18)</f>
        <v>42967</v>
      </c>
      <c r="E21" s="25"/>
      <c r="N21" s="25"/>
      <c r="W21" s="25"/>
      <c r="Y21" s="381">
        <f t="shared" si="12"/>
        <v>43405</v>
      </c>
      <c r="Z21" s="381">
        <f t="shared" si="9"/>
        <v>43434</v>
      </c>
      <c r="AB21" s="25"/>
      <c r="AI21" s="25"/>
      <c r="AK21" s="562"/>
      <c r="AL21" s="562"/>
      <c r="AM21" s="562"/>
      <c r="AN21" s="562"/>
      <c r="AP21" s="25"/>
      <c r="AQ21" s="25"/>
      <c r="AR21" s="380">
        <f t="shared" si="10"/>
        <v>4</v>
      </c>
      <c r="AS21" s="412">
        <f t="shared" si="11"/>
        <v>43354</v>
      </c>
      <c r="AT21" s="412"/>
      <c r="AU21" s="412"/>
      <c r="AV21" s="412"/>
      <c r="AX21" s="25"/>
      <c r="AZ21" s="430">
        <f t="shared" si="14"/>
        <v>4</v>
      </c>
      <c r="BA21" s="432">
        <f t="shared" si="15"/>
        <v>43290</v>
      </c>
      <c r="BB21" s="421"/>
      <c r="BD21" s="25"/>
      <c r="BF21" s="560" t="s">
        <v>921</v>
      </c>
      <c r="BG21" s="561"/>
      <c r="BH21" s="4"/>
      <c r="BI21" s="4"/>
      <c r="BJ21" s="408" t="s">
        <v>884</v>
      </c>
      <c r="BK21" s="409">
        <v>41639</v>
      </c>
    </row>
    <row r="22" spans="1:63" ht="15" thickTop="1" thickBot="1">
      <c r="E22" s="25"/>
      <c r="N22" s="25"/>
      <c r="W22" s="25"/>
      <c r="Y22" s="381">
        <f t="shared" si="12"/>
        <v>43435</v>
      </c>
      <c r="Z22" s="381">
        <f t="shared" si="9"/>
        <v>43465</v>
      </c>
      <c r="AB22" s="25"/>
      <c r="AI22" s="25"/>
      <c r="AK22" s="562"/>
      <c r="AL22" s="562"/>
      <c r="AM22" s="562"/>
      <c r="AN22" s="562"/>
      <c r="AP22" s="25"/>
      <c r="AQ22" s="25"/>
      <c r="AR22" s="380">
        <f t="shared" si="10"/>
        <v>5</v>
      </c>
      <c r="AS22" s="412">
        <f t="shared" si="11"/>
        <v>43355</v>
      </c>
      <c r="AT22" s="412"/>
      <c r="AU22" s="412"/>
      <c r="AV22" s="412"/>
      <c r="AX22" s="25"/>
      <c r="AZ22" s="430">
        <f t="shared" si="14"/>
        <v>5</v>
      </c>
      <c r="BA22" s="432">
        <f t="shared" si="15"/>
        <v>43353</v>
      </c>
      <c r="BB22" s="4"/>
      <c r="BD22" s="25"/>
      <c r="BF22" s="406" t="s">
        <v>883</v>
      </c>
      <c r="BG22" s="407">
        <v>41822</v>
      </c>
      <c r="BH22" s="4"/>
      <c r="BI22" s="4"/>
      <c r="BJ22" s="408" t="s">
        <v>890</v>
      </c>
      <c r="BK22" s="409">
        <v>41730</v>
      </c>
    </row>
    <row r="23" spans="1:63" ht="15" thickTop="1" thickBot="1">
      <c r="A23" t="s">
        <v>922</v>
      </c>
      <c r="C23" s="396">
        <f ca="1">HOUR(NOW())</f>
        <v>9</v>
      </c>
      <c r="E23" s="25"/>
      <c r="N23" s="25"/>
      <c r="W23" s="25"/>
      <c r="AB23" s="25"/>
      <c r="AI23" s="25"/>
      <c r="AP23" s="25"/>
      <c r="AQ23" s="25"/>
      <c r="AR23" s="380">
        <f t="shared" si="10"/>
        <v>6</v>
      </c>
      <c r="AS23" s="412">
        <f t="shared" si="11"/>
        <v>43356</v>
      </c>
      <c r="AT23" s="412"/>
      <c r="AU23" s="412"/>
      <c r="AV23" s="412"/>
      <c r="AX23" s="25"/>
      <c r="AZ23" s="430">
        <f t="shared" si="14"/>
        <v>6</v>
      </c>
      <c r="BA23" s="432">
        <f t="shared" si="15"/>
        <v>43416</v>
      </c>
      <c r="BB23" s="4"/>
      <c r="BD23" s="25"/>
      <c r="BF23" s="406" t="s">
        <v>867</v>
      </c>
      <c r="BG23" s="433">
        <v>127</v>
      </c>
      <c r="BH23" s="4"/>
      <c r="BI23" s="4"/>
      <c r="BJ23" s="408" t="s">
        <v>896</v>
      </c>
      <c r="BK23" s="409">
        <v>41759</v>
      </c>
    </row>
    <row r="24" spans="1:63" ht="15" thickTop="1" thickBot="1">
      <c r="E24" s="25"/>
      <c r="N24" s="25"/>
      <c r="W24" s="25"/>
      <c r="AB24" s="25"/>
      <c r="AI24" s="25"/>
      <c r="AP24" s="25"/>
      <c r="AQ24" s="25"/>
      <c r="AR24" s="380">
        <f t="shared" si="10"/>
        <v>7</v>
      </c>
      <c r="AS24" s="412">
        <f t="shared" si="11"/>
        <v>43357</v>
      </c>
      <c r="AT24" s="412"/>
      <c r="AU24" s="412"/>
      <c r="AV24" s="412"/>
      <c r="AX24" s="25"/>
      <c r="AZ24" s="430">
        <f t="shared" si="14"/>
        <v>7</v>
      </c>
      <c r="BA24" s="432">
        <f t="shared" si="15"/>
        <v>43479</v>
      </c>
      <c r="BB24" s="4"/>
      <c r="BD24" s="25"/>
      <c r="BF24" s="415"/>
      <c r="BG24" s="416"/>
      <c r="BH24" s="4"/>
      <c r="BI24" s="4"/>
      <c r="BJ24" s="420" t="s">
        <v>902</v>
      </c>
      <c r="BK24" s="409">
        <v>41766</v>
      </c>
    </row>
    <row r="25" spans="1:63" ht="15" thickTop="1" thickBot="1">
      <c r="A25" t="s">
        <v>923</v>
      </c>
      <c r="C25" s="434">
        <f ca="1">NOW()</f>
        <v>43595.38506886574</v>
      </c>
      <c r="E25" s="25"/>
      <c r="N25" s="25"/>
      <c r="W25" s="25"/>
      <c r="AB25" s="25"/>
      <c r="AI25" s="25"/>
      <c r="AP25" s="25"/>
      <c r="AQ25" s="25"/>
      <c r="AR25" s="380">
        <f t="shared" si="10"/>
        <v>1</v>
      </c>
      <c r="AS25" s="412">
        <f t="shared" si="11"/>
        <v>43358</v>
      </c>
      <c r="AT25" s="412"/>
      <c r="AU25" s="412"/>
      <c r="AV25" s="412"/>
      <c r="AX25" s="25"/>
      <c r="AZ25" s="430">
        <f t="shared" si="14"/>
        <v>8</v>
      </c>
      <c r="BA25" s="432">
        <f t="shared" si="15"/>
        <v>43538</v>
      </c>
      <c r="BD25" s="25"/>
      <c r="BF25" s="418" t="s">
        <v>889</v>
      </c>
      <c r="BG25" s="435">
        <f>WORKDAY(BG22,BG23,BK27:BK42)</f>
        <v>42006</v>
      </c>
      <c r="BH25" s="4"/>
      <c r="BI25" s="4"/>
      <c r="BJ25" s="408" t="s">
        <v>906</v>
      </c>
      <c r="BK25" s="409">
        <v>41768</v>
      </c>
    </row>
    <row r="26" spans="1:63" ht="15" thickTop="1" thickBot="1">
      <c r="E26" s="25"/>
      <c r="N26" s="25"/>
      <c r="W26" s="25"/>
      <c r="AB26" s="25"/>
      <c r="AI26" s="25"/>
      <c r="AP26" s="25"/>
      <c r="AQ26" s="25"/>
      <c r="AR26" s="380">
        <f t="shared" si="10"/>
        <v>2</v>
      </c>
      <c r="AS26" s="412">
        <f t="shared" si="11"/>
        <v>43359</v>
      </c>
      <c r="AT26" s="412"/>
      <c r="AU26" s="412"/>
      <c r="AV26" s="412"/>
      <c r="AX26" s="25"/>
      <c r="AZ26" s="430">
        <f t="shared" si="14"/>
        <v>9</v>
      </c>
      <c r="BA26" s="432">
        <f t="shared" si="15"/>
        <v>43599</v>
      </c>
      <c r="BD26" s="25"/>
      <c r="BF26" s="4"/>
      <c r="BG26" s="4"/>
      <c r="BH26" s="4"/>
      <c r="BI26" s="4"/>
      <c r="BJ26" s="408" t="s">
        <v>909</v>
      </c>
      <c r="BK26" s="409">
        <v>41779</v>
      </c>
    </row>
    <row r="27" spans="1:63" ht="15" thickTop="1" thickBot="1">
      <c r="A27" t="s">
        <v>924</v>
      </c>
      <c r="C27" s="396">
        <f ca="1">MINUTE(NOW())</f>
        <v>14</v>
      </c>
      <c r="E27" s="25"/>
      <c r="N27" s="25"/>
      <c r="W27" s="25"/>
      <c r="AB27" s="25"/>
      <c r="AI27" s="25"/>
      <c r="AP27" s="25"/>
      <c r="AQ27" s="25"/>
      <c r="AR27" s="380">
        <f t="shared" si="10"/>
        <v>3</v>
      </c>
      <c r="AS27" s="412">
        <f t="shared" si="11"/>
        <v>43360</v>
      </c>
      <c r="AT27" s="412"/>
      <c r="AU27" s="412"/>
      <c r="AV27" s="412"/>
      <c r="AX27" s="25"/>
      <c r="AZ27" s="430">
        <f t="shared" si="14"/>
        <v>10</v>
      </c>
      <c r="BA27" s="432">
        <f t="shared" si="15"/>
        <v>43661</v>
      </c>
      <c r="BD27" s="25"/>
      <c r="BF27" s="4"/>
      <c r="BG27" s="4"/>
      <c r="BH27" s="4"/>
      <c r="BI27" s="4"/>
      <c r="BJ27" s="408" t="s">
        <v>911</v>
      </c>
      <c r="BK27" s="409">
        <v>41833</v>
      </c>
    </row>
    <row r="28" spans="1:63" ht="14.65" thickTop="1">
      <c r="E28" s="25"/>
      <c r="N28" s="25"/>
      <c r="W28" s="25"/>
      <c r="AB28" s="25"/>
      <c r="AI28" s="25"/>
      <c r="AP28" s="25"/>
      <c r="AQ28" s="25"/>
      <c r="AR28" s="380">
        <f t="shared" si="10"/>
        <v>4</v>
      </c>
      <c r="AS28" s="412">
        <f t="shared" si="11"/>
        <v>43361</v>
      </c>
      <c r="AT28" s="412"/>
      <c r="AU28" s="412"/>
      <c r="AV28" s="412"/>
      <c r="AX28" s="25"/>
      <c r="BD28" s="25"/>
      <c r="BF28" s="4"/>
      <c r="BG28" s="4"/>
      <c r="BH28" s="4"/>
      <c r="BI28" s="4"/>
      <c r="BJ28" s="408" t="s">
        <v>915</v>
      </c>
      <c r="BK28" s="409">
        <v>41865</v>
      </c>
    </row>
    <row r="29" spans="1:63">
      <c r="A29" t="s">
        <v>925</v>
      </c>
      <c r="C29" s="396">
        <f ca="1">SECOND(NOW())</f>
        <v>30</v>
      </c>
      <c r="E29" s="25"/>
      <c r="N29" s="25"/>
      <c r="W29" s="25"/>
      <c r="AB29" s="25"/>
      <c r="AI29" s="25"/>
      <c r="AP29" s="25"/>
      <c r="AQ29" s="25"/>
      <c r="AR29" s="380">
        <f t="shared" si="10"/>
        <v>5</v>
      </c>
      <c r="AS29" s="412">
        <f t="shared" si="11"/>
        <v>43362</v>
      </c>
      <c r="AT29" s="412"/>
      <c r="AU29" s="412"/>
      <c r="AV29" s="412"/>
      <c r="AX29" s="25"/>
      <c r="BD29" s="25"/>
      <c r="BF29" s="4"/>
      <c r="BG29" s="4"/>
      <c r="BH29" s="4"/>
      <c r="BI29" s="4"/>
      <c r="BJ29" s="408" t="s">
        <v>918</v>
      </c>
      <c r="BK29" s="409">
        <v>41943</v>
      </c>
    </row>
    <row r="30" spans="1:63">
      <c r="E30" s="25"/>
      <c r="N30" s="25"/>
      <c r="W30" s="25"/>
      <c r="AB30" s="25"/>
      <c r="AI30" s="25"/>
      <c r="AP30" s="25"/>
      <c r="AQ30" s="25"/>
      <c r="AR30" s="380">
        <f t="shared" si="10"/>
        <v>6</v>
      </c>
      <c r="AS30" s="412">
        <f t="shared" si="11"/>
        <v>43363</v>
      </c>
      <c r="AT30" s="412"/>
      <c r="AU30" s="412"/>
      <c r="AV30" s="412"/>
      <c r="AX30" s="25"/>
      <c r="BD30" s="25"/>
      <c r="BF30" s="4"/>
      <c r="BG30" s="4"/>
      <c r="BH30" s="4"/>
      <c r="BI30" s="4"/>
      <c r="BJ30" s="408" t="s">
        <v>919</v>
      </c>
      <c r="BK30" s="409">
        <v>41953</v>
      </c>
    </row>
    <row r="31" spans="1:63">
      <c r="E31" s="25"/>
      <c r="N31" s="25"/>
      <c r="W31" s="25"/>
      <c r="AB31" s="25"/>
      <c r="AI31" s="25"/>
      <c r="AP31" s="25"/>
      <c r="AQ31" s="25"/>
      <c r="AR31" s="380">
        <f t="shared" si="10"/>
        <v>7</v>
      </c>
      <c r="AS31" s="412">
        <f t="shared" si="11"/>
        <v>43364</v>
      </c>
      <c r="AT31" s="412"/>
      <c r="AU31" s="412"/>
      <c r="AV31" s="412"/>
      <c r="AX31" s="25"/>
      <c r="BD31" s="25"/>
      <c r="BF31" s="4"/>
      <c r="BG31" s="4"/>
      <c r="BH31" s="4"/>
      <c r="BI31" s="4"/>
      <c r="BJ31" s="408" t="s">
        <v>920</v>
      </c>
      <c r="BK31" s="409">
        <v>41997</v>
      </c>
    </row>
    <row r="32" spans="1:63" ht="18">
      <c r="A32" s="436" t="s">
        <v>926</v>
      </c>
      <c r="B32" s="437"/>
      <c r="C32" s="437"/>
      <c r="D32" s="437"/>
      <c r="E32" s="437"/>
      <c r="F32" s="437"/>
      <c r="G32" s="437"/>
      <c r="H32" s="437"/>
      <c r="I32" s="437"/>
      <c r="J32" s="437"/>
      <c r="AR32" s="380">
        <f t="shared" si="10"/>
        <v>1</v>
      </c>
      <c r="AS32" s="412">
        <f t="shared" si="11"/>
        <v>43365</v>
      </c>
      <c r="AT32" s="412"/>
      <c r="AU32" s="412"/>
      <c r="AV32" s="412"/>
      <c r="BF32" s="4"/>
      <c r="BG32" s="4"/>
      <c r="BH32" s="4"/>
      <c r="BI32" s="4"/>
      <c r="BJ32" s="408" t="s">
        <v>884</v>
      </c>
      <c r="BK32" s="409">
        <v>42004</v>
      </c>
    </row>
    <row r="33" spans="1:63" ht="18">
      <c r="A33" s="436" t="s">
        <v>927</v>
      </c>
      <c r="B33" s="438"/>
      <c r="C33" s="438"/>
      <c r="D33" s="438"/>
      <c r="E33" s="438"/>
      <c r="F33" s="438"/>
      <c r="G33" s="438"/>
      <c r="H33" s="438"/>
      <c r="I33" s="438"/>
      <c r="J33" s="438"/>
      <c r="AR33" s="380">
        <f t="shared" si="10"/>
        <v>2</v>
      </c>
      <c r="AS33" s="412">
        <f t="shared" si="11"/>
        <v>43366</v>
      </c>
      <c r="AT33" s="412"/>
      <c r="AU33" s="412"/>
      <c r="AV33" s="412"/>
      <c r="BF33" s="4"/>
      <c r="BG33" s="4"/>
      <c r="BH33" s="4"/>
      <c r="BI33" s="4"/>
      <c r="BJ33" s="408" t="s">
        <v>890</v>
      </c>
      <c r="BK33" s="409">
        <v>42115</v>
      </c>
    </row>
    <row r="34" spans="1:63" ht="18">
      <c r="A34" s="436" t="s">
        <v>928</v>
      </c>
      <c r="B34" s="438"/>
      <c r="C34" s="438"/>
      <c r="D34" s="438"/>
      <c r="E34" s="438"/>
      <c r="F34" s="438"/>
      <c r="G34" s="438"/>
      <c r="H34" s="438"/>
      <c r="I34" s="438"/>
      <c r="J34" s="438"/>
      <c r="AR34" s="380">
        <f t="shared" si="10"/>
        <v>3</v>
      </c>
      <c r="AS34" s="412">
        <f t="shared" si="11"/>
        <v>43367</v>
      </c>
      <c r="AT34" s="412"/>
      <c r="AU34" s="412"/>
      <c r="AV34" s="412"/>
      <c r="BF34" s="4"/>
      <c r="BG34" s="4"/>
      <c r="BH34" s="4"/>
      <c r="BI34" s="4"/>
      <c r="BJ34" s="408" t="s">
        <v>896</v>
      </c>
      <c r="BK34" s="409">
        <v>42124</v>
      </c>
    </row>
    <row r="35" spans="1:63" ht="18">
      <c r="A35" s="436" t="s">
        <v>929</v>
      </c>
      <c r="B35" s="438"/>
      <c r="C35" s="438"/>
      <c r="D35" s="438"/>
      <c r="E35" s="438"/>
      <c r="F35" s="438"/>
      <c r="G35" s="438"/>
      <c r="H35" s="438"/>
      <c r="I35" s="438"/>
      <c r="J35" s="438"/>
      <c r="AR35" s="380">
        <f t="shared" si="10"/>
        <v>4</v>
      </c>
      <c r="AS35" s="412">
        <f t="shared" si="11"/>
        <v>43368</v>
      </c>
      <c r="AT35" s="412"/>
      <c r="AU35" s="412"/>
      <c r="AV35" s="412"/>
      <c r="BF35" s="4"/>
      <c r="BG35" s="4"/>
      <c r="BH35" s="4"/>
      <c r="BI35" s="4"/>
      <c r="BJ35" s="420" t="s">
        <v>902</v>
      </c>
      <c r="BK35" s="409">
        <v>42131</v>
      </c>
    </row>
    <row r="36" spans="1:63" ht="18">
      <c r="A36" s="436" t="s">
        <v>930</v>
      </c>
      <c r="B36" s="438"/>
      <c r="C36" s="438"/>
      <c r="D36" s="438"/>
      <c r="E36" s="438"/>
      <c r="F36" s="438"/>
      <c r="G36" s="438"/>
      <c r="H36" s="438"/>
      <c r="I36" s="438"/>
      <c r="J36" s="438"/>
      <c r="AR36" s="380">
        <f t="shared" si="10"/>
        <v>5</v>
      </c>
      <c r="AS36" s="412">
        <f t="shared" si="11"/>
        <v>43369</v>
      </c>
      <c r="AT36" s="412"/>
      <c r="AU36" s="412"/>
      <c r="AV36" s="412"/>
      <c r="BF36" s="4"/>
      <c r="BG36" s="4"/>
      <c r="BH36" s="4"/>
      <c r="BI36" s="4"/>
      <c r="BJ36" s="408" t="s">
        <v>906</v>
      </c>
      <c r="BK36" s="409">
        <v>42153</v>
      </c>
    </row>
    <row r="37" spans="1:63" ht="56.65" customHeight="1">
      <c r="A37" s="563" t="s">
        <v>931</v>
      </c>
      <c r="B37" s="563"/>
      <c r="C37" s="563"/>
      <c r="D37" s="563"/>
      <c r="E37" s="563"/>
      <c r="F37" s="563"/>
      <c r="G37" s="563"/>
      <c r="H37" s="563"/>
      <c r="I37" s="563"/>
      <c r="J37" s="563"/>
      <c r="AR37" s="380">
        <f t="shared" si="10"/>
        <v>6</v>
      </c>
      <c r="AS37" s="412">
        <f t="shared" si="11"/>
        <v>43370</v>
      </c>
      <c r="AT37" s="412"/>
      <c r="AU37" s="412"/>
      <c r="AV37" s="412"/>
      <c r="BF37" s="4"/>
      <c r="BG37" s="4"/>
      <c r="BH37" s="4"/>
      <c r="BI37" s="4"/>
      <c r="BJ37" s="408" t="s">
        <v>909</v>
      </c>
      <c r="BK37" s="409">
        <v>42164</v>
      </c>
    </row>
    <row r="38" spans="1:63" ht="18">
      <c r="A38" s="436" t="s">
        <v>932</v>
      </c>
      <c r="B38" s="437"/>
      <c r="C38" s="437"/>
      <c r="D38" s="437"/>
      <c r="E38" s="437"/>
      <c r="F38" s="437"/>
      <c r="G38" s="437"/>
      <c r="H38" s="437"/>
      <c r="I38" s="437"/>
      <c r="J38" s="437"/>
      <c r="AR38" s="380">
        <f t="shared" si="10"/>
        <v>7</v>
      </c>
      <c r="AS38" s="412">
        <f t="shared" si="11"/>
        <v>43371</v>
      </c>
      <c r="AT38" s="412"/>
      <c r="AU38" s="412"/>
      <c r="AV38" s="412"/>
      <c r="BF38" s="4"/>
      <c r="BG38" s="4"/>
      <c r="BH38" s="4"/>
      <c r="BI38" s="4"/>
      <c r="BJ38" s="408" t="s">
        <v>911</v>
      </c>
      <c r="BK38" s="409">
        <v>42198</v>
      </c>
    </row>
    <row r="39" spans="1:63" ht="18">
      <c r="A39" s="436" t="s">
        <v>933</v>
      </c>
      <c r="B39" s="437"/>
      <c r="C39" s="437"/>
      <c r="D39" s="437"/>
      <c r="E39" s="437"/>
      <c r="F39" s="437"/>
      <c r="G39" s="437"/>
      <c r="H39" s="437"/>
      <c r="I39" s="437"/>
      <c r="J39" s="437"/>
      <c r="AR39" s="380">
        <f t="shared" si="10"/>
        <v>1</v>
      </c>
      <c r="AS39" s="412">
        <f t="shared" si="11"/>
        <v>43372</v>
      </c>
      <c r="AT39" s="412"/>
      <c r="AU39" s="412"/>
      <c r="AV39" s="412"/>
      <c r="BF39" s="4"/>
      <c r="BG39" s="4"/>
      <c r="BH39" s="4"/>
      <c r="BI39" s="4"/>
      <c r="BJ39" s="408" t="s">
        <v>915</v>
      </c>
      <c r="BK39" s="409">
        <v>42230</v>
      </c>
    </row>
    <row r="40" spans="1:63" ht="18">
      <c r="A40" s="436" t="s">
        <v>934</v>
      </c>
      <c r="B40" s="437"/>
      <c r="C40" s="437"/>
      <c r="D40" s="437"/>
      <c r="E40" s="437"/>
      <c r="F40" s="437"/>
      <c r="G40" s="437"/>
      <c r="H40" s="437"/>
      <c r="I40" s="437"/>
      <c r="J40" s="437"/>
      <c r="AR40" s="380">
        <f t="shared" si="10"/>
        <v>2</v>
      </c>
      <c r="AS40" s="412">
        <f t="shared" si="11"/>
        <v>43373</v>
      </c>
      <c r="AT40" s="412"/>
      <c r="AU40" s="412"/>
      <c r="AV40" s="412"/>
      <c r="BF40" s="4"/>
      <c r="BG40" s="4"/>
      <c r="BH40" s="4"/>
      <c r="BI40" s="4"/>
      <c r="BJ40" s="408" t="s">
        <v>918</v>
      </c>
      <c r="BK40" s="409">
        <v>42308</v>
      </c>
    </row>
    <row r="41" spans="1:63" ht="18">
      <c r="A41" s="436" t="s">
        <v>935</v>
      </c>
      <c r="B41" s="437"/>
      <c r="C41" s="437"/>
      <c r="D41" s="437"/>
      <c r="E41" s="437"/>
      <c r="F41" s="437"/>
      <c r="G41" s="437"/>
      <c r="H41" s="437"/>
      <c r="I41" s="437"/>
      <c r="J41" s="437"/>
      <c r="AR41" s="380" t="str">
        <f t="shared" si="10"/>
        <v/>
      </c>
      <c r="AS41" s="412" t="str">
        <f t="shared" si="11"/>
        <v/>
      </c>
      <c r="AT41" s="439"/>
      <c r="AU41" s="439"/>
      <c r="AV41" s="439"/>
      <c r="BF41" s="4"/>
      <c r="BG41" s="4"/>
      <c r="BH41" s="4"/>
      <c r="BI41" s="4"/>
      <c r="BJ41" s="408" t="s">
        <v>919</v>
      </c>
      <c r="BK41" s="409">
        <v>42318</v>
      </c>
    </row>
    <row r="42" spans="1:63" ht="18">
      <c r="A42" s="436" t="s">
        <v>936</v>
      </c>
      <c r="B42" s="437"/>
      <c r="C42" s="437"/>
      <c r="D42" s="437"/>
      <c r="E42" s="437"/>
      <c r="F42" s="437"/>
      <c r="G42" s="437"/>
      <c r="H42" s="437"/>
      <c r="I42" s="437"/>
      <c r="J42" s="437"/>
      <c r="BF42" s="4"/>
      <c r="BG42" s="4"/>
      <c r="BH42" s="4"/>
      <c r="BI42" s="4"/>
      <c r="BJ42" s="408" t="s">
        <v>920</v>
      </c>
      <c r="BK42" s="409">
        <v>42362</v>
      </c>
    </row>
    <row r="43" spans="1:63" ht="18">
      <c r="A43" s="436" t="s">
        <v>937</v>
      </c>
      <c r="B43" s="437"/>
      <c r="C43" s="437"/>
      <c r="D43" s="437"/>
      <c r="E43" s="437"/>
      <c r="F43" s="437"/>
      <c r="G43" s="437"/>
      <c r="H43" s="437"/>
      <c r="I43" s="437"/>
      <c r="J43" s="437"/>
    </row>
    <row r="44" spans="1:63" ht="18">
      <c r="A44" s="436" t="s">
        <v>938</v>
      </c>
      <c r="B44" s="437"/>
      <c r="C44" s="437"/>
      <c r="D44" s="437"/>
      <c r="E44" s="437"/>
      <c r="F44" s="437"/>
      <c r="G44" s="437"/>
      <c r="H44" s="437"/>
      <c r="I44" s="437"/>
      <c r="J44" s="437"/>
    </row>
  </sheetData>
  <mergeCells count="18">
    <mergeCell ref="J5:K5"/>
    <mergeCell ref="G7:G8"/>
    <mergeCell ref="H7:H8"/>
    <mergeCell ref="I7:I8"/>
    <mergeCell ref="J7:J8"/>
    <mergeCell ref="K7:K8"/>
    <mergeCell ref="A37:J37"/>
    <mergeCell ref="L7:L8"/>
    <mergeCell ref="AS7:AV9"/>
    <mergeCell ref="AZ7:BB9"/>
    <mergeCell ref="Y9:Y10"/>
    <mergeCell ref="Z9:Z10"/>
    <mergeCell ref="BJ9:BK9"/>
    <mergeCell ref="BF16:BG16"/>
    <mergeCell ref="AK17:AN22"/>
    <mergeCell ref="G18:L19"/>
    <mergeCell ref="BF21:BG21"/>
    <mergeCell ref="BF9:BG9"/>
  </mergeCells>
  <conditionalFormatting sqref="AS11:AV41">
    <cfRule type="expression" dxfId="1" priority="1">
      <formula>$AR11=2</formula>
    </cfRule>
    <cfRule type="expression" dxfId="0" priority="2">
      <formula>$AR11=1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5836E-0E14-47C7-AEEF-72A2F2ACC317}">
  <dimension ref="A1:S33"/>
  <sheetViews>
    <sheetView workbookViewId="0">
      <selection activeCell="S8" sqref="S8"/>
    </sheetView>
  </sheetViews>
  <sheetFormatPr baseColWidth="10" defaultRowHeight="14.25"/>
  <cols>
    <col min="3" max="3" width="1.796875" customWidth="1"/>
    <col min="6" max="6" width="2.265625" customWidth="1"/>
    <col min="9" max="9" width="2" customWidth="1"/>
    <col min="12" max="14" width="2.19921875" customWidth="1"/>
  </cols>
  <sheetData>
    <row r="1" spans="1:19">
      <c r="M1" s="311"/>
      <c r="R1" s="15" t="s">
        <v>810</v>
      </c>
      <c r="S1" s="15"/>
    </row>
    <row r="2" spans="1:19" ht="18">
      <c r="A2" s="180" t="s">
        <v>811</v>
      </c>
      <c r="M2" s="311"/>
      <c r="R2" s="15" t="s">
        <v>644</v>
      </c>
      <c r="S2" s="41">
        <v>43557</v>
      </c>
    </row>
    <row r="3" spans="1:19">
      <c r="M3" s="311"/>
    </row>
    <row r="4" spans="1:19">
      <c r="M4" s="311"/>
      <c r="R4" s="15" t="s">
        <v>812</v>
      </c>
      <c r="S4" s="370">
        <v>0.2</v>
      </c>
    </row>
    <row r="5" spans="1:19">
      <c r="M5" s="311"/>
    </row>
    <row r="6" spans="1:19" ht="28.5">
      <c r="A6" s="14" t="s">
        <v>813</v>
      </c>
      <c r="B6" s="20"/>
      <c r="E6" s="20"/>
      <c r="H6" s="20"/>
      <c r="M6" s="311"/>
      <c r="O6" s="371" t="s">
        <v>814</v>
      </c>
      <c r="P6" s="371" t="s">
        <v>815</v>
      </c>
      <c r="Q6" s="371" t="s">
        <v>816</v>
      </c>
      <c r="R6" s="371" t="s">
        <v>817</v>
      </c>
      <c r="S6" s="371" t="s">
        <v>757</v>
      </c>
    </row>
    <row r="7" spans="1:19">
      <c r="M7" s="311"/>
      <c r="O7" s="76"/>
      <c r="P7" s="76"/>
      <c r="Q7" s="372">
        <v>12</v>
      </c>
      <c r="R7" s="76">
        <v>2</v>
      </c>
      <c r="S7" s="373">
        <f t="shared" ref="S7:S28" si="0">PRIX*QUANTITE</f>
        <v>24</v>
      </c>
    </row>
    <row r="8" spans="1:19">
      <c r="A8" s="558" t="s">
        <v>692</v>
      </c>
      <c r="B8" s="558"/>
      <c r="D8" s="558" t="s">
        <v>818</v>
      </c>
      <c r="E8" s="558"/>
      <c r="G8" s="558" t="s">
        <v>819</v>
      </c>
      <c r="H8" s="558"/>
      <c r="M8" s="311"/>
      <c r="O8" s="76"/>
      <c r="P8" s="76"/>
      <c r="Q8" s="308">
        <v>34</v>
      </c>
      <c r="R8" s="76">
        <v>1</v>
      </c>
      <c r="S8" s="373">
        <f t="shared" si="0"/>
        <v>34</v>
      </c>
    </row>
    <row r="9" spans="1:19" ht="28.5">
      <c r="A9" s="371" t="s">
        <v>820</v>
      </c>
      <c r="B9" s="374" t="s">
        <v>821</v>
      </c>
      <c r="D9" s="371" t="s">
        <v>820</v>
      </c>
      <c r="E9" s="374" t="s">
        <v>821</v>
      </c>
      <c r="G9" s="371" t="s">
        <v>820</v>
      </c>
      <c r="H9" s="374" t="s">
        <v>821</v>
      </c>
      <c r="M9" s="311"/>
      <c r="O9" s="76"/>
      <c r="P9" s="76"/>
      <c r="Q9" s="308"/>
      <c r="R9" s="76"/>
      <c r="S9" s="375">
        <f t="shared" si="0"/>
        <v>0</v>
      </c>
    </row>
    <row r="10" spans="1:19">
      <c r="A10" s="15" t="s">
        <v>822</v>
      </c>
      <c r="B10" s="10">
        <v>251</v>
      </c>
      <c r="D10" s="15" t="s">
        <v>822</v>
      </c>
      <c r="E10" s="10">
        <v>376</v>
      </c>
      <c r="G10" s="15" t="s">
        <v>822</v>
      </c>
      <c r="H10" s="10">
        <v>236</v>
      </c>
      <c r="J10" s="34" t="s">
        <v>823</v>
      </c>
      <c r="K10" s="34">
        <v>2017</v>
      </c>
      <c r="M10" s="311"/>
      <c r="O10" s="76"/>
      <c r="P10" s="76"/>
      <c r="Q10" s="308"/>
      <c r="R10" s="76"/>
      <c r="S10" s="375">
        <f t="shared" si="0"/>
        <v>0</v>
      </c>
    </row>
    <row r="11" spans="1:19">
      <c r="A11" s="15" t="s">
        <v>824</v>
      </c>
      <c r="B11" s="10">
        <v>205</v>
      </c>
      <c r="D11" s="15" t="s">
        <v>824</v>
      </c>
      <c r="E11" s="10">
        <v>189</v>
      </c>
      <c r="G11" s="15" t="s">
        <v>824</v>
      </c>
      <c r="H11" s="10">
        <v>248</v>
      </c>
      <c r="M11" s="311"/>
      <c r="O11" s="76"/>
      <c r="P11" s="76"/>
      <c r="Q11" s="308"/>
      <c r="R11" s="76"/>
      <c r="S11" s="375">
        <f t="shared" si="0"/>
        <v>0</v>
      </c>
    </row>
    <row r="12" spans="1:19">
      <c r="A12" s="15" t="s">
        <v>825</v>
      </c>
      <c r="B12" s="10">
        <v>155</v>
      </c>
      <c r="D12" s="15" t="s">
        <v>825</v>
      </c>
      <c r="E12" s="10">
        <v>389</v>
      </c>
      <c r="G12" s="15" t="s">
        <v>825</v>
      </c>
      <c r="H12" s="10">
        <v>416</v>
      </c>
      <c r="K12" s="376" t="s">
        <v>826</v>
      </c>
      <c r="M12" s="311"/>
      <c r="O12" s="76"/>
      <c r="P12" s="76"/>
      <c r="Q12" s="308"/>
      <c r="R12" s="76"/>
      <c r="S12" s="375">
        <f t="shared" si="0"/>
        <v>0</v>
      </c>
    </row>
    <row r="13" spans="1:19">
      <c r="A13" s="15" t="s">
        <v>827</v>
      </c>
      <c r="B13" s="10">
        <v>413</v>
      </c>
      <c r="D13" s="15" t="s">
        <v>827</v>
      </c>
      <c r="E13" s="10">
        <v>186</v>
      </c>
      <c r="G13" s="15" t="s">
        <v>827</v>
      </c>
      <c r="H13" s="10">
        <v>263</v>
      </c>
      <c r="J13" s="15" t="s">
        <v>828</v>
      </c>
      <c r="K13" s="377">
        <f>TOTALAnnecy</f>
        <v>1914</v>
      </c>
      <c r="M13" s="311"/>
      <c r="O13" s="76"/>
      <c r="P13" s="76"/>
      <c r="Q13" s="308"/>
      <c r="R13" s="76"/>
      <c r="S13" s="375">
        <f t="shared" si="0"/>
        <v>0</v>
      </c>
    </row>
    <row r="14" spans="1:19">
      <c r="A14" s="15" t="s">
        <v>829</v>
      </c>
      <c r="B14" s="10">
        <v>191</v>
      </c>
      <c r="D14" s="15" t="s">
        <v>829</v>
      </c>
      <c r="E14" s="10">
        <v>205</v>
      </c>
      <c r="G14" s="15" t="s">
        <v>829</v>
      </c>
      <c r="H14" s="10">
        <v>413</v>
      </c>
      <c r="J14" s="15" t="s">
        <v>819</v>
      </c>
      <c r="K14" s="377">
        <f>TOTALGap</f>
        <v>2305</v>
      </c>
      <c r="M14" s="311"/>
      <c r="O14" s="76"/>
      <c r="P14" s="76"/>
      <c r="Q14" s="308"/>
      <c r="R14" s="76"/>
      <c r="S14" s="375">
        <f t="shared" si="0"/>
        <v>0</v>
      </c>
    </row>
    <row r="15" spans="1:19">
      <c r="A15" s="15" t="s">
        <v>830</v>
      </c>
      <c r="B15" s="10">
        <v>299</v>
      </c>
      <c r="D15" s="15" t="s">
        <v>830</v>
      </c>
      <c r="E15" s="10">
        <v>348</v>
      </c>
      <c r="G15" s="15" t="s">
        <v>830</v>
      </c>
      <c r="H15" s="10">
        <v>142</v>
      </c>
      <c r="J15" s="15" t="s">
        <v>818</v>
      </c>
      <c r="K15" s="377">
        <f>TOTALLyon</f>
        <v>2277</v>
      </c>
      <c r="M15" s="311"/>
      <c r="O15" s="76"/>
      <c r="P15" s="76"/>
      <c r="Q15" s="308"/>
      <c r="R15" s="76"/>
      <c r="S15" s="375">
        <f t="shared" si="0"/>
        <v>0</v>
      </c>
    </row>
    <row r="16" spans="1:19">
      <c r="A16" s="15" t="s">
        <v>831</v>
      </c>
      <c r="B16" s="10">
        <v>188</v>
      </c>
      <c r="D16" s="15" t="s">
        <v>831</v>
      </c>
      <c r="E16" s="10">
        <v>426</v>
      </c>
      <c r="G16" s="15" t="s">
        <v>831</v>
      </c>
      <c r="H16" s="10">
        <v>173</v>
      </c>
      <c r="J16" s="15" t="s">
        <v>692</v>
      </c>
      <c r="K16" s="377">
        <f>TOTALNantes</f>
        <v>1847</v>
      </c>
      <c r="M16" s="311"/>
      <c r="O16" s="76"/>
      <c r="P16" s="76"/>
      <c r="Q16" s="308"/>
      <c r="R16" s="76"/>
      <c r="S16" s="375">
        <f t="shared" si="0"/>
        <v>0</v>
      </c>
    </row>
    <row r="17" spans="1:19">
      <c r="A17" s="15" t="s">
        <v>832</v>
      </c>
      <c r="B17" s="10">
        <v>145</v>
      </c>
      <c r="D17" s="15" t="s">
        <v>832</v>
      </c>
      <c r="E17" s="10">
        <v>158</v>
      </c>
      <c r="G17" s="15" t="s">
        <v>832</v>
      </c>
      <c r="H17" s="10">
        <v>414</v>
      </c>
      <c r="J17" s="15" t="s">
        <v>656</v>
      </c>
      <c r="K17" s="377">
        <f>TOTALNice</f>
        <v>2287</v>
      </c>
      <c r="M17" s="311"/>
      <c r="O17" s="76"/>
      <c r="P17" s="76"/>
      <c r="Q17" s="308"/>
      <c r="R17" s="76"/>
      <c r="S17" s="375">
        <f t="shared" si="0"/>
        <v>0</v>
      </c>
    </row>
    <row r="18" spans="1:19">
      <c r="A18" s="15" t="s">
        <v>285</v>
      </c>
      <c r="B18" s="377">
        <f>SUM(B10:B17)</f>
        <v>1847</v>
      </c>
      <c r="D18" s="15" t="s">
        <v>285</v>
      </c>
      <c r="E18" s="377">
        <f>SUM(E10:E17)</f>
        <v>2277</v>
      </c>
      <c r="G18" s="15" t="s">
        <v>285</v>
      </c>
      <c r="H18" s="377">
        <f>SUM(H10:H17)</f>
        <v>2305</v>
      </c>
      <c r="J18" s="15" t="s">
        <v>833</v>
      </c>
      <c r="K18" s="377">
        <f>TOTALReims</f>
        <v>2289</v>
      </c>
      <c r="M18" s="311"/>
      <c r="O18" s="76"/>
      <c r="P18" s="76"/>
      <c r="Q18" s="308"/>
      <c r="R18" s="76"/>
      <c r="S18" s="375">
        <f t="shared" si="0"/>
        <v>0</v>
      </c>
    </row>
    <row r="19" spans="1:19">
      <c r="B19" s="20"/>
      <c r="E19" s="20"/>
      <c r="H19" s="20"/>
      <c r="J19" s="15" t="s">
        <v>285</v>
      </c>
      <c r="K19" s="377">
        <f>SUM(K13:K18)</f>
        <v>12919</v>
      </c>
      <c r="M19" s="311"/>
      <c r="O19" s="76"/>
      <c r="P19" s="76"/>
      <c r="Q19" s="308"/>
      <c r="R19" s="76"/>
      <c r="S19" s="375">
        <f t="shared" si="0"/>
        <v>0</v>
      </c>
    </row>
    <row r="20" spans="1:19">
      <c r="A20" s="558" t="s">
        <v>828</v>
      </c>
      <c r="B20" s="558"/>
      <c r="D20" s="558" t="s">
        <v>656</v>
      </c>
      <c r="E20" s="558"/>
      <c r="G20" s="558" t="s">
        <v>833</v>
      </c>
      <c r="H20" s="558"/>
      <c r="M20" s="311"/>
      <c r="O20" s="76"/>
      <c r="P20" s="76"/>
      <c r="Q20" s="308"/>
      <c r="R20" s="76"/>
      <c r="S20" s="375">
        <f t="shared" si="0"/>
        <v>0</v>
      </c>
    </row>
    <row r="21" spans="1:19" ht="28.5">
      <c r="A21" s="371" t="s">
        <v>820</v>
      </c>
      <c r="B21" s="374" t="s">
        <v>821</v>
      </c>
      <c r="D21" s="371" t="s">
        <v>820</v>
      </c>
      <c r="E21" s="374" t="s">
        <v>821</v>
      </c>
      <c r="G21" s="371" t="s">
        <v>820</v>
      </c>
      <c r="H21" s="374" t="s">
        <v>821</v>
      </c>
      <c r="M21" s="311"/>
      <c r="O21" s="76"/>
      <c r="P21" s="76"/>
      <c r="Q21" s="308"/>
      <c r="R21" s="76"/>
      <c r="S21" s="375">
        <f t="shared" si="0"/>
        <v>0</v>
      </c>
    </row>
    <row r="22" spans="1:19">
      <c r="A22" s="15" t="s">
        <v>822</v>
      </c>
      <c r="B22" s="10">
        <v>364</v>
      </c>
      <c r="D22" s="15" t="s">
        <v>822</v>
      </c>
      <c r="E22" s="10">
        <v>203</v>
      </c>
      <c r="G22" s="15" t="s">
        <v>822</v>
      </c>
      <c r="H22" s="10">
        <v>145</v>
      </c>
      <c r="M22" s="311"/>
      <c r="O22" s="76"/>
      <c r="P22" s="76"/>
      <c r="Q22" s="308"/>
      <c r="R22" s="76"/>
      <c r="S22" s="375">
        <f t="shared" si="0"/>
        <v>0</v>
      </c>
    </row>
    <row r="23" spans="1:19">
      <c r="A23" s="15" t="s">
        <v>824</v>
      </c>
      <c r="B23" s="10">
        <v>170</v>
      </c>
      <c r="D23" s="15" t="s">
        <v>824</v>
      </c>
      <c r="E23" s="10">
        <v>222</v>
      </c>
      <c r="G23" s="15" t="s">
        <v>824</v>
      </c>
      <c r="H23" s="10">
        <v>414</v>
      </c>
      <c r="M23" s="311"/>
      <c r="O23" s="76"/>
      <c r="P23" s="76"/>
      <c r="Q23" s="308"/>
      <c r="R23" s="76"/>
      <c r="S23" s="375">
        <f t="shared" si="0"/>
        <v>0</v>
      </c>
    </row>
    <row r="24" spans="1:19">
      <c r="A24" s="15" t="s">
        <v>825</v>
      </c>
      <c r="B24" s="10">
        <v>162</v>
      </c>
      <c r="D24" s="15" t="s">
        <v>825</v>
      </c>
      <c r="E24" s="10">
        <v>354</v>
      </c>
      <c r="G24" s="15" t="s">
        <v>825</v>
      </c>
      <c r="H24" s="10">
        <v>372</v>
      </c>
      <c r="M24" s="311"/>
      <c r="O24" s="76"/>
      <c r="P24" s="76"/>
      <c r="Q24" s="308"/>
      <c r="R24" s="76"/>
      <c r="S24" s="375">
        <f t="shared" si="0"/>
        <v>0</v>
      </c>
    </row>
    <row r="25" spans="1:19">
      <c r="A25" s="15" t="s">
        <v>827</v>
      </c>
      <c r="B25" s="10">
        <v>427</v>
      </c>
      <c r="D25" s="15" t="s">
        <v>827</v>
      </c>
      <c r="E25" s="10">
        <v>200</v>
      </c>
      <c r="G25" s="15" t="s">
        <v>827</v>
      </c>
      <c r="H25" s="10">
        <v>394</v>
      </c>
      <c r="M25" s="311"/>
      <c r="O25" s="76"/>
      <c r="P25" s="76"/>
      <c r="Q25" s="308"/>
      <c r="R25" s="76"/>
      <c r="S25" s="375">
        <f t="shared" si="0"/>
        <v>0</v>
      </c>
    </row>
    <row r="26" spans="1:19">
      <c r="A26" s="15" t="s">
        <v>829</v>
      </c>
      <c r="B26" s="10">
        <v>209</v>
      </c>
      <c r="D26" s="15" t="s">
        <v>829</v>
      </c>
      <c r="E26" s="10">
        <v>393</v>
      </c>
      <c r="G26" s="15" t="s">
        <v>829</v>
      </c>
      <c r="H26" s="10">
        <v>282</v>
      </c>
      <c r="M26" s="311"/>
      <c r="O26" s="76"/>
      <c r="P26" s="76"/>
      <c r="Q26" s="308"/>
      <c r="R26" s="76"/>
      <c r="S26" s="375">
        <f t="shared" si="0"/>
        <v>0</v>
      </c>
    </row>
    <row r="27" spans="1:19">
      <c r="A27" s="15" t="s">
        <v>830</v>
      </c>
      <c r="B27" s="10">
        <v>223</v>
      </c>
      <c r="D27" s="15" t="s">
        <v>830</v>
      </c>
      <c r="E27" s="10">
        <v>120</v>
      </c>
      <c r="G27" s="15" t="s">
        <v>830</v>
      </c>
      <c r="H27" s="10">
        <v>153</v>
      </c>
      <c r="M27" s="311"/>
      <c r="O27" s="76"/>
      <c r="P27" s="76"/>
      <c r="Q27" s="308"/>
      <c r="R27" s="76"/>
      <c r="S27" s="375">
        <f t="shared" si="0"/>
        <v>0</v>
      </c>
    </row>
    <row r="28" spans="1:19">
      <c r="A28" s="15" t="s">
        <v>831</v>
      </c>
      <c r="B28" s="10">
        <v>211</v>
      </c>
      <c r="D28" s="15" t="s">
        <v>831</v>
      </c>
      <c r="E28" s="10">
        <v>412</v>
      </c>
      <c r="G28" s="15" t="s">
        <v>831</v>
      </c>
      <c r="H28" s="10">
        <v>258</v>
      </c>
      <c r="M28" s="311"/>
      <c r="O28" s="81"/>
      <c r="P28" s="81"/>
      <c r="Q28" s="378"/>
      <c r="R28" s="81"/>
      <c r="S28" s="375">
        <f t="shared" si="0"/>
        <v>0</v>
      </c>
    </row>
    <row r="29" spans="1:19">
      <c r="A29" s="15" t="s">
        <v>832</v>
      </c>
      <c r="B29" s="10">
        <v>148</v>
      </c>
      <c r="D29" s="15" t="s">
        <v>832</v>
      </c>
      <c r="E29" s="10">
        <v>383</v>
      </c>
      <c r="G29" s="15" t="s">
        <v>832</v>
      </c>
      <c r="H29" s="10">
        <v>271</v>
      </c>
      <c r="M29" s="311"/>
      <c r="R29" s="15" t="s">
        <v>757</v>
      </c>
      <c r="S29" s="35">
        <f>SUM(TOTAL_HT)</f>
        <v>58</v>
      </c>
    </row>
    <row r="30" spans="1:19">
      <c r="A30" s="15" t="s">
        <v>285</v>
      </c>
      <c r="B30" s="377">
        <f>SUM(B22:B29)</f>
        <v>1914</v>
      </c>
      <c r="D30" s="15" t="s">
        <v>285</v>
      </c>
      <c r="E30" s="377">
        <f>SUM(E22:E29)</f>
        <v>2287</v>
      </c>
      <c r="G30" s="15" t="s">
        <v>285</v>
      </c>
      <c r="H30" s="377">
        <f>SUM(H22:H29)</f>
        <v>2289</v>
      </c>
      <c r="M30" s="311"/>
      <c r="R30" s="15" t="s">
        <v>834</v>
      </c>
      <c r="S30" s="35">
        <f>TXTVA*TOTHT</f>
        <v>11.600000000000001</v>
      </c>
    </row>
    <row r="31" spans="1:19">
      <c r="R31" s="15" t="s">
        <v>835</v>
      </c>
      <c r="S31" s="35">
        <f>TOTHT+TVA</f>
        <v>69.599999999999994</v>
      </c>
    </row>
    <row r="33" spans="18:19">
      <c r="R33" s="15" t="s">
        <v>836</v>
      </c>
      <c r="S33" s="379">
        <f>DATEfact+30</f>
        <v>43587</v>
      </c>
    </row>
  </sheetData>
  <mergeCells count="6">
    <mergeCell ref="A8:B8"/>
    <mergeCell ref="D8:E8"/>
    <mergeCell ref="G8:H8"/>
    <mergeCell ref="A20:B20"/>
    <mergeCell ref="D20:E20"/>
    <mergeCell ref="G20:H20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6FE5D-652B-42EE-9221-B2C394EB04BE}">
  <dimension ref="A1:F24"/>
  <sheetViews>
    <sheetView tabSelected="1" zoomScale="85" zoomScaleNormal="85" workbookViewId="0">
      <selection activeCell="L2" sqref="L2"/>
    </sheetView>
  </sheetViews>
  <sheetFormatPr baseColWidth="10" defaultRowHeight="14.25" outlineLevelRow="2" outlineLevelCol="1"/>
  <cols>
    <col min="1" max="1" width="21.53125" customWidth="1"/>
    <col min="2" max="2" width="13.796875" bestFit="1" customWidth="1"/>
    <col min="3" max="5" width="10.796875" customWidth="1" outlineLevel="1"/>
  </cols>
  <sheetData>
    <row r="1" spans="1:6" ht="77.55" customHeight="1">
      <c r="A1" s="274" t="s">
        <v>958</v>
      </c>
      <c r="F1" s="458" t="s">
        <v>959</v>
      </c>
    </row>
    <row r="2" spans="1:6" ht="14.55" customHeight="1">
      <c r="A2" s="488" t="s">
        <v>281</v>
      </c>
      <c r="B2" s="488"/>
      <c r="C2" s="488"/>
      <c r="D2" s="488"/>
      <c r="E2" s="488"/>
      <c r="F2" s="488"/>
    </row>
    <row r="3" spans="1:6" ht="14.65" thickBot="1"/>
    <row r="4" spans="1:6" ht="14.65" thickBot="1">
      <c r="A4" s="459" t="s">
        <v>411</v>
      </c>
      <c r="B4" s="460" t="s">
        <v>282</v>
      </c>
      <c r="C4" s="460" t="s">
        <v>283</v>
      </c>
      <c r="D4" s="460" t="s">
        <v>284</v>
      </c>
      <c r="E4" s="460" t="s">
        <v>275</v>
      </c>
      <c r="F4" s="461" t="s">
        <v>285</v>
      </c>
    </row>
    <row r="5" spans="1:6" s="97" customFormat="1" outlineLevel="2">
      <c r="A5" s="462" t="s">
        <v>960</v>
      </c>
      <c r="B5" s="162" t="s">
        <v>286</v>
      </c>
      <c r="C5" s="162">
        <v>245</v>
      </c>
      <c r="D5" s="162">
        <v>156</v>
      </c>
      <c r="E5" s="162">
        <v>234</v>
      </c>
      <c r="F5" s="163">
        <f t="shared" ref="F5:F22" si="0">SUM(C5:E5)</f>
        <v>635</v>
      </c>
    </row>
    <row r="6" spans="1:6" s="97" customFormat="1" outlineLevel="2">
      <c r="A6" s="463" t="s">
        <v>960</v>
      </c>
      <c r="B6" s="164" t="s">
        <v>287</v>
      </c>
      <c r="C6" s="164">
        <v>376</v>
      </c>
      <c r="D6" s="164">
        <v>583</v>
      </c>
      <c r="E6" s="164">
        <v>143</v>
      </c>
      <c r="F6" s="165">
        <f t="shared" si="0"/>
        <v>1102</v>
      </c>
    </row>
    <row r="7" spans="1:6" s="97" customFormat="1" outlineLevel="2">
      <c r="A7" s="464" t="s">
        <v>960</v>
      </c>
      <c r="B7" s="166" t="s">
        <v>288</v>
      </c>
      <c r="C7" s="166">
        <v>256</v>
      </c>
      <c r="D7" s="166">
        <v>467</v>
      </c>
      <c r="E7" s="166">
        <v>285</v>
      </c>
      <c r="F7" s="167">
        <f t="shared" si="0"/>
        <v>1008</v>
      </c>
    </row>
    <row r="8" spans="1:6" s="97" customFormat="1" outlineLevel="2">
      <c r="A8" s="463" t="s">
        <v>960</v>
      </c>
      <c r="B8" s="164" t="s">
        <v>289</v>
      </c>
      <c r="C8" s="164">
        <v>634</v>
      </c>
      <c r="D8" s="164">
        <v>234</v>
      </c>
      <c r="E8" s="164">
        <v>178</v>
      </c>
      <c r="F8" s="165">
        <f t="shared" si="0"/>
        <v>1046</v>
      </c>
    </row>
    <row r="9" spans="1:6" s="97" customFormat="1" outlineLevel="2">
      <c r="A9" s="464" t="s">
        <v>960</v>
      </c>
      <c r="B9" s="166" t="s">
        <v>290</v>
      </c>
      <c r="C9" s="166">
        <v>55</v>
      </c>
      <c r="D9" s="166">
        <v>25</v>
      </c>
      <c r="E9" s="166">
        <v>63</v>
      </c>
      <c r="F9" s="167">
        <f t="shared" si="0"/>
        <v>143</v>
      </c>
    </row>
    <row r="10" spans="1:6" s="97" customFormat="1" outlineLevel="2">
      <c r="A10" s="463" t="s">
        <v>960</v>
      </c>
      <c r="B10" s="164" t="s">
        <v>291</v>
      </c>
      <c r="C10" s="164">
        <v>145</v>
      </c>
      <c r="D10" s="164">
        <v>123</v>
      </c>
      <c r="E10" s="164">
        <v>201</v>
      </c>
      <c r="F10" s="165">
        <f t="shared" si="0"/>
        <v>469</v>
      </c>
    </row>
    <row r="11" spans="1:6" s="97" customFormat="1" outlineLevel="2">
      <c r="A11" s="464" t="s">
        <v>960</v>
      </c>
      <c r="B11" s="166" t="s">
        <v>292</v>
      </c>
      <c r="C11" s="166">
        <v>57</v>
      </c>
      <c r="D11" s="166">
        <v>87</v>
      </c>
      <c r="E11" s="166">
        <v>45</v>
      </c>
      <c r="F11" s="167">
        <f t="shared" si="0"/>
        <v>189</v>
      </c>
    </row>
    <row r="12" spans="1:6" s="97" customFormat="1" outlineLevel="1">
      <c r="A12" s="465" t="s">
        <v>961</v>
      </c>
      <c r="B12" s="166"/>
      <c r="C12" s="166">
        <f>SUBTOTAL(9,C5:C11)</f>
        <v>1768</v>
      </c>
      <c r="D12" s="166">
        <f>SUBTOTAL(9,D5:D11)</f>
        <v>1675</v>
      </c>
      <c r="E12" s="166">
        <f>SUBTOTAL(9,E5:E11)</f>
        <v>1149</v>
      </c>
      <c r="F12" s="167">
        <f>SUBTOTAL(9,F5:F11)</f>
        <v>4592</v>
      </c>
    </row>
    <row r="13" spans="1:6" s="97" customFormat="1" outlineLevel="2">
      <c r="A13" s="466" t="s">
        <v>962</v>
      </c>
      <c r="B13" s="164" t="s">
        <v>293</v>
      </c>
      <c r="C13" s="164">
        <v>69</v>
      </c>
      <c r="D13" s="164">
        <v>69</v>
      </c>
      <c r="E13" s="164">
        <v>69</v>
      </c>
      <c r="F13" s="165">
        <f t="shared" si="0"/>
        <v>207</v>
      </c>
    </row>
    <row r="14" spans="1:6" s="97" customFormat="1" outlineLevel="2">
      <c r="A14" s="467" t="s">
        <v>962</v>
      </c>
      <c r="B14" s="166" t="s">
        <v>294</v>
      </c>
      <c r="C14" s="166">
        <v>24</v>
      </c>
      <c r="D14" s="166">
        <v>24</v>
      </c>
      <c r="E14" s="166">
        <v>24</v>
      </c>
      <c r="F14" s="167">
        <f t="shared" si="0"/>
        <v>72</v>
      </c>
    </row>
    <row r="15" spans="1:6" s="97" customFormat="1" outlineLevel="2">
      <c r="A15" s="466" t="s">
        <v>962</v>
      </c>
      <c r="B15" s="164" t="s">
        <v>295</v>
      </c>
      <c r="C15" s="164">
        <v>79</v>
      </c>
      <c r="D15" s="164">
        <v>79</v>
      </c>
      <c r="E15" s="164">
        <v>79</v>
      </c>
      <c r="F15" s="165">
        <f t="shared" si="0"/>
        <v>237</v>
      </c>
    </row>
    <row r="16" spans="1:6" s="97" customFormat="1" outlineLevel="1">
      <c r="A16" s="468" t="s">
        <v>963</v>
      </c>
      <c r="B16" s="164"/>
      <c r="C16" s="164">
        <f>SUBTOTAL(9,C13:C15)</f>
        <v>172</v>
      </c>
      <c r="D16" s="164">
        <f>SUBTOTAL(9,D13:D15)</f>
        <v>172</v>
      </c>
      <c r="E16" s="164">
        <f>SUBTOTAL(9,E13:E15)</f>
        <v>172</v>
      </c>
      <c r="F16" s="165">
        <f>SUBTOTAL(9,F13:F15)</f>
        <v>516</v>
      </c>
    </row>
    <row r="17" spans="1:6" s="97" customFormat="1" outlineLevel="2">
      <c r="A17" s="469" t="s">
        <v>964</v>
      </c>
      <c r="B17" s="164" t="s">
        <v>297</v>
      </c>
      <c r="C17" s="164">
        <v>56</v>
      </c>
      <c r="D17" s="164">
        <v>45</v>
      </c>
      <c r="E17" s="164">
        <v>43</v>
      </c>
      <c r="F17" s="165">
        <f t="shared" si="0"/>
        <v>144</v>
      </c>
    </row>
    <row r="18" spans="1:6" s="97" customFormat="1" outlineLevel="2">
      <c r="A18" s="470" t="s">
        <v>964</v>
      </c>
      <c r="B18" s="166" t="s">
        <v>298</v>
      </c>
      <c r="C18" s="166">
        <v>67</v>
      </c>
      <c r="D18" s="166">
        <v>67</v>
      </c>
      <c r="E18" s="166">
        <v>67</v>
      </c>
      <c r="F18" s="167">
        <f t="shared" si="0"/>
        <v>201</v>
      </c>
    </row>
    <row r="19" spans="1:6" s="97" customFormat="1" outlineLevel="2">
      <c r="A19" s="469" t="s">
        <v>964</v>
      </c>
      <c r="B19" s="164" t="s">
        <v>299</v>
      </c>
      <c r="C19" s="164">
        <v>39</v>
      </c>
      <c r="D19" s="164">
        <v>39</v>
      </c>
      <c r="E19" s="164">
        <v>39</v>
      </c>
      <c r="F19" s="165">
        <f t="shared" si="0"/>
        <v>117</v>
      </c>
    </row>
    <row r="20" spans="1:6" s="97" customFormat="1" outlineLevel="1">
      <c r="A20" s="471" t="s">
        <v>965</v>
      </c>
      <c r="B20" s="164"/>
      <c r="C20" s="164">
        <f>SUBTOTAL(9,C17:C19)</f>
        <v>162</v>
      </c>
      <c r="D20" s="164">
        <f>SUBTOTAL(9,D17:D19)</f>
        <v>151</v>
      </c>
      <c r="E20" s="164">
        <f>SUBTOTAL(9,E17:E19)</f>
        <v>149</v>
      </c>
      <c r="F20" s="165">
        <f>SUBTOTAL(9,F17:F19)</f>
        <v>462</v>
      </c>
    </row>
    <row r="21" spans="1:6" s="97" customFormat="1" outlineLevel="2">
      <c r="A21" s="472" t="s">
        <v>966</v>
      </c>
      <c r="B21" s="166" t="s">
        <v>300</v>
      </c>
      <c r="C21" s="166">
        <v>256</v>
      </c>
      <c r="D21" s="166">
        <v>345</v>
      </c>
      <c r="E21" s="166">
        <v>289</v>
      </c>
      <c r="F21" s="167">
        <f t="shared" si="0"/>
        <v>890</v>
      </c>
    </row>
    <row r="22" spans="1:6" s="97" customFormat="1" outlineLevel="2">
      <c r="A22" s="473" t="s">
        <v>966</v>
      </c>
      <c r="B22" s="164" t="s">
        <v>301</v>
      </c>
      <c r="C22" s="164">
        <v>45</v>
      </c>
      <c r="D22" s="164">
        <v>145</v>
      </c>
      <c r="E22" s="164">
        <v>99</v>
      </c>
      <c r="F22" s="165">
        <f t="shared" si="0"/>
        <v>289</v>
      </c>
    </row>
    <row r="23" spans="1:6" s="97" customFormat="1" outlineLevel="1">
      <c r="A23" s="474" t="s">
        <v>967</v>
      </c>
      <c r="B23" s="475"/>
      <c r="C23" s="475">
        <f>SUBTOTAL(9,C21:C22)</f>
        <v>301</v>
      </c>
      <c r="D23" s="475">
        <f>SUBTOTAL(9,D21:D22)</f>
        <v>490</v>
      </c>
      <c r="E23" s="475">
        <f>SUBTOTAL(9,E21:E22)</f>
        <v>388</v>
      </c>
      <c r="F23" s="475">
        <f>SUBTOTAL(9,F21:F22)</f>
        <v>1179</v>
      </c>
    </row>
    <row r="24" spans="1:6" s="97" customFormat="1">
      <c r="A24" s="474" t="s">
        <v>968</v>
      </c>
      <c r="B24" s="475"/>
      <c r="C24" s="475">
        <f>SUBTOTAL(9,C5:C22)</f>
        <v>2403</v>
      </c>
      <c r="D24" s="475">
        <f>SUBTOTAL(9,D5:D22)</f>
        <v>2488</v>
      </c>
      <c r="E24" s="475">
        <f>SUBTOTAL(9,E5:E22)</f>
        <v>1858</v>
      </c>
      <c r="F24" s="475">
        <f>SUBTOTAL(9,F5:F22)</f>
        <v>6749</v>
      </c>
    </row>
  </sheetData>
  <mergeCells count="1">
    <mergeCell ref="A2:F2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915DC-9F54-4A61-9327-A32FAB48F078}">
  <sheetPr>
    <tabColor theme="3" tint="0.39997558519241921"/>
  </sheetPr>
  <dimension ref="A1:B95"/>
  <sheetViews>
    <sheetView workbookViewId="0">
      <selection activeCell="K13" sqref="K13"/>
    </sheetView>
  </sheetViews>
  <sheetFormatPr baseColWidth="10" defaultRowHeight="14.25" outlineLevelRow="1"/>
  <cols>
    <col min="1" max="1" width="15.265625" customWidth="1"/>
    <col min="2" max="2" width="17.46484375" style="20" customWidth="1"/>
  </cols>
  <sheetData>
    <row r="1" spans="1:2" ht="37.15" customHeight="1">
      <c r="A1" s="274" t="s">
        <v>969</v>
      </c>
    </row>
    <row r="2" spans="1:2">
      <c r="A2" s="476" t="s">
        <v>170</v>
      </c>
    </row>
    <row r="4" spans="1:2" s="40" customFormat="1" ht="28.5">
      <c r="A4" s="371" t="s">
        <v>970</v>
      </c>
      <c r="B4" s="374" t="s">
        <v>971</v>
      </c>
    </row>
    <row r="5" spans="1:2" s="40" customFormat="1" hidden="1" outlineLevel="1">
      <c r="A5" s="371"/>
      <c r="B5" s="374">
        <f>Agen!$B$5</f>
        <v>124</v>
      </c>
    </row>
    <row r="6" spans="1:2" s="40" customFormat="1" hidden="1" outlineLevel="1" collapsed="1">
      <c r="A6" s="371"/>
      <c r="B6" s="374">
        <f>Aix!$B$5</f>
        <v>137</v>
      </c>
    </row>
    <row r="7" spans="1:2" s="40" customFormat="1" hidden="1" outlineLevel="1" collapsed="1">
      <c r="A7" s="371"/>
      <c r="B7" s="374">
        <f>Annecy!$B$5</f>
        <v>171</v>
      </c>
    </row>
    <row r="8" spans="1:2" s="40" customFormat="1" hidden="1" outlineLevel="1" collapsed="1">
      <c r="A8" s="371"/>
      <c r="B8" s="374">
        <f>Clermont!$B$5</f>
        <v>173</v>
      </c>
    </row>
    <row r="9" spans="1:2" s="40" customFormat="1" hidden="1" outlineLevel="1" collapsed="1">
      <c r="A9" s="371"/>
      <c r="B9" s="374">
        <f>Lyon!$B$5</f>
        <v>152</v>
      </c>
    </row>
    <row r="10" spans="1:2" s="40" customFormat="1" hidden="1" outlineLevel="1" collapsed="1">
      <c r="A10" s="371"/>
      <c r="B10" s="374">
        <f>Montélimar!$B$5</f>
        <v>210</v>
      </c>
    </row>
    <row r="11" spans="1:2" s="40" customFormat="1" hidden="1" outlineLevel="1" collapsed="1">
      <c r="A11" s="371"/>
      <c r="B11" s="374">
        <f>Nantes!$B$5</f>
        <v>200</v>
      </c>
    </row>
    <row r="12" spans="1:2" s="40" customFormat="1" hidden="1" outlineLevel="1" collapsed="1">
      <c r="A12" s="371"/>
      <c r="B12" s="374">
        <f>Nice!$B$5</f>
        <v>149</v>
      </c>
    </row>
    <row r="13" spans="1:2" s="40" customFormat="1" hidden="1" outlineLevel="1" collapsed="1">
      <c r="A13" s="371"/>
      <c r="B13" s="374">
        <f>Reims!$B$5</f>
        <v>129</v>
      </c>
    </row>
    <row r="14" spans="1:2" s="40" customFormat="1" hidden="1" outlineLevel="1" collapsed="1">
      <c r="A14" s="371"/>
      <c r="B14" s="374">
        <f>Strasbourg!$B$5</f>
        <v>203</v>
      </c>
    </row>
    <row r="15" spans="1:2" s="40" customFormat="1" hidden="1" outlineLevel="1" collapsed="1">
      <c r="A15" s="371"/>
      <c r="B15" s="374">
        <f>Toulouse!$B$5</f>
        <v>178</v>
      </c>
    </row>
    <row r="16" spans="1:2" s="40" customFormat="1" hidden="1" outlineLevel="1" collapsed="1">
      <c r="A16" s="371"/>
      <c r="B16" s="374">
        <f>Valence!$B$5</f>
        <v>220</v>
      </c>
    </row>
    <row r="17" spans="1:2" collapsed="1">
      <c r="A17" s="15" t="s">
        <v>972</v>
      </c>
      <c r="B17" s="10">
        <f>SUM(B5:B16)</f>
        <v>2046</v>
      </c>
    </row>
    <row r="18" spans="1:2" hidden="1" outlineLevel="1">
      <c r="A18" s="15"/>
      <c r="B18" s="10">
        <f>Agen!$B$6</f>
        <v>163</v>
      </c>
    </row>
    <row r="19" spans="1:2" hidden="1" outlineLevel="1" collapsed="1">
      <c r="A19" s="15"/>
      <c r="B19" s="10">
        <f>Aix!$B$6</f>
        <v>211</v>
      </c>
    </row>
    <row r="20" spans="1:2" hidden="1" outlineLevel="1" collapsed="1">
      <c r="A20" s="15"/>
      <c r="B20" s="10">
        <f>Annecy!$B$6</f>
        <v>201</v>
      </c>
    </row>
    <row r="21" spans="1:2" hidden="1" outlineLevel="1" collapsed="1">
      <c r="A21" s="15"/>
      <c r="B21" s="10">
        <f>Clermont!$B$6</f>
        <v>146</v>
      </c>
    </row>
    <row r="22" spans="1:2" hidden="1" outlineLevel="1" collapsed="1">
      <c r="A22" s="15"/>
      <c r="B22" s="10">
        <f>Lyon!$B$6</f>
        <v>122</v>
      </c>
    </row>
    <row r="23" spans="1:2" hidden="1" outlineLevel="1" collapsed="1">
      <c r="A23" s="15"/>
      <c r="B23" s="10">
        <f>Montélimar!$B$6</f>
        <v>224</v>
      </c>
    </row>
    <row r="24" spans="1:2" hidden="1" outlineLevel="1" collapsed="1">
      <c r="A24" s="15"/>
      <c r="B24" s="10">
        <f>Nantes!$B$6</f>
        <v>186</v>
      </c>
    </row>
    <row r="25" spans="1:2" hidden="1" outlineLevel="1" collapsed="1">
      <c r="A25" s="15"/>
      <c r="B25" s="10">
        <f>Nice!$B$6</f>
        <v>213</v>
      </c>
    </row>
    <row r="26" spans="1:2" hidden="1" outlineLevel="1" collapsed="1">
      <c r="A26" s="15"/>
      <c r="B26" s="10">
        <f>Reims!$B$6</f>
        <v>170</v>
      </c>
    </row>
    <row r="27" spans="1:2" hidden="1" outlineLevel="1" collapsed="1">
      <c r="A27" s="15"/>
      <c r="B27" s="10">
        <f>Strasbourg!$B$6</f>
        <v>130</v>
      </c>
    </row>
    <row r="28" spans="1:2" hidden="1" outlineLevel="1" collapsed="1">
      <c r="A28" s="15"/>
      <c r="B28" s="10">
        <f>Toulouse!$B$6</f>
        <v>227</v>
      </c>
    </row>
    <row r="29" spans="1:2" hidden="1" outlineLevel="1" collapsed="1">
      <c r="A29" s="15"/>
      <c r="B29" s="10">
        <f>Valence!$B$6</f>
        <v>169</v>
      </c>
    </row>
    <row r="30" spans="1:2" collapsed="1">
      <c r="A30" s="15" t="s">
        <v>973</v>
      </c>
      <c r="B30" s="10">
        <f>SUM(B18:B29)</f>
        <v>2162</v>
      </c>
    </row>
    <row r="31" spans="1:2" hidden="1" outlineLevel="1">
      <c r="A31" s="15"/>
      <c r="B31" s="10">
        <f>Agen!$B$7</f>
        <v>207</v>
      </c>
    </row>
    <row r="32" spans="1:2" hidden="1" outlineLevel="1" collapsed="1">
      <c r="A32" s="15"/>
      <c r="B32" s="10">
        <f>Aix!$B$7</f>
        <v>130</v>
      </c>
    </row>
    <row r="33" spans="1:2" hidden="1" outlineLevel="1" collapsed="1">
      <c r="A33" s="15"/>
      <c r="B33" s="10">
        <f>Annecy!$B$7</f>
        <v>174</v>
      </c>
    </row>
    <row r="34" spans="1:2" hidden="1" outlineLevel="1" collapsed="1">
      <c r="A34" s="15"/>
      <c r="B34" s="10">
        <f>Clermont!$B$7</f>
        <v>184</v>
      </c>
    </row>
    <row r="35" spans="1:2" hidden="1" outlineLevel="1" collapsed="1">
      <c r="A35" s="15"/>
      <c r="B35" s="10">
        <f>Lyon!$B$7</f>
        <v>211</v>
      </c>
    </row>
    <row r="36" spans="1:2" hidden="1" outlineLevel="1" collapsed="1">
      <c r="A36" s="15"/>
      <c r="B36" s="10">
        <f>Montélimar!$B$7</f>
        <v>188</v>
      </c>
    </row>
    <row r="37" spans="1:2" hidden="1" outlineLevel="1" collapsed="1">
      <c r="A37" s="15"/>
      <c r="B37" s="10">
        <f>Nantes!$B$7</f>
        <v>143</v>
      </c>
    </row>
    <row r="38" spans="1:2" hidden="1" outlineLevel="1" collapsed="1">
      <c r="A38" s="15"/>
      <c r="B38" s="10">
        <f>Nice!$B$7</f>
        <v>142</v>
      </c>
    </row>
    <row r="39" spans="1:2" hidden="1" outlineLevel="1" collapsed="1">
      <c r="A39" s="15"/>
      <c r="B39" s="10">
        <f>Reims!$B$7</f>
        <v>188</v>
      </c>
    </row>
    <row r="40" spans="1:2" hidden="1" outlineLevel="1" collapsed="1">
      <c r="A40" s="15"/>
      <c r="B40" s="10">
        <f>Strasbourg!$B$7</f>
        <v>137</v>
      </c>
    </row>
    <row r="41" spans="1:2" hidden="1" outlineLevel="1" collapsed="1">
      <c r="A41" s="15"/>
      <c r="B41" s="10">
        <f>Toulouse!$B$7</f>
        <v>193</v>
      </c>
    </row>
    <row r="42" spans="1:2" hidden="1" outlineLevel="1" collapsed="1">
      <c r="A42" s="15"/>
      <c r="B42" s="10">
        <f>Valence!$B$7</f>
        <v>187</v>
      </c>
    </row>
    <row r="43" spans="1:2" collapsed="1">
      <c r="A43" s="15" t="s">
        <v>974</v>
      </c>
      <c r="B43" s="10">
        <f>SUM(B31:B42)</f>
        <v>2084</v>
      </c>
    </row>
    <row r="44" spans="1:2" hidden="1" outlineLevel="1">
      <c r="A44" s="15"/>
      <c r="B44" s="10">
        <f>Agen!$B$8</f>
        <v>153</v>
      </c>
    </row>
    <row r="45" spans="1:2" hidden="1" outlineLevel="1" collapsed="1">
      <c r="A45" s="15"/>
      <c r="B45" s="10">
        <f>Aix!$B$8</f>
        <v>196</v>
      </c>
    </row>
    <row r="46" spans="1:2" hidden="1" outlineLevel="1" collapsed="1">
      <c r="A46" s="15"/>
      <c r="B46" s="10">
        <f>Annecy!$B$8</f>
        <v>158</v>
      </c>
    </row>
    <row r="47" spans="1:2" hidden="1" outlineLevel="1" collapsed="1">
      <c r="A47" s="15"/>
      <c r="B47" s="10">
        <f>Clermont!$B$8</f>
        <v>183</v>
      </c>
    </row>
    <row r="48" spans="1:2" hidden="1" outlineLevel="1" collapsed="1">
      <c r="A48" s="15"/>
      <c r="B48" s="10">
        <f>Lyon!$B$8</f>
        <v>181</v>
      </c>
    </row>
    <row r="49" spans="1:2" hidden="1" outlineLevel="1" collapsed="1">
      <c r="A49" s="15"/>
      <c r="B49" s="10">
        <f>Montélimar!$B$8</f>
        <v>167</v>
      </c>
    </row>
    <row r="50" spans="1:2" hidden="1" outlineLevel="1" collapsed="1">
      <c r="A50" s="15"/>
      <c r="B50" s="10">
        <f>Nantes!$B$8</f>
        <v>179</v>
      </c>
    </row>
    <row r="51" spans="1:2" hidden="1" outlineLevel="1" collapsed="1">
      <c r="A51" s="15"/>
      <c r="B51" s="10">
        <f>Nice!$B$8</f>
        <v>184</v>
      </c>
    </row>
    <row r="52" spans="1:2" hidden="1" outlineLevel="1" collapsed="1">
      <c r="A52" s="15"/>
      <c r="B52" s="10">
        <f>Reims!$B$8</f>
        <v>168</v>
      </c>
    </row>
    <row r="53" spans="1:2" hidden="1" outlineLevel="1" collapsed="1">
      <c r="A53" s="15"/>
      <c r="B53" s="10">
        <f>Strasbourg!$B$8</f>
        <v>188</v>
      </c>
    </row>
    <row r="54" spans="1:2" hidden="1" outlineLevel="1" collapsed="1">
      <c r="A54" s="15"/>
      <c r="B54" s="10">
        <f>Toulouse!$B$8</f>
        <v>191</v>
      </c>
    </row>
    <row r="55" spans="1:2" hidden="1" outlineLevel="1" collapsed="1">
      <c r="A55" s="15"/>
      <c r="B55" s="10">
        <f>Valence!$B$8</f>
        <v>131</v>
      </c>
    </row>
    <row r="56" spans="1:2" collapsed="1">
      <c r="A56" s="15" t="s">
        <v>975</v>
      </c>
      <c r="B56" s="10">
        <f>SUM(B44:B55)</f>
        <v>2079</v>
      </c>
    </row>
    <row r="57" spans="1:2" hidden="1" outlineLevel="1">
      <c r="A57" s="15"/>
      <c r="B57" s="10">
        <f>Agen!$B$9</f>
        <v>166</v>
      </c>
    </row>
    <row r="58" spans="1:2" hidden="1" outlineLevel="1" collapsed="1">
      <c r="A58" s="15"/>
      <c r="B58" s="10">
        <f>Aix!$B$9</f>
        <v>215</v>
      </c>
    </row>
    <row r="59" spans="1:2" hidden="1" outlineLevel="1" collapsed="1">
      <c r="A59" s="15"/>
      <c r="B59" s="10">
        <f>Annecy!$B$9</f>
        <v>227</v>
      </c>
    </row>
    <row r="60" spans="1:2" hidden="1" outlineLevel="1" collapsed="1">
      <c r="A60" s="15"/>
      <c r="B60" s="10">
        <f>Clermont!$B$9</f>
        <v>224</v>
      </c>
    </row>
    <row r="61" spans="1:2" hidden="1" outlineLevel="1" collapsed="1">
      <c r="A61" s="15"/>
      <c r="B61" s="10">
        <f>Lyon!$B$9</f>
        <v>190</v>
      </c>
    </row>
    <row r="62" spans="1:2" hidden="1" outlineLevel="1" collapsed="1">
      <c r="A62" s="15"/>
      <c r="B62" s="10">
        <f>Montélimar!$B$9</f>
        <v>122</v>
      </c>
    </row>
    <row r="63" spans="1:2" hidden="1" outlineLevel="1" collapsed="1">
      <c r="A63" s="15"/>
      <c r="B63" s="10">
        <f>Nantes!$B$9</f>
        <v>216</v>
      </c>
    </row>
    <row r="64" spans="1:2" hidden="1" outlineLevel="1" collapsed="1">
      <c r="A64" s="15"/>
      <c r="B64" s="10">
        <f>Nice!$B$9</f>
        <v>125</v>
      </c>
    </row>
    <row r="65" spans="1:2" hidden="1" outlineLevel="1" collapsed="1">
      <c r="A65" s="15"/>
      <c r="B65" s="10">
        <f>Reims!$B$9</f>
        <v>192</v>
      </c>
    </row>
    <row r="66" spans="1:2" hidden="1" outlineLevel="1" collapsed="1">
      <c r="A66" s="15"/>
      <c r="B66" s="10">
        <f>Strasbourg!$B$9</f>
        <v>145</v>
      </c>
    </row>
    <row r="67" spans="1:2" hidden="1" outlineLevel="1" collapsed="1">
      <c r="A67" s="15"/>
      <c r="B67" s="10">
        <f>Toulouse!$B$9</f>
        <v>140</v>
      </c>
    </row>
    <row r="68" spans="1:2" hidden="1" outlineLevel="1" collapsed="1">
      <c r="A68" s="15"/>
      <c r="B68" s="10">
        <f>Valence!$B$9</f>
        <v>184</v>
      </c>
    </row>
    <row r="69" spans="1:2" collapsed="1">
      <c r="A69" s="15" t="s">
        <v>976</v>
      </c>
      <c r="B69" s="10">
        <f>SUM(B57:B68)</f>
        <v>2146</v>
      </c>
    </row>
    <row r="70" spans="1:2" hidden="1" outlineLevel="1">
      <c r="A70" s="15"/>
      <c r="B70" s="10">
        <f>Agen!$B$10</f>
        <v>122</v>
      </c>
    </row>
    <row r="71" spans="1:2" hidden="1" outlineLevel="1" collapsed="1">
      <c r="A71" s="15"/>
      <c r="B71" s="10">
        <f>Aix!$B$10</f>
        <v>197</v>
      </c>
    </row>
    <row r="72" spans="1:2" hidden="1" outlineLevel="1" collapsed="1">
      <c r="A72" s="15"/>
      <c r="B72" s="10">
        <f>Annecy!$B$10</f>
        <v>186</v>
      </c>
    </row>
    <row r="73" spans="1:2" hidden="1" outlineLevel="1" collapsed="1">
      <c r="A73" s="15"/>
      <c r="B73" s="10">
        <f>Clermont!$B$10</f>
        <v>162</v>
      </c>
    </row>
    <row r="74" spans="1:2" hidden="1" outlineLevel="1" collapsed="1">
      <c r="A74" s="15"/>
      <c r="B74" s="10">
        <f>Lyon!$B$10</f>
        <v>135</v>
      </c>
    </row>
    <row r="75" spans="1:2" hidden="1" outlineLevel="1" collapsed="1">
      <c r="A75" s="15"/>
      <c r="B75" s="10">
        <f>Montélimar!$B$10</f>
        <v>141</v>
      </c>
    </row>
    <row r="76" spans="1:2" hidden="1" outlineLevel="1" collapsed="1">
      <c r="A76" s="15"/>
      <c r="B76" s="10">
        <f>Nantes!$B$10</f>
        <v>157</v>
      </c>
    </row>
    <row r="77" spans="1:2" hidden="1" outlineLevel="1" collapsed="1">
      <c r="A77" s="15"/>
      <c r="B77" s="10">
        <f>Nice!$B$10</f>
        <v>226</v>
      </c>
    </row>
    <row r="78" spans="1:2" hidden="1" outlineLevel="1" collapsed="1">
      <c r="A78" s="15"/>
      <c r="B78" s="10">
        <f>Reims!$B$10</f>
        <v>147</v>
      </c>
    </row>
    <row r="79" spans="1:2" hidden="1" outlineLevel="1" collapsed="1">
      <c r="A79" s="15"/>
      <c r="B79" s="10">
        <f>Strasbourg!$B$10</f>
        <v>138</v>
      </c>
    </row>
    <row r="80" spans="1:2" hidden="1" outlineLevel="1" collapsed="1">
      <c r="A80" s="15"/>
      <c r="B80" s="10">
        <f>Toulouse!$B$10</f>
        <v>160</v>
      </c>
    </row>
    <row r="81" spans="1:2" hidden="1" outlineLevel="1" collapsed="1">
      <c r="A81" s="15"/>
      <c r="B81" s="10">
        <f>Valence!$B$10</f>
        <v>141</v>
      </c>
    </row>
    <row r="82" spans="1:2" collapsed="1">
      <c r="A82" s="15" t="s">
        <v>977</v>
      </c>
      <c r="B82" s="10">
        <f>SUM(B70:B81)</f>
        <v>1912</v>
      </c>
    </row>
    <row r="83" spans="1:2" hidden="1" outlineLevel="1">
      <c r="A83" s="15"/>
      <c r="B83" s="10">
        <f>Agen!$B$11</f>
        <v>935</v>
      </c>
    </row>
    <row r="84" spans="1:2" hidden="1" outlineLevel="1" collapsed="1">
      <c r="A84" s="15"/>
      <c r="B84" s="10">
        <f>Aix!$B$11</f>
        <v>1086</v>
      </c>
    </row>
    <row r="85" spans="1:2" hidden="1" outlineLevel="1" collapsed="1">
      <c r="A85" s="15"/>
      <c r="B85" s="10">
        <f>Annecy!$B$11</f>
        <v>1117</v>
      </c>
    </row>
    <row r="86" spans="1:2" hidden="1" outlineLevel="1" collapsed="1">
      <c r="A86" s="15"/>
      <c r="B86" s="10">
        <f>Clermont!$B$11</f>
        <v>1072</v>
      </c>
    </row>
    <row r="87" spans="1:2" hidden="1" outlineLevel="1" collapsed="1">
      <c r="A87" s="15"/>
      <c r="B87" s="10">
        <f>Lyon!$B$11</f>
        <v>991</v>
      </c>
    </row>
    <row r="88" spans="1:2" hidden="1" outlineLevel="1" collapsed="1">
      <c r="A88" s="15"/>
      <c r="B88" s="10">
        <f>Montélimar!$B$11</f>
        <v>1052</v>
      </c>
    </row>
    <row r="89" spans="1:2" hidden="1" outlineLevel="1" collapsed="1">
      <c r="A89" s="15"/>
      <c r="B89" s="10">
        <f>Nantes!$B$11</f>
        <v>1081</v>
      </c>
    </row>
    <row r="90" spans="1:2" hidden="1" outlineLevel="1" collapsed="1">
      <c r="A90" s="15"/>
      <c r="B90" s="10">
        <f>Nice!$B$11</f>
        <v>1039</v>
      </c>
    </row>
    <row r="91" spans="1:2" hidden="1" outlineLevel="1" collapsed="1">
      <c r="A91" s="15"/>
      <c r="B91" s="10">
        <f>Reims!$B$11</f>
        <v>994</v>
      </c>
    </row>
    <row r="92" spans="1:2" hidden="1" outlineLevel="1" collapsed="1">
      <c r="A92" s="15"/>
      <c r="B92" s="10">
        <f>Strasbourg!$B$11</f>
        <v>941</v>
      </c>
    </row>
    <row r="93" spans="1:2" hidden="1" outlineLevel="1" collapsed="1">
      <c r="A93" s="15"/>
      <c r="B93" s="10">
        <f>Toulouse!$B$11</f>
        <v>1089</v>
      </c>
    </row>
    <row r="94" spans="1:2" hidden="1" outlineLevel="1" collapsed="1">
      <c r="A94" s="15"/>
      <c r="B94" s="10">
        <f>Valence!$B$11</f>
        <v>1032</v>
      </c>
    </row>
    <row r="95" spans="1:2" collapsed="1">
      <c r="A95" s="15" t="s">
        <v>285</v>
      </c>
      <c r="B95" s="377">
        <f>SUM(B83:B94)</f>
        <v>12429</v>
      </c>
    </row>
  </sheetData>
  <dataConsolidate link="1">
    <dataRefs count="12">
      <dataRef ref="B4:B10" sheet="Agen" r:id="rId1"/>
      <dataRef ref="B4:B10" sheet="Aix" r:id="rId2"/>
      <dataRef ref="B4:B10" sheet="Annecy" r:id="rId3"/>
      <dataRef ref="B4:B10" sheet="Clermont" r:id="rId4"/>
      <dataRef ref="B4:B10" sheet="Lyon" r:id="rId5"/>
      <dataRef ref="B4:B10" sheet="Montélimar" r:id="rId6"/>
      <dataRef ref="B4:B10" sheet="Nantes" r:id="rId7"/>
      <dataRef ref="B4:B10" sheet="Nice" r:id="rId8"/>
      <dataRef ref="B4:B10" sheet="Reims" r:id="rId9"/>
      <dataRef ref="B4:B10" sheet="Strasbourg" r:id="rId10"/>
      <dataRef ref="B4:B10" sheet="Toulouse" r:id="rId11"/>
      <dataRef ref="B4:B10" sheet="Valence" r:id="rId12"/>
    </dataRefs>
  </dataConsolid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FD381-6D20-477B-9DFF-9FF48008251E}">
  <sheetPr>
    <tabColor theme="3" tint="0.39997558519241921"/>
  </sheetPr>
  <dimension ref="A2:B11"/>
  <sheetViews>
    <sheetView workbookViewId="0">
      <selection activeCell="K13" sqref="K13"/>
    </sheetView>
  </sheetViews>
  <sheetFormatPr baseColWidth="10" defaultRowHeight="14.25"/>
  <cols>
    <col min="1" max="1" width="15.265625" customWidth="1"/>
    <col min="2" max="2" width="17.46484375" style="20" customWidth="1"/>
  </cols>
  <sheetData>
    <row r="2" spans="1:2">
      <c r="A2" s="476" t="s">
        <v>170</v>
      </c>
    </row>
    <row r="4" spans="1:2" s="40" customFormat="1" ht="28.5">
      <c r="A4" s="371" t="s">
        <v>970</v>
      </c>
      <c r="B4" s="374" t="s">
        <v>971</v>
      </c>
    </row>
    <row r="5" spans="1:2">
      <c r="A5" s="15" t="s">
        <v>972</v>
      </c>
      <c r="B5" s="10">
        <v>124</v>
      </c>
    </row>
    <row r="6" spans="1:2">
      <c r="A6" s="15" t="s">
        <v>973</v>
      </c>
      <c r="B6" s="10">
        <v>163</v>
      </c>
    </row>
    <row r="7" spans="1:2">
      <c r="A7" s="15" t="s">
        <v>974</v>
      </c>
      <c r="B7" s="10">
        <v>207</v>
      </c>
    </row>
    <row r="8" spans="1:2">
      <c r="A8" s="15" t="s">
        <v>975</v>
      </c>
      <c r="B8" s="10">
        <v>153</v>
      </c>
    </row>
    <row r="9" spans="1:2">
      <c r="A9" s="15" t="s">
        <v>976</v>
      </c>
      <c r="B9" s="10">
        <v>166</v>
      </c>
    </row>
    <row r="10" spans="1:2">
      <c r="A10" s="15" t="s">
        <v>977</v>
      </c>
      <c r="B10" s="10">
        <v>122</v>
      </c>
    </row>
    <row r="11" spans="1:2">
      <c r="A11" s="15" t="s">
        <v>285</v>
      </c>
      <c r="B11" s="377">
        <f>SUM(B5:B10)</f>
        <v>935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4D729-8A74-4F5E-812E-70024C18BC71}">
  <sheetPr>
    <tabColor theme="3" tint="0.39997558519241921"/>
  </sheetPr>
  <dimension ref="A2:B11"/>
  <sheetViews>
    <sheetView workbookViewId="0">
      <selection activeCell="K13" sqref="K13"/>
    </sheetView>
  </sheetViews>
  <sheetFormatPr baseColWidth="10" defaultRowHeight="14.25"/>
  <cols>
    <col min="1" max="1" width="15.265625" customWidth="1"/>
    <col min="2" max="2" width="17.46484375" style="20" customWidth="1"/>
  </cols>
  <sheetData>
    <row r="2" spans="1:2">
      <c r="A2" s="476" t="s">
        <v>170</v>
      </c>
    </row>
    <row r="4" spans="1:2" s="40" customFormat="1" ht="28.5">
      <c r="A4" s="371" t="s">
        <v>970</v>
      </c>
      <c r="B4" s="374" t="s">
        <v>971</v>
      </c>
    </row>
    <row r="5" spans="1:2">
      <c r="A5" s="15" t="s">
        <v>972</v>
      </c>
      <c r="B5" s="10">
        <v>137</v>
      </c>
    </row>
    <row r="6" spans="1:2">
      <c r="A6" s="15" t="s">
        <v>973</v>
      </c>
      <c r="B6" s="10">
        <v>211</v>
      </c>
    </row>
    <row r="7" spans="1:2">
      <c r="A7" s="15" t="s">
        <v>974</v>
      </c>
      <c r="B7" s="10">
        <v>130</v>
      </c>
    </row>
    <row r="8" spans="1:2">
      <c r="A8" s="15" t="s">
        <v>975</v>
      </c>
      <c r="B8" s="10">
        <v>196</v>
      </c>
    </row>
    <row r="9" spans="1:2">
      <c r="A9" s="15" t="s">
        <v>976</v>
      </c>
      <c r="B9" s="10">
        <v>215</v>
      </c>
    </row>
    <row r="10" spans="1:2">
      <c r="A10" s="15" t="s">
        <v>977</v>
      </c>
      <c r="B10" s="10">
        <v>197</v>
      </c>
    </row>
    <row r="11" spans="1:2">
      <c r="A11" s="15" t="s">
        <v>285</v>
      </c>
      <c r="B11" s="377">
        <f>SUM(B5:B10)</f>
        <v>1086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893C9-B7C5-4955-9253-AEA607E00FC2}">
  <sheetPr>
    <tabColor theme="3" tint="0.39997558519241921"/>
  </sheetPr>
  <dimension ref="A2:B11"/>
  <sheetViews>
    <sheetView workbookViewId="0">
      <selection activeCell="K13" sqref="K13"/>
    </sheetView>
  </sheetViews>
  <sheetFormatPr baseColWidth="10" defaultRowHeight="14.25"/>
  <cols>
    <col min="1" max="1" width="15.265625" customWidth="1"/>
    <col min="2" max="2" width="17.46484375" style="20" customWidth="1"/>
  </cols>
  <sheetData>
    <row r="2" spans="1:2">
      <c r="A2" s="476" t="s">
        <v>170</v>
      </c>
    </row>
    <row r="4" spans="1:2" s="40" customFormat="1" ht="28.5">
      <c r="A4" s="371" t="s">
        <v>970</v>
      </c>
      <c r="B4" s="374" t="s">
        <v>971</v>
      </c>
    </row>
    <row r="5" spans="1:2">
      <c r="A5" s="15" t="s">
        <v>972</v>
      </c>
      <c r="B5" s="10">
        <v>152</v>
      </c>
    </row>
    <row r="6" spans="1:2">
      <c r="A6" s="15" t="s">
        <v>973</v>
      </c>
      <c r="B6" s="10">
        <v>122</v>
      </c>
    </row>
    <row r="7" spans="1:2">
      <c r="A7" s="15" t="s">
        <v>974</v>
      </c>
      <c r="B7" s="10">
        <v>211</v>
      </c>
    </row>
    <row r="8" spans="1:2">
      <c r="A8" s="15" t="s">
        <v>975</v>
      </c>
      <c r="B8" s="10">
        <v>181</v>
      </c>
    </row>
    <row r="9" spans="1:2">
      <c r="A9" s="15" t="s">
        <v>976</v>
      </c>
      <c r="B9" s="10">
        <v>190</v>
      </c>
    </row>
    <row r="10" spans="1:2">
      <c r="A10" s="15" t="s">
        <v>977</v>
      </c>
      <c r="B10" s="10">
        <v>135</v>
      </c>
    </row>
    <row r="11" spans="1:2">
      <c r="A11" s="15" t="s">
        <v>285</v>
      </c>
      <c r="B11" s="377">
        <f>SUM(B5:B10)</f>
        <v>991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AD2B4-0F26-4562-A9BC-EB66B6DF7F33}">
  <sheetPr>
    <tabColor theme="3" tint="0.39997558519241921"/>
  </sheetPr>
  <dimension ref="A2:B11"/>
  <sheetViews>
    <sheetView workbookViewId="0">
      <selection activeCell="K13" sqref="K13"/>
    </sheetView>
  </sheetViews>
  <sheetFormatPr baseColWidth="10" defaultRowHeight="14.25"/>
  <cols>
    <col min="1" max="1" width="15.265625" customWidth="1"/>
    <col min="2" max="2" width="17.46484375" style="20" customWidth="1"/>
  </cols>
  <sheetData>
    <row r="2" spans="1:2">
      <c r="A2" s="14" t="s">
        <v>170</v>
      </c>
    </row>
    <row r="4" spans="1:2" s="40" customFormat="1" ht="28.5">
      <c r="A4" s="371" t="s">
        <v>970</v>
      </c>
      <c r="B4" s="374" t="s">
        <v>971</v>
      </c>
    </row>
    <row r="5" spans="1:2">
      <c r="A5" s="15" t="s">
        <v>972</v>
      </c>
      <c r="B5" s="10">
        <v>178</v>
      </c>
    </row>
    <row r="6" spans="1:2">
      <c r="A6" s="15" t="s">
        <v>973</v>
      </c>
      <c r="B6" s="10">
        <v>227</v>
      </c>
    </row>
    <row r="7" spans="1:2">
      <c r="A7" s="15" t="s">
        <v>974</v>
      </c>
      <c r="B7" s="10">
        <v>193</v>
      </c>
    </row>
    <row r="8" spans="1:2">
      <c r="A8" s="15" t="s">
        <v>975</v>
      </c>
      <c r="B8" s="10">
        <v>191</v>
      </c>
    </row>
    <row r="9" spans="1:2">
      <c r="A9" s="15" t="s">
        <v>976</v>
      </c>
      <c r="B9" s="10">
        <v>140</v>
      </c>
    </row>
    <row r="10" spans="1:2">
      <c r="A10" s="15" t="s">
        <v>977</v>
      </c>
      <c r="B10" s="10">
        <v>160</v>
      </c>
    </row>
    <row r="11" spans="1:2">
      <c r="A11" s="15" t="s">
        <v>285</v>
      </c>
      <c r="B11" s="377">
        <f>SUM(B5:B10)</f>
        <v>1089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2974A-7D12-4233-8B6E-BFCE55F89589}">
  <sheetPr>
    <tabColor theme="3" tint="0.39997558519241921"/>
  </sheetPr>
  <dimension ref="A2:B11"/>
  <sheetViews>
    <sheetView workbookViewId="0">
      <selection activeCell="K13" sqref="K13"/>
    </sheetView>
  </sheetViews>
  <sheetFormatPr baseColWidth="10" defaultRowHeight="14.25"/>
  <cols>
    <col min="1" max="1" width="15.265625" customWidth="1"/>
    <col min="2" max="2" width="17.46484375" style="20" customWidth="1"/>
  </cols>
  <sheetData>
    <row r="2" spans="1:2">
      <c r="A2" s="476" t="s">
        <v>170</v>
      </c>
    </row>
    <row r="4" spans="1:2" s="40" customFormat="1" ht="28.5">
      <c r="A4" s="371" t="s">
        <v>970</v>
      </c>
      <c r="B4" s="374" t="s">
        <v>971</v>
      </c>
    </row>
    <row r="5" spans="1:2">
      <c r="A5" s="15" t="s">
        <v>972</v>
      </c>
      <c r="B5" s="10">
        <v>173</v>
      </c>
    </row>
    <row r="6" spans="1:2">
      <c r="A6" s="15" t="s">
        <v>973</v>
      </c>
      <c r="B6" s="10">
        <v>146</v>
      </c>
    </row>
    <row r="7" spans="1:2">
      <c r="A7" s="15" t="s">
        <v>974</v>
      </c>
      <c r="B7" s="10">
        <v>184</v>
      </c>
    </row>
    <row r="8" spans="1:2">
      <c r="A8" s="15" t="s">
        <v>975</v>
      </c>
      <c r="B8" s="10">
        <v>183</v>
      </c>
    </row>
    <row r="9" spans="1:2">
      <c r="A9" s="15" t="s">
        <v>976</v>
      </c>
      <c r="B9" s="10">
        <v>224</v>
      </c>
    </row>
    <row r="10" spans="1:2">
      <c r="A10" s="15" t="s">
        <v>977</v>
      </c>
      <c r="B10" s="10">
        <v>162</v>
      </c>
    </row>
    <row r="11" spans="1:2">
      <c r="A11" s="15" t="s">
        <v>285</v>
      </c>
      <c r="B11" s="377">
        <f>SUM(B5:B10)</f>
        <v>1072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D9D94-E994-44EB-B2C3-11307D9122B3}">
  <sheetPr>
    <tabColor theme="3" tint="0.39997558519241921"/>
  </sheetPr>
  <dimension ref="A2:B11"/>
  <sheetViews>
    <sheetView workbookViewId="0">
      <selection activeCell="K13" sqref="K13"/>
    </sheetView>
  </sheetViews>
  <sheetFormatPr baseColWidth="10" defaultRowHeight="14.25"/>
  <cols>
    <col min="1" max="1" width="15.265625" customWidth="1"/>
    <col min="2" max="2" width="17.46484375" style="20" customWidth="1"/>
  </cols>
  <sheetData>
    <row r="2" spans="1:2">
      <c r="A2" s="476" t="s">
        <v>170</v>
      </c>
    </row>
    <row r="4" spans="1:2" s="40" customFormat="1" ht="28.5">
      <c r="A4" s="371" t="s">
        <v>970</v>
      </c>
      <c r="B4" s="374" t="s">
        <v>971</v>
      </c>
    </row>
    <row r="5" spans="1:2">
      <c r="A5" s="15" t="s">
        <v>972</v>
      </c>
      <c r="B5" s="10">
        <v>200</v>
      </c>
    </row>
    <row r="6" spans="1:2">
      <c r="A6" s="15" t="s">
        <v>973</v>
      </c>
      <c r="B6" s="10">
        <v>186</v>
      </c>
    </row>
    <row r="7" spans="1:2">
      <c r="A7" s="15" t="s">
        <v>974</v>
      </c>
      <c r="B7" s="10">
        <v>143</v>
      </c>
    </row>
    <row r="8" spans="1:2">
      <c r="A8" s="15" t="s">
        <v>975</v>
      </c>
      <c r="B8" s="10">
        <v>179</v>
      </c>
    </row>
    <row r="9" spans="1:2">
      <c r="A9" s="15" t="s">
        <v>976</v>
      </c>
      <c r="B9" s="10">
        <v>216</v>
      </c>
    </row>
    <row r="10" spans="1:2">
      <c r="A10" s="15" t="s">
        <v>977</v>
      </c>
      <c r="B10" s="10">
        <v>157</v>
      </c>
    </row>
    <row r="11" spans="1:2">
      <c r="A11" s="15" t="s">
        <v>285</v>
      </c>
      <c r="B11" s="377">
        <f>SUM(B5:B10)</f>
        <v>1081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75618-31BD-4A33-92F5-731771384B3F}">
  <sheetPr>
    <tabColor theme="3" tint="0.39997558519241921"/>
  </sheetPr>
  <dimension ref="A2:B11"/>
  <sheetViews>
    <sheetView workbookViewId="0">
      <selection activeCell="K13" sqref="K13"/>
    </sheetView>
  </sheetViews>
  <sheetFormatPr baseColWidth="10" defaultRowHeight="14.25"/>
  <cols>
    <col min="1" max="1" width="15.265625" customWidth="1"/>
    <col min="2" max="2" width="17.46484375" style="20" customWidth="1"/>
  </cols>
  <sheetData>
    <row r="2" spans="1:2">
      <c r="A2" s="476" t="s">
        <v>170</v>
      </c>
    </row>
    <row r="4" spans="1:2" s="40" customFormat="1" ht="28.5">
      <c r="A4" s="371" t="s">
        <v>970</v>
      </c>
      <c r="B4" s="374" t="s">
        <v>971</v>
      </c>
    </row>
    <row r="5" spans="1:2">
      <c r="A5" s="15" t="s">
        <v>972</v>
      </c>
      <c r="B5" s="10">
        <v>171</v>
      </c>
    </row>
    <row r="6" spans="1:2">
      <c r="A6" s="15" t="s">
        <v>973</v>
      </c>
      <c r="B6" s="10">
        <v>201</v>
      </c>
    </row>
    <row r="7" spans="1:2">
      <c r="A7" s="15" t="s">
        <v>974</v>
      </c>
      <c r="B7" s="10">
        <v>174</v>
      </c>
    </row>
    <row r="8" spans="1:2">
      <c r="A8" s="15" t="s">
        <v>975</v>
      </c>
      <c r="B8" s="10">
        <v>158</v>
      </c>
    </row>
    <row r="9" spans="1:2">
      <c r="A9" s="15" t="s">
        <v>976</v>
      </c>
      <c r="B9" s="10">
        <v>227</v>
      </c>
    </row>
    <row r="10" spans="1:2">
      <c r="A10" s="15" t="s">
        <v>977</v>
      </c>
      <c r="B10" s="10">
        <v>186</v>
      </c>
    </row>
    <row r="11" spans="1:2">
      <c r="A11" s="15" t="s">
        <v>285</v>
      </c>
      <c r="B11" s="377">
        <f>SUM(B5:B10)</f>
        <v>1117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0A713-224D-4ADB-8D49-92695CE6FA44}">
  <sheetPr>
    <tabColor theme="3" tint="0.39997558519241921"/>
  </sheetPr>
  <dimension ref="A2:B11"/>
  <sheetViews>
    <sheetView workbookViewId="0">
      <selection activeCell="K13" sqref="K13"/>
    </sheetView>
  </sheetViews>
  <sheetFormatPr baseColWidth="10" defaultRowHeight="14.25"/>
  <cols>
    <col min="1" max="1" width="15.265625" customWidth="1"/>
    <col min="2" max="2" width="17.46484375" style="20" customWidth="1"/>
  </cols>
  <sheetData>
    <row r="2" spans="1:2">
      <c r="A2" s="476" t="s">
        <v>170</v>
      </c>
    </row>
    <row r="4" spans="1:2" s="40" customFormat="1" ht="28.5">
      <c r="A4" s="371" t="s">
        <v>970</v>
      </c>
      <c r="B4" s="374" t="s">
        <v>971</v>
      </c>
    </row>
    <row r="5" spans="1:2">
      <c r="A5" s="15" t="s">
        <v>972</v>
      </c>
      <c r="B5" s="10">
        <v>129</v>
      </c>
    </row>
    <row r="6" spans="1:2">
      <c r="A6" s="15" t="s">
        <v>973</v>
      </c>
      <c r="B6" s="10">
        <v>170</v>
      </c>
    </row>
    <row r="7" spans="1:2">
      <c r="A7" s="15" t="s">
        <v>974</v>
      </c>
      <c r="B7" s="10">
        <v>188</v>
      </c>
    </row>
    <row r="8" spans="1:2">
      <c r="A8" s="15" t="s">
        <v>975</v>
      </c>
      <c r="B8" s="10">
        <v>168</v>
      </c>
    </row>
    <row r="9" spans="1:2">
      <c r="A9" s="15" t="s">
        <v>976</v>
      </c>
      <c r="B9" s="10">
        <v>192</v>
      </c>
    </row>
    <row r="10" spans="1:2">
      <c r="A10" s="15" t="s">
        <v>977</v>
      </c>
      <c r="B10" s="10">
        <v>147</v>
      </c>
    </row>
    <row r="11" spans="1:2">
      <c r="A11" s="15" t="s">
        <v>285</v>
      </c>
      <c r="B11" s="377">
        <f>SUM(B5:B10)</f>
        <v>994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02371-AAF9-4EA8-948A-35F25C94F512}">
  <sheetPr>
    <tabColor theme="3" tint="0.39997558519241921"/>
  </sheetPr>
  <dimension ref="A2:B11"/>
  <sheetViews>
    <sheetView workbookViewId="0">
      <selection activeCell="K13" sqref="K13"/>
    </sheetView>
  </sheetViews>
  <sheetFormatPr baseColWidth="10" defaultRowHeight="14.25"/>
  <cols>
    <col min="1" max="1" width="15.265625" customWidth="1"/>
    <col min="2" max="2" width="17.46484375" style="20" customWidth="1"/>
  </cols>
  <sheetData>
    <row r="2" spans="1:2">
      <c r="A2" s="476" t="s">
        <v>170</v>
      </c>
    </row>
    <row r="4" spans="1:2" s="40" customFormat="1" ht="28.5">
      <c r="A4" s="371" t="s">
        <v>970</v>
      </c>
      <c r="B4" s="374" t="s">
        <v>971</v>
      </c>
    </row>
    <row r="5" spans="1:2">
      <c r="A5" s="15" t="s">
        <v>972</v>
      </c>
      <c r="B5" s="10">
        <v>220</v>
      </c>
    </row>
    <row r="6" spans="1:2">
      <c r="A6" s="15" t="s">
        <v>973</v>
      </c>
      <c r="B6" s="10">
        <v>169</v>
      </c>
    </row>
    <row r="7" spans="1:2">
      <c r="A7" s="15" t="s">
        <v>974</v>
      </c>
      <c r="B7" s="10">
        <v>187</v>
      </c>
    </row>
    <row r="8" spans="1:2">
      <c r="A8" s="15" t="s">
        <v>975</v>
      </c>
      <c r="B8" s="10">
        <v>131</v>
      </c>
    </row>
    <row r="9" spans="1:2">
      <c r="A9" s="15" t="s">
        <v>976</v>
      </c>
      <c r="B9" s="10">
        <v>184</v>
      </c>
    </row>
    <row r="10" spans="1:2">
      <c r="A10" s="15" t="s">
        <v>977</v>
      </c>
      <c r="B10" s="10">
        <v>141</v>
      </c>
    </row>
    <row r="11" spans="1:2">
      <c r="A11" s="15" t="s">
        <v>285</v>
      </c>
      <c r="B11" s="377">
        <f>SUM(B5:B10)</f>
        <v>1032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DD870-4F44-4577-A80D-419C8A71D03D}">
  <sheetPr>
    <tabColor theme="3" tint="0.39997558519241921"/>
  </sheetPr>
  <dimension ref="A2:B11"/>
  <sheetViews>
    <sheetView workbookViewId="0">
      <selection activeCell="K13" sqref="K13"/>
    </sheetView>
  </sheetViews>
  <sheetFormatPr baseColWidth="10" defaultRowHeight="14.25"/>
  <cols>
    <col min="1" max="1" width="15.265625" customWidth="1"/>
    <col min="2" max="2" width="17.46484375" style="20" customWidth="1"/>
  </cols>
  <sheetData>
    <row r="2" spans="1:2">
      <c r="A2" s="476" t="s">
        <v>170</v>
      </c>
    </row>
    <row r="4" spans="1:2" s="40" customFormat="1" ht="28.5">
      <c r="A4" s="371" t="s">
        <v>970</v>
      </c>
      <c r="B4" s="374" t="s">
        <v>971</v>
      </c>
    </row>
    <row r="5" spans="1:2">
      <c r="A5" s="15" t="s">
        <v>972</v>
      </c>
      <c r="B5" s="10">
        <v>203</v>
      </c>
    </row>
    <row r="6" spans="1:2">
      <c r="A6" s="15" t="s">
        <v>973</v>
      </c>
      <c r="B6" s="10">
        <v>130</v>
      </c>
    </row>
    <row r="7" spans="1:2">
      <c r="A7" s="15" t="s">
        <v>974</v>
      </c>
      <c r="B7" s="10">
        <v>137</v>
      </c>
    </row>
    <row r="8" spans="1:2">
      <c r="A8" s="15" t="s">
        <v>975</v>
      </c>
      <c r="B8" s="10">
        <v>188</v>
      </c>
    </row>
    <row r="9" spans="1:2">
      <c r="A9" s="15" t="s">
        <v>976</v>
      </c>
      <c r="B9" s="10">
        <v>145</v>
      </c>
    </row>
    <row r="10" spans="1:2">
      <c r="A10" s="15" t="s">
        <v>977</v>
      </c>
      <c r="B10" s="10">
        <v>138</v>
      </c>
    </row>
    <row r="11" spans="1:2">
      <c r="A11" s="15" t="s">
        <v>285</v>
      </c>
      <c r="B11" s="377">
        <f>SUM(B5:B10)</f>
        <v>941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CD4BB-9CC8-44FE-BB77-C6EDD97B2925}">
  <sheetPr>
    <tabColor theme="3" tint="0.39997558519241921"/>
  </sheetPr>
  <dimension ref="A2:B11"/>
  <sheetViews>
    <sheetView workbookViewId="0">
      <selection activeCell="K13" sqref="K13"/>
    </sheetView>
  </sheetViews>
  <sheetFormatPr baseColWidth="10" defaultRowHeight="14.25"/>
  <cols>
    <col min="1" max="1" width="15.265625" customWidth="1"/>
    <col min="2" max="2" width="17.46484375" style="20" customWidth="1"/>
  </cols>
  <sheetData>
    <row r="2" spans="1:2">
      <c r="A2" s="476" t="s">
        <v>170</v>
      </c>
    </row>
    <row r="4" spans="1:2" s="40" customFormat="1" ht="28.5">
      <c r="A4" s="371" t="s">
        <v>970</v>
      </c>
      <c r="B4" s="374" t="s">
        <v>971</v>
      </c>
    </row>
    <row r="5" spans="1:2">
      <c r="A5" s="15" t="s">
        <v>972</v>
      </c>
      <c r="B5" s="10">
        <v>210</v>
      </c>
    </row>
    <row r="6" spans="1:2">
      <c r="A6" s="15" t="s">
        <v>973</v>
      </c>
      <c r="B6" s="10">
        <v>224</v>
      </c>
    </row>
    <row r="7" spans="1:2">
      <c r="A7" s="15" t="s">
        <v>974</v>
      </c>
      <c r="B7" s="10">
        <v>188</v>
      </c>
    </row>
    <row r="8" spans="1:2">
      <c r="A8" s="15" t="s">
        <v>975</v>
      </c>
      <c r="B8" s="10">
        <v>167</v>
      </c>
    </row>
    <row r="9" spans="1:2">
      <c r="A9" s="15" t="s">
        <v>976</v>
      </c>
      <c r="B9" s="10">
        <v>122</v>
      </c>
    </row>
    <row r="10" spans="1:2">
      <c r="A10" s="15" t="s">
        <v>977</v>
      </c>
      <c r="B10" s="10">
        <v>141</v>
      </c>
    </row>
    <row r="11" spans="1:2">
      <c r="A11" s="15" t="s">
        <v>285</v>
      </c>
      <c r="B11" s="377">
        <f>SUM(B5:B10)</f>
        <v>1052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95397-FA63-44FC-A821-2C63FD4735E8}">
  <sheetPr>
    <tabColor theme="3" tint="0.39997558519241921"/>
  </sheetPr>
  <dimension ref="A2:B11"/>
  <sheetViews>
    <sheetView workbookViewId="0">
      <selection activeCell="K13" sqref="K13"/>
    </sheetView>
  </sheetViews>
  <sheetFormatPr baseColWidth="10" defaultRowHeight="14.25"/>
  <cols>
    <col min="1" max="1" width="15.265625" customWidth="1"/>
    <col min="2" max="2" width="17.46484375" style="20" customWidth="1"/>
  </cols>
  <sheetData>
    <row r="2" spans="1:2">
      <c r="A2" s="476" t="s">
        <v>170</v>
      </c>
    </row>
    <row r="4" spans="1:2" s="40" customFormat="1" ht="28.5">
      <c r="A4" s="371" t="s">
        <v>970</v>
      </c>
      <c r="B4" s="374" t="s">
        <v>971</v>
      </c>
    </row>
    <row r="5" spans="1:2">
      <c r="A5" s="15" t="s">
        <v>972</v>
      </c>
      <c r="B5" s="10">
        <v>149</v>
      </c>
    </row>
    <row r="6" spans="1:2">
      <c r="A6" s="15" t="s">
        <v>973</v>
      </c>
      <c r="B6" s="10">
        <v>213</v>
      </c>
    </row>
    <row r="7" spans="1:2">
      <c r="A7" s="15" t="s">
        <v>974</v>
      </c>
      <c r="B7" s="10">
        <v>142</v>
      </c>
    </row>
    <row r="8" spans="1:2">
      <c r="A8" s="15" t="s">
        <v>975</v>
      </c>
      <c r="B8" s="10">
        <v>184</v>
      </c>
    </row>
    <row r="9" spans="1:2">
      <c r="A9" s="15" t="s">
        <v>976</v>
      </c>
      <c r="B9" s="10">
        <v>125</v>
      </c>
    </row>
    <row r="10" spans="1:2">
      <c r="A10" s="15" t="s">
        <v>977</v>
      </c>
      <c r="B10" s="10">
        <v>226</v>
      </c>
    </row>
    <row r="11" spans="1:2">
      <c r="A11" s="15" t="s">
        <v>285</v>
      </c>
      <c r="B11" s="377">
        <f>SUM(B5:B10)</f>
        <v>1039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19904-9D95-43FE-82B9-5B48EF9F0E4E}">
  <sheetPr>
    <tabColor theme="9" tint="0.39997558519241921"/>
  </sheetPr>
  <dimension ref="A2:B10"/>
  <sheetViews>
    <sheetView workbookViewId="0">
      <selection activeCell="K13" sqref="K13"/>
    </sheetView>
  </sheetViews>
  <sheetFormatPr baseColWidth="10" defaultRowHeight="14.25"/>
  <cols>
    <col min="1" max="1" width="29.46484375" customWidth="1"/>
    <col min="2" max="2" width="18.73046875" customWidth="1"/>
  </cols>
  <sheetData>
    <row r="2" spans="1:2" s="40" customFormat="1" ht="28.5">
      <c r="A2" s="6" t="s">
        <v>684</v>
      </c>
      <c r="B2" s="6" t="s">
        <v>978</v>
      </c>
    </row>
    <row r="3" spans="1:2" s="40" customFormat="1">
      <c r="A3" s="477" t="s">
        <v>979</v>
      </c>
      <c r="B3" s="477">
        <v>45</v>
      </c>
    </row>
    <row r="4" spans="1:2">
      <c r="A4" s="15" t="s">
        <v>980</v>
      </c>
      <c r="B4" s="15">
        <v>100</v>
      </c>
    </row>
    <row r="5" spans="1:2">
      <c r="A5" s="15" t="s">
        <v>981</v>
      </c>
      <c r="B5" s="15">
        <v>158</v>
      </c>
    </row>
    <row r="6" spans="1:2">
      <c r="A6" s="15" t="s">
        <v>982</v>
      </c>
      <c r="B6" s="15">
        <v>157</v>
      </c>
    </row>
    <row r="7" spans="1:2">
      <c r="A7" s="15" t="s">
        <v>983</v>
      </c>
      <c r="B7" s="15">
        <v>86</v>
      </c>
    </row>
    <row r="8" spans="1:2">
      <c r="A8" s="15" t="s">
        <v>984</v>
      </c>
      <c r="B8" s="15">
        <v>171</v>
      </c>
    </row>
    <row r="9" spans="1:2">
      <c r="A9" s="15" t="s">
        <v>985</v>
      </c>
      <c r="B9" s="15">
        <v>60</v>
      </c>
    </row>
    <row r="10" spans="1:2">
      <c r="A10" s="15" t="s">
        <v>986</v>
      </c>
      <c r="B10" s="15">
        <v>35</v>
      </c>
    </row>
  </sheetData>
  <dataConsolidate/>
  <pageMargins left="0.7" right="0.7" top="0.75" bottom="0.75" header="0.3" footer="0.3"/>
  <pageSetup paperSize="9" orientation="portrait" horizontalDpi="4294967293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E6F10-CE7F-4E5C-9322-80C4F46DC52A}">
  <sheetPr>
    <tabColor theme="9" tint="0.39997558519241921"/>
  </sheetPr>
  <dimension ref="A2:B10"/>
  <sheetViews>
    <sheetView workbookViewId="0">
      <selection activeCell="K13" sqref="K13"/>
    </sheetView>
  </sheetViews>
  <sheetFormatPr baseColWidth="10" defaultRowHeight="14.25"/>
  <cols>
    <col min="1" max="1" width="29.46484375" customWidth="1"/>
    <col min="2" max="2" width="18.73046875" customWidth="1"/>
  </cols>
  <sheetData>
    <row r="2" spans="1:2" s="40" customFormat="1" ht="28.5">
      <c r="A2" s="6" t="s">
        <v>684</v>
      </c>
      <c r="B2" s="6" t="s">
        <v>978</v>
      </c>
    </row>
    <row r="3" spans="1:2">
      <c r="A3" s="477" t="s">
        <v>979</v>
      </c>
      <c r="B3" s="478">
        <v>179</v>
      </c>
    </row>
    <row r="4" spans="1:2">
      <c r="A4" s="15" t="s">
        <v>980</v>
      </c>
      <c r="B4" s="479">
        <v>124</v>
      </c>
    </row>
    <row r="5" spans="1:2">
      <c r="A5" s="15" t="s">
        <v>981</v>
      </c>
      <c r="B5" s="479">
        <v>142</v>
      </c>
    </row>
    <row r="6" spans="1:2">
      <c r="A6" s="15" t="s">
        <v>982</v>
      </c>
      <c r="B6" s="479">
        <v>103</v>
      </c>
    </row>
    <row r="7" spans="1:2">
      <c r="A7" s="15" t="s">
        <v>983</v>
      </c>
      <c r="B7" s="479">
        <v>52</v>
      </c>
    </row>
    <row r="8" spans="1:2">
      <c r="A8" s="15" t="s">
        <v>984</v>
      </c>
      <c r="B8" s="479">
        <v>87</v>
      </c>
    </row>
    <row r="9" spans="1:2">
      <c r="A9" s="15" t="s">
        <v>985</v>
      </c>
      <c r="B9" s="479">
        <v>124</v>
      </c>
    </row>
    <row r="10" spans="1:2">
      <c r="A10" s="15" t="s">
        <v>986</v>
      </c>
      <c r="B10" s="479">
        <v>62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60B96-7235-40D5-9D3A-2E2C2CB6A033}">
  <sheetPr>
    <tabColor theme="9" tint="0.39997558519241921"/>
  </sheetPr>
  <dimension ref="A2:B10"/>
  <sheetViews>
    <sheetView workbookViewId="0">
      <selection activeCell="K13" sqref="K13"/>
    </sheetView>
  </sheetViews>
  <sheetFormatPr baseColWidth="10" defaultRowHeight="14.25"/>
  <cols>
    <col min="1" max="1" width="29.46484375" customWidth="1"/>
    <col min="2" max="2" width="18.73046875" customWidth="1"/>
  </cols>
  <sheetData>
    <row r="2" spans="1:2" s="40" customFormat="1" ht="28.5">
      <c r="A2" s="6" t="s">
        <v>684</v>
      </c>
      <c r="B2" s="6" t="s">
        <v>978</v>
      </c>
    </row>
    <row r="3" spans="1:2">
      <c r="A3" s="477" t="s">
        <v>979</v>
      </c>
      <c r="B3" s="478">
        <v>171</v>
      </c>
    </row>
    <row r="4" spans="1:2">
      <c r="A4" s="15" t="s">
        <v>980</v>
      </c>
      <c r="B4" s="479">
        <v>103</v>
      </c>
    </row>
    <row r="5" spans="1:2">
      <c r="A5" s="15" t="s">
        <v>981</v>
      </c>
      <c r="B5" s="479">
        <v>75</v>
      </c>
    </row>
    <row r="6" spans="1:2">
      <c r="A6" s="15" t="s">
        <v>982</v>
      </c>
      <c r="B6" s="479">
        <v>61</v>
      </c>
    </row>
    <row r="7" spans="1:2">
      <c r="A7" s="15" t="s">
        <v>983</v>
      </c>
      <c r="B7" s="479">
        <v>45</v>
      </c>
    </row>
    <row r="8" spans="1:2">
      <c r="A8" s="15" t="s">
        <v>984</v>
      </c>
      <c r="B8" s="479">
        <v>147</v>
      </c>
    </row>
    <row r="9" spans="1:2">
      <c r="A9" s="15" t="s">
        <v>985</v>
      </c>
      <c r="B9" s="479">
        <v>85</v>
      </c>
    </row>
    <row r="10" spans="1:2">
      <c r="A10" s="15" t="s">
        <v>986</v>
      </c>
      <c r="B10" s="479">
        <v>102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9B55C-E636-42FB-90E3-230AB8F097EE}">
  <sheetPr>
    <tabColor theme="9" tint="0.39997558519241921"/>
  </sheetPr>
  <dimension ref="A2:B10"/>
  <sheetViews>
    <sheetView workbookViewId="0">
      <selection activeCell="K13" sqref="K13"/>
    </sheetView>
  </sheetViews>
  <sheetFormatPr baseColWidth="10" defaultRowHeight="14.25"/>
  <cols>
    <col min="1" max="1" width="29.46484375" customWidth="1"/>
    <col min="2" max="2" width="18.73046875" customWidth="1"/>
  </cols>
  <sheetData>
    <row r="2" spans="1:2" s="40" customFormat="1" ht="28.5">
      <c r="A2" s="6" t="s">
        <v>684</v>
      </c>
      <c r="B2" s="6" t="s">
        <v>978</v>
      </c>
    </row>
    <row r="3" spans="1:2">
      <c r="A3" s="477" t="s">
        <v>979</v>
      </c>
      <c r="B3" s="478">
        <v>66</v>
      </c>
    </row>
    <row r="4" spans="1:2">
      <c r="A4" s="15" t="s">
        <v>980</v>
      </c>
      <c r="B4" s="479">
        <v>81</v>
      </c>
    </row>
    <row r="5" spans="1:2">
      <c r="A5" s="15" t="s">
        <v>981</v>
      </c>
      <c r="B5" s="479">
        <v>172</v>
      </c>
    </row>
    <row r="6" spans="1:2">
      <c r="A6" s="15" t="s">
        <v>982</v>
      </c>
      <c r="B6" s="479">
        <v>88</v>
      </c>
    </row>
    <row r="7" spans="1:2">
      <c r="A7" s="15" t="s">
        <v>983</v>
      </c>
      <c r="B7" s="479">
        <v>76</v>
      </c>
    </row>
    <row r="8" spans="1:2">
      <c r="A8" s="15" t="s">
        <v>984</v>
      </c>
      <c r="B8" s="479">
        <v>28</v>
      </c>
    </row>
    <row r="9" spans="1:2">
      <c r="A9" s="15" t="s">
        <v>985</v>
      </c>
      <c r="B9" s="479">
        <v>143</v>
      </c>
    </row>
    <row r="10" spans="1:2">
      <c r="A10" s="15" t="s">
        <v>986</v>
      </c>
      <c r="B10" s="479">
        <v>132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6FF81-CB49-407C-A9A8-EDF04AC72012}">
  <sheetPr>
    <tabColor theme="9" tint="0.39997558519241921"/>
  </sheetPr>
  <dimension ref="A1:B42"/>
  <sheetViews>
    <sheetView workbookViewId="0">
      <selection activeCell="K13" sqref="K13"/>
    </sheetView>
  </sheetViews>
  <sheetFormatPr baseColWidth="10" defaultRowHeight="14.25" outlineLevelRow="1"/>
  <cols>
    <col min="1" max="1" width="29.46484375" customWidth="1"/>
    <col min="2" max="2" width="18.73046875" customWidth="1"/>
  </cols>
  <sheetData>
    <row r="1" spans="1:2" ht="18">
      <c r="A1" s="458" t="s">
        <v>969</v>
      </c>
    </row>
    <row r="2" spans="1:2" s="40" customFormat="1" ht="42.75">
      <c r="A2" s="6" t="s">
        <v>684</v>
      </c>
      <c r="B2" s="6" t="s">
        <v>987</v>
      </c>
    </row>
    <row r="3" spans="1:2" s="40" customFormat="1" hidden="1" outlineLevel="1">
      <c r="A3" s="6"/>
      <c r="B3" s="6">
        <f>Trim1!$B$3</f>
        <v>45</v>
      </c>
    </row>
    <row r="4" spans="1:2" s="40" customFormat="1" hidden="1" outlineLevel="1" collapsed="1">
      <c r="A4" s="6"/>
      <c r="B4" s="6">
        <f>Trim2!$B$3</f>
        <v>179</v>
      </c>
    </row>
    <row r="5" spans="1:2" s="40" customFormat="1" hidden="1" outlineLevel="1" collapsed="1">
      <c r="A5" s="6"/>
      <c r="B5" s="6">
        <f>Trim3!$B$3</f>
        <v>171</v>
      </c>
    </row>
    <row r="6" spans="1:2" s="40" customFormat="1" hidden="1" outlineLevel="1" collapsed="1">
      <c r="A6" s="6"/>
      <c r="B6" s="6">
        <f>Trim4!$B$3</f>
        <v>66</v>
      </c>
    </row>
    <row r="7" spans="1:2" collapsed="1">
      <c r="A7" s="477" t="s">
        <v>979</v>
      </c>
      <c r="B7" s="478">
        <f>AVERAGE(B3:B6)</f>
        <v>115.25</v>
      </c>
    </row>
    <row r="8" spans="1:2" hidden="1" outlineLevel="1">
      <c r="A8" s="477"/>
      <c r="B8" s="478">
        <f>Trim1!$B$4</f>
        <v>100</v>
      </c>
    </row>
    <row r="9" spans="1:2" hidden="1" outlineLevel="1" collapsed="1">
      <c r="A9" s="477"/>
      <c r="B9" s="478">
        <f>Trim2!$B$4</f>
        <v>124</v>
      </c>
    </row>
    <row r="10" spans="1:2" hidden="1" outlineLevel="1" collapsed="1">
      <c r="A10" s="477"/>
      <c r="B10" s="478">
        <f>Trim3!$B$4</f>
        <v>103</v>
      </c>
    </row>
    <row r="11" spans="1:2" hidden="1" outlineLevel="1" collapsed="1">
      <c r="A11" s="477"/>
      <c r="B11" s="478">
        <f>Trim4!$B$4</f>
        <v>81</v>
      </c>
    </row>
    <row r="12" spans="1:2" collapsed="1">
      <c r="A12" s="15" t="s">
        <v>980</v>
      </c>
      <c r="B12" s="479">
        <f>AVERAGE(B8:B11)</f>
        <v>102</v>
      </c>
    </row>
    <row r="13" spans="1:2" hidden="1" outlineLevel="1">
      <c r="A13" s="15"/>
      <c r="B13" s="479">
        <f>Trim1!$B$5</f>
        <v>158</v>
      </c>
    </row>
    <row r="14" spans="1:2" hidden="1" outlineLevel="1" collapsed="1">
      <c r="A14" s="15"/>
      <c r="B14" s="479">
        <f>Trim2!$B$5</f>
        <v>142</v>
      </c>
    </row>
    <row r="15" spans="1:2" hidden="1" outlineLevel="1" collapsed="1">
      <c r="A15" s="15"/>
      <c r="B15" s="479">
        <f>Trim3!$B$5</f>
        <v>75</v>
      </c>
    </row>
    <row r="16" spans="1:2" hidden="1" outlineLevel="1" collapsed="1">
      <c r="A16" s="15"/>
      <c r="B16" s="479">
        <f>Trim4!$B$5</f>
        <v>172</v>
      </c>
    </row>
    <row r="17" spans="1:2" collapsed="1">
      <c r="A17" s="15" t="s">
        <v>981</v>
      </c>
      <c r="B17" s="479">
        <f>AVERAGE(B13:B16)</f>
        <v>136.75</v>
      </c>
    </row>
    <row r="18" spans="1:2" hidden="1" outlineLevel="1">
      <c r="A18" s="15"/>
      <c r="B18" s="479">
        <f>Trim1!$B$6</f>
        <v>157</v>
      </c>
    </row>
    <row r="19" spans="1:2" hidden="1" outlineLevel="1" collapsed="1">
      <c r="A19" s="15"/>
      <c r="B19" s="479">
        <f>Trim2!$B$6</f>
        <v>103</v>
      </c>
    </row>
    <row r="20" spans="1:2" hidden="1" outlineLevel="1" collapsed="1">
      <c r="A20" s="15"/>
      <c r="B20" s="479">
        <f>Trim3!$B$6</f>
        <v>61</v>
      </c>
    </row>
    <row r="21" spans="1:2" hidden="1" outlineLevel="1" collapsed="1">
      <c r="A21" s="15"/>
      <c r="B21" s="479">
        <f>Trim4!$B$6</f>
        <v>88</v>
      </c>
    </row>
    <row r="22" spans="1:2" collapsed="1">
      <c r="A22" s="15" t="s">
        <v>982</v>
      </c>
      <c r="B22" s="479">
        <f>AVERAGE(B18:B21)</f>
        <v>102.25</v>
      </c>
    </row>
    <row r="23" spans="1:2" hidden="1" outlineLevel="1">
      <c r="A23" s="15"/>
      <c r="B23" s="479">
        <f>Trim1!$B$7</f>
        <v>86</v>
      </c>
    </row>
    <row r="24" spans="1:2" hidden="1" outlineLevel="1" collapsed="1">
      <c r="A24" s="15"/>
      <c r="B24" s="479">
        <f>Trim2!$B$7</f>
        <v>52</v>
      </c>
    </row>
    <row r="25" spans="1:2" hidden="1" outlineLevel="1" collapsed="1">
      <c r="A25" s="15"/>
      <c r="B25" s="479">
        <f>Trim3!$B$7</f>
        <v>45</v>
      </c>
    </row>
    <row r="26" spans="1:2" hidden="1" outlineLevel="1" collapsed="1">
      <c r="A26" s="15"/>
      <c r="B26" s="479">
        <f>Trim4!$B$7</f>
        <v>76</v>
      </c>
    </row>
    <row r="27" spans="1:2" collapsed="1">
      <c r="A27" s="15" t="s">
        <v>983</v>
      </c>
      <c r="B27" s="479">
        <f>AVERAGE(B23:B26)</f>
        <v>64.75</v>
      </c>
    </row>
    <row r="28" spans="1:2" hidden="1" outlineLevel="1">
      <c r="A28" s="15"/>
      <c r="B28" s="479">
        <f>Trim1!$B$8</f>
        <v>171</v>
      </c>
    </row>
    <row r="29" spans="1:2" hidden="1" outlineLevel="1" collapsed="1">
      <c r="A29" s="15"/>
      <c r="B29" s="479">
        <f>Trim2!$B$8</f>
        <v>87</v>
      </c>
    </row>
    <row r="30" spans="1:2" hidden="1" outlineLevel="1" collapsed="1">
      <c r="A30" s="15"/>
      <c r="B30" s="479">
        <f>Trim3!$B$8</f>
        <v>147</v>
      </c>
    </row>
    <row r="31" spans="1:2" hidden="1" outlineLevel="1" collapsed="1">
      <c r="A31" s="15"/>
      <c r="B31" s="479">
        <f>Trim4!$B$8</f>
        <v>28</v>
      </c>
    </row>
    <row r="32" spans="1:2" collapsed="1">
      <c r="A32" s="15" t="s">
        <v>984</v>
      </c>
      <c r="B32" s="479">
        <f>AVERAGE(B28:B31)</f>
        <v>108.25</v>
      </c>
    </row>
    <row r="33" spans="1:2" hidden="1" outlineLevel="1">
      <c r="A33" s="15"/>
      <c r="B33" s="479">
        <f>Trim1!$B$9</f>
        <v>60</v>
      </c>
    </row>
    <row r="34" spans="1:2" hidden="1" outlineLevel="1" collapsed="1">
      <c r="A34" s="15"/>
      <c r="B34" s="479">
        <f>Trim2!$B$9</f>
        <v>124</v>
      </c>
    </row>
    <row r="35" spans="1:2" hidden="1" outlineLevel="1" collapsed="1">
      <c r="A35" s="15"/>
      <c r="B35" s="479">
        <f>Trim3!$B$9</f>
        <v>85</v>
      </c>
    </row>
    <row r="36" spans="1:2" hidden="1" outlineLevel="1" collapsed="1">
      <c r="A36" s="15"/>
      <c r="B36" s="479">
        <f>Trim4!$B$9</f>
        <v>143</v>
      </c>
    </row>
    <row r="37" spans="1:2" collapsed="1">
      <c r="A37" s="15" t="s">
        <v>985</v>
      </c>
      <c r="B37" s="479">
        <f>AVERAGE(B33:B36)</f>
        <v>103</v>
      </c>
    </row>
    <row r="38" spans="1:2" hidden="1" outlineLevel="1">
      <c r="A38" s="15"/>
      <c r="B38" s="479">
        <f>Trim1!$B$10</f>
        <v>35</v>
      </c>
    </row>
    <row r="39" spans="1:2" hidden="1" outlineLevel="1" collapsed="1">
      <c r="A39" s="15"/>
      <c r="B39" s="479">
        <f>Trim2!$B$10</f>
        <v>62</v>
      </c>
    </row>
    <row r="40" spans="1:2" hidden="1" outlineLevel="1" collapsed="1">
      <c r="A40" s="15"/>
      <c r="B40" s="479">
        <f>Trim3!$B$10</f>
        <v>102</v>
      </c>
    </row>
    <row r="41" spans="1:2" hidden="1" outlineLevel="1" collapsed="1">
      <c r="A41" s="15"/>
      <c r="B41" s="479">
        <f>Trim4!$B$10</f>
        <v>132</v>
      </c>
    </row>
    <row r="42" spans="1:2" collapsed="1">
      <c r="A42" s="15" t="s">
        <v>986</v>
      </c>
      <c r="B42" s="479">
        <f>AVERAGE(B38:B41)</f>
        <v>82.75</v>
      </c>
    </row>
  </sheetData>
  <dataConsolidate function="average" link="1">
    <dataRefs count="4">
      <dataRef ref="B3:B10" sheet="Trim1" r:id="rId1"/>
      <dataRef ref="B3:B10" sheet="Trim2" r:id="rId2"/>
      <dataRef ref="B3:B10" sheet="Trim3" r:id="rId3"/>
      <dataRef ref="B3:B10" sheet="Trim4" r:id="rId4"/>
    </dataRefs>
  </dataConsolid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38</vt:i4>
      </vt:variant>
      <vt:variant>
        <vt:lpstr>Plages nommées</vt:lpstr>
      </vt:variant>
      <vt:variant>
        <vt:i4>13</vt:i4>
      </vt:variant>
    </vt:vector>
  </HeadingPairs>
  <TitlesOfParts>
    <vt:vector size="51" baseType="lpstr">
      <vt:lpstr>1poignee_de_recopie</vt:lpstr>
      <vt:lpstr>2format_cellule</vt:lpstr>
      <vt:lpstr>3collage</vt:lpstr>
      <vt:lpstr>4calculs_simples</vt:lpstr>
      <vt:lpstr>5NBs</vt:lpstr>
      <vt:lpstr>6relat_abs</vt:lpstr>
      <vt:lpstr>7logique</vt:lpstr>
      <vt:lpstr>8mise en forme cond</vt:lpstr>
      <vt:lpstr>9graphique_simple</vt:lpstr>
      <vt:lpstr>10graphsparline</vt:lpstr>
      <vt:lpstr>11tri </vt:lpstr>
      <vt:lpstr>12filtre</vt:lpstr>
      <vt:lpstr>13filtrcomplex</vt:lpstr>
      <vt:lpstr>14filtrcomplex2</vt:lpstr>
      <vt:lpstr>15filrcomplex3</vt:lpstr>
      <vt:lpstr>16_consultation</vt:lpstr>
      <vt:lpstr>17_texte</vt:lpstr>
      <vt:lpstr>18_dates</vt:lpstr>
      <vt:lpstr>19_nommer</vt:lpstr>
      <vt:lpstr>20_plan</vt:lpstr>
      <vt:lpstr>Recap_France</vt:lpstr>
      <vt:lpstr>Agen</vt:lpstr>
      <vt:lpstr>Aix</vt:lpstr>
      <vt:lpstr>Lyon</vt:lpstr>
      <vt:lpstr>Toulouse</vt:lpstr>
      <vt:lpstr>Clermont</vt:lpstr>
      <vt:lpstr>Nantes</vt:lpstr>
      <vt:lpstr>Annecy</vt:lpstr>
      <vt:lpstr>Reims</vt:lpstr>
      <vt:lpstr>Valence</vt:lpstr>
      <vt:lpstr>Strasbourg</vt:lpstr>
      <vt:lpstr>Montélimar</vt:lpstr>
      <vt:lpstr>Nice</vt:lpstr>
      <vt:lpstr>Trim1</vt:lpstr>
      <vt:lpstr>Trim2</vt:lpstr>
      <vt:lpstr>Trim3</vt:lpstr>
      <vt:lpstr>Trim4</vt:lpstr>
      <vt:lpstr>RECAP</vt:lpstr>
      <vt:lpstr>DATEfact</vt:lpstr>
      <vt:lpstr>PRIX</vt:lpstr>
      <vt:lpstr>QUANTITE</vt:lpstr>
      <vt:lpstr>TOTAL_HT</vt:lpstr>
      <vt:lpstr>TOTALAnnecy</vt:lpstr>
      <vt:lpstr>TOTALGap</vt:lpstr>
      <vt:lpstr>TOTALLyon</vt:lpstr>
      <vt:lpstr>TOTALNantes</vt:lpstr>
      <vt:lpstr>TOTALNice</vt:lpstr>
      <vt:lpstr>TOTALReims</vt:lpstr>
      <vt:lpstr>TOTHT</vt:lpstr>
      <vt:lpstr>TVA</vt:lpstr>
      <vt:lpstr>TXTVA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Administrateur</dc:creator>
  <cp:lastModifiedBy>Sandrine</cp:lastModifiedBy>
  <dcterms:created xsi:type="dcterms:W3CDTF">2018-09-17T08:52:50Z</dcterms:created>
  <dcterms:modified xsi:type="dcterms:W3CDTF">2019-05-10T07:14:34Z</dcterms:modified>
</cp:coreProperties>
</file>