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maloney/Documents/Syracuse/SCM 702 - MGT Sci/"/>
    </mc:Choice>
  </mc:AlternateContent>
  <xr:revisionPtr revIDLastSave="0" documentId="8_{8EEAF224-5BC5-204A-AAC1-39AEDCC9896B}" xr6:coauthVersionLast="36" xr6:coauthVersionMax="36" xr10:uidLastSave="{00000000-0000-0000-0000-000000000000}"/>
  <bookViews>
    <workbookView xWindow="780" yWindow="960" windowWidth="27640" windowHeight="16540" activeTab="4" xr2:uid="{FF2A1346-7192-EA47-90F3-A040265CAED6}"/>
  </bookViews>
  <sheets>
    <sheet name="B - Formatted Optimal Solutions" sheetId="1" r:id="rId1"/>
    <sheet name="C &amp; D - No Velvet Refund" sheetId="3" r:id="rId2"/>
    <sheet name="E -Increase Machine Blazer Cost" sheetId="4" r:id="rId3"/>
    <sheet name="F - Add 10,000 yds of Acetate" sheetId="5" r:id="rId4"/>
    <sheet name="G - November Sale" sheetId="6" r:id="rId5"/>
    <sheet name="Optimal Solution" sheetId="2" r:id="rId6"/>
  </sheets>
  <definedNames>
    <definedName name="solver_adj" localSheetId="0" hidden="1">'B - Formatted Optimal Solutions'!$O$3:$O$15</definedName>
    <definedName name="solver_adj" localSheetId="1" hidden="1">'C &amp; D - No Velvet Refund'!$O$3:$O$15</definedName>
    <definedName name="solver_adj" localSheetId="2" hidden="1">'E -Increase Machine Blazer Cost'!$O$3:$O$15</definedName>
    <definedName name="solver_adj" localSheetId="3" hidden="1">'F - Add 10,000 yds of Acetate'!$O$3:$O$15</definedName>
    <definedName name="solver_adj" localSheetId="4" hidden="1">'G - November Sale'!$P$31:$P$43</definedName>
    <definedName name="solver_adj" localSheetId="5" hidden="1">'Optimal Solution'!$D$4:$P$4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'B - Formatted Optimal Solutions'!$G$16:$M$16</definedName>
    <definedName name="solver_lhs1" localSheetId="1" hidden="1">'C &amp; D - No Velvet Refund'!$G$16:$M$16</definedName>
    <definedName name="solver_lhs1" localSheetId="2" hidden="1">'E -Increase Machine Blazer Cost'!$G$16:$M$16</definedName>
    <definedName name="solver_lhs1" localSheetId="3" hidden="1">'F - Add 10,000 yds of Acetate'!$G$16:$M$16</definedName>
    <definedName name="solver_lhs1" localSheetId="4" hidden="1">'G - November Sale'!$H$44:$N$44</definedName>
    <definedName name="solver_lhs1" localSheetId="5" hidden="1">'Optimal Solution'!$D$4:$P$4</definedName>
    <definedName name="solver_lhs10" localSheetId="0" hidden="1">'B - Formatted Optimal Solutions'!$O$9</definedName>
    <definedName name="solver_lhs10" localSheetId="1" hidden="1">'C &amp; D - No Velvet Refund'!$O$8</definedName>
    <definedName name="solver_lhs10" localSheetId="2" hidden="1">'E -Increase Machine Blazer Cost'!$O$9</definedName>
    <definedName name="solver_lhs10" localSheetId="5" hidden="1">'Optimal Solution'!$L$32:$L$33</definedName>
    <definedName name="solver_lhs11" localSheetId="1" hidden="1">'C &amp; D - No Velvet Refund'!$O$9</definedName>
    <definedName name="solver_lhs11" localSheetId="5" hidden="1">'Optimal Solution'!$Q$6:$Q$12</definedName>
    <definedName name="solver_lhs2" localSheetId="0" hidden="1">'B - Formatted Optimal Solutions'!$O$12</definedName>
    <definedName name="solver_lhs2" localSheetId="1" hidden="1">'C &amp; D - No Velvet Refund'!$O$12</definedName>
    <definedName name="solver_lhs2" localSheetId="2" hidden="1">'E -Increase Machine Blazer Cost'!$O$12</definedName>
    <definedName name="solver_lhs2" localSheetId="3" hidden="1">'F - Add 10,000 yds of Acetate'!$O$12</definedName>
    <definedName name="solver_lhs2" localSheetId="4" hidden="1">'G - November Sale'!$P$12</definedName>
    <definedName name="solver_lhs2" localSheetId="5" hidden="1">'Optimal Solution'!$L$21</definedName>
    <definedName name="solver_lhs3" localSheetId="0" hidden="1">'B - Formatted Optimal Solutions'!$O$14:$O$15</definedName>
    <definedName name="solver_lhs3" localSheetId="1" hidden="1">'C &amp; D - No Velvet Refund'!$O$14</definedName>
    <definedName name="solver_lhs3" localSheetId="2" hidden="1">'E -Increase Machine Blazer Cost'!$O$14:$O$15</definedName>
    <definedName name="solver_lhs3" localSheetId="3" hidden="1">'F - Add 10,000 yds of Acetate'!$O$14:$O$15</definedName>
    <definedName name="solver_lhs3" localSheetId="4" hidden="1">'G - November Sale'!$P$14:$P$15</definedName>
    <definedName name="solver_lhs3" localSheetId="5" hidden="1">'Optimal Solution'!$L$21</definedName>
    <definedName name="solver_lhs4" localSheetId="0" hidden="1">'B - Formatted Optimal Solutions'!$O$16</definedName>
    <definedName name="solver_lhs4" localSheetId="1" hidden="1">'C &amp; D - No Velvet Refund'!$O$15</definedName>
    <definedName name="solver_lhs4" localSheetId="2" hidden="1">'E -Increase Machine Blazer Cost'!$O$16</definedName>
    <definedName name="solver_lhs4" localSheetId="3" hidden="1">'F - Add 10,000 yds of Acetate'!$O$16</definedName>
    <definedName name="solver_lhs4" localSheetId="4" hidden="1">'G - November Sale'!$P$16</definedName>
    <definedName name="solver_lhs4" localSheetId="5" hidden="1">'Optimal Solution'!$L$22:$L$24</definedName>
    <definedName name="solver_lhs5" localSheetId="0" hidden="1">'B - Formatted Optimal Solutions'!$O$3</definedName>
    <definedName name="solver_lhs5" localSheetId="1" hidden="1">'C &amp; D - No Velvet Refund'!$O$16</definedName>
    <definedName name="solver_lhs5" localSheetId="2" hidden="1">'E -Increase Machine Blazer Cost'!$O$3</definedName>
    <definedName name="solver_lhs5" localSheetId="3" hidden="1">'F - Add 10,000 yds of Acetate'!$O$3</definedName>
    <definedName name="solver_lhs5" localSheetId="4" hidden="1">'G - November Sale'!$P$3:$P$15</definedName>
    <definedName name="solver_lhs5" localSheetId="5" hidden="1">'Optimal Solution'!$L$25</definedName>
    <definedName name="solver_lhs6" localSheetId="0" hidden="1">'B - Formatted Optimal Solutions'!$O$3:$O$15</definedName>
    <definedName name="solver_lhs6" localSheetId="1" hidden="1">'C &amp; D - No Velvet Refund'!$O$3</definedName>
    <definedName name="solver_lhs6" localSheetId="2" hidden="1">'E -Increase Machine Blazer Cost'!$O$3:$O$15</definedName>
    <definedName name="solver_lhs6" localSheetId="3" hidden="1">'F - Add 10,000 yds of Acetate'!$O$3:$O$15</definedName>
    <definedName name="solver_lhs6" localSheetId="4" hidden="1">'G - November Sale'!$P$3:$P$15</definedName>
    <definedName name="solver_lhs6" localSheetId="5" hidden="1">'Optimal Solution'!$L$26</definedName>
    <definedName name="solver_lhs7" localSheetId="0" hidden="1">'B - Formatted Optimal Solutions'!$O$3:$O$5</definedName>
    <definedName name="solver_lhs7" localSheetId="1" hidden="1">'C &amp; D - No Velvet Refund'!$O$3:$O$15</definedName>
    <definedName name="solver_lhs7" localSheetId="2" hidden="1">'E -Increase Machine Blazer Cost'!$O$3:$O$5</definedName>
    <definedName name="solver_lhs7" localSheetId="3" hidden="1">'F - Add 10,000 yds of Acetate'!$O$3:$O$5</definedName>
    <definedName name="solver_lhs7" localSheetId="4" hidden="1">'G - November Sale'!$P$3:$P$5</definedName>
    <definedName name="solver_lhs7" localSheetId="5" hidden="1">'Optimal Solution'!$L$26</definedName>
    <definedName name="solver_lhs8" localSheetId="0" hidden="1">'B - Formatted Optimal Solutions'!$O$7:$O$8</definedName>
    <definedName name="solver_lhs8" localSheetId="1" hidden="1">'C &amp; D - No Velvet Refund'!$O$3:$O$5</definedName>
    <definedName name="solver_lhs8" localSheetId="2" hidden="1">'E -Increase Machine Blazer Cost'!$O$7:$O$8</definedName>
    <definedName name="solver_lhs8" localSheetId="3" hidden="1">'F - Add 10,000 yds of Acetate'!$O$7:$O$8</definedName>
    <definedName name="solver_lhs8" localSheetId="4" hidden="1">'G - November Sale'!$P$8:$P$9</definedName>
    <definedName name="solver_lhs8" localSheetId="5" hidden="1">'Optimal Solution'!$L$27</definedName>
    <definedName name="solver_lhs9" localSheetId="0" hidden="1">'B - Formatted Optimal Solutions'!$O$8</definedName>
    <definedName name="solver_lhs9" localSheetId="1" hidden="1">'C &amp; D - No Velvet Refund'!$O$7:$O$8</definedName>
    <definedName name="solver_lhs9" localSheetId="2" hidden="1">'E -Increase Machine Blazer Cost'!$O$8</definedName>
    <definedName name="solver_lhs9" localSheetId="3" hidden="1">'F - Add 10,000 yds of Acetate'!$O$8:$O$9</definedName>
    <definedName name="solver_lhs9" localSheetId="5" hidden="1">'Optimal Solution'!$L$30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10</definedName>
    <definedName name="solver_num" localSheetId="1" hidden="1">11</definedName>
    <definedName name="solver_num" localSheetId="2" hidden="1">10</definedName>
    <definedName name="solver_num" localSheetId="3" hidden="1">9</definedName>
    <definedName name="solver_num" localSheetId="4" hidden="1">1</definedName>
    <definedName name="solver_num" localSheetId="5" hidden="1">11</definedName>
    <definedName name="solver_opt" localSheetId="0" hidden="1">'B - Formatted Optimal Solutions'!$B$24</definedName>
    <definedName name="solver_opt" localSheetId="1" hidden="1">'C &amp; D - No Velvet Refund'!$B$24</definedName>
    <definedName name="solver_opt" localSheetId="2" hidden="1">'E -Increase Machine Blazer Cost'!$B$24</definedName>
    <definedName name="solver_opt" localSheetId="3" hidden="1">'F - Add 10,000 yds of Acetate'!$B$24</definedName>
    <definedName name="solver_opt" localSheetId="4" hidden="1">'G - November Sale'!$B$52</definedName>
    <definedName name="solver_opt" localSheetId="5" hidden="1">'Optimal Solution'!$D$43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4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0" localSheetId="5" hidden="1">1</definedName>
    <definedName name="solver_rel11" localSheetId="1" hidden="1">1</definedName>
    <definedName name="solver_rel11" localSheetId="5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3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5" localSheetId="0" hidden="1">3</definedName>
    <definedName name="solver_rel5" localSheetId="1" hidden="1">1</definedName>
    <definedName name="solver_rel5" localSheetId="2" hidden="1">3</definedName>
    <definedName name="solver_rel5" localSheetId="3" hidden="1">3</definedName>
    <definedName name="solver_rel5" localSheetId="4" hidden="1">4</definedName>
    <definedName name="solver_rel5" localSheetId="5" hidden="1">3</definedName>
    <definedName name="solver_rel6" localSheetId="0" hidden="1">4</definedName>
    <definedName name="solver_rel6" localSheetId="1" hidden="1">3</definedName>
    <definedName name="solver_rel6" localSheetId="2" hidden="1">4</definedName>
    <definedName name="solver_rel6" localSheetId="3" hidden="1">4</definedName>
    <definedName name="solver_rel6" localSheetId="4" hidden="1">3</definedName>
    <definedName name="solver_rel6" localSheetId="5" hidden="1">1</definedName>
    <definedName name="solver_rel7" localSheetId="0" hidden="1">1</definedName>
    <definedName name="solver_rel7" localSheetId="1" hidden="1">4</definedName>
    <definedName name="solver_rel7" localSheetId="2" hidden="1">1</definedName>
    <definedName name="solver_rel7" localSheetId="3" hidden="1">1</definedName>
    <definedName name="solver_rel7" localSheetId="4" hidden="1">1</definedName>
    <definedName name="solver_rel7" localSheetId="5" hidden="1">3</definedName>
    <definedName name="solver_rel8" localSheetId="0" hidden="1">3</definedName>
    <definedName name="solver_rel8" localSheetId="1" hidden="1">1</definedName>
    <definedName name="solver_rel8" localSheetId="2" hidden="1">3</definedName>
    <definedName name="solver_rel8" localSheetId="3" hidden="1">3</definedName>
    <definedName name="solver_rel8" localSheetId="4" hidden="1">1</definedName>
    <definedName name="solver_rel8" localSheetId="5" hidden="1">1</definedName>
    <definedName name="solver_rel9" localSheetId="0" hidden="1">1</definedName>
    <definedName name="solver_rel9" localSheetId="1" hidden="1">3</definedName>
    <definedName name="solver_rel9" localSheetId="2" hidden="1">1</definedName>
    <definedName name="solver_rel9" localSheetId="3" hidden="1">1</definedName>
    <definedName name="solver_rel9" localSheetId="5" hidden="1">1</definedName>
    <definedName name="solver_rhs1" localSheetId="0" hidden="1">'B - Formatted Optimal Solutions'!$G$18:$M$18</definedName>
    <definedName name="solver_rhs1" localSheetId="1" hidden="1">'C &amp; D - No Velvet Refund'!$G$18:$M$18</definedName>
    <definedName name="solver_rhs1" localSheetId="2" hidden="1">'E -Increase Machine Blazer Cost'!$G$18:$M$18</definedName>
    <definedName name="solver_rhs1" localSheetId="3" hidden="1">'F - Add 10,000 yds of Acetate'!$G$18:$M$18</definedName>
    <definedName name="solver_rhs1" localSheetId="4" hidden="1">'G - November Sale'!$H$46:$N$46</definedName>
    <definedName name="solver_rhs1" localSheetId="5" hidden="1">integer</definedName>
    <definedName name="solver_rhs10" localSheetId="0" hidden="1">'B - Formatted Optimal Solutions'!$P$9</definedName>
    <definedName name="solver_rhs10" localSheetId="1" hidden="1">'C &amp; D - No Velvet Refund'!$P$8</definedName>
    <definedName name="solver_rhs10" localSheetId="2" hidden="1">'E -Increase Machine Blazer Cost'!$P$9</definedName>
    <definedName name="solver_rhs10" localSheetId="5" hidden="1">'Optimal Solution'!$O$32:$O$33</definedName>
    <definedName name="solver_rhs11" localSheetId="1" hidden="1">'C &amp; D - No Velvet Refund'!$P$9</definedName>
    <definedName name="solver_rhs11" localSheetId="5" hidden="1">'Optimal Solution'!$S$6:$S$12</definedName>
    <definedName name="solver_rhs2" localSheetId="0" hidden="1">'B - Formatted Optimal Solutions'!$P$12</definedName>
    <definedName name="solver_rhs2" localSheetId="1" hidden="1">'C &amp; D - No Velvet Refund'!$P$12</definedName>
    <definedName name="solver_rhs2" localSheetId="2" hidden="1">'E -Increase Machine Blazer Cost'!$P$12</definedName>
    <definedName name="solver_rhs2" localSheetId="3" hidden="1">'F - Add 10,000 yds of Acetate'!$P$12</definedName>
    <definedName name="solver_rhs2" localSheetId="4" hidden="1">'G - November Sale'!$Q$12</definedName>
    <definedName name="solver_rhs2" localSheetId="5" hidden="1">'Optimal Solution'!$O$21</definedName>
    <definedName name="solver_rhs3" localSheetId="0" hidden="1">'B - Formatted Optimal Solutions'!$P$14:$P$15</definedName>
    <definedName name="solver_rhs3" localSheetId="1" hidden="1">'C &amp; D - No Velvet Refund'!$P$14</definedName>
    <definedName name="solver_rhs3" localSheetId="2" hidden="1">'E -Increase Machine Blazer Cost'!$P$14:$P$15</definedName>
    <definedName name="solver_rhs3" localSheetId="3" hidden="1">'F - Add 10,000 yds of Acetate'!$P$14:$P$15</definedName>
    <definedName name="solver_rhs3" localSheetId="4" hidden="1">'G - November Sale'!$Q$14:$Q$15</definedName>
    <definedName name="solver_rhs3" localSheetId="5" hidden="1">'Optimal Solution'!$N$21</definedName>
    <definedName name="solver_rhs4" localSheetId="0" hidden="1">'B - Formatted Optimal Solutions'!$P$16</definedName>
    <definedName name="solver_rhs4" localSheetId="1" hidden="1">'C &amp; D - No Velvet Refund'!$P$15</definedName>
    <definedName name="solver_rhs4" localSheetId="2" hidden="1">'E -Increase Machine Blazer Cost'!$P$16</definedName>
    <definedName name="solver_rhs4" localSheetId="3" hidden="1">'F - Add 10,000 yds of Acetate'!$P$16</definedName>
    <definedName name="solver_rhs4" localSheetId="4" hidden="1">'G - November Sale'!$Q$16</definedName>
    <definedName name="solver_rhs4" localSheetId="5" hidden="1">'Optimal Solution'!$O$22:$O$24</definedName>
    <definedName name="solver_rhs5" localSheetId="0" hidden="1">'B - Formatted Optimal Solutions'!$N$3</definedName>
    <definedName name="solver_rhs5" localSheetId="1" hidden="1">'C &amp; D - No Velvet Refund'!$P$16</definedName>
    <definedName name="solver_rhs5" localSheetId="2" hidden="1">'E -Increase Machine Blazer Cost'!$N$3</definedName>
    <definedName name="solver_rhs5" localSheetId="3" hidden="1">'F - Add 10,000 yds of Acetate'!$N$3</definedName>
    <definedName name="solver_rhs5" localSheetId="4" hidden="1">integer</definedName>
    <definedName name="solver_rhs5" localSheetId="5" hidden="1">'Optimal Solution'!$N$25</definedName>
    <definedName name="solver_rhs6" localSheetId="0" hidden="1">integer</definedName>
    <definedName name="solver_rhs6" localSheetId="1" hidden="1">'C &amp; D - No Velvet Refund'!$N$3</definedName>
    <definedName name="solver_rhs6" localSheetId="2" hidden="1">integer</definedName>
    <definedName name="solver_rhs6" localSheetId="3" hidden="1">integer</definedName>
    <definedName name="solver_rhs6" localSheetId="4" hidden="1">'G - November Sale'!$O$3:$O$15</definedName>
    <definedName name="solver_rhs6" localSheetId="5" hidden="1">'Optimal Solution'!$O$26</definedName>
    <definedName name="solver_rhs7" localSheetId="0" hidden="1">'B - Formatted Optimal Solutions'!$P$3:$P$5</definedName>
    <definedName name="solver_rhs7" localSheetId="1" hidden="1">integer</definedName>
    <definedName name="solver_rhs7" localSheetId="2" hidden="1">'E -Increase Machine Blazer Cost'!$P$3:$P$5</definedName>
    <definedName name="solver_rhs7" localSheetId="3" hidden="1">'F - Add 10,000 yds of Acetate'!$P$3:$P$5</definedName>
    <definedName name="solver_rhs7" localSheetId="4" hidden="1">'G - November Sale'!$Q$3:$Q$5</definedName>
    <definedName name="solver_rhs7" localSheetId="5" hidden="1">'Optimal Solution'!$N$26</definedName>
    <definedName name="solver_rhs8" localSheetId="0" hidden="1">'B - Formatted Optimal Solutions'!$N$7:$N$8</definedName>
    <definedName name="solver_rhs8" localSheetId="1" hidden="1">'C &amp; D - No Velvet Refund'!$P$3:$P$5</definedName>
    <definedName name="solver_rhs8" localSheetId="2" hidden="1">'E -Increase Machine Blazer Cost'!$N$7:$N$8</definedName>
    <definedName name="solver_rhs8" localSheetId="3" hidden="1">'F - Add 10,000 yds of Acetate'!$N$7:$N$8</definedName>
    <definedName name="solver_rhs8" localSheetId="4" hidden="1">'G - November Sale'!$Q$8:$Q$9</definedName>
    <definedName name="solver_rhs8" localSheetId="5" hidden="1">'Optimal Solution'!$O$27</definedName>
    <definedName name="solver_rhs9" localSheetId="0" hidden="1">'B - Formatted Optimal Solutions'!$P$8</definedName>
    <definedName name="solver_rhs9" localSheetId="1" hidden="1">'C &amp; D - No Velvet Refund'!$N$7:$N$8</definedName>
    <definedName name="solver_rhs9" localSheetId="2" hidden="1">'E -Increase Machine Blazer Cost'!$P$8</definedName>
    <definedName name="solver_rhs9" localSheetId="3" hidden="1">'F - Add 10,000 yds of Acetate'!$P$8:$P$9</definedName>
    <definedName name="solver_rhs9" localSheetId="5" hidden="1">'Optimal Solution'!$O$30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6" l="1"/>
  <c r="S6" i="5"/>
  <c r="B24" i="6"/>
  <c r="G31" i="6"/>
  <c r="H46" i="6"/>
  <c r="H19" i="6"/>
  <c r="G32" i="6"/>
  <c r="G33" i="6"/>
  <c r="G34" i="6"/>
  <c r="G35" i="6"/>
  <c r="G36" i="6"/>
  <c r="G37" i="6"/>
  <c r="G38" i="6"/>
  <c r="G39" i="6"/>
  <c r="G40" i="6"/>
  <c r="G41" i="6"/>
  <c r="G42" i="6"/>
  <c r="G43" i="6"/>
  <c r="L44" i="6" l="1"/>
  <c r="L49" i="6" s="1"/>
  <c r="L19" i="6"/>
  <c r="I44" i="6"/>
  <c r="J44" i="6"/>
  <c r="J49" i="6" s="1"/>
  <c r="K44" i="6"/>
  <c r="M44" i="6"/>
  <c r="N44" i="6"/>
  <c r="N49" i="6" s="1"/>
  <c r="H44" i="6"/>
  <c r="D32" i="6"/>
  <c r="D33" i="6"/>
  <c r="D34" i="6"/>
  <c r="D35" i="6"/>
  <c r="D36" i="6"/>
  <c r="D37" i="6"/>
  <c r="D38" i="6"/>
  <c r="D39" i="6"/>
  <c r="D40" i="6"/>
  <c r="D41" i="6"/>
  <c r="D42" i="6"/>
  <c r="D43" i="6"/>
  <c r="D31" i="6"/>
  <c r="J46" i="6"/>
  <c r="K46" i="6"/>
  <c r="L46" i="6"/>
  <c r="M46" i="6"/>
  <c r="N46" i="6"/>
  <c r="P44" i="6"/>
  <c r="Q43" i="6"/>
  <c r="E43" i="6"/>
  <c r="C43" i="6"/>
  <c r="Q42" i="6"/>
  <c r="E42" i="6"/>
  <c r="C42" i="6"/>
  <c r="O36" i="6"/>
  <c r="O31" i="6"/>
  <c r="Q14" i="6"/>
  <c r="P16" i="6"/>
  <c r="D4" i="6"/>
  <c r="D5" i="6"/>
  <c r="D6" i="6"/>
  <c r="D7" i="6"/>
  <c r="D8" i="6"/>
  <c r="D9" i="6"/>
  <c r="D10" i="6"/>
  <c r="D11" i="6"/>
  <c r="D12" i="6"/>
  <c r="D13" i="6"/>
  <c r="D14" i="6"/>
  <c r="D15" i="6"/>
  <c r="D3" i="6"/>
  <c r="G3" i="6" s="1"/>
  <c r="O16" i="5"/>
  <c r="O16" i="4"/>
  <c r="O16" i="3"/>
  <c r="O16" i="1"/>
  <c r="H47" i="6" l="1"/>
  <c r="H49" i="6"/>
  <c r="I47" i="6"/>
  <c r="I49" i="6"/>
  <c r="M47" i="6"/>
  <c r="M49" i="6"/>
  <c r="K47" i="6"/>
  <c r="K49" i="6"/>
  <c r="L47" i="6"/>
  <c r="J47" i="6"/>
  <c r="N47" i="6"/>
  <c r="B54" i="6" l="1"/>
  <c r="H16" i="6"/>
  <c r="H21" i="6" s="1"/>
  <c r="T15" i="6"/>
  <c r="T14" i="6"/>
  <c r="T13" i="6"/>
  <c r="T12" i="6"/>
  <c r="T11" i="6"/>
  <c r="T10" i="6"/>
  <c r="T9" i="6"/>
  <c r="T8" i="6"/>
  <c r="T7" i="6"/>
  <c r="T6" i="6"/>
  <c r="T5" i="6"/>
  <c r="T4" i="6"/>
  <c r="T3" i="6"/>
  <c r="G5" i="6"/>
  <c r="N16" i="6"/>
  <c r="N19" i="6" s="1"/>
  <c r="N21" i="6" s="1"/>
  <c r="M16" i="6"/>
  <c r="M19" i="6" s="1"/>
  <c r="M21" i="6" s="1"/>
  <c r="L16" i="6"/>
  <c r="L21" i="6" s="1"/>
  <c r="K16" i="6"/>
  <c r="K19" i="6" s="1"/>
  <c r="K21" i="6" s="1"/>
  <c r="J16" i="6"/>
  <c r="J19" i="6" s="1"/>
  <c r="J21" i="6" s="1"/>
  <c r="I16" i="6"/>
  <c r="I19" i="6" s="1"/>
  <c r="I21" i="6" s="1"/>
  <c r="Q15" i="6"/>
  <c r="E15" i="6"/>
  <c r="C15" i="6"/>
  <c r="G15" i="6" s="1"/>
  <c r="E14" i="6"/>
  <c r="C14" i="6"/>
  <c r="G14" i="6" s="1"/>
  <c r="F13" i="6"/>
  <c r="F12" i="6"/>
  <c r="F11" i="6"/>
  <c r="F10" i="6"/>
  <c r="F9" i="6"/>
  <c r="G9" i="6" s="1"/>
  <c r="O8" i="6"/>
  <c r="F8" i="6"/>
  <c r="F7" i="6"/>
  <c r="F6" i="6"/>
  <c r="F5" i="6"/>
  <c r="F4" i="6"/>
  <c r="O3" i="6"/>
  <c r="F3" i="6"/>
  <c r="S5" i="3"/>
  <c r="S6" i="3"/>
  <c r="S7" i="3"/>
  <c r="S8" i="3"/>
  <c r="S9" i="3"/>
  <c r="S10" i="3"/>
  <c r="S11" i="3"/>
  <c r="S12" i="3"/>
  <c r="S13" i="3"/>
  <c r="S14" i="3"/>
  <c r="S15" i="3"/>
  <c r="S3" i="3"/>
  <c r="S4" i="3"/>
  <c r="S15" i="4"/>
  <c r="S5" i="4"/>
  <c r="S6" i="4"/>
  <c r="S7" i="4"/>
  <c r="S8" i="4"/>
  <c r="S9" i="4"/>
  <c r="S10" i="4"/>
  <c r="S11" i="4"/>
  <c r="S12" i="4"/>
  <c r="S13" i="4"/>
  <c r="S14" i="4"/>
  <c r="S4" i="4"/>
  <c r="S3" i="4"/>
  <c r="S4" i="5"/>
  <c r="S5" i="5"/>
  <c r="S7" i="5"/>
  <c r="S8" i="5"/>
  <c r="S9" i="5"/>
  <c r="S10" i="5"/>
  <c r="S11" i="5"/>
  <c r="S12" i="5"/>
  <c r="S13" i="5"/>
  <c r="S14" i="5"/>
  <c r="S15" i="5"/>
  <c r="S3" i="5"/>
  <c r="H18" i="5"/>
  <c r="M16" i="5"/>
  <c r="M19" i="5" s="1"/>
  <c r="M21" i="5" s="1"/>
  <c r="L16" i="5"/>
  <c r="L19" i="5" s="1"/>
  <c r="L21" i="5" s="1"/>
  <c r="K16" i="5"/>
  <c r="K19" i="5" s="1"/>
  <c r="K21" i="5" s="1"/>
  <c r="J16" i="5"/>
  <c r="J19" i="5" s="1"/>
  <c r="J21" i="5" s="1"/>
  <c r="I16" i="5"/>
  <c r="I19" i="5" s="1"/>
  <c r="I21" i="5" s="1"/>
  <c r="H16" i="5"/>
  <c r="H19" i="5" s="1"/>
  <c r="H21" i="5" s="1"/>
  <c r="G16" i="5"/>
  <c r="G19" i="5" s="1"/>
  <c r="G21" i="5" s="1"/>
  <c r="P15" i="5"/>
  <c r="F15" i="5"/>
  <c r="D15" i="5"/>
  <c r="C15" i="5"/>
  <c r="P14" i="5"/>
  <c r="F14" i="5"/>
  <c r="D14" i="5"/>
  <c r="C14" i="5"/>
  <c r="E13" i="5"/>
  <c r="F13" i="5" s="1"/>
  <c r="E12" i="5"/>
  <c r="F12" i="5" s="1"/>
  <c r="E11" i="5"/>
  <c r="F11" i="5" s="1"/>
  <c r="E10" i="5"/>
  <c r="F10" i="5" s="1"/>
  <c r="E9" i="5"/>
  <c r="F9" i="5" s="1"/>
  <c r="N8" i="5"/>
  <c r="E8" i="5"/>
  <c r="F8" i="5" s="1"/>
  <c r="F7" i="5"/>
  <c r="E7" i="5"/>
  <c r="E6" i="5"/>
  <c r="F6" i="5" s="1"/>
  <c r="F5" i="5"/>
  <c r="E5" i="5"/>
  <c r="E4" i="5"/>
  <c r="F4" i="5" s="1"/>
  <c r="N3" i="5"/>
  <c r="F3" i="5"/>
  <c r="E3" i="5"/>
  <c r="D8" i="4"/>
  <c r="M16" i="4"/>
  <c r="M19" i="4" s="1"/>
  <c r="M21" i="4" s="1"/>
  <c r="L16" i="4"/>
  <c r="L19" i="4" s="1"/>
  <c r="L21" i="4" s="1"/>
  <c r="K16" i="4"/>
  <c r="K19" i="4" s="1"/>
  <c r="K21" i="4" s="1"/>
  <c r="J16" i="4"/>
  <c r="J19" i="4" s="1"/>
  <c r="J21" i="4" s="1"/>
  <c r="I16" i="4"/>
  <c r="I19" i="4" s="1"/>
  <c r="I21" i="4" s="1"/>
  <c r="H16" i="4"/>
  <c r="H19" i="4" s="1"/>
  <c r="H21" i="4" s="1"/>
  <c r="G16" i="4"/>
  <c r="G19" i="4" s="1"/>
  <c r="G21" i="4" s="1"/>
  <c r="P15" i="4"/>
  <c r="F15" i="4"/>
  <c r="D15" i="4"/>
  <c r="C15" i="4"/>
  <c r="P14" i="4"/>
  <c r="F14" i="4"/>
  <c r="D14" i="4"/>
  <c r="C14" i="4"/>
  <c r="E13" i="4"/>
  <c r="F13" i="4" s="1"/>
  <c r="E12" i="4"/>
  <c r="F12" i="4" s="1"/>
  <c r="E11" i="4"/>
  <c r="F11" i="4" s="1"/>
  <c r="E10" i="4"/>
  <c r="F10" i="4" s="1"/>
  <c r="E9" i="4"/>
  <c r="F9" i="4" s="1"/>
  <c r="N8" i="4"/>
  <c r="E8" i="4"/>
  <c r="F8" i="4" s="1"/>
  <c r="F7" i="4"/>
  <c r="E7" i="4"/>
  <c r="E6" i="4"/>
  <c r="F6" i="4" s="1"/>
  <c r="F5" i="4"/>
  <c r="E5" i="4"/>
  <c r="E4" i="4"/>
  <c r="F4" i="4" s="1"/>
  <c r="N3" i="4"/>
  <c r="E3" i="4"/>
  <c r="F3" i="4" s="1"/>
  <c r="H21" i="3"/>
  <c r="I21" i="3"/>
  <c r="J21" i="3"/>
  <c r="K21" i="3"/>
  <c r="M21" i="3"/>
  <c r="G21" i="3"/>
  <c r="M16" i="3"/>
  <c r="M19" i="3" s="1"/>
  <c r="M22" i="3" s="1"/>
  <c r="L16" i="3"/>
  <c r="L19" i="3" s="1"/>
  <c r="L22" i="3" s="1"/>
  <c r="K16" i="3"/>
  <c r="K19" i="3" s="1"/>
  <c r="K22" i="3" s="1"/>
  <c r="J16" i="3"/>
  <c r="J19" i="3" s="1"/>
  <c r="J22" i="3" s="1"/>
  <c r="I16" i="3"/>
  <c r="I19" i="3" s="1"/>
  <c r="I22" i="3" s="1"/>
  <c r="H16" i="3"/>
  <c r="H19" i="3" s="1"/>
  <c r="H22" i="3" s="1"/>
  <c r="G16" i="3"/>
  <c r="G19" i="3" s="1"/>
  <c r="G22" i="3" s="1"/>
  <c r="P15" i="3"/>
  <c r="D15" i="3"/>
  <c r="C15" i="3"/>
  <c r="F15" i="3" s="1"/>
  <c r="P14" i="3"/>
  <c r="D14" i="3"/>
  <c r="C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N8" i="3"/>
  <c r="E8" i="3"/>
  <c r="F8" i="3" s="1"/>
  <c r="E7" i="3"/>
  <c r="F7" i="3" s="1"/>
  <c r="E6" i="3"/>
  <c r="F6" i="3" s="1"/>
  <c r="E5" i="3"/>
  <c r="F5" i="3" s="1"/>
  <c r="E4" i="3"/>
  <c r="F4" i="3" s="1"/>
  <c r="N3" i="3"/>
  <c r="E3" i="3"/>
  <c r="F3" i="3" s="1"/>
  <c r="P15" i="1"/>
  <c r="O32" i="2"/>
  <c r="L32" i="2"/>
  <c r="D13" i="2"/>
  <c r="D19" i="2"/>
  <c r="D20" i="2"/>
  <c r="D22" i="2"/>
  <c r="P14" i="1"/>
  <c r="H16" i="1"/>
  <c r="H19" i="1" s="1"/>
  <c r="H21" i="1" s="1"/>
  <c r="I16" i="1"/>
  <c r="I19" i="1" s="1"/>
  <c r="I21" i="1" s="1"/>
  <c r="J16" i="1"/>
  <c r="J19" i="1" s="1"/>
  <c r="J21" i="1" s="1"/>
  <c r="K16" i="1"/>
  <c r="K19" i="1" s="1"/>
  <c r="K21" i="1" s="1"/>
  <c r="L16" i="1"/>
  <c r="L19" i="1" s="1"/>
  <c r="L21" i="1" s="1"/>
  <c r="M16" i="1"/>
  <c r="M19" i="1" s="1"/>
  <c r="M21" i="1" s="1"/>
  <c r="G16" i="1"/>
  <c r="G19" i="1" s="1"/>
  <c r="G21" i="1" s="1"/>
  <c r="Q6" i="2"/>
  <c r="F3" i="1"/>
  <c r="E4" i="1"/>
  <c r="E5" i="1"/>
  <c r="F5" i="1" s="1"/>
  <c r="E6" i="1"/>
  <c r="E7" i="1"/>
  <c r="E8" i="1"/>
  <c r="E9" i="1"/>
  <c r="F9" i="1" s="1"/>
  <c r="E10" i="1"/>
  <c r="E11" i="1"/>
  <c r="E12" i="1"/>
  <c r="F12" i="1" s="1"/>
  <c r="E13" i="1"/>
  <c r="F13" i="1" s="1"/>
  <c r="E3" i="1"/>
  <c r="N8" i="1"/>
  <c r="N3" i="1"/>
  <c r="D15" i="1"/>
  <c r="D14" i="1"/>
  <c r="C15" i="1"/>
  <c r="F15" i="1" s="1"/>
  <c r="C14" i="1"/>
  <c r="F14" i="1" s="1"/>
  <c r="F4" i="1"/>
  <c r="F6" i="1"/>
  <c r="F7" i="1"/>
  <c r="F8" i="1"/>
  <c r="F10" i="1"/>
  <c r="F11" i="1"/>
  <c r="L23" i="2"/>
  <c r="L33" i="2"/>
  <c r="L31" i="2"/>
  <c r="L30" i="2"/>
  <c r="L29" i="2"/>
  <c r="L28" i="2"/>
  <c r="L27" i="2"/>
  <c r="L26" i="2"/>
  <c r="L25" i="2"/>
  <c r="L24" i="2"/>
  <c r="L22" i="2"/>
  <c r="L21" i="2"/>
  <c r="C27" i="2"/>
  <c r="D32" i="2"/>
  <c r="D33" i="2"/>
  <c r="D34" i="2"/>
  <c r="D35" i="2"/>
  <c r="D36" i="2"/>
  <c r="D37" i="2"/>
  <c r="D31" i="2"/>
  <c r="O33" i="2"/>
  <c r="N26" i="2"/>
  <c r="N21" i="2"/>
  <c r="E18" i="2"/>
  <c r="F18" i="2"/>
  <c r="G18" i="2"/>
  <c r="H18" i="2"/>
  <c r="I18" i="2"/>
  <c r="J18" i="2"/>
  <c r="K18" i="2"/>
  <c r="L18" i="2"/>
  <c r="M18" i="2"/>
  <c r="N18" i="2"/>
  <c r="D18" i="2"/>
  <c r="P17" i="2"/>
  <c r="P18" i="2" s="1"/>
  <c r="O17" i="2"/>
  <c r="O18" i="2" s="1"/>
  <c r="P14" i="2"/>
  <c r="P15" i="2" s="1"/>
  <c r="P16" i="2" s="1"/>
  <c r="O14" i="2"/>
  <c r="O15" i="2" s="1"/>
  <c r="O16" i="2" s="1"/>
  <c r="G13" i="6" l="1"/>
  <c r="G12" i="6"/>
  <c r="G10" i="6"/>
  <c r="G6" i="6"/>
  <c r="G8" i="6"/>
  <c r="G4" i="6"/>
  <c r="G11" i="6"/>
  <c r="G7" i="6"/>
  <c r="B24" i="5"/>
  <c r="B24" i="4"/>
  <c r="B24" i="3"/>
  <c r="B28" i="3" s="1"/>
  <c r="B24" i="1"/>
  <c r="O42" i="2"/>
  <c r="P42" i="2"/>
  <c r="E15" i="2" l="1"/>
  <c r="F15" i="2"/>
  <c r="G15" i="2"/>
  <c r="H15" i="2"/>
  <c r="I15" i="2"/>
  <c r="J15" i="2"/>
  <c r="K15" i="2"/>
  <c r="L15" i="2"/>
  <c r="M15" i="2"/>
  <c r="N15" i="2"/>
  <c r="D15" i="2"/>
  <c r="E13" i="2"/>
  <c r="F13" i="2"/>
  <c r="G13" i="2"/>
  <c r="H13" i="2"/>
  <c r="I13" i="2"/>
  <c r="J13" i="2"/>
  <c r="K13" i="2"/>
  <c r="L13" i="2"/>
  <c r="M13" i="2"/>
  <c r="N13" i="2"/>
  <c r="Q7" i="2"/>
  <c r="E32" i="2" s="1"/>
  <c r="F32" i="2" s="1"/>
  <c r="G32" i="2" s="1"/>
  <c r="Q8" i="2"/>
  <c r="E33" i="2" s="1"/>
  <c r="F33" i="2" s="1"/>
  <c r="G33" i="2" s="1"/>
  <c r="Q9" i="2"/>
  <c r="E34" i="2" s="1"/>
  <c r="F34" i="2" s="1"/>
  <c r="G34" i="2" s="1"/>
  <c r="Q10" i="2"/>
  <c r="E35" i="2" s="1"/>
  <c r="F35" i="2" s="1"/>
  <c r="G35" i="2" s="1"/>
  <c r="Q11" i="2"/>
  <c r="E36" i="2" s="1"/>
  <c r="F36" i="2" s="1"/>
  <c r="G36" i="2" s="1"/>
  <c r="Q12" i="2"/>
  <c r="E37" i="2" s="1"/>
  <c r="F37" i="2" s="1"/>
  <c r="G37" i="2" s="1"/>
  <c r="E31" i="2"/>
  <c r="F31" i="2" s="1"/>
  <c r="G31" i="2" s="1"/>
  <c r="G38" i="2" l="1"/>
  <c r="J16" i="2"/>
  <c r="J42" i="2" s="1"/>
  <c r="F16" i="2"/>
  <c r="F42" i="2" s="1"/>
  <c r="N16" i="2"/>
  <c r="N42" i="2" s="1"/>
  <c r="M16" i="2"/>
  <c r="M42" i="2" s="1"/>
  <c r="I16" i="2"/>
  <c r="I42" i="2" s="1"/>
  <c r="E16" i="2"/>
  <c r="E42" i="2" s="1"/>
  <c r="L16" i="2"/>
  <c r="L42" i="2" s="1"/>
  <c r="H16" i="2"/>
  <c r="H42" i="2" s="1"/>
  <c r="D16" i="2"/>
  <c r="D42" i="2" s="1"/>
  <c r="K16" i="2"/>
  <c r="K42" i="2" s="1"/>
  <c r="G16" i="2"/>
  <c r="G42" i="2" s="1"/>
  <c r="D21" i="2" l="1"/>
  <c r="E22" i="2" l="1"/>
  <c r="D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P Maloney</author>
  </authors>
  <commentList>
    <comment ref="J5" authorId="0" shapeId="0" xr:uid="{B81DDCC7-0F7F-6A4F-8E33-892256A4545A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1.5 yards used. 0.5 yards of useable scrap for Silk Camisole.</t>
        </r>
      </text>
    </comment>
    <comment ref="M10" authorId="0" shapeId="0" xr:uid="{56F15595-747D-9B42-84C8-CFA82345AADB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1.5 yards used. 0.5 yards of useable scrap for Cotton Miniskirt.
</t>
        </r>
      </text>
    </comment>
    <comment ref="P14" authorId="0" shapeId="0" xr:uid="{4E459830-D8CE-8741-91FA-95256CB25F39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Scrap Cotton Miniskirts come from scrap of Cotton Sweaters, so max = Number of Cotton Sweaters
</t>
        </r>
      </text>
    </comment>
    <comment ref="P15" authorId="0" shapeId="0" xr:uid="{CEE7A22A-B4FE-A54C-991A-DDE5485201B0}">
      <text>
        <r>
          <rPr>
            <b/>
            <sz val="10"/>
            <color rgb="FF000000"/>
            <rFont val="Calibri"/>
            <family val="2"/>
            <scheme val="minor"/>
          </rPr>
          <t>Jason P Maloney: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Scrap Silk Camisoles come from scrap of Silk  Blouses, so max = Number of Silk Blouses</t>
        </r>
      </text>
    </comment>
    <comment ref="B24" authorId="0" shapeId="0" xr:uid="{4A8BB819-35E7-3D4E-BA30-A7C6EA171DCA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Profit = Margin + Refund - Fixed Costs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P Maloney</author>
  </authors>
  <commentList>
    <comment ref="J5" authorId="0" shapeId="0" xr:uid="{CC6A81A3-9AB6-F149-9F70-C999153F17C9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1.5 yards used. 0.5 yards of useable scrap for Silk Camisole.</t>
        </r>
      </text>
    </comment>
    <comment ref="M10" authorId="0" shapeId="0" xr:uid="{839D3BF9-974D-964E-B7D2-04BBF455FE04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1.5 yards used. 0.5 yards of useable scrap for Cotton Miniskirt.
</t>
        </r>
      </text>
    </comment>
    <comment ref="P14" authorId="0" shapeId="0" xr:uid="{664EE28C-0A2C-FC46-924D-FC2719B87D85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Scrap Cotton Miniskirts come from scrap of Cotton Sweaters, so max = Number of Cotton Sweaters
</t>
        </r>
      </text>
    </comment>
    <comment ref="P15" authorId="0" shapeId="0" xr:uid="{A1BCAA8A-5942-E84E-A20D-E53C7D7EB712}">
      <text>
        <r>
          <rPr>
            <b/>
            <sz val="10"/>
            <color rgb="FF000000"/>
            <rFont val="Calibri"/>
            <family val="2"/>
            <scheme val="minor"/>
          </rPr>
          <t>Jason P Maloney: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Scrap Silk Camisoles come from scrap of Silk  Blouses, so max = Number of Silk Blouses</t>
        </r>
      </text>
    </comment>
    <comment ref="B24" authorId="0" shapeId="0" xr:uid="{41FF04AB-989C-DB4F-8F54-DE56C2A9CE67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Profit = Margin + Refund - Fixed Costs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P Maloney</author>
  </authors>
  <commentList>
    <comment ref="J5" authorId="0" shapeId="0" xr:uid="{F72266C3-EDCC-424C-9310-CADF7EF949CB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1.5 yards used. 0.5 yards of useable scrap for Silk Camisole.</t>
        </r>
      </text>
    </comment>
    <comment ref="D8" authorId="0" shapeId="0" xr:uid="{EACCC034-5799-3C44-9936-DF0C3F012C98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Labor and Machine Costs increase by $80
</t>
        </r>
        <r>
          <rPr>
            <sz val="10"/>
            <color rgb="FF000000"/>
            <rFont val="Tahoma"/>
            <family val="2"/>
          </rPr>
          <t>Cost = 140 + 80</t>
        </r>
      </text>
    </comment>
    <comment ref="M10" authorId="0" shapeId="0" xr:uid="{2CEB0576-F46D-864F-882E-D758A6291750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1.5 yards used. 0.5 yards of useable scrap for Cotton Miniskirt.
</t>
        </r>
      </text>
    </comment>
    <comment ref="P14" authorId="0" shapeId="0" xr:uid="{2C6A98DC-EF4B-C848-976E-E3193139DD86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Scrap Cotton Miniskirts come from scrap of Cotton Sweaters, so max = Number of Cotton Sweaters
</t>
        </r>
      </text>
    </comment>
    <comment ref="P15" authorId="0" shapeId="0" xr:uid="{BC07155F-9EE8-DA47-9A35-E5231F16CD86}">
      <text>
        <r>
          <rPr>
            <b/>
            <sz val="10"/>
            <color rgb="FF000000"/>
            <rFont val="Calibri"/>
            <family val="2"/>
            <scheme val="minor"/>
          </rPr>
          <t>Jason P Maloney: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Scrap Silk Camisoles come from scrap of Silk  Blouses, so max = Number of Silk Blouses</t>
        </r>
      </text>
    </comment>
    <comment ref="B24" authorId="0" shapeId="0" xr:uid="{5E322F10-359A-EA4C-A1E8-1F735C485320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Profit = Margin + Refund - Fixed Costs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P Maloney</author>
  </authors>
  <commentList>
    <comment ref="J5" authorId="0" shapeId="0" xr:uid="{DEA4B69C-F4C8-3546-96F8-E5DC809ED540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1.5 yards used. 0.5 yards of useable scrap for Silk Camisole.</t>
        </r>
      </text>
    </comment>
    <comment ref="M10" authorId="0" shapeId="0" xr:uid="{BE43AC3D-579E-DC46-8913-84DC0BD3DCD4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1.5 yards used. 0.5 yards of useable scrap for Cotton Miniskirt.
</t>
        </r>
      </text>
    </comment>
    <comment ref="P14" authorId="0" shapeId="0" xr:uid="{7C72AD71-832C-B241-9537-075DBE116FCD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Scrap Cotton Miniskirts come from scrap of Cotton Sweaters, so max = Number of Cotton Sweaters
</t>
        </r>
      </text>
    </comment>
    <comment ref="P15" authorId="0" shapeId="0" xr:uid="{FD71144C-D2D3-0F4A-938D-FF6A41884A6C}">
      <text>
        <r>
          <rPr>
            <b/>
            <sz val="10"/>
            <color rgb="FF000000"/>
            <rFont val="Calibri"/>
            <family val="2"/>
            <scheme val="minor"/>
          </rPr>
          <t>Jason P Maloney: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Scrap Silk Camisoles come from scrap of Silk  Blouses, so max = Number of Silk Blouses</t>
        </r>
      </text>
    </comment>
    <comment ref="H18" authorId="0" shapeId="0" xr:uid="{1FD427DA-0C3C-1948-BDC7-B01B986BB5AC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There are an additional 10,000 yards of Acetate available.
</t>
        </r>
        <r>
          <rPr>
            <sz val="10"/>
            <color rgb="FF000000"/>
            <rFont val="Tahoma"/>
            <family val="2"/>
          </rPr>
          <t>Acetate = 28,000 + 10,000</t>
        </r>
      </text>
    </comment>
    <comment ref="B24" authorId="0" shapeId="0" xr:uid="{C716428E-B813-324E-B151-F7EE324521A2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Profit = Margin + Refund - Fixed Costs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P Maloney</author>
  </authors>
  <commentList>
    <comment ref="K5" authorId="0" shapeId="0" xr:uid="{B232AA55-4054-8E48-89E7-1B83396412F5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1.5 yards used. 0.5 yards of useable scrap for Silk Camisole.</t>
        </r>
      </text>
    </comment>
    <comment ref="N10" authorId="0" shapeId="0" xr:uid="{8056CE94-9105-DE42-BA73-24654C746E02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1.5 yards used. 0.5 yards of useable scrap for Cotton Miniskirt.
</t>
        </r>
      </text>
    </comment>
    <comment ref="Q14" authorId="0" shapeId="0" xr:uid="{CC0A036C-C2D6-C34B-A03E-798CF6B27670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Scrap Cotton Miniskirts come from scrap of Cotton Sweaters, so max = Number of Cotton Sweaters
</t>
        </r>
      </text>
    </comment>
    <comment ref="Q15" authorId="0" shapeId="0" xr:uid="{5391E85F-EBD9-AB46-A69A-232E1D324FC1}">
      <text>
        <r>
          <rPr>
            <b/>
            <sz val="10"/>
            <color rgb="FF000000"/>
            <rFont val="Calibri"/>
            <family val="2"/>
            <scheme val="minor"/>
          </rPr>
          <t>Jason P Maloney: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Scrap Silk Camisoles come from scrap of Silk  Blouses, so max = Number of Silk Blouses</t>
        </r>
      </text>
    </comment>
    <comment ref="B24" authorId="0" shapeId="0" xr:uid="{3DBC465C-A3DC-2C48-93EB-E32F5ABBEDB7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Profit = Margin + Refund after the Sale - Fixed Costs
</t>
        </r>
      </text>
    </comment>
    <comment ref="K33" authorId="0" shapeId="0" xr:uid="{0F7AA331-B17D-294B-9845-D5ADA25ADE35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1.5 yards used. 0.5 yards of useable scrap for Silk Camisole.</t>
        </r>
      </text>
    </comment>
    <comment ref="N38" authorId="0" shapeId="0" xr:uid="{6956AEAF-A116-DA4F-93A6-07A398EBD528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1.5 yards used. 0.5 yards of useable scrap for Cotton Miniskirt.
</t>
        </r>
      </text>
    </comment>
    <comment ref="Q42" authorId="0" shapeId="0" xr:uid="{E99CA137-B6EB-C147-8384-0BBAF0A4B4EC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Scrap Cotton Miniskirts come from scrap of Cotton Sweaters, so max = Number of Cotton Sweaters
</t>
        </r>
      </text>
    </comment>
    <comment ref="Q43" authorId="0" shapeId="0" xr:uid="{E29630A3-6B02-7B43-87E9-22F2A89548A5}">
      <text>
        <r>
          <rPr>
            <b/>
            <sz val="10"/>
            <color rgb="FF000000"/>
            <rFont val="Calibri"/>
            <family val="2"/>
            <scheme val="minor"/>
          </rPr>
          <t>Jason P Maloney: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Scrap Silk Camisoles come from scrap of Silk  Blouses, so max = Number of Silk Blouses</t>
        </r>
      </text>
    </comment>
    <comment ref="B52" authorId="0" shapeId="0" xr:uid="{C1B6A488-4C74-5948-B0B6-394E25465B96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Profit = Margin * Quantity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P Maloney</author>
  </authors>
  <commentList>
    <comment ref="F9" authorId="0" shapeId="0" xr:uid="{32609F37-45C4-1D40-8F5B-32563BC09FFF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Use 1.5 yd
</t>
        </r>
        <r>
          <rPr>
            <sz val="10"/>
            <color rgb="FF000000"/>
            <rFont val="Tahoma"/>
            <family val="2"/>
          </rPr>
          <t>0.5 yd of useable scrap</t>
        </r>
      </text>
    </comment>
    <comment ref="K12" authorId="0" shapeId="0" xr:uid="{643625DE-5A5E-C64D-8924-14E5E24502D7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Use 1.5 yd
</t>
        </r>
        <r>
          <rPr>
            <sz val="10"/>
            <color rgb="FF000000"/>
            <rFont val="Tahoma"/>
            <family val="2"/>
          </rPr>
          <t>0.5 yd of useable scrap</t>
        </r>
      </text>
    </comment>
    <comment ref="D22" authorId="0" shapeId="0" xr:uid="{74F90F1C-9E55-8941-80AA-ABDAD62E0E3F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Retail revenue + refund amount</t>
        </r>
      </text>
    </comment>
    <comment ref="O32" authorId="0" shapeId="0" xr:uid="{6790EC56-74F3-8E43-9A97-A8B86D6131B7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Number of Cotton Sweaters</t>
        </r>
      </text>
    </comment>
    <comment ref="O33" authorId="0" shapeId="0" xr:uid="{728BED40-ADAF-BC46-ACB9-89B656835AD7}">
      <text>
        <r>
          <rPr>
            <b/>
            <sz val="10"/>
            <color rgb="FF000000"/>
            <rFont val="Tahoma"/>
            <family val="2"/>
          </rPr>
          <t>Jason P Maloney: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Number of Silk Blouses</t>
        </r>
      </text>
    </comment>
  </commentList>
</comments>
</file>

<file path=xl/sharedStrings.xml><?xml version="1.0" encoding="utf-8"?>
<sst xmlns="http://schemas.openxmlformats.org/spreadsheetml/2006/main" count="516" uniqueCount="110">
  <si>
    <t>Quantity</t>
  </si>
  <si>
    <t>Constraints</t>
  </si>
  <si>
    <t>Materials</t>
  </si>
  <si>
    <t>Wool</t>
  </si>
  <si>
    <t>Acetate</t>
  </si>
  <si>
    <t>Cashmere</t>
  </si>
  <si>
    <t>Silk</t>
  </si>
  <si>
    <t>Rayon</t>
  </si>
  <si>
    <t>Velvet</t>
  </si>
  <si>
    <t>Cotton</t>
  </si>
  <si>
    <t>Price/Yard</t>
  </si>
  <si>
    <t>Materials Cost</t>
  </si>
  <si>
    <t>&lt;=</t>
  </si>
  <si>
    <t>Resource Constraints</t>
  </si>
  <si>
    <t>yards</t>
  </si>
  <si>
    <t>Labor/Machine Cost per unit</t>
  </si>
  <si>
    <t xml:space="preserve">Labor/Machine Cost </t>
  </si>
  <si>
    <t>Total Material Cost</t>
  </si>
  <si>
    <t>Wool 
Slacks</t>
  </si>
  <si>
    <t>Cashmere
Sweater</t>
  </si>
  <si>
    <t>Silk
Blouse</t>
  </si>
  <si>
    <t>Silk 
Camisole</t>
  </si>
  <si>
    <t>Tailored
Skirts</t>
  </si>
  <si>
    <t>Wool
Blazer</t>
  </si>
  <si>
    <t>Professional Fasions</t>
  </si>
  <si>
    <t>Casual Fasions</t>
  </si>
  <si>
    <t>Velvet
Pants</t>
  </si>
  <si>
    <t>Cotton
Sweater</t>
  </si>
  <si>
    <t>Cotton
Miniskirt</t>
  </si>
  <si>
    <t>Velvet
Shirt</t>
  </si>
  <si>
    <t>Button-Down
Blouse</t>
  </si>
  <si>
    <t>Amount needed for each item in yards</t>
  </si>
  <si>
    <t>&gt;=</t>
  </si>
  <si>
    <t>Retail Price</t>
  </si>
  <si>
    <t>Total Revenue</t>
  </si>
  <si>
    <t>Profit</t>
  </si>
  <si>
    <t>Total Profit</t>
  </si>
  <si>
    <t>Retail Revenue per Item</t>
  </si>
  <si>
    <t>Profit per Item</t>
  </si>
  <si>
    <t xml:space="preserve">Maximize </t>
  </si>
  <si>
    <t>Demand Constraints</t>
  </si>
  <si>
    <t>Wool Slacks</t>
  </si>
  <si>
    <t>Cashmere Sweater</t>
  </si>
  <si>
    <t>Silk Blouse</t>
  </si>
  <si>
    <t>Silk Camisole</t>
  </si>
  <si>
    <t>Tailored Skirts</t>
  </si>
  <si>
    <t>Wool Blazer</t>
  </si>
  <si>
    <t>Velvet Pants</t>
  </si>
  <si>
    <t>Cotton Sweater</t>
  </si>
  <si>
    <t>Cotton Miniskirt</t>
  </si>
  <si>
    <t>Velvet Shirt</t>
  </si>
  <si>
    <t>Button-Down Blouse</t>
  </si>
  <si>
    <t>Scrap Cot Skirt</t>
  </si>
  <si>
    <t>Scrap Silk Camisole</t>
  </si>
  <si>
    <t>Min Quantities</t>
  </si>
  <si>
    <t>Max Quantities</t>
  </si>
  <si>
    <t xml:space="preserve">&lt;= </t>
  </si>
  <si>
    <t>Refunds</t>
  </si>
  <si>
    <t>Ordered Yards</t>
  </si>
  <si>
    <t>Yards Used</t>
  </si>
  <si>
    <t>Sent Back</t>
  </si>
  <si>
    <t>Revenue</t>
  </si>
  <si>
    <t>Quantity
Used</t>
  </si>
  <si>
    <t>Total</t>
  </si>
  <si>
    <t>Total Labor/Machine Cost</t>
  </si>
  <si>
    <t>Total Manufacturing Cost</t>
  </si>
  <si>
    <t>Fixed Costs</t>
  </si>
  <si>
    <t>Designers</t>
  </si>
  <si>
    <t>Fashion Shows</t>
  </si>
  <si>
    <t>Cost</t>
  </si>
  <si>
    <t>Quantity Made</t>
  </si>
  <si>
    <t xml:space="preserve">Total Manufacturing Cost </t>
  </si>
  <si>
    <t>Professional
Fashions</t>
  </si>
  <si>
    <t>Casual 
Fashions</t>
  </si>
  <si>
    <t>L/M Cost</t>
  </si>
  <si>
    <t>Material Cost</t>
  </si>
  <si>
    <t>Paid to Designers</t>
  </si>
  <si>
    <t>Paid to Fashion Shows</t>
  </si>
  <si>
    <t>Margin</t>
  </si>
  <si>
    <t>Price per Yard</t>
  </si>
  <si>
    <t>Min</t>
  </si>
  <si>
    <t>Max</t>
  </si>
  <si>
    <t>Material Requirements (Yards)</t>
  </si>
  <si>
    <t>Production Limits (Garments)</t>
  </si>
  <si>
    <t>Scrap 
Garments</t>
  </si>
  <si>
    <t xml:space="preserve"> Silk 
Camisole</t>
  </si>
  <si>
    <t>Garments From Scraps</t>
  </si>
  <si>
    <t>Quantity of Silk Camisole &lt;= Quantity of Silk Blouse</t>
  </si>
  <si>
    <t>Quantity of Individual Garments are integers.</t>
  </si>
  <si>
    <t>Quantity of Cotton Miniskirt &lt;= Quantity of Cotton Sweater</t>
  </si>
  <si>
    <t>Garments</t>
  </si>
  <si>
    <t>Manufacturing Cost</t>
  </si>
  <si>
    <t>Refund Amount</t>
  </si>
  <si>
    <t>Material Ordered (Yards)</t>
  </si>
  <si>
    <t>Material Left (Yards)</t>
  </si>
  <si>
    <t>Material Used (Yards)</t>
  </si>
  <si>
    <t>Maximize</t>
  </si>
  <si>
    <t>Refund Buyback Price</t>
  </si>
  <si>
    <t>Production with Full Velvet Refund</t>
  </si>
  <si>
    <t>Difference</t>
  </si>
  <si>
    <t>Profit with 
Velvet Refund</t>
  </si>
  <si>
    <t>Production with Blazer L/M Cost = $140</t>
  </si>
  <si>
    <t>Sale Price</t>
  </si>
  <si>
    <t>Price Discount</t>
  </si>
  <si>
    <t>Total Silk C</t>
  </si>
  <si>
    <t>total Silk C</t>
  </si>
  <si>
    <t>NOVEMEBER SALES MADNESS!!!!</t>
  </si>
  <si>
    <t>Sale Profit</t>
  </si>
  <si>
    <t>Material Available (Yards)</t>
  </si>
  <si>
    <t>September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</si>
</sst>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#,##0.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44" fontId="0" fillId="0" borderId="1" xfId="1" applyFont="1" applyBorder="1"/>
    <xf numFmtId="3" fontId="0" fillId="0" borderId="1" xfId="0" applyNumberFormat="1" applyBorder="1"/>
    <xf numFmtId="9" fontId="0" fillId="0" borderId="0" xfId="0" applyNumberFormat="1"/>
    <xf numFmtId="0" fontId="0" fillId="0" borderId="0" xfId="0" applyFill="1"/>
    <xf numFmtId="0" fontId="2" fillId="0" borderId="0" xfId="0" applyFont="1" applyFill="1" applyBorder="1" applyAlignment="1">
      <alignment horizontal="left"/>
    </xf>
    <xf numFmtId="44" fontId="0" fillId="0" borderId="0" xfId="0" applyNumberFormat="1" applyFont="1" applyFill="1" applyBorder="1"/>
    <xf numFmtId="0" fontId="0" fillId="0" borderId="1" xfId="0" applyFont="1" applyBorder="1"/>
    <xf numFmtId="0" fontId="0" fillId="0" borderId="0" xfId="0" applyFont="1" applyFill="1"/>
    <xf numFmtId="44" fontId="2" fillId="0" borderId="0" xfId="0" applyNumberFormat="1" applyFont="1" applyFill="1" applyBorder="1"/>
    <xf numFmtId="0" fontId="2" fillId="0" borderId="0" xfId="0" applyFont="1" applyFill="1"/>
    <xf numFmtId="44" fontId="2" fillId="0" borderId="1" xfId="0" applyNumberFormat="1" applyFont="1" applyFill="1" applyBorder="1"/>
    <xf numFmtId="0" fontId="0" fillId="0" borderId="0" xfId="0" applyFont="1" applyFill="1" applyBorder="1" applyAlignment="1">
      <alignment horizontal="left"/>
    </xf>
    <xf numFmtId="44" fontId="1" fillId="0" borderId="1" xfId="1" applyFont="1" applyBorder="1"/>
    <xf numFmtId="39" fontId="0" fillId="0" borderId="1" xfId="0" applyNumberFormat="1" applyFont="1" applyFill="1" applyBorder="1"/>
    <xf numFmtId="44" fontId="0" fillId="0" borderId="1" xfId="1" applyNumberFormat="1" applyFont="1" applyFill="1" applyBorder="1"/>
    <xf numFmtId="0" fontId="2" fillId="0" borderId="4" xfId="0" applyFont="1" applyBorder="1" applyAlignment="1"/>
    <xf numFmtId="44" fontId="0" fillId="0" borderId="1" xfId="0" applyNumberFormat="1" applyFill="1" applyBorder="1"/>
    <xf numFmtId="44" fontId="0" fillId="6" borderId="1" xfId="0" applyNumberFormat="1" applyFill="1" applyBorder="1"/>
    <xf numFmtId="44" fontId="0" fillId="0" borderId="7" xfId="1" applyFont="1" applyBorder="1"/>
    <xf numFmtId="44" fontId="0" fillId="0" borderId="10" xfId="0" applyNumberFormat="1" applyFill="1" applyBorder="1"/>
    <xf numFmtId="44" fontId="0" fillId="0" borderId="11" xfId="0" applyNumberFormat="1" applyFill="1" applyBorder="1"/>
    <xf numFmtId="44" fontId="0" fillId="0" borderId="13" xfId="1" applyFont="1" applyBorder="1"/>
    <xf numFmtId="44" fontId="0" fillId="0" borderId="13" xfId="0" applyNumberFormat="1" applyFill="1" applyBorder="1"/>
    <xf numFmtId="44" fontId="0" fillId="0" borderId="16" xfId="0" applyNumberFormat="1" applyFont="1" applyFill="1" applyBorder="1"/>
    <xf numFmtId="44" fontId="0" fillId="0" borderId="17" xfId="0" applyNumberFormat="1" applyFont="1" applyFill="1" applyBorder="1"/>
    <xf numFmtId="44" fontId="0" fillId="0" borderId="10" xfId="1" applyFont="1" applyBorder="1"/>
    <xf numFmtId="44" fontId="0" fillId="0" borderId="11" xfId="1" applyFont="1" applyBorder="1"/>
    <xf numFmtId="44" fontId="0" fillId="0" borderId="16" xfId="0" applyNumberFormat="1" applyFill="1" applyBorder="1"/>
    <xf numFmtId="44" fontId="0" fillId="0" borderId="17" xfId="0" applyNumberFormat="1" applyFill="1" applyBorder="1"/>
    <xf numFmtId="0" fontId="0" fillId="0" borderId="3" xfId="0" applyBorder="1"/>
    <xf numFmtId="0" fontId="0" fillId="2" borderId="27" xfId="0" applyFill="1" applyBorder="1"/>
    <xf numFmtId="0" fontId="0" fillId="2" borderId="13" xfId="0" applyFill="1" applyBorder="1"/>
    <xf numFmtId="0" fontId="0" fillId="0" borderId="27" xfId="0" applyBorder="1"/>
    <xf numFmtId="0" fontId="0" fillId="0" borderId="13" xfId="0" applyBorder="1"/>
    <xf numFmtId="0" fontId="0" fillId="0" borderId="19" xfId="0" applyBorder="1"/>
    <xf numFmtId="0" fontId="0" fillId="0" borderId="16" xfId="0" applyBorder="1"/>
    <xf numFmtId="0" fontId="0" fillId="0" borderId="17" xfId="0" applyBorder="1"/>
    <xf numFmtId="0" fontId="0" fillId="0" borderId="23" xfId="0" applyBorder="1"/>
    <xf numFmtId="0" fontId="2" fillId="0" borderId="18" xfId="0" applyFont="1" applyBorder="1"/>
    <xf numFmtId="0" fontId="2" fillId="0" borderId="11" xfId="0" applyFont="1" applyBorder="1"/>
    <xf numFmtId="44" fontId="0" fillId="0" borderId="17" xfId="1" applyFont="1" applyBorder="1"/>
    <xf numFmtId="44" fontId="0" fillId="0" borderId="11" xfId="0" applyNumberFormat="1" applyFont="1" applyFill="1" applyBorder="1"/>
    <xf numFmtId="44" fontId="0" fillId="0" borderId="13" xfId="0" applyNumberFormat="1" applyFont="1" applyFill="1" applyBorder="1"/>
    <xf numFmtId="44" fontId="3" fillId="4" borderId="13" xfId="0" applyNumberFormat="1" applyFont="1" applyFill="1" applyBorder="1"/>
    <xf numFmtId="44" fontId="3" fillId="6" borderId="30" xfId="0" applyNumberFormat="1" applyFont="1" applyFill="1" applyBorder="1"/>
    <xf numFmtId="44" fontId="0" fillId="0" borderId="1" xfId="0" applyNumberFormat="1" applyBorder="1"/>
    <xf numFmtId="0" fontId="3" fillId="5" borderId="1" xfId="0" applyFont="1" applyFill="1" applyBorder="1"/>
    <xf numFmtId="44" fontId="3" fillId="5" borderId="1" xfId="0" applyNumberFormat="1" applyFont="1" applyFill="1" applyBorder="1"/>
    <xf numFmtId="1" fontId="0" fillId="0" borderId="1" xfId="0" applyNumberFormat="1" applyBorder="1"/>
    <xf numFmtId="0" fontId="0" fillId="0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 wrapText="1"/>
    </xf>
    <xf numFmtId="0" fontId="2" fillId="0" borderId="10" xfId="0" applyFont="1" applyBorder="1"/>
    <xf numFmtId="3" fontId="0" fillId="0" borderId="13" xfId="0" applyNumberFormat="1" applyBorder="1"/>
    <xf numFmtId="0" fontId="0" fillId="0" borderId="13" xfId="0" applyFill="1" applyBorder="1"/>
    <xf numFmtId="0" fontId="0" fillId="3" borderId="16" xfId="0" applyFill="1" applyBorder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3" borderId="27" xfId="0" applyFill="1" applyBorder="1"/>
    <xf numFmtId="0" fontId="0" fillId="3" borderId="19" xfId="0" applyFill="1" applyBorder="1"/>
    <xf numFmtId="3" fontId="0" fillId="0" borderId="16" xfId="0" applyNumberFormat="1" applyBorder="1"/>
    <xf numFmtId="0" fontId="2" fillId="6" borderId="1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left"/>
    </xf>
    <xf numFmtId="44" fontId="0" fillId="0" borderId="13" xfId="1" applyFont="1" applyFill="1" applyBorder="1" applyAlignment="1">
      <alignment horizontal="left"/>
    </xf>
    <xf numFmtId="0" fontId="0" fillId="4" borderId="19" xfId="0" applyFont="1" applyFill="1" applyBorder="1" applyAlignment="1">
      <alignment horizontal="left"/>
    </xf>
    <xf numFmtId="44" fontId="0" fillId="4" borderId="17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" xfId="0" applyNumberFormat="1" applyBorder="1"/>
    <xf numFmtId="44" fontId="0" fillId="0" borderId="5" xfId="1" applyFont="1" applyBorder="1"/>
    <xf numFmtId="44" fontId="0" fillId="0" borderId="27" xfId="1" applyFont="1" applyBorder="1"/>
    <xf numFmtId="44" fontId="0" fillId="0" borderId="19" xfId="1" applyFont="1" applyBorder="1"/>
    <xf numFmtId="0" fontId="0" fillId="0" borderId="45" xfId="0" applyBorder="1"/>
    <xf numFmtId="0" fontId="0" fillId="0" borderId="23" xfId="0" applyBorder="1" applyAlignment="1"/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4" fontId="0" fillId="0" borderId="37" xfId="1" applyFont="1" applyBorder="1"/>
    <xf numFmtId="44" fontId="0" fillId="0" borderId="38" xfId="1" applyFont="1" applyBorder="1"/>
    <xf numFmtId="44" fontId="0" fillId="0" borderId="42" xfId="1" applyFont="1" applyBorder="1"/>
    <xf numFmtId="0" fontId="0" fillId="0" borderId="10" xfId="0" applyBorder="1"/>
    <xf numFmtId="44" fontId="0" fillId="0" borderId="18" xfId="1" applyFont="1" applyBorder="1"/>
    <xf numFmtId="44" fontId="0" fillId="0" borderId="9" xfId="1" applyFont="1" applyBorder="1"/>
    <xf numFmtId="164" fontId="0" fillId="0" borderId="10" xfId="0" applyNumberFormat="1" applyBorder="1"/>
    <xf numFmtId="164" fontId="0" fillId="0" borderId="10" xfId="1" applyNumberFormat="1" applyFont="1" applyBorder="1"/>
    <xf numFmtId="164" fontId="0" fillId="0" borderId="11" xfId="0" applyNumberFormat="1" applyBorder="1"/>
    <xf numFmtId="164" fontId="0" fillId="0" borderId="13" xfId="0" applyNumberFormat="1" applyBorder="1"/>
    <xf numFmtId="44" fontId="0" fillId="0" borderId="15" xfId="1" applyFon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1" xfId="0" applyBorder="1"/>
    <xf numFmtId="164" fontId="0" fillId="0" borderId="9" xfId="0" applyNumberFormat="1" applyBorder="1"/>
    <xf numFmtId="164" fontId="0" fillId="0" borderId="5" xfId="0" applyNumberFormat="1" applyBorder="1"/>
    <xf numFmtId="164" fontId="0" fillId="0" borderId="15" xfId="0" applyNumberFormat="1" applyBorder="1"/>
    <xf numFmtId="0" fontId="2" fillId="0" borderId="20" xfId="0" applyFont="1" applyBorder="1" applyAlignment="1">
      <alignment horizontal="center"/>
    </xf>
    <xf numFmtId="44" fontId="0" fillId="0" borderId="39" xfId="1" applyFont="1" applyBorder="1"/>
    <xf numFmtId="44" fontId="0" fillId="0" borderId="52" xfId="1" applyFont="1" applyBorder="1"/>
    <xf numFmtId="44" fontId="0" fillId="0" borderId="40" xfId="1" applyFont="1" applyBorder="1"/>
    <xf numFmtId="0" fontId="2" fillId="0" borderId="6" xfId="0" applyFont="1" applyBorder="1" applyAlignment="1">
      <alignment horizontal="center"/>
    </xf>
    <xf numFmtId="0" fontId="0" fillId="0" borderId="24" xfId="0" applyBorder="1"/>
    <xf numFmtId="0" fontId="0" fillId="0" borderId="50" xfId="0" applyBorder="1"/>
    <xf numFmtId="44" fontId="0" fillId="0" borderId="16" xfId="0" applyNumberFormat="1" applyBorder="1"/>
    <xf numFmtId="44" fontId="0" fillId="0" borderId="17" xfId="0" applyNumberFormat="1" applyBorder="1"/>
    <xf numFmtId="3" fontId="0" fillId="7" borderId="1" xfId="0" applyNumberFormat="1" applyFill="1" applyBorder="1"/>
    <xf numFmtId="0" fontId="0" fillId="7" borderId="1" xfId="0" applyFill="1" applyBorder="1"/>
    <xf numFmtId="3" fontId="0" fillId="7" borderId="13" xfId="0" applyNumberFormat="1" applyFill="1" applyBorder="1"/>
    <xf numFmtId="44" fontId="0" fillId="0" borderId="26" xfId="1" applyFont="1" applyBorder="1"/>
    <xf numFmtId="44" fontId="0" fillId="0" borderId="33" xfId="1" applyFont="1" applyBorder="1"/>
    <xf numFmtId="44" fontId="0" fillId="0" borderId="54" xfId="1" applyFont="1" applyBorder="1"/>
    <xf numFmtId="3" fontId="0" fillId="7" borderId="18" xfId="0" applyNumberFormat="1" applyFill="1" applyBorder="1"/>
    <xf numFmtId="3" fontId="0" fillId="5" borderId="10" xfId="0" applyNumberFormat="1" applyFill="1" applyBorder="1"/>
    <xf numFmtId="3" fontId="0" fillId="7" borderId="11" xfId="0" applyNumberFormat="1" applyFill="1" applyBorder="1"/>
    <xf numFmtId="3" fontId="0" fillId="7" borderId="27" xfId="0" applyNumberFormat="1" applyFill="1" applyBorder="1"/>
    <xf numFmtId="3" fontId="0" fillId="5" borderId="1" xfId="0" applyNumberFormat="1" applyFill="1" applyBorder="1"/>
    <xf numFmtId="3" fontId="0" fillId="7" borderId="19" xfId="0" applyNumberFormat="1" applyFill="1" applyBorder="1"/>
    <xf numFmtId="3" fontId="0" fillId="5" borderId="16" xfId="0" applyNumberFormat="1" applyFill="1" applyBorder="1"/>
    <xf numFmtId="3" fontId="0" fillId="7" borderId="17" xfId="0" applyNumberFormat="1" applyFill="1" applyBorder="1"/>
    <xf numFmtId="0" fontId="2" fillId="6" borderId="35" xfId="0" applyFont="1" applyFill="1" applyBorder="1"/>
    <xf numFmtId="44" fontId="0" fillId="6" borderId="36" xfId="0" applyNumberFormat="1" applyFill="1" applyBorder="1"/>
    <xf numFmtId="44" fontId="0" fillId="0" borderId="53" xfId="1" applyFont="1" applyBorder="1"/>
    <xf numFmtId="0" fontId="2" fillId="0" borderId="49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2" fillId="0" borderId="19" xfId="0" applyFont="1" applyBorder="1"/>
    <xf numFmtId="0" fontId="2" fillId="0" borderId="2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" xfId="0" applyBorder="1" applyAlignment="1"/>
    <xf numFmtId="0" fontId="2" fillId="0" borderId="57" xfId="0" applyFont="1" applyFill="1" applyBorder="1" applyAlignment="1">
      <alignment horizontal="center"/>
    </xf>
    <xf numFmtId="44" fontId="0" fillId="0" borderId="8" xfId="1" applyFont="1" applyBorder="1"/>
    <xf numFmtId="44" fontId="0" fillId="0" borderId="12" xfId="1" applyFont="1" applyBorder="1"/>
    <xf numFmtId="44" fontId="0" fillId="0" borderId="14" xfId="1" applyFont="1" applyBorder="1"/>
    <xf numFmtId="44" fontId="0" fillId="0" borderId="39" xfId="0" applyNumberFormat="1" applyBorder="1"/>
    <xf numFmtId="3" fontId="0" fillId="0" borderId="0" xfId="0" applyNumberFormat="1"/>
    <xf numFmtId="0" fontId="9" fillId="0" borderId="0" xfId="0" applyFont="1"/>
    <xf numFmtId="44" fontId="0" fillId="0" borderId="0" xfId="0" applyNumberFormat="1"/>
    <xf numFmtId="165" fontId="0" fillId="0" borderId="1" xfId="0" applyNumberFormat="1" applyBorder="1"/>
    <xf numFmtId="165" fontId="0" fillId="7" borderId="1" xfId="0" applyNumberFormat="1" applyFill="1" applyBorder="1"/>
    <xf numFmtId="2" fontId="0" fillId="0" borderId="10" xfId="0" applyNumberFormat="1" applyBorder="1"/>
    <xf numFmtId="0" fontId="2" fillId="0" borderId="57" xfId="0" applyFont="1" applyBorder="1" applyAlignment="1">
      <alignment horizontal="center"/>
    </xf>
    <xf numFmtId="0" fontId="2" fillId="0" borderId="35" xfId="0" applyFont="1" applyFill="1" applyBorder="1"/>
    <xf numFmtId="44" fontId="0" fillId="0" borderId="36" xfId="0" applyNumberFormat="1" applyFill="1" applyBorder="1"/>
    <xf numFmtId="164" fontId="0" fillId="7" borderId="1" xfId="0" applyNumberFormat="1" applyFill="1" applyBorder="1"/>
    <xf numFmtId="164" fontId="0" fillId="7" borderId="13" xfId="0" applyNumberFormat="1" applyFill="1" applyBorder="1"/>
    <xf numFmtId="3" fontId="0" fillId="0" borderId="10" xfId="0" applyNumberFormat="1" applyFill="1" applyBorder="1"/>
    <xf numFmtId="3" fontId="0" fillId="0" borderId="1" xfId="0" applyNumberFormat="1" applyFill="1" applyBorder="1"/>
    <xf numFmtId="3" fontId="0" fillId="0" borderId="16" xfId="0" applyNumberFormat="1" applyFill="1" applyBorder="1"/>
    <xf numFmtId="0" fontId="2" fillId="0" borderId="4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18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7" borderId="17" xfId="0" applyFill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2" fillId="0" borderId="19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 wrapText="1"/>
    </xf>
    <xf numFmtId="44" fontId="8" fillId="0" borderId="11" xfId="0" applyNumberFormat="1" applyFont="1" applyFill="1" applyBorder="1" applyAlignment="1">
      <alignment horizontal="center" vertical="center"/>
    </xf>
    <xf numFmtId="44" fontId="8" fillId="0" borderId="13" xfId="0" applyNumberFormat="1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66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63" xfId="0" applyFont="1" applyBorder="1" applyAlignment="1">
      <alignment horizontal="right"/>
    </xf>
    <xf numFmtId="9" fontId="0" fillId="0" borderId="55" xfId="0" applyNumberFormat="1" applyFont="1" applyBorder="1" applyAlignment="1">
      <alignment horizontal="left"/>
    </xf>
    <xf numFmtId="9" fontId="0" fillId="0" borderId="64" xfId="0" applyNumberFormat="1" applyFont="1" applyBorder="1" applyAlignment="1">
      <alignment horizontal="left"/>
    </xf>
    <xf numFmtId="0" fontId="2" fillId="0" borderId="6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0" fontId="3" fillId="6" borderId="28" xfId="0" applyFont="1" applyFill="1" applyBorder="1" applyAlignment="1">
      <alignment horizontal="left"/>
    </xf>
    <xf numFmtId="0" fontId="3" fillId="6" borderId="2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27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8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23</xdr:row>
      <xdr:rowOff>76200</xdr:rowOff>
    </xdr:from>
    <xdr:to>
      <xdr:col>8</xdr:col>
      <xdr:colOff>977900</xdr:colOff>
      <xdr:row>27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BF8679-B77B-3D48-AAED-50FE785A1B72}"/>
            </a:ext>
          </a:extLst>
        </xdr:cNvPr>
        <xdr:cNvSpPr txBox="1"/>
      </xdr:nvSpPr>
      <xdr:spPr>
        <a:xfrm>
          <a:off x="3657600" y="4889500"/>
          <a:ext cx="5867400" cy="116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C)</a:t>
          </a:r>
        </a:p>
        <a:p>
          <a:r>
            <a:rPr lang="en-US" sz="1200"/>
            <a:t>If</a:t>
          </a:r>
          <a:r>
            <a:rPr lang="en-US" sz="1200" baseline="0"/>
            <a:t> Katherine does not get a refund for left over velvet, the production plan does not change by much. Production of Tailored Suits is decreased by 3 units, one more Wool Blazer , two more Velvet Pants, and five more Button-Down Blouses are produced.</a:t>
          </a:r>
        </a:p>
        <a:p>
          <a:endParaRPr lang="en-US" sz="1200" baseline="0"/>
        </a:p>
        <a:p>
          <a:r>
            <a:rPr lang="en-US" sz="1200" baseline="0"/>
            <a:t>This also decreases the maximum profit by $131,894.75.</a:t>
          </a:r>
        </a:p>
        <a:p>
          <a:endParaRPr lang="en-US" sz="1200"/>
        </a:p>
      </xdr:txBody>
    </xdr:sp>
    <xdr:clientData/>
  </xdr:twoCellAnchor>
  <xdr:twoCellAnchor>
    <xdr:from>
      <xdr:col>3</xdr:col>
      <xdr:colOff>127000</xdr:colOff>
      <xdr:row>29</xdr:row>
      <xdr:rowOff>50800</xdr:rowOff>
    </xdr:from>
    <xdr:to>
      <xdr:col>8</xdr:col>
      <xdr:colOff>952500</xdr:colOff>
      <xdr:row>33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7B00F8-9CD4-8A42-AAB8-A5120856347A}"/>
            </a:ext>
          </a:extLst>
        </xdr:cNvPr>
        <xdr:cNvSpPr txBox="1"/>
      </xdr:nvSpPr>
      <xdr:spPr>
        <a:xfrm>
          <a:off x="3695700" y="6337300"/>
          <a:ext cx="58039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D)</a:t>
          </a:r>
        </a:p>
        <a:p>
          <a:r>
            <a:rPr lang="en-US" sz="1200"/>
            <a:t>An</a:t>
          </a:r>
          <a:r>
            <a:rPr lang="en-US" sz="1200" baseline="0"/>
            <a:t> intuitive</a:t>
          </a:r>
          <a:r>
            <a:rPr lang="en-US" sz="1200"/>
            <a:t> </a:t>
          </a:r>
          <a:r>
            <a:rPr lang="en-US" sz="1200" baseline="0"/>
            <a:t> difference between maximum profit in parts B and C can be attributed to the amount of refund that the leftover Velvet material contributed to the Total Profit. In Part B, the refund was $132,000 which is almost the exact difference in the profit from parts B and C.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12BC-4EE4-6247-87B5-F51D8632E928}">
  <dimension ref="A1:P32"/>
  <sheetViews>
    <sheetView workbookViewId="0">
      <selection activeCell="O3" sqref="O3:O15"/>
    </sheetView>
  </sheetViews>
  <sheetFormatPr baseColWidth="10" defaultRowHeight="16"/>
  <cols>
    <col min="1" max="1" width="13" customWidth="1"/>
    <col min="2" max="2" width="19.83203125" customWidth="1"/>
    <col min="3" max="3" width="14" bestFit="1" customWidth="1"/>
    <col min="4" max="4" width="15.1640625" customWidth="1"/>
    <col min="5" max="5" width="12.5" customWidth="1"/>
    <col min="6" max="6" width="10.83203125" customWidth="1"/>
    <col min="7" max="7" width="14" bestFit="1" customWidth="1"/>
    <col min="8" max="8" width="12.83203125" customWidth="1"/>
    <col min="9" max="9" width="13.1640625" customWidth="1"/>
    <col min="10" max="10" width="13" customWidth="1"/>
    <col min="11" max="12" width="12.33203125" customWidth="1"/>
    <col min="13" max="13" width="11.1640625" customWidth="1"/>
  </cols>
  <sheetData>
    <row r="1" spans="1:16" ht="17" thickBot="1">
      <c r="D1" s="171" t="s">
        <v>91</v>
      </c>
      <c r="E1" s="172"/>
      <c r="F1" s="7"/>
      <c r="G1" s="162" t="s">
        <v>82</v>
      </c>
      <c r="H1" s="162"/>
      <c r="I1" s="162"/>
      <c r="J1" s="162"/>
      <c r="K1" s="162"/>
      <c r="L1" s="162"/>
      <c r="M1" s="162"/>
      <c r="N1" s="162" t="s">
        <v>83</v>
      </c>
      <c r="O1" s="162"/>
      <c r="P1" s="162"/>
    </row>
    <row r="2" spans="1:16" ht="18" thickTop="1" thickBot="1">
      <c r="A2" s="82"/>
      <c r="B2" s="108" t="s">
        <v>90</v>
      </c>
      <c r="C2" s="104" t="s">
        <v>33</v>
      </c>
      <c r="D2" s="83" t="s">
        <v>74</v>
      </c>
      <c r="E2" s="84" t="s">
        <v>75</v>
      </c>
      <c r="F2" s="104" t="s">
        <v>78</v>
      </c>
      <c r="G2" s="85" t="s">
        <v>3</v>
      </c>
      <c r="H2" s="86" t="s">
        <v>4</v>
      </c>
      <c r="I2" s="86" t="s">
        <v>5</v>
      </c>
      <c r="J2" s="86" t="s">
        <v>6</v>
      </c>
      <c r="K2" s="86" t="s">
        <v>7</v>
      </c>
      <c r="L2" s="86" t="s">
        <v>8</v>
      </c>
      <c r="M2" s="86" t="s">
        <v>9</v>
      </c>
      <c r="N2" s="86" t="s">
        <v>80</v>
      </c>
      <c r="O2" s="86" t="s">
        <v>0</v>
      </c>
      <c r="P2" s="86" t="s">
        <v>81</v>
      </c>
    </row>
    <row r="3" spans="1:16">
      <c r="A3" s="165" t="s">
        <v>72</v>
      </c>
      <c r="B3" s="109" t="s">
        <v>41</v>
      </c>
      <c r="C3" s="105">
        <v>300</v>
      </c>
      <c r="D3" s="91">
        <v>160</v>
      </c>
      <c r="E3" s="35">
        <f>SUMPRODUCT($G$20:$M$20,G3:M3)</f>
        <v>30</v>
      </c>
      <c r="F3" s="116">
        <f>C3-SUM(D3:E3)</f>
        <v>110</v>
      </c>
      <c r="G3" s="101">
        <v>3</v>
      </c>
      <c r="H3" s="94">
        <v>2</v>
      </c>
      <c r="I3" s="93"/>
      <c r="J3" s="93"/>
      <c r="K3" s="93"/>
      <c r="L3" s="93"/>
      <c r="M3" s="95"/>
      <c r="N3" s="119">
        <f>0.6*P3</f>
        <v>4200</v>
      </c>
      <c r="O3" s="120">
        <v>4200</v>
      </c>
      <c r="P3" s="121">
        <v>7000</v>
      </c>
    </row>
    <row r="4" spans="1:16">
      <c r="A4" s="173"/>
      <c r="B4" s="38" t="s">
        <v>42</v>
      </c>
      <c r="C4" s="106">
        <v>450</v>
      </c>
      <c r="D4" s="79">
        <v>150</v>
      </c>
      <c r="E4" s="30">
        <f t="shared" ref="E4:E13" si="0">SUMPRODUCT($G$20:$M$20,G4:M4)</f>
        <v>90</v>
      </c>
      <c r="F4" s="117">
        <f t="shared" ref="F4:F13" si="1">C4-SUM(D4:E4)</f>
        <v>210</v>
      </c>
      <c r="G4" s="102"/>
      <c r="H4" s="77"/>
      <c r="I4" s="77">
        <v>1.5</v>
      </c>
      <c r="J4" s="77"/>
      <c r="K4" s="77"/>
      <c r="L4" s="77"/>
      <c r="M4" s="96"/>
      <c r="N4" s="122"/>
      <c r="O4" s="123">
        <v>4000</v>
      </c>
      <c r="P4" s="115">
        <v>4000</v>
      </c>
    </row>
    <row r="5" spans="1:16">
      <c r="A5" s="173"/>
      <c r="B5" s="38" t="s">
        <v>43</v>
      </c>
      <c r="C5" s="106">
        <v>180</v>
      </c>
      <c r="D5" s="79">
        <v>100</v>
      </c>
      <c r="E5" s="30">
        <f t="shared" si="0"/>
        <v>26</v>
      </c>
      <c r="F5" s="117">
        <f t="shared" si="1"/>
        <v>54</v>
      </c>
      <c r="G5" s="102"/>
      <c r="H5" s="77"/>
      <c r="I5" s="77"/>
      <c r="J5" s="77">
        <v>2</v>
      </c>
      <c r="K5" s="77"/>
      <c r="L5" s="77"/>
      <c r="M5" s="96"/>
      <c r="N5" s="122"/>
      <c r="O5" s="123">
        <v>7000</v>
      </c>
      <c r="P5" s="115">
        <v>12000</v>
      </c>
    </row>
    <row r="6" spans="1:16">
      <c r="A6" s="173"/>
      <c r="B6" s="38" t="s">
        <v>44</v>
      </c>
      <c r="C6" s="106">
        <v>120</v>
      </c>
      <c r="D6" s="79">
        <v>60</v>
      </c>
      <c r="E6" s="30">
        <f t="shared" si="0"/>
        <v>6.5</v>
      </c>
      <c r="F6" s="117">
        <f t="shared" si="1"/>
        <v>53.5</v>
      </c>
      <c r="G6" s="102"/>
      <c r="H6" s="77"/>
      <c r="I6" s="77"/>
      <c r="J6" s="77">
        <v>0.5</v>
      </c>
      <c r="K6" s="77"/>
      <c r="L6" s="77"/>
      <c r="M6" s="96"/>
      <c r="N6" s="122"/>
      <c r="O6" s="123">
        <v>8000</v>
      </c>
      <c r="P6" s="115">
        <v>15000</v>
      </c>
    </row>
    <row r="7" spans="1:16">
      <c r="A7" s="173"/>
      <c r="B7" s="38" t="s">
        <v>45</v>
      </c>
      <c r="C7" s="106">
        <v>270</v>
      </c>
      <c r="D7" s="79">
        <v>120</v>
      </c>
      <c r="E7" s="30">
        <f t="shared" si="0"/>
        <v>6.75</v>
      </c>
      <c r="F7" s="117">
        <f t="shared" si="1"/>
        <v>143.25</v>
      </c>
      <c r="G7" s="102"/>
      <c r="H7" s="77">
        <v>1.5</v>
      </c>
      <c r="I7" s="77"/>
      <c r="J7" s="77"/>
      <c r="K7" s="77">
        <v>2</v>
      </c>
      <c r="L7" s="77"/>
      <c r="M7" s="96"/>
      <c r="N7" s="122">
        <v>2800</v>
      </c>
      <c r="O7" s="123">
        <v>8067</v>
      </c>
      <c r="P7" s="115"/>
    </row>
    <row r="8" spans="1:16" ht="17" thickBot="1">
      <c r="A8" s="166"/>
      <c r="B8" s="110" t="s">
        <v>46</v>
      </c>
      <c r="C8" s="107">
        <v>320</v>
      </c>
      <c r="D8" s="80">
        <v>140</v>
      </c>
      <c r="E8" s="49">
        <f t="shared" si="0"/>
        <v>24.75</v>
      </c>
      <c r="F8" s="118">
        <f t="shared" si="1"/>
        <v>155.25</v>
      </c>
      <c r="G8" s="103">
        <v>2.5</v>
      </c>
      <c r="H8" s="98">
        <v>1.5</v>
      </c>
      <c r="I8" s="98"/>
      <c r="J8" s="98"/>
      <c r="K8" s="98"/>
      <c r="L8" s="98"/>
      <c r="M8" s="99"/>
      <c r="N8" s="124">
        <f>0.6*P8</f>
        <v>3000</v>
      </c>
      <c r="O8" s="125">
        <v>4999</v>
      </c>
      <c r="P8" s="126">
        <v>5000</v>
      </c>
    </row>
    <row r="9" spans="1:16">
      <c r="A9" s="165" t="s">
        <v>73</v>
      </c>
      <c r="B9" s="109" t="s">
        <v>47</v>
      </c>
      <c r="C9" s="105">
        <v>350</v>
      </c>
      <c r="D9" s="91">
        <v>174</v>
      </c>
      <c r="E9" s="35">
        <f t="shared" si="0"/>
        <v>39</v>
      </c>
      <c r="F9" s="116">
        <f t="shared" si="1"/>
        <v>137</v>
      </c>
      <c r="G9" s="101"/>
      <c r="H9" s="93">
        <v>2</v>
      </c>
      <c r="I9" s="93"/>
      <c r="J9" s="93"/>
      <c r="K9" s="93"/>
      <c r="L9" s="93">
        <v>3</v>
      </c>
      <c r="M9" s="95"/>
      <c r="N9" s="119"/>
      <c r="O9" s="120">
        <v>0</v>
      </c>
      <c r="P9" s="121">
        <v>5500</v>
      </c>
    </row>
    <row r="10" spans="1:16">
      <c r="A10" s="173"/>
      <c r="B10" s="38" t="s">
        <v>48</v>
      </c>
      <c r="C10" s="106">
        <v>130</v>
      </c>
      <c r="D10" s="79">
        <v>60</v>
      </c>
      <c r="E10" s="30">
        <f t="shared" si="0"/>
        <v>5</v>
      </c>
      <c r="F10" s="117">
        <f t="shared" si="1"/>
        <v>65</v>
      </c>
      <c r="G10" s="102"/>
      <c r="H10" s="77"/>
      <c r="I10" s="77"/>
      <c r="J10" s="77"/>
      <c r="K10" s="77"/>
      <c r="L10" s="77"/>
      <c r="M10" s="96">
        <v>2</v>
      </c>
      <c r="N10" s="122"/>
      <c r="O10" s="123">
        <v>0</v>
      </c>
      <c r="P10" s="115"/>
    </row>
    <row r="11" spans="1:16">
      <c r="A11" s="173"/>
      <c r="B11" s="38" t="s">
        <v>49</v>
      </c>
      <c r="C11" s="106">
        <v>75</v>
      </c>
      <c r="D11" s="79">
        <v>40</v>
      </c>
      <c r="E11" s="30">
        <f t="shared" si="0"/>
        <v>1.25</v>
      </c>
      <c r="F11" s="117">
        <f t="shared" si="1"/>
        <v>33.75</v>
      </c>
      <c r="G11" s="102"/>
      <c r="H11" s="77"/>
      <c r="I11" s="77"/>
      <c r="J11" s="77"/>
      <c r="K11" s="77"/>
      <c r="L11" s="77"/>
      <c r="M11" s="96">
        <v>0.5</v>
      </c>
      <c r="N11" s="122"/>
      <c r="O11" s="123">
        <v>60000</v>
      </c>
      <c r="P11" s="115"/>
    </row>
    <row r="12" spans="1:16">
      <c r="A12" s="173"/>
      <c r="B12" s="38" t="s">
        <v>50</v>
      </c>
      <c r="C12" s="106">
        <v>200</v>
      </c>
      <c r="D12" s="79">
        <v>160</v>
      </c>
      <c r="E12" s="30">
        <f t="shared" si="0"/>
        <v>18</v>
      </c>
      <c r="F12" s="117">
        <f>C12-SUM(D12:E12)</f>
        <v>22</v>
      </c>
      <c r="G12" s="102"/>
      <c r="H12" s="77"/>
      <c r="I12" s="77"/>
      <c r="J12" s="77"/>
      <c r="K12" s="77"/>
      <c r="L12" s="77">
        <v>1.5</v>
      </c>
      <c r="M12" s="96"/>
      <c r="N12" s="122"/>
      <c r="O12" s="123">
        <v>6000</v>
      </c>
      <c r="P12" s="115">
        <v>6000</v>
      </c>
    </row>
    <row r="13" spans="1:16" ht="17" thickBot="1">
      <c r="A13" s="166"/>
      <c r="B13" s="110" t="s">
        <v>51</v>
      </c>
      <c r="C13" s="107">
        <v>120</v>
      </c>
      <c r="D13" s="80">
        <v>90</v>
      </c>
      <c r="E13" s="49">
        <f t="shared" si="0"/>
        <v>3.375</v>
      </c>
      <c r="F13" s="118">
        <f t="shared" si="1"/>
        <v>26.625</v>
      </c>
      <c r="G13" s="103"/>
      <c r="H13" s="98"/>
      <c r="I13" s="98"/>
      <c r="J13" s="98"/>
      <c r="K13" s="98">
        <v>1.5</v>
      </c>
      <c r="L13" s="98"/>
      <c r="M13" s="99"/>
      <c r="N13" s="124"/>
      <c r="O13" s="125">
        <v>9243</v>
      </c>
      <c r="P13" s="126"/>
    </row>
    <row r="14" spans="1:16">
      <c r="A14" s="165" t="s">
        <v>84</v>
      </c>
      <c r="B14" s="109" t="s">
        <v>44</v>
      </c>
      <c r="C14" s="105">
        <f>C6</f>
        <v>120</v>
      </c>
      <c r="D14" s="87">
        <f>D6</f>
        <v>60</v>
      </c>
      <c r="E14" s="88">
        <v>0</v>
      </c>
      <c r="F14" s="105">
        <f>C14-D14</f>
        <v>60</v>
      </c>
      <c r="G14" s="101"/>
      <c r="H14" s="93"/>
      <c r="I14" s="93"/>
      <c r="J14" s="93">
        <v>0.5</v>
      </c>
      <c r="K14" s="93"/>
      <c r="L14" s="93"/>
      <c r="M14" s="95"/>
      <c r="N14" s="119"/>
      <c r="O14" s="120">
        <v>7000</v>
      </c>
      <c r="P14" s="121">
        <f>O5</f>
        <v>7000</v>
      </c>
    </row>
    <row r="15" spans="1:16" ht="17" thickBot="1">
      <c r="A15" s="166"/>
      <c r="B15" s="110" t="s">
        <v>49</v>
      </c>
      <c r="C15" s="107">
        <f>C11</f>
        <v>75</v>
      </c>
      <c r="D15" s="80">
        <f>D11</f>
        <v>40</v>
      </c>
      <c r="E15" s="49">
        <v>0</v>
      </c>
      <c r="F15" s="107">
        <f>C15-D15</f>
        <v>35</v>
      </c>
      <c r="G15" s="103"/>
      <c r="H15" s="98"/>
      <c r="I15" s="98"/>
      <c r="J15" s="98"/>
      <c r="K15" s="98"/>
      <c r="L15" s="98"/>
      <c r="M15" s="99">
        <v>0.5</v>
      </c>
      <c r="N15" s="124"/>
      <c r="O15" s="125">
        <v>0</v>
      </c>
      <c r="P15" s="126">
        <f>O10</f>
        <v>0</v>
      </c>
    </row>
    <row r="16" spans="1:16" ht="17" thickBot="1">
      <c r="A16" s="170"/>
      <c r="B16" s="170"/>
      <c r="C16" s="170"/>
      <c r="D16" s="167"/>
      <c r="E16" s="174" t="s">
        <v>95</v>
      </c>
      <c r="F16" s="175"/>
      <c r="G16" s="93">
        <f>SUMPRODUCT(G3:G13,$O$3:$O$13)</f>
        <v>25097.5</v>
      </c>
      <c r="H16" s="93">
        <f t="shared" ref="H16:M16" si="2">SUMPRODUCT(H3:H13,$O$3:$O$13)</f>
        <v>27999</v>
      </c>
      <c r="I16" s="93">
        <f t="shared" si="2"/>
        <v>6000</v>
      </c>
      <c r="J16" s="93">
        <f t="shared" si="2"/>
        <v>18000</v>
      </c>
      <c r="K16" s="93">
        <f t="shared" si="2"/>
        <v>29998.5</v>
      </c>
      <c r="L16" s="93">
        <f t="shared" si="2"/>
        <v>9000</v>
      </c>
      <c r="M16" s="93">
        <f t="shared" si="2"/>
        <v>30000</v>
      </c>
      <c r="N16" t="s">
        <v>104</v>
      </c>
      <c r="O16" s="148">
        <f>O14+O6</f>
        <v>15000</v>
      </c>
      <c r="P16" s="148">
        <v>15000</v>
      </c>
    </row>
    <row r="17" spans="1:13">
      <c r="A17" s="47" t="s">
        <v>66</v>
      </c>
      <c r="B17" s="90" t="s">
        <v>76</v>
      </c>
      <c r="C17" s="35">
        <v>860000</v>
      </c>
      <c r="D17" s="167"/>
      <c r="E17" s="163"/>
      <c r="F17" s="164"/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76" t="s">
        <v>12</v>
      </c>
    </row>
    <row r="18" spans="1:13" ht="17" thickBot="1">
      <c r="A18" s="43"/>
      <c r="B18" s="44" t="s">
        <v>77</v>
      </c>
      <c r="C18" s="49">
        <v>2700000</v>
      </c>
      <c r="D18" s="167"/>
      <c r="E18" s="168" t="s">
        <v>93</v>
      </c>
      <c r="F18" s="169"/>
      <c r="G18" s="113">
        <v>45000</v>
      </c>
      <c r="H18" s="113">
        <v>28000</v>
      </c>
      <c r="I18" s="114">
        <v>9000</v>
      </c>
      <c r="J18" s="113">
        <v>18000</v>
      </c>
      <c r="K18" s="113">
        <v>30000</v>
      </c>
      <c r="L18" s="113">
        <v>20000</v>
      </c>
      <c r="M18" s="115">
        <v>30000</v>
      </c>
    </row>
    <row r="19" spans="1:13" ht="17" thickBot="1">
      <c r="A19" s="167"/>
      <c r="B19" s="167"/>
      <c r="C19" s="167"/>
      <c r="D19" s="167"/>
      <c r="E19" s="168" t="s">
        <v>94</v>
      </c>
      <c r="F19" s="169"/>
      <c r="G19" s="10">
        <f>G18-G16</f>
        <v>19902.5</v>
      </c>
      <c r="H19" s="10">
        <f t="shared" ref="H19:M19" si="3">H18-H16</f>
        <v>1</v>
      </c>
      <c r="I19" s="10">
        <f t="shared" si="3"/>
        <v>3000</v>
      </c>
      <c r="J19" s="10">
        <f t="shared" si="3"/>
        <v>0</v>
      </c>
      <c r="K19" s="10">
        <f t="shared" si="3"/>
        <v>1.5</v>
      </c>
      <c r="L19" s="10">
        <f t="shared" si="3"/>
        <v>11000</v>
      </c>
      <c r="M19" s="62">
        <f t="shared" si="3"/>
        <v>0</v>
      </c>
    </row>
    <row r="20" spans="1:13">
      <c r="A20" s="47" t="s">
        <v>1</v>
      </c>
      <c r="B20" s="182" t="s">
        <v>89</v>
      </c>
      <c r="C20" s="182"/>
      <c r="D20" s="183"/>
      <c r="E20" s="168" t="s">
        <v>79</v>
      </c>
      <c r="F20" s="169"/>
      <c r="G20" s="9">
        <v>9</v>
      </c>
      <c r="H20" s="9">
        <v>1.5</v>
      </c>
      <c r="I20" s="9">
        <v>60</v>
      </c>
      <c r="J20" s="9">
        <v>13</v>
      </c>
      <c r="K20" s="9">
        <v>2.25</v>
      </c>
      <c r="L20" s="9">
        <v>12</v>
      </c>
      <c r="M20" s="30">
        <v>2.5</v>
      </c>
    </row>
    <row r="21" spans="1:13" ht="17" thickBot="1">
      <c r="A21" s="180"/>
      <c r="B21" s="176" t="s">
        <v>87</v>
      </c>
      <c r="C21" s="176"/>
      <c r="D21" s="177"/>
      <c r="E21" s="184" t="s">
        <v>92</v>
      </c>
      <c r="F21" s="185"/>
      <c r="G21" s="111">
        <f>G20*G19</f>
        <v>179122.5</v>
      </c>
      <c r="H21" s="111">
        <f t="shared" ref="H21:M21" si="4">H20*H19</f>
        <v>1.5</v>
      </c>
      <c r="I21" s="111">
        <f t="shared" si="4"/>
        <v>180000</v>
      </c>
      <c r="J21" s="111">
        <f t="shared" si="4"/>
        <v>0</v>
      </c>
      <c r="K21" s="111">
        <f t="shared" si="4"/>
        <v>3.375</v>
      </c>
      <c r="L21" s="111">
        <f t="shared" si="4"/>
        <v>132000</v>
      </c>
      <c r="M21" s="112">
        <f t="shared" si="4"/>
        <v>0</v>
      </c>
    </row>
    <row r="22" spans="1:13" ht="17" thickBot="1">
      <c r="A22" s="181"/>
      <c r="B22" s="178" t="s">
        <v>88</v>
      </c>
      <c r="C22" s="178"/>
      <c r="D22" s="179"/>
    </row>
    <row r="23" spans="1:13" ht="17" thickBot="1"/>
    <row r="24" spans="1:13" ht="17" thickBot="1">
      <c r="A24" s="127" t="s">
        <v>36</v>
      </c>
      <c r="B24" s="128">
        <f>SUMPRODUCT(F3:F15,O3:O15) + SUM(G21:M21)-SUM(C17:C18)</f>
        <v>3793914.75</v>
      </c>
      <c r="C24" t="s">
        <v>96</v>
      </c>
    </row>
    <row r="32" spans="1:13">
      <c r="G32" s="2"/>
    </row>
  </sheetData>
  <mergeCells count="19">
    <mergeCell ref="B21:D21"/>
    <mergeCell ref="B22:D22"/>
    <mergeCell ref="A21:A22"/>
    <mergeCell ref="E20:F20"/>
    <mergeCell ref="B20:D20"/>
    <mergeCell ref="E21:F21"/>
    <mergeCell ref="N1:P1"/>
    <mergeCell ref="E17:F17"/>
    <mergeCell ref="G1:M1"/>
    <mergeCell ref="A14:A15"/>
    <mergeCell ref="D16:D19"/>
    <mergeCell ref="E19:F19"/>
    <mergeCell ref="E18:F18"/>
    <mergeCell ref="A16:C16"/>
    <mergeCell ref="A19:C19"/>
    <mergeCell ref="D1:E1"/>
    <mergeCell ref="A3:A8"/>
    <mergeCell ref="A9:A13"/>
    <mergeCell ref="E16:F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3E37-0CB2-DE47-B079-D1D3DBD38CF6}">
  <dimension ref="A1:T33"/>
  <sheetViews>
    <sheetView topLeftCell="B1" workbookViewId="0">
      <selection activeCell="R3" sqref="R3:R15"/>
    </sheetView>
  </sheetViews>
  <sheetFormatPr baseColWidth="10" defaultRowHeight="16"/>
  <cols>
    <col min="1" max="1" width="13" customWidth="1"/>
    <col min="2" max="2" width="19.83203125" customWidth="1"/>
    <col min="3" max="3" width="14" bestFit="1" customWidth="1"/>
    <col min="4" max="4" width="15.1640625" customWidth="1"/>
    <col min="5" max="5" width="12.5" customWidth="1"/>
    <col min="7" max="7" width="14" bestFit="1" customWidth="1"/>
    <col min="8" max="8" width="12.83203125" customWidth="1"/>
    <col min="9" max="9" width="13.1640625" customWidth="1"/>
    <col min="10" max="10" width="13" customWidth="1"/>
    <col min="11" max="12" width="12.33203125" customWidth="1"/>
    <col min="13" max="13" width="11.1640625" customWidth="1"/>
    <col min="20" max="20" width="17.83203125" customWidth="1"/>
  </cols>
  <sheetData>
    <row r="1" spans="1:20" ht="17" thickBot="1">
      <c r="A1" s="81"/>
      <c r="B1" s="81"/>
      <c r="C1" s="81"/>
      <c r="D1" s="171" t="s">
        <v>91</v>
      </c>
      <c r="E1" s="172"/>
      <c r="F1" s="81"/>
      <c r="G1" s="171" t="s">
        <v>82</v>
      </c>
      <c r="H1" s="186"/>
      <c r="I1" s="186"/>
      <c r="J1" s="186"/>
      <c r="K1" s="186"/>
      <c r="L1" s="186"/>
      <c r="M1" s="172"/>
      <c r="N1" s="171" t="s">
        <v>83</v>
      </c>
      <c r="O1" s="186"/>
      <c r="P1" s="172"/>
      <c r="R1" s="187" t="s">
        <v>98</v>
      </c>
      <c r="S1" s="188"/>
      <c r="T1" s="189"/>
    </row>
    <row r="2" spans="1:20" ht="18" thickTop="1" thickBot="1">
      <c r="A2" s="142"/>
      <c r="B2" s="75" t="s">
        <v>90</v>
      </c>
      <c r="C2" s="141" t="s">
        <v>33</v>
      </c>
      <c r="D2" s="83" t="s">
        <v>74</v>
      </c>
      <c r="E2" s="84" t="s">
        <v>75</v>
      </c>
      <c r="F2" s="141" t="s">
        <v>78</v>
      </c>
      <c r="G2" s="85" t="s">
        <v>3</v>
      </c>
      <c r="H2" s="86" t="s">
        <v>4</v>
      </c>
      <c r="I2" s="86" t="s">
        <v>5</v>
      </c>
      <c r="J2" s="86" t="s">
        <v>6</v>
      </c>
      <c r="K2" s="86" t="s">
        <v>7</v>
      </c>
      <c r="L2" s="86" t="s">
        <v>8</v>
      </c>
      <c r="M2" s="135" t="s">
        <v>9</v>
      </c>
      <c r="N2" s="138" t="s">
        <v>80</v>
      </c>
      <c r="O2" s="139" t="s">
        <v>0</v>
      </c>
      <c r="P2" s="140" t="s">
        <v>81</v>
      </c>
      <c r="R2" s="83" t="s">
        <v>0</v>
      </c>
      <c r="S2" s="130" t="s">
        <v>99</v>
      </c>
      <c r="T2" s="84" t="s">
        <v>90</v>
      </c>
    </row>
    <row r="3" spans="1:20">
      <c r="A3" s="165" t="s">
        <v>72</v>
      </c>
      <c r="B3" s="109" t="s">
        <v>41</v>
      </c>
      <c r="C3" s="105">
        <v>300</v>
      </c>
      <c r="D3" s="91">
        <v>160</v>
      </c>
      <c r="E3" s="35">
        <f>SUMPRODUCT($G$20:$M$20,G3:M3)</f>
        <v>30</v>
      </c>
      <c r="F3" s="116">
        <f>C3-SUM(D3:E3)</f>
        <v>110</v>
      </c>
      <c r="G3" s="101">
        <v>3</v>
      </c>
      <c r="H3" s="94">
        <v>2</v>
      </c>
      <c r="I3" s="93"/>
      <c r="J3" s="93"/>
      <c r="K3" s="93"/>
      <c r="L3" s="93"/>
      <c r="M3" s="95"/>
      <c r="N3" s="119">
        <f>0.6*P3</f>
        <v>4200</v>
      </c>
      <c r="O3" s="120">
        <v>4200</v>
      </c>
      <c r="P3" s="121">
        <v>7000</v>
      </c>
      <c r="R3" s="159">
        <v>4200</v>
      </c>
      <c r="S3" s="132">
        <f>O3-R3</f>
        <v>0</v>
      </c>
      <c r="T3" s="100" t="s">
        <v>41</v>
      </c>
    </row>
    <row r="4" spans="1:20">
      <c r="A4" s="173"/>
      <c r="B4" s="38" t="s">
        <v>42</v>
      </c>
      <c r="C4" s="106">
        <v>450</v>
      </c>
      <c r="D4" s="79">
        <v>150</v>
      </c>
      <c r="E4" s="30">
        <f t="shared" ref="E4:E13" si="0">SUMPRODUCT($G$20:$M$20,G4:M4)</f>
        <v>90</v>
      </c>
      <c r="F4" s="117">
        <f t="shared" ref="F4:F13" si="1">C4-SUM(D4:E4)</f>
        <v>210</v>
      </c>
      <c r="G4" s="102"/>
      <c r="H4" s="77"/>
      <c r="I4" s="77">
        <v>1.5</v>
      </c>
      <c r="J4" s="77"/>
      <c r="K4" s="77"/>
      <c r="L4" s="77"/>
      <c r="M4" s="96"/>
      <c r="N4" s="122"/>
      <c r="O4" s="123">
        <v>4000</v>
      </c>
      <c r="P4" s="115">
        <v>4000</v>
      </c>
      <c r="R4" s="160">
        <v>4000</v>
      </c>
      <c r="S4" s="131">
        <f>O4-R4</f>
        <v>0</v>
      </c>
      <c r="T4" s="42" t="s">
        <v>42</v>
      </c>
    </row>
    <row r="5" spans="1:20">
      <c r="A5" s="173"/>
      <c r="B5" s="38" t="s">
        <v>43</v>
      </c>
      <c r="C5" s="106">
        <v>180</v>
      </c>
      <c r="D5" s="79">
        <v>100</v>
      </c>
      <c r="E5" s="30">
        <f t="shared" si="0"/>
        <v>26</v>
      </c>
      <c r="F5" s="117">
        <f t="shared" si="1"/>
        <v>54</v>
      </c>
      <c r="G5" s="102"/>
      <c r="H5" s="77"/>
      <c r="I5" s="77"/>
      <c r="J5" s="77">
        <v>2</v>
      </c>
      <c r="K5" s="77"/>
      <c r="L5" s="77"/>
      <c r="M5" s="96"/>
      <c r="N5" s="122"/>
      <c r="O5" s="123">
        <v>7000</v>
      </c>
      <c r="P5" s="115">
        <v>12000</v>
      </c>
      <c r="R5" s="160">
        <v>7000</v>
      </c>
      <c r="S5" s="131">
        <f t="shared" ref="S5:S15" si="2">O5-R5</f>
        <v>0</v>
      </c>
      <c r="T5" s="42" t="s">
        <v>43</v>
      </c>
    </row>
    <row r="6" spans="1:20">
      <c r="A6" s="173"/>
      <c r="B6" s="38" t="s">
        <v>44</v>
      </c>
      <c r="C6" s="106">
        <v>120</v>
      </c>
      <c r="D6" s="79">
        <v>60</v>
      </c>
      <c r="E6" s="30">
        <f t="shared" si="0"/>
        <v>6.5</v>
      </c>
      <c r="F6" s="117">
        <f t="shared" si="1"/>
        <v>53.5</v>
      </c>
      <c r="G6" s="102"/>
      <c r="H6" s="77"/>
      <c r="I6" s="77"/>
      <c r="J6" s="77">
        <v>0.5</v>
      </c>
      <c r="K6" s="77"/>
      <c r="L6" s="77"/>
      <c r="M6" s="96"/>
      <c r="N6" s="122"/>
      <c r="O6" s="123">
        <v>8000</v>
      </c>
      <c r="P6" s="115">
        <v>15000</v>
      </c>
      <c r="R6" s="160">
        <v>8000</v>
      </c>
      <c r="S6" s="131">
        <f t="shared" si="2"/>
        <v>0</v>
      </c>
      <c r="T6" s="42" t="s">
        <v>44</v>
      </c>
    </row>
    <row r="7" spans="1:20">
      <c r="A7" s="173"/>
      <c r="B7" s="38" t="s">
        <v>45</v>
      </c>
      <c r="C7" s="106">
        <v>270</v>
      </c>
      <c r="D7" s="79">
        <v>120</v>
      </c>
      <c r="E7" s="30">
        <f t="shared" si="0"/>
        <v>6.75</v>
      </c>
      <c r="F7" s="117">
        <f t="shared" si="1"/>
        <v>143.25</v>
      </c>
      <c r="G7" s="102"/>
      <c r="H7" s="77">
        <v>1.5</v>
      </c>
      <c r="I7" s="77"/>
      <c r="J7" s="77"/>
      <c r="K7" s="77">
        <v>2</v>
      </c>
      <c r="L7" s="77"/>
      <c r="M7" s="96"/>
      <c r="N7" s="122">
        <v>2800</v>
      </c>
      <c r="O7" s="123">
        <v>8064</v>
      </c>
      <c r="P7" s="115"/>
      <c r="R7" s="160">
        <v>8067</v>
      </c>
      <c r="S7" s="131">
        <f t="shared" si="2"/>
        <v>-3</v>
      </c>
      <c r="T7" s="42" t="s">
        <v>45</v>
      </c>
    </row>
    <row r="8" spans="1:20" ht="17" thickBot="1">
      <c r="A8" s="166"/>
      <c r="B8" s="110" t="s">
        <v>46</v>
      </c>
      <c r="C8" s="107">
        <v>320</v>
      </c>
      <c r="D8" s="80">
        <v>140</v>
      </c>
      <c r="E8" s="49">
        <f t="shared" si="0"/>
        <v>24.75</v>
      </c>
      <c r="F8" s="118">
        <f t="shared" si="1"/>
        <v>155.25</v>
      </c>
      <c r="G8" s="103">
        <v>2.5</v>
      </c>
      <c r="H8" s="98">
        <v>1.5</v>
      </c>
      <c r="I8" s="98"/>
      <c r="J8" s="98"/>
      <c r="K8" s="98"/>
      <c r="L8" s="98"/>
      <c r="M8" s="99"/>
      <c r="N8" s="124">
        <f>0.6*P8</f>
        <v>3000</v>
      </c>
      <c r="O8" s="125">
        <v>5000</v>
      </c>
      <c r="P8" s="126">
        <v>5000</v>
      </c>
      <c r="R8" s="161">
        <v>4999</v>
      </c>
      <c r="S8" s="133">
        <f t="shared" si="2"/>
        <v>1</v>
      </c>
      <c r="T8" s="45" t="s">
        <v>46</v>
      </c>
    </row>
    <row r="9" spans="1:20">
      <c r="A9" s="165" t="s">
        <v>73</v>
      </c>
      <c r="B9" s="109" t="s">
        <v>47</v>
      </c>
      <c r="C9" s="105">
        <v>350</v>
      </c>
      <c r="D9" s="91">
        <v>174</v>
      </c>
      <c r="E9" s="35">
        <f t="shared" si="0"/>
        <v>39</v>
      </c>
      <c r="F9" s="116">
        <f t="shared" si="1"/>
        <v>137</v>
      </c>
      <c r="G9" s="101"/>
      <c r="H9" s="93">
        <v>2</v>
      </c>
      <c r="I9" s="93"/>
      <c r="J9" s="93"/>
      <c r="K9" s="93"/>
      <c r="L9" s="93">
        <v>3</v>
      </c>
      <c r="M9" s="95"/>
      <c r="N9" s="119"/>
      <c r="O9" s="120">
        <v>2</v>
      </c>
      <c r="P9" s="121">
        <v>5500</v>
      </c>
      <c r="R9" s="159">
        <v>0</v>
      </c>
      <c r="S9" s="132">
        <f t="shared" si="2"/>
        <v>2</v>
      </c>
      <c r="T9" s="100" t="s">
        <v>47</v>
      </c>
    </row>
    <row r="10" spans="1:20">
      <c r="A10" s="173"/>
      <c r="B10" s="38" t="s">
        <v>48</v>
      </c>
      <c r="C10" s="106">
        <v>130</v>
      </c>
      <c r="D10" s="79">
        <v>60</v>
      </c>
      <c r="E10" s="30">
        <f t="shared" si="0"/>
        <v>5</v>
      </c>
      <c r="F10" s="117">
        <f t="shared" si="1"/>
        <v>65</v>
      </c>
      <c r="G10" s="102"/>
      <c r="H10" s="77"/>
      <c r="I10" s="77"/>
      <c r="J10" s="77"/>
      <c r="K10" s="77"/>
      <c r="L10" s="77"/>
      <c r="M10" s="96">
        <v>2</v>
      </c>
      <c r="N10" s="122"/>
      <c r="O10" s="123">
        <v>0</v>
      </c>
      <c r="P10" s="115"/>
      <c r="R10" s="160">
        <v>0</v>
      </c>
      <c r="S10" s="131">
        <f t="shared" si="2"/>
        <v>0</v>
      </c>
      <c r="T10" s="42" t="s">
        <v>48</v>
      </c>
    </row>
    <row r="11" spans="1:20">
      <c r="A11" s="173"/>
      <c r="B11" s="38" t="s">
        <v>49</v>
      </c>
      <c r="C11" s="106">
        <v>75</v>
      </c>
      <c r="D11" s="79">
        <v>40</v>
      </c>
      <c r="E11" s="30">
        <f t="shared" si="0"/>
        <v>1.25</v>
      </c>
      <c r="F11" s="117">
        <f t="shared" si="1"/>
        <v>33.75</v>
      </c>
      <c r="G11" s="102"/>
      <c r="H11" s="77"/>
      <c r="I11" s="77"/>
      <c r="J11" s="77"/>
      <c r="K11" s="77"/>
      <c r="L11" s="77"/>
      <c r="M11" s="96">
        <v>0.5</v>
      </c>
      <c r="N11" s="122"/>
      <c r="O11" s="123">
        <v>60000</v>
      </c>
      <c r="P11" s="115"/>
      <c r="R11" s="160">
        <v>60000</v>
      </c>
      <c r="S11" s="131">
        <f t="shared" si="2"/>
        <v>0</v>
      </c>
      <c r="T11" s="42" t="s">
        <v>49</v>
      </c>
    </row>
    <row r="12" spans="1:20">
      <c r="A12" s="173"/>
      <c r="B12" s="38" t="s">
        <v>50</v>
      </c>
      <c r="C12" s="106">
        <v>200</v>
      </c>
      <c r="D12" s="79">
        <v>160</v>
      </c>
      <c r="E12" s="30">
        <f t="shared" si="0"/>
        <v>18</v>
      </c>
      <c r="F12" s="117">
        <f>C12-SUM(D12:E12)</f>
        <v>22</v>
      </c>
      <c r="G12" s="102"/>
      <c r="H12" s="77"/>
      <c r="I12" s="77"/>
      <c r="J12" s="77"/>
      <c r="K12" s="77"/>
      <c r="L12" s="77">
        <v>1.5</v>
      </c>
      <c r="M12" s="96"/>
      <c r="N12" s="122"/>
      <c r="O12" s="123">
        <v>6000</v>
      </c>
      <c r="P12" s="115">
        <v>6000</v>
      </c>
      <c r="R12" s="160">
        <v>6000</v>
      </c>
      <c r="S12" s="131">
        <f t="shared" si="2"/>
        <v>0</v>
      </c>
      <c r="T12" s="42" t="s">
        <v>50</v>
      </c>
    </row>
    <row r="13" spans="1:20" ht="17" thickBot="1">
      <c r="A13" s="166"/>
      <c r="B13" s="110" t="s">
        <v>51</v>
      </c>
      <c r="C13" s="107">
        <v>120</v>
      </c>
      <c r="D13" s="80">
        <v>90</v>
      </c>
      <c r="E13" s="49">
        <f t="shared" si="0"/>
        <v>3.375</v>
      </c>
      <c r="F13" s="118">
        <f t="shared" si="1"/>
        <v>26.625</v>
      </c>
      <c r="G13" s="103"/>
      <c r="H13" s="98"/>
      <c r="I13" s="98"/>
      <c r="J13" s="98"/>
      <c r="K13" s="98">
        <v>1.5</v>
      </c>
      <c r="L13" s="98"/>
      <c r="M13" s="99"/>
      <c r="N13" s="124"/>
      <c r="O13" s="125">
        <v>9248</v>
      </c>
      <c r="P13" s="126"/>
      <c r="R13" s="161">
        <v>9243</v>
      </c>
      <c r="S13" s="133">
        <f t="shared" si="2"/>
        <v>5</v>
      </c>
      <c r="T13" s="45" t="s">
        <v>51</v>
      </c>
    </row>
    <row r="14" spans="1:20">
      <c r="A14" s="165" t="s">
        <v>84</v>
      </c>
      <c r="B14" s="109" t="s">
        <v>44</v>
      </c>
      <c r="C14" s="105">
        <f>C6</f>
        <v>120</v>
      </c>
      <c r="D14" s="87">
        <f>D6</f>
        <v>60</v>
      </c>
      <c r="E14" s="88">
        <v>0</v>
      </c>
      <c r="F14" s="105">
        <f>C14-D14</f>
        <v>60</v>
      </c>
      <c r="G14" s="101"/>
      <c r="H14" s="93"/>
      <c r="I14" s="93"/>
      <c r="J14" s="93">
        <v>0.5</v>
      </c>
      <c r="K14" s="93"/>
      <c r="L14" s="93"/>
      <c r="M14" s="95"/>
      <c r="N14" s="119"/>
      <c r="O14" s="120">
        <v>7000</v>
      </c>
      <c r="P14" s="121">
        <f>O5</f>
        <v>7000</v>
      </c>
      <c r="R14" s="159">
        <v>7000</v>
      </c>
      <c r="S14" s="132">
        <f t="shared" si="2"/>
        <v>0</v>
      </c>
      <c r="T14" s="100" t="s">
        <v>44</v>
      </c>
    </row>
    <row r="15" spans="1:20" ht="17" thickBot="1">
      <c r="A15" s="166"/>
      <c r="B15" s="110" t="s">
        <v>49</v>
      </c>
      <c r="C15" s="107">
        <f>C11</f>
        <v>75</v>
      </c>
      <c r="D15" s="80">
        <f>D11</f>
        <v>40</v>
      </c>
      <c r="E15" s="49">
        <v>0</v>
      </c>
      <c r="F15" s="107">
        <f>C15-D15</f>
        <v>35</v>
      </c>
      <c r="G15" s="103"/>
      <c r="H15" s="98"/>
      <c r="I15" s="98"/>
      <c r="J15" s="98"/>
      <c r="K15" s="98"/>
      <c r="L15" s="98"/>
      <c r="M15" s="99">
        <v>0.5</v>
      </c>
      <c r="N15" s="124"/>
      <c r="O15" s="125">
        <v>0</v>
      </c>
      <c r="P15" s="126">
        <f>O10</f>
        <v>0</v>
      </c>
      <c r="R15" s="161">
        <v>0</v>
      </c>
      <c r="S15" s="133">
        <f t="shared" si="2"/>
        <v>0</v>
      </c>
      <c r="T15" s="45" t="s">
        <v>49</v>
      </c>
    </row>
    <row r="16" spans="1:20" ht="17" thickBot="1">
      <c r="A16" s="170"/>
      <c r="B16" s="170"/>
      <c r="C16" s="170"/>
      <c r="D16" s="167"/>
      <c r="E16" s="174" t="s">
        <v>95</v>
      </c>
      <c r="F16" s="175"/>
      <c r="G16" s="93">
        <f>SUMPRODUCT(G3:G13,$O$3:$O$13)</f>
        <v>25100</v>
      </c>
      <c r="H16" s="93">
        <f t="shared" ref="H16:M16" si="3">SUMPRODUCT(H3:H13,$O$3:$O$13)</f>
        <v>28000</v>
      </c>
      <c r="I16" s="93">
        <f t="shared" si="3"/>
        <v>6000</v>
      </c>
      <c r="J16" s="93">
        <f t="shared" si="3"/>
        <v>18000</v>
      </c>
      <c r="K16" s="93">
        <f t="shared" si="3"/>
        <v>30000</v>
      </c>
      <c r="L16" s="93">
        <f t="shared" si="3"/>
        <v>9006</v>
      </c>
      <c r="M16" s="95">
        <f t="shared" si="3"/>
        <v>30000</v>
      </c>
      <c r="N16" t="s">
        <v>104</v>
      </c>
      <c r="O16" s="148">
        <f>SUM(O14,O6)</f>
        <v>15000</v>
      </c>
      <c r="P16" s="148">
        <v>15000</v>
      </c>
    </row>
    <row r="17" spans="1:13">
      <c r="A17" s="47" t="s">
        <v>66</v>
      </c>
      <c r="B17" s="90" t="s">
        <v>76</v>
      </c>
      <c r="C17" s="35">
        <v>860000</v>
      </c>
      <c r="D17" s="167"/>
      <c r="E17" s="163"/>
      <c r="F17" s="164"/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76" t="s">
        <v>12</v>
      </c>
    </row>
    <row r="18" spans="1:13" ht="17" thickBot="1">
      <c r="A18" s="43"/>
      <c r="B18" s="44" t="s">
        <v>77</v>
      </c>
      <c r="C18" s="49">
        <v>2700000</v>
      </c>
      <c r="D18" s="167"/>
      <c r="E18" s="168" t="s">
        <v>93</v>
      </c>
      <c r="F18" s="169"/>
      <c r="G18" s="113">
        <v>45000</v>
      </c>
      <c r="H18" s="113">
        <v>28000</v>
      </c>
      <c r="I18" s="114">
        <v>9000</v>
      </c>
      <c r="J18" s="113">
        <v>18000</v>
      </c>
      <c r="K18" s="113">
        <v>30000</v>
      </c>
      <c r="L18" s="113">
        <v>20000</v>
      </c>
      <c r="M18" s="115">
        <v>30000</v>
      </c>
    </row>
    <row r="19" spans="1:13" ht="17" thickBot="1">
      <c r="A19" s="167"/>
      <c r="B19" s="167"/>
      <c r="C19" s="167"/>
      <c r="D19" s="167"/>
      <c r="E19" s="168" t="s">
        <v>94</v>
      </c>
      <c r="F19" s="169"/>
      <c r="G19" s="10">
        <f>G18-G16</f>
        <v>19900</v>
      </c>
      <c r="H19" s="10">
        <f t="shared" ref="H19:M19" si="4">H18-H16</f>
        <v>0</v>
      </c>
      <c r="I19" s="10">
        <f t="shared" si="4"/>
        <v>3000</v>
      </c>
      <c r="J19" s="10">
        <f t="shared" si="4"/>
        <v>0</v>
      </c>
      <c r="K19" s="10">
        <f t="shared" si="4"/>
        <v>0</v>
      </c>
      <c r="L19" s="10">
        <f t="shared" si="4"/>
        <v>10994</v>
      </c>
      <c r="M19" s="62">
        <f t="shared" si="4"/>
        <v>0</v>
      </c>
    </row>
    <row r="20" spans="1:13">
      <c r="A20" s="47" t="s">
        <v>1</v>
      </c>
      <c r="B20" s="182" t="s">
        <v>89</v>
      </c>
      <c r="C20" s="182"/>
      <c r="D20" s="183"/>
      <c r="E20" s="168" t="s">
        <v>79</v>
      </c>
      <c r="F20" s="169"/>
      <c r="G20" s="9">
        <v>9</v>
      </c>
      <c r="H20" s="9">
        <v>1.5</v>
      </c>
      <c r="I20" s="9">
        <v>60</v>
      </c>
      <c r="J20" s="9">
        <v>13</v>
      </c>
      <c r="K20" s="9">
        <v>2.25</v>
      </c>
      <c r="L20" s="9">
        <v>12</v>
      </c>
      <c r="M20" s="30">
        <v>2.5</v>
      </c>
    </row>
    <row r="21" spans="1:13">
      <c r="A21" s="180"/>
      <c r="B21" s="176" t="s">
        <v>87</v>
      </c>
      <c r="C21" s="176"/>
      <c r="D21" s="177"/>
      <c r="E21" s="163" t="s">
        <v>97</v>
      </c>
      <c r="F21" s="164"/>
      <c r="G21" s="27">
        <f>G20</f>
        <v>9</v>
      </c>
      <c r="H21" s="27">
        <f t="shared" ref="H21:M21" si="5">H20</f>
        <v>1.5</v>
      </c>
      <c r="I21" s="27">
        <f t="shared" si="5"/>
        <v>60</v>
      </c>
      <c r="J21" s="27">
        <f t="shared" si="5"/>
        <v>13</v>
      </c>
      <c r="K21" s="27">
        <f t="shared" si="5"/>
        <v>2.25</v>
      </c>
      <c r="L21" s="27">
        <v>0</v>
      </c>
      <c r="M21" s="129">
        <f t="shared" si="5"/>
        <v>2.5</v>
      </c>
    </row>
    <row r="22" spans="1:13" ht="17" thickBot="1">
      <c r="A22" s="181"/>
      <c r="B22" s="178" t="s">
        <v>88</v>
      </c>
      <c r="C22" s="178"/>
      <c r="D22" s="179"/>
      <c r="E22" s="184" t="s">
        <v>92</v>
      </c>
      <c r="F22" s="185"/>
      <c r="G22" s="111">
        <f>G21*G19</f>
        <v>179100</v>
      </c>
      <c r="H22" s="111">
        <f t="shared" ref="H22:M22" si="6">H21*H19</f>
        <v>0</v>
      </c>
      <c r="I22" s="111">
        <f t="shared" si="6"/>
        <v>180000</v>
      </c>
      <c r="J22" s="111">
        <f t="shared" si="6"/>
        <v>0</v>
      </c>
      <c r="K22" s="111">
        <f t="shared" si="6"/>
        <v>0</v>
      </c>
      <c r="L22" s="111">
        <f t="shared" si="6"/>
        <v>0</v>
      </c>
      <c r="M22" s="112">
        <f t="shared" si="6"/>
        <v>0</v>
      </c>
    </row>
    <row r="23" spans="1:13" ht="17" thickBot="1"/>
    <row r="24" spans="1:13" ht="17" thickBot="1">
      <c r="A24" s="127" t="s">
        <v>36</v>
      </c>
      <c r="B24" s="128">
        <f>SUMPRODUCT(F3:F15,O3:O15) + SUM(G22:M22)-SUM(C17:C18)</f>
        <v>3662020</v>
      </c>
      <c r="C24" t="s">
        <v>96</v>
      </c>
    </row>
    <row r="25" spans="1:13" ht="17" thickBot="1"/>
    <row r="26" spans="1:13" ht="35" customHeight="1">
      <c r="A26" s="165" t="s">
        <v>100</v>
      </c>
      <c r="B26" s="191">
        <v>3793914.75</v>
      </c>
    </row>
    <row r="27" spans="1:13">
      <c r="A27" s="190"/>
      <c r="B27" s="192"/>
    </row>
    <row r="28" spans="1:13" ht="17" thickBot="1">
      <c r="A28" s="134" t="s">
        <v>99</v>
      </c>
      <c r="B28" s="112">
        <f>B24-B26</f>
        <v>-131894.75</v>
      </c>
    </row>
    <row r="33" spans="7:7">
      <c r="G33" s="2"/>
    </row>
  </sheetData>
  <mergeCells count="23">
    <mergeCell ref="R1:T1"/>
    <mergeCell ref="A26:A27"/>
    <mergeCell ref="B26:B27"/>
    <mergeCell ref="B20:D20"/>
    <mergeCell ref="E20:F20"/>
    <mergeCell ref="A21:A22"/>
    <mergeCell ref="B21:D21"/>
    <mergeCell ref="E22:F22"/>
    <mergeCell ref="B22:D22"/>
    <mergeCell ref="E21:F21"/>
    <mergeCell ref="A16:C16"/>
    <mergeCell ref="D16:D19"/>
    <mergeCell ref="E16:F16"/>
    <mergeCell ref="E17:F17"/>
    <mergeCell ref="E18:F18"/>
    <mergeCell ref="A19:C19"/>
    <mergeCell ref="E19:F19"/>
    <mergeCell ref="D1:E1"/>
    <mergeCell ref="G1:M1"/>
    <mergeCell ref="N1:P1"/>
    <mergeCell ref="A3:A8"/>
    <mergeCell ref="A9:A13"/>
    <mergeCell ref="A14:A15"/>
  </mergeCells>
  <conditionalFormatting sqref="S3:S15">
    <cfRule type="cellIs" dxfId="12" priority="2" operator="greaterThan">
      <formula>0</formula>
    </cfRule>
    <cfRule type="cellIs" dxfId="11" priority="3" operator="greaterThan">
      <formula>0</formula>
    </cfRule>
    <cfRule type="cellIs" dxfId="10" priority="4" operator="lessThan">
      <formula>0</formula>
    </cfRule>
  </conditionalFormatting>
  <conditionalFormatting sqref="B28">
    <cfRule type="cellIs" dxfId="9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0C53-60EA-6C40-A161-59BC342FFE0E}">
  <dimension ref="A1:T32"/>
  <sheetViews>
    <sheetView topLeftCell="B1" workbookViewId="0">
      <selection activeCell="R3" sqref="R3:R15"/>
    </sheetView>
  </sheetViews>
  <sheetFormatPr baseColWidth="10" defaultRowHeight="16"/>
  <cols>
    <col min="1" max="1" width="13" customWidth="1"/>
    <col min="2" max="2" width="19.83203125" customWidth="1"/>
    <col min="3" max="3" width="14" bestFit="1" customWidth="1"/>
    <col min="4" max="4" width="15.1640625" customWidth="1"/>
    <col min="5" max="5" width="12.5" customWidth="1"/>
    <col min="7" max="7" width="14" bestFit="1" customWidth="1"/>
    <col min="8" max="8" width="12.83203125" customWidth="1"/>
    <col min="9" max="9" width="13.1640625" customWidth="1"/>
    <col min="10" max="10" width="13" customWidth="1"/>
    <col min="11" max="12" width="12.33203125" customWidth="1"/>
    <col min="13" max="13" width="11.1640625" customWidth="1"/>
    <col min="20" max="20" width="19.1640625" customWidth="1"/>
  </cols>
  <sheetData>
    <row r="1" spans="1:20" ht="17" thickBot="1">
      <c r="A1" s="81"/>
      <c r="B1" s="81"/>
      <c r="C1" s="81"/>
      <c r="D1" s="171" t="s">
        <v>91</v>
      </c>
      <c r="E1" s="172"/>
      <c r="F1" s="81"/>
      <c r="G1" s="171" t="s">
        <v>82</v>
      </c>
      <c r="H1" s="186"/>
      <c r="I1" s="186"/>
      <c r="J1" s="186"/>
      <c r="K1" s="186"/>
      <c r="L1" s="186"/>
      <c r="M1" s="172"/>
      <c r="N1" s="171" t="s">
        <v>83</v>
      </c>
      <c r="O1" s="186"/>
      <c r="P1" s="172"/>
      <c r="R1" s="187" t="s">
        <v>101</v>
      </c>
      <c r="S1" s="188"/>
      <c r="T1" s="189"/>
    </row>
    <row r="2" spans="1:20" ht="18" thickTop="1" thickBot="1">
      <c r="A2" s="142"/>
      <c r="B2" s="75" t="s">
        <v>90</v>
      </c>
      <c r="C2" s="141" t="s">
        <v>33</v>
      </c>
      <c r="D2" s="83" t="s">
        <v>74</v>
      </c>
      <c r="E2" s="84" t="s">
        <v>75</v>
      </c>
      <c r="F2" s="141" t="s">
        <v>78</v>
      </c>
      <c r="G2" s="85" t="s">
        <v>3</v>
      </c>
      <c r="H2" s="86" t="s">
        <v>4</v>
      </c>
      <c r="I2" s="86" t="s">
        <v>5</v>
      </c>
      <c r="J2" s="86" t="s">
        <v>6</v>
      </c>
      <c r="K2" s="86" t="s">
        <v>7</v>
      </c>
      <c r="L2" s="86" t="s">
        <v>8</v>
      </c>
      <c r="M2" s="135" t="s">
        <v>9</v>
      </c>
      <c r="N2" s="138" t="s">
        <v>80</v>
      </c>
      <c r="O2" s="139" t="s">
        <v>0</v>
      </c>
      <c r="P2" s="140" t="s">
        <v>81</v>
      </c>
      <c r="R2" s="83" t="s">
        <v>0</v>
      </c>
      <c r="S2" s="130" t="s">
        <v>99</v>
      </c>
      <c r="T2" s="84" t="s">
        <v>90</v>
      </c>
    </row>
    <row r="3" spans="1:20">
      <c r="A3" s="165" t="s">
        <v>72</v>
      </c>
      <c r="B3" s="109" t="s">
        <v>41</v>
      </c>
      <c r="C3" s="105">
        <v>300</v>
      </c>
      <c r="D3" s="91">
        <v>160</v>
      </c>
      <c r="E3" s="35">
        <f>SUMPRODUCT($G$20:$M$20,G3:M3)</f>
        <v>30</v>
      </c>
      <c r="F3" s="116">
        <f>C3-SUM(D3:E3)</f>
        <v>110</v>
      </c>
      <c r="G3" s="101">
        <v>3</v>
      </c>
      <c r="H3" s="94">
        <v>2</v>
      </c>
      <c r="I3" s="93"/>
      <c r="J3" s="93"/>
      <c r="K3" s="93"/>
      <c r="L3" s="93"/>
      <c r="M3" s="95"/>
      <c r="N3" s="119">
        <f>0.6*P3</f>
        <v>4200</v>
      </c>
      <c r="O3" s="120">
        <v>4200</v>
      </c>
      <c r="P3" s="121">
        <v>7000</v>
      </c>
      <c r="R3" s="159">
        <v>4200</v>
      </c>
      <c r="S3" s="132">
        <f>O3-R3</f>
        <v>0</v>
      </c>
      <c r="T3" s="100" t="s">
        <v>41</v>
      </c>
    </row>
    <row r="4" spans="1:20">
      <c r="A4" s="173"/>
      <c r="B4" s="38" t="s">
        <v>42</v>
      </c>
      <c r="C4" s="106">
        <v>450</v>
      </c>
      <c r="D4" s="79">
        <v>150</v>
      </c>
      <c r="E4" s="30">
        <f t="shared" ref="E4:E13" si="0">SUMPRODUCT($G$20:$M$20,G4:M4)</f>
        <v>90</v>
      </c>
      <c r="F4" s="117">
        <f t="shared" ref="F4:F13" si="1">C4-SUM(D4:E4)</f>
        <v>210</v>
      </c>
      <c r="G4" s="102"/>
      <c r="H4" s="77"/>
      <c r="I4" s="77">
        <v>1.5</v>
      </c>
      <c r="J4" s="77"/>
      <c r="K4" s="77"/>
      <c r="L4" s="77"/>
      <c r="M4" s="96"/>
      <c r="N4" s="122"/>
      <c r="O4" s="123">
        <v>4000</v>
      </c>
      <c r="P4" s="115">
        <v>4000</v>
      </c>
      <c r="R4" s="160">
        <v>4000</v>
      </c>
      <c r="S4" s="131">
        <f>O4-R4</f>
        <v>0</v>
      </c>
      <c r="T4" s="42" t="s">
        <v>42</v>
      </c>
    </row>
    <row r="5" spans="1:20">
      <c r="A5" s="173"/>
      <c r="B5" s="38" t="s">
        <v>43</v>
      </c>
      <c r="C5" s="106">
        <v>180</v>
      </c>
      <c r="D5" s="79">
        <v>100</v>
      </c>
      <c r="E5" s="30">
        <f t="shared" si="0"/>
        <v>26</v>
      </c>
      <c r="F5" s="117">
        <f t="shared" si="1"/>
        <v>54</v>
      </c>
      <c r="G5" s="102"/>
      <c r="H5" s="77"/>
      <c r="I5" s="77"/>
      <c r="J5" s="77">
        <v>2</v>
      </c>
      <c r="K5" s="77"/>
      <c r="L5" s="77"/>
      <c r="M5" s="96"/>
      <c r="N5" s="122"/>
      <c r="O5" s="123">
        <v>7000</v>
      </c>
      <c r="P5" s="115">
        <v>12000</v>
      </c>
      <c r="R5" s="160">
        <v>7000</v>
      </c>
      <c r="S5" s="131">
        <f t="shared" ref="S5:S14" si="2">O5-R5</f>
        <v>0</v>
      </c>
      <c r="T5" s="42" t="s">
        <v>43</v>
      </c>
    </row>
    <row r="6" spans="1:20">
      <c r="A6" s="173"/>
      <c r="B6" s="38" t="s">
        <v>44</v>
      </c>
      <c r="C6" s="106">
        <v>120</v>
      </c>
      <c r="D6" s="79">
        <v>60</v>
      </c>
      <c r="E6" s="30">
        <f t="shared" si="0"/>
        <v>6.5</v>
      </c>
      <c r="F6" s="117">
        <f t="shared" si="1"/>
        <v>53.5</v>
      </c>
      <c r="G6" s="102"/>
      <c r="H6" s="77"/>
      <c r="I6" s="77"/>
      <c r="J6" s="77">
        <v>0.5</v>
      </c>
      <c r="K6" s="77"/>
      <c r="L6" s="77"/>
      <c r="M6" s="96"/>
      <c r="N6" s="122"/>
      <c r="O6" s="123">
        <v>8000</v>
      </c>
      <c r="P6" s="115">
        <v>15000</v>
      </c>
      <c r="R6" s="160">
        <v>8000</v>
      </c>
      <c r="S6" s="131">
        <f t="shared" si="2"/>
        <v>0</v>
      </c>
      <c r="T6" s="42" t="s">
        <v>44</v>
      </c>
    </row>
    <row r="7" spans="1:20">
      <c r="A7" s="173"/>
      <c r="B7" s="38" t="s">
        <v>45</v>
      </c>
      <c r="C7" s="106">
        <v>270</v>
      </c>
      <c r="D7" s="79">
        <v>120</v>
      </c>
      <c r="E7" s="30">
        <f t="shared" si="0"/>
        <v>6.75</v>
      </c>
      <c r="F7" s="117">
        <f t="shared" si="1"/>
        <v>143.25</v>
      </c>
      <c r="G7" s="102"/>
      <c r="H7" s="77">
        <v>1.5</v>
      </c>
      <c r="I7" s="77"/>
      <c r="J7" s="77"/>
      <c r="K7" s="77">
        <v>2</v>
      </c>
      <c r="L7" s="77"/>
      <c r="M7" s="96"/>
      <c r="N7" s="122">
        <v>2800</v>
      </c>
      <c r="O7" s="123">
        <v>10065</v>
      </c>
      <c r="P7" s="115"/>
      <c r="R7" s="160">
        <v>8067</v>
      </c>
      <c r="S7" s="131">
        <f t="shared" si="2"/>
        <v>1998</v>
      </c>
      <c r="T7" s="42" t="s">
        <v>45</v>
      </c>
    </row>
    <row r="8" spans="1:20" ht="17" thickBot="1">
      <c r="A8" s="166"/>
      <c r="B8" s="110" t="s">
        <v>46</v>
      </c>
      <c r="C8" s="107">
        <v>320</v>
      </c>
      <c r="D8" s="80">
        <f>140+80</f>
        <v>220</v>
      </c>
      <c r="E8" s="49">
        <f t="shared" si="0"/>
        <v>24.75</v>
      </c>
      <c r="F8" s="118">
        <f t="shared" si="1"/>
        <v>75.25</v>
      </c>
      <c r="G8" s="103">
        <v>2.5</v>
      </c>
      <c r="H8" s="98">
        <v>1.5</v>
      </c>
      <c r="I8" s="98"/>
      <c r="J8" s="98"/>
      <c r="K8" s="98"/>
      <c r="L8" s="98"/>
      <c r="M8" s="99"/>
      <c r="N8" s="124">
        <f>0.6*P8</f>
        <v>3000</v>
      </c>
      <c r="O8" s="125">
        <v>3001</v>
      </c>
      <c r="P8" s="126">
        <v>5000</v>
      </c>
      <c r="R8" s="161">
        <v>4999</v>
      </c>
      <c r="S8" s="133">
        <f t="shared" si="2"/>
        <v>-1998</v>
      </c>
      <c r="T8" s="45" t="s">
        <v>46</v>
      </c>
    </row>
    <row r="9" spans="1:20">
      <c r="A9" s="165" t="s">
        <v>73</v>
      </c>
      <c r="B9" s="109" t="s">
        <v>47</v>
      </c>
      <c r="C9" s="105">
        <v>350</v>
      </c>
      <c r="D9" s="91">
        <v>174</v>
      </c>
      <c r="E9" s="35">
        <f t="shared" si="0"/>
        <v>39</v>
      </c>
      <c r="F9" s="116">
        <f t="shared" si="1"/>
        <v>137</v>
      </c>
      <c r="G9" s="101"/>
      <c r="H9" s="93">
        <v>2</v>
      </c>
      <c r="I9" s="93"/>
      <c r="J9" s="93"/>
      <c r="K9" s="93"/>
      <c r="L9" s="93">
        <v>3</v>
      </c>
      <c r="M9" s="95"/>
      <c r="N9" s="119"/>
      <c r="O9" s="120">
        <v>0</v>
      </c>
      <c r="P9" s="121">
        <v>5500</v>
      </c>
      <c r="R9" s="159">
        <v>0</v>
      </c>
      <c r="S9" s="132">
        <f t="shared" si="2"/>
        <v>0</v>
      </c>
      <c r="T9" s="100" t="s">
        <v>47</v>
      </c>
    </row>
    <row r="10" spans="1:20">
      <c r="A10" s="173"/>
      <c r="B10" s="38" t="s">
        <v>48</v>
      </c>
      <c r="C10" s="106">
        <v>130</v>
      </c>
      <c r="D10" s="79">
        <v>60</v>
      </c>
      <c r="E10" s="30">
        <f t="shared" si="0"/>
        <v>5</v>
      </c>
      <c r="F10" s="117">
        <f t="shared" si="1"/>
        <v>65</v>
      </c>
      <c r="G10" s="102"/>
      <c r="H10" s="77"/>
      <c r="I10" s="77"/>
      <c r="J10" s="77"/>
      <c r="K10" s="77"/>
      <c r="L10" s="77"/>
      <c r="M10" s="96">
        <v>2</v>
      </c>
      <c r="N10" s="122"/>
      <c r="O10" s="123">
        <v>0</v>
      </c>
      <c r="P10" s="115"/>
      <c r="R10" s="160">
        <v>0</v>
      </c>
      <c r="S10" s="131">
        <f t="shared" si="2"/>
        <v>0</v>
      </c>
      <c r="T10" s="42" t="s">
        <v>48</v>
      </c>
    </row>
    <row r="11" spans="1:20">
      <c r="A11" s="173"/>
      <c r="B11" s="38" t="s">
        <v>49</v>
      </c>
      <c r="C11" s="106">
        <v>75</v>
      </c>
      <c r="D11" s="79">
        <v>40</v>
      </c>
      <c r="E11" s="30">
        <f t="shared" si="0"/>
        <v>1.25</v>
      </c>
      <c r="F11" s="117">
        <f t="shared" si="1"/>
        <v>33.75</v>
      </c>
      <c r="G11" s="102"/>
      <c r="H11" s="77"/>
      <c r="I11" s="77"/>
      <c r="J11" s="77"/>
      <c r="K11" s="77"/>
      <c r="L11" s="77"/>
      <c r="M11" s="96">
        <v>0.5</v>
      </c>
      <c r="N11" s="122"/>
      <c r="O11" s="123">
        <v>60000</v>
      </c>
      <c r="P11" s="115"/>
      <c r="R11" s="160">
        <v>60000</v>
      </c>
      <c r="S11" s="131">
        <f t="shared" si="2"/>
        <v>0</v>
      </c>
      <c r="T11" s="42" t="s">
        <v>49</v>
      </c>
    </row>
    <row r="12" spans="1:20">
      <c r="A12" s="173"/>
      <c r="B12" s="38" t="s">
        <v>50</v>
      </c>
      <c r="C12" s="106">
        <v>200</v>
      </c>
      <c r="D12" s="79">
        <v>160</v>
      </c>
      <c r="E12" s="30">
        <f t="shared" si="0"/>
        <v>18</v>
      </c>
      <c r="F12" s="117">
        <f>C12-SUM(D12:E12)</f>
        <v>22</v>
      </c>
      <c r="G12" s="102"/>
      <c r="H12" s="77"/>
      <c r="I12" s="77"/>
      <c r="J12" s="77"/>
      <c r="K12" s="77"/>
      <c r="L12" s="77">
        <v>1.5</v>
      </c>
      <c r="M12" s="96"/>
      <c r="N12" s="122"/>
      <c r="O12" s="123">
        <v>6000</v>
      </c>
      <c r="P12" s="115">
        <v>6000</v>
      </c>
      <c r="R12" s="160">
        <v>6000</v>
      </c>
      <c r="S12" s="131">
        <f t="shared" si="2"/>
        <v>0</v>
      </c>
      <c r="T12" s="42" t="s">
        <v>50</v>
      </c>
    </row>
    <row r="13" spans="1:20" ht="17" thickBot="1">
      <c r="A13" s="166"/>
      <c r="B13" s="110" t="s">
        <v>51</v>
      </c>
      <c r="C13" s="107">
        <v>120</v>
      </c>
      <c r="D13" s="80">
        <v>90</v>
      </c>
      <c r="E13" s="49">
        <f t="shared" si="0"/>
        <v>3.375</v>
      </c>
      <c r="F13" s="118">
        <f t="shared" si="1"/>
        <v>26.625</v>
      </c>
      <c r="G13" s="103"/>
      <c r="H13" s="98"/>
      <c r="I13" s="98"/>
      <c r="J13" s="98"/>
      <c r="K13" s="98">
        <v>1.5</v>
      </c>
      <c r="L13" s="98"/>
      <c r="M13" s="99"/>
      <c r="N13" s="124"/>
      <c r="O13" s="125">
        <v>6579</v>
      </c>
      <c r="P13" s="126"/>
      <c r="R13" s="161">
        <v>9243</v>
      </c>
      <c r="S13" s="133">
        <f t="shared" si="2"/>
        <v>-2664</v>
      </c>
      <c r="T13" s="45" t="s">
        <v>51</v>
      </c>
    </row>
    <row r="14" spans="1:20">
      <c r="A14" s="165" t="s">
        <v>84</v>
      </c>
      <c r="B14" s="109" t="s">
        <v>44</v>
      </c>
      <c r="C14" s="105">
        <f>C6</f>
        <v>120</v>
      </c>
      <c r="D14" s="87">
        <f>D6</f>
        <v>60</v>
      </c>
      <c r="E14" s="88">
        <v>0</v>
      </c>
      <c r="F14" s="105">
        <f>C14-D14</f>
        <v>60</v>
      </c>
      <c r="G14" s="101"/>
      <c r="H14" s="93"/>
      <c r="I14" s="93"/>
      <c r="J14" s="93">
        <v>0.5</v>
      </c>
      <c r="K14" s="93"/>
      <c r="L14" s="93"/>
      <c r="M14" s="95"/>
      <c r="N14" s="119"/>
      <c r="O14" s="120">
        <v>7000</v>
      </c>
      <c r="P14" s="121">
        <f>O5</f>
        <v>7000</v>
      </c>
      <c r="R14" s="159">
        <v>7000</v>
      </c>
      <c r="S14" s="132">
        <f t="shared" si="2"/>
        <v>0</v>
      </c>
      <c r="T14" s="100" t="s">
        <v>44</v>
      </c>
    </row>
    <row r="15" spans="1:20" ht="17" thickBot="1">
      <c r="A15" s="166"/>
      <c r="B15" s="110" t="s">
        <v>49</v>
      </c>
      <c r="C15" s="107">
        <f>C11</f>
        <v>75</v>
      </c>
      <c r="D15" s="80">
        <f>D11</f>
        <v>40</v>
      </c>
      <c r="E15" s="49">
        <v>0</v>
      </c>
      <c r="F15" s="107">
        <f>C15-D15</f>
        <v>35</v>
      </c>
      <c r="G15" s="103"/>
      <c r="H15" s="98"/>
      <c r="I15" s="98"/>
      <c r="J15" s="98"/>
      <c r="K15" s="98"/>
      <c r="L15" s="98"/>
      <c r="M15" s="99">
        <v>0.5</v>
      </c>
      <c r="N15" s="124"/>
      <c r="O15" s="125">
        <v>0</v>
      </c>
      <c r="P15" s="126">
        <f>O10</f>
        <v>0</v>
      </c>
      <c r="R15" s="161">
        <v>0</v>
      </c>
      <c r="S15" s="133">
        <f>O15-R15</f>
        <v>0</v>
      </c>
      <c r="T15" s="45" t="s">
        <v>49</v>
      </c>
    </row>
    <row r="16" spans="1:20" ht="17" thickBot="1">
      <c r="A16" s="170"/>
      <c r="B16" s="170"/>
      <c r="C16" s="170"/>
      <c r="D16" s="167"/>
      <c r="E16" s="174" t="s">
        <v>95</v>
      </c>
      <c r="F16" s="175"/>
      <c r="G16" s="93">
        <f>SUMPRODUCT(G3:G13,$O$3:$O$13)</f>
        <v>20102.5</v>
      </c>
      <c r="H16" s="93">
        <f t="shared" ref="H16:M16" si="3">SUMPRODUCT(H3:H13,$O$3:$O$13)</f>
        <v>27999</v>
      </c>
      <c r="I16" s="93">
        <f t="shared" si="3"/>
        <v>6000</v>
      </c>
      <c r="J16" s="93">
        <f t="shared" si="3"/>
        <v>18000</v>
      </c>
      <c r="K16" s="93">
        <f t="shared" si="3"/>
        <v>29998.5</v>
      </c>
      <c r="L16" s="93">
        <f t="shared" si="3"/>
        <v>9000</v>
      </c>
      <c r="M16" s="95">
        <f t="shared" si="3"/>
        <v>30000</v>
      </c>
      <c r="N16" t="s">
        <v>104</v>
      </c>
      <c r="O16" s="148">
        <f>SUM(O14,O6)</f>
        <v>15000</v>
      </c>
      <c r="P16" s="148">
        <v>15000</v>
      </c>
    </row>
    <row r="17" spans="1:13">
      <c r="A17" s="47" t="s">
        <v>66</v>
      </c>
      <c r="B17" s="90" t="s">
        <v>76</v>
      </c>
      <c r="C17" s="35">
        <v>860000</v>
      </c>
      <c r="D17" s="167"/>
      <c r="E17" s="163"/>
      <c r="F17" s="164"/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76" t="s">
        <v>12</v>
      </c>
    </row>
    <row r="18" spans="1:13" ht="17" thickBot="1">
      <c r="A18" s="43"/>
      <c r="B18" s="44" t="s">
        <v>77</v>
      </c>
      <c r="C18" s="49">
        <v>2700000</v>
      </c>
      <c r="D18" s="167"/>
      <c r="E18" s="168" t="s">
        <v>93</v>
      </c>
      <c r="F18" s="169"/>
      <c r="G18" s="113">
        <v>45000</v>
      </c>
      <c r="H18" s="113">
        <v>28000</v>
      </c>
      <c r="I18" s="114">
        <v>9000</v>
      </c>
      <c r="J18" s="113">
        <v>18000</v>
      </c>
      <c r="K18" s="113">
        <v>30000</v>
      </c>
      <c r="L18" s="113">
        <v>20000</v>
      </c>
      <c r="M18" s="115">
        <v>30000</v>
      </c>
    </row>
    <row r="19" spans="1:13" ht="17" thickBot="1">
      <c r="A19" s="167"/>
      <c r="B19" s="167"/>
      <c r="C19" s="167"/>
      <c r="D19" s="167"/>
      <c r="E19" s="168" t="s">
        <v>94</v>
      </c>
      <c r="F19" s="169"/>
      <c r="G19" s="10">
        <f>G18-G16</f>
        <v>24897.5</v>
      </c>
      <c r="H19" s="10">
        <f t="shared" ref="H19:M19" si="4">H18-H16</f>
        <v>1</v>
      </c>
      <c r="I19" s="10">
        <f t="shared" si="4"/>
        <v>3000</v>
      </c>
      <c r="J19" s="10">
        <f t="shared" si="4"/>
        <v>0</v>
      </c>
      <c r="K19" s="10">
        <f t="shared" si="4"/>
        <v>1.5</v>
      </c>
      <c r="L19" s="10">
        <f t="shared" si="4"/>
        <v>11000</v>
      </c>
      <c r="M19" s="62">
        <f t="shared" si="4"/>
        <v>0</v>
      </c>
    </row>
    <row r="20" spans="1:13">
      <c r="A20" s="47" t="s">
        <v>1</v>
      </c>
      <c r="B20" s="182" t="s">
        <v>89</v>
      </c>
      <c r="C20" s="182"/>
      <c r="D20" s="183"/>
      <c r="E20" s="168" t="s">
        <v>79</v>
      </c>
      <c r="F20" s="169"/>
      <c r="G20" s="9">
        <v>9</v>
      </c>
      <c r="H20" s="9">
        <v>1.5</v>
      </c>
      <c r="I20" s="9">
        <v>60</v>
      </c>
      <c r="J20" s="9">
        <v>13</v>
      </c>
      <c r="K20" s="9">
        <v>2.25</v>
      </c>
      <c r="L20" s="9">
        <v>12</v>
      </c>
      <c r="M20" s="30">
        <v>2.5</v>
      </c>
    </row>
    <row r="21" spans="1:13" ht="17" thickBot="1">
      <c r="A21" s="180"/>
      <c r="B21" s="176" t="s">
        <v>87</v>
      </c>
      <c r="C21" s="176"/>
      <c r="D21" s="177"/>
      <c r="E21" s="184" t="s">
        <v>92</v>
      </c>
      <c r="F21" s="185"/>
      <c r="G21" s="111">
        <f>G20*G19</f>
        <v>224077.5</v>
      </c>
      <c r="H21" s="111">
        <f t="shared" ref="H21:M21" si="5">H20*H19</f>
        <v>1.5</v>
      </c>
      <c r="I21" s="111">
        <f t="shared" si="5"/>
        <v>180000</v>
      </c>
      <c r="J21" s="111">
        <f t="shared" si="5"/>
        <v>0</v>
      </c>
      <c r="K21" s="111">
        <f t="shared" si="5"/>
        <v>3.375</v>
      </c>
      <c r="L21" s="111">
        <f t="shared" si="5"/>
        <v>132000</v>
      </c>
      <c r="M21" s="112">
        <f t="shared" si="5"/>
        <v>0</v>
      </c>
    </row>
    <row r="22" spans="1:13" ht="17" thickBot="1">
      <c r="A22" s="181"/>
      <c r="B22" s="178" t="s">
        <v>88</v>
      </c>
      <c r="C22" s="178"/>
      <c r="D22" s="179"/>
    </row>
    <row r="23" spans="1:13" ht="17" thickBot="1"/>
    <row r="24" spans="1:13" ht="17" thickBot="1">
      <c r="A24" s="127" t="s">
        <v>36</v>
      </c>
      <c r="B24" s="128">
        <f>SUMPRODUCT(F3:F15,O3:O15) + SUM(G21:M21)-SUM(C17:C18)</f>
        <v>3503884.75</v>
      </c>
      <c r="C24" t="s">
        <v>96</v>
      </c>
    </row>
    <row r="32" spans="1:13">
      <c r="G32" s="2"/>
    </row>
  </sheetData>
  <mergeCells count="20">
    <mergeCell ref="A16:C16"/>
    <mergeCell ref="D16:D19"/>
    <mergeCell ref="E16:F16"/>
    <mergeCell ref="E17:F17"/>
    <mergeCell ref="E18:F18"/>
    <mergeCell ref="A19:C19"/>
    <mergeCell ref="E19:F19"/>
    <mergeCell ref="B20:D20"/>
    <mergeCell ref="E20:F20"/>
    <mergeCell ref="A21:A22"/>
    <mergeCell ref="B21:D21"/>
    <mergeCell ref="E21:F21"/>
    <mergeCell ref="B22:D22"/>
    <mergeCell ref="N1:P1"/>
    <mergeCell ref="A3:A8"/>
    <mergeCell ref="A9:A13"/>
    <mergeCell ref="A14:A15"/>
    <mergeCell ref="R1:T1"/>
    <mergeCell ref="D1:E1"/>
    <mergeCell ref="G1:M1"/>
  </mergeCells>
  <conditionalFormatting sqref="S3:S15">
    <cfRule type="cellIs" dxfId="8" priority="1" operator="greaterThan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F85B-9156-2044-A853-03131E06AEEC}">
  <dimension ref="A1:T24"/>
  <sheetViews>
    <sheetView topLeftCell="D1" workbookViewId="0">
      <selection activeCell="J14" sqref="J14"/>
    </sheetView>
  </sheetViews>
  <sheetFormatPr baseColWidth="10" defaultRowHeight="16"/>
  <cols>
    <col min="2" max="2" width="19.1640625" customWidth="1"/>
    <col min="3" max="3" width="13.6640625" customWidth="1"/>
    <col min="4" max="4" width="18.5" customWidth="1"/>
    <col min="5" max="5" width="13.83203125" customWidth="1"/>
    <col min="7" max="7" width="13.83203125" customWidth="1"/>
    <col min="8" max="8" width="12.1640625" customWidth="1"/>
    <col min="9" max="9" width="14.5" customWidth="1"/>
    <col min="11" max="11" width="11.5" customWidth="1"/>
    <col min="12" max="12" width="12.6640625" customWidth="1"/>
    <col min="20" max="20" width="17.83203125" customWidth="1"/>
  </cols>
  <sheetData>
    <row r="1" spans="1:20" ht="17" thickBot="1">
      <c r="D1" s="171" t="s">
        <v>91</v>
      </c>
      <c r="E1" s="172"/>
      <c r="F1" s="7"/>
      <c r="G1" s="162" t="s">
        <v>82</v>
      </c>
      <c r="H1" s="162"/>
      <c r="I1" s="162"/>
      <c r="J1" s="162"/>
      <c r="K1" s="162"/>
      <c r="L1" s="162"/>
      <c r="M1" s="162"/>
      <c r="N1" s="162" t="s">
        <v>83</v>
      </c>
      <c r="O1" s="162"/>
      <c r="P1" s="162"/>
      <c r="R1" s="193" t="s">
        <v>98</v>
      </c>
      <c r="S1" s="194"/>
      <c r="T1" s="195"/>
    </row>
    <row r="2" spans="1:20" ht="18" thickTop="1" thickBot="1">
      <c r="A2" s="82"/>
      <c r="B2" s="108" t="s">
        <v>90</v>
      </c>
      <c r="C2" s="104" t="s">
        <v>33</v>
      </c>
      <c r="D2" s="83" t="s">
        <v>74</v>
      </c>
      <c r="E2" s="84" t="s">
        <v>75</v>
      </c>
      <c r="F2" s="104" t="s">
        <v>78</v>
      </c>
      <c r="G2" s="85" t="s">
        <v>3</v>
      </c>
      <c r="H2" s="86" t="s">
        <v>4</v>
      </c>
      <c r="I2" s="86" t="s">
        <v>5</v>
      </c>
      <c r="J2" s="86" t="s">
        <v>6</v>
      </c>
      <c r="K2" s="86" t="s">
        <v>7</v>
      </c>
      <c r="L2" s="86" t="s">
        <v>8</v>
      </c>
      <c r="M2" s="86" t="s">
        <v>9</v>
      </c>
      <c r="N2" s="86" t="s">
        <v>80</v>
      </c>
      <c r="O2" s="86" t="s">
        <v>0</v>
      </c>
      <c r="P2" s="86" t="s">
        <v>81</v>
      </c>
      <c r="R2" s="136" t="s">
        <v>0</v>
      </c>
      <c r="S2" s="143" t="s">
        <v>99</v>
      </c>
      <c r="T2" s="137" t="s">
        <v>90</v>
      </c>
    </row>
    <row r="3" spans="1:20">
      <c r="A3" s="165" t="s">
        <v>72</v>
      </c>
      <c r="B3" s="109" t="s">
        <v>41</v>
      </c>
      <c r="C3" s="105">
        <v>300</v>
      </c>
      <c r="D3" s="91">
        <v>160</v>
      </c>
      <c r="E3" s="35">
        <f>SUMPRODUCT($G$20:$M$20,G3:M3)</f>
        <v>30</v>
      </c>
      <c r="F3" s="116">
        <f>C3-SUM(D3:E3)</f>
        <v>110</v>
      </c>
      <c r="G3" s="101">
        <v>3</v>
      </c>
      <c r="H3" s="94">
        <v>2</v>
      </c>
      <c r="I3" s="93"/>
      <c r="J3" s="93"/>
      <c r="K3" s="93"/>
      <c r="L3" s="93"/>
      <c r="M3" s="95"/>
      <c r="N3" s="119">
        <f>0.6*P3</f>
        <v>4200</v>
      </c>
      <c r="O3" s="120">
        <v>4200</v>
      </c>
      <c r="P3" s="121">
        <v>7000</v>
      </c>
      <c r="R3" s="159">
        <v>4200</v>
      </c>
      <c r="S3" s="132">
        <f>O3-R3</f>
        <v>0</v>
      </c>
      <c r="T3" s="100" t="s">
        <v>41</v>
      </c>
    </row>
    <row r="4" spans="1:20">
      <c r="A4" s="173"/>
      <c r="B4" s="38" t="s">
        <v>42</v>
      </c>
      <c r="C4" s="106">
        <v>450</v>
      </c>
      <c r="D4" s="79">
        <v>150</v>
      </c>
      <c r="E4" s="30">
        <f t="shared" ref="E4:E13" si="0">SUMPRODUCT($G$20:$M$20,G4:M4)</f>
        <v>90</v>
      </c>
      <c r="F4" s="117">
        <f t="shared" ref="F4:F13" si="1">C4-SUM(D4:E4)</f>
        <v>210</v>
      </c>
      <c r="G4" s="102"/>
      <c r="H4" s="77"/>
      <c r="I4" s="77">
        <v>1.5</v>
      </c>
      <c r="J4" s="77"/>
      <c r="K4" s="77"/>
      <c r="L4" s="77"/>
      <c r="M4" s="96"/>
      <c r="N4" s="122"/>
      <c r="O4" s="123">
        <v>4000</v>
      </c>
      <c r="P4" s="115">
        <v>4000</v>
      </c>
      <c r="R4" s="160">
        <v>4000</v>
      </c>
      <c r="S4" s="131">
        <f t="shared" ref="S4:S15" si="2">O4-R4</f>
        <v>0</v>
      </c>
      <c r="T4" s="42" t="s">
        <v>42</v>
      </c>
    </row>
    <row r="5" spans="1:20">
      <c r="A5" s="173"/>
      <c r="B5" s="38" t="s">
        <v>43</v>
      </c>
      <c r="C5" s="106">
        <v>180</v>
      </c>
      <c r="D5" s="79">
        <v>100</v>
      </c>
      <c r="E5" s="30">
        <f t="shared" si="0"/>
        <v>26</v>
      </c>
      <c r="F5" s="117">
        <f t="shared" si="1"/>
        <v>54</v>
      </c>
      <c r="G5" s="102"/>
      <c r="H5" s="77"/>
      <c r="I5" s="77"/>
      <c r="J5" s="77">
        <v>2</v>
      </c>
      <c r="K5" s="77"/>
      <c r="L5" s="77"/>
      <c r="M5" s="96"/>
      <c r="N5" s="122"/>
      <c r="O5" s="123">
        <v>7000</v>
      </c>
      <c r="P5" s="115">
        <v>12000</v>
      </c>
      <c r="R5" s="160">
        <v>7000</v>
      </c>
      <c r="S5" s="131">
        <f t="shared" si="2"/>
        <v>0</v>
      </c>
      <c r="T5" s="42" t="s">
        <v>43</v>
      </c>
    </row>
    <row r="6" spans="1:20">
      <c r="A6" s="173"/>
      <c r="B6" s="38" t="s">
        <v>44</v>
      </c>
      <c r="C6" s="106">
        <v>120</v>
      </c>
      <c r="D6" s="79">
        <v>60</v>
      </c>
      <c r="E6" s="30">
        <f t="shared" si="0"/>
        <v>6.5</v>
      </c>
      <c r="F6" s="117">
        <f t="shared" si="1"/>
        <v>53.5</v>
      </c>
      <c r="G6" s="102"/>
      <c r="H6" s="77"/>
      <c r="I6" s="77"/>
      <c r="J6" s="77">
        <v>0.5</v>
      </c>
      <c r="K6" s="77"/>
      <c r="L6" s="77"/>
      <c r="M6" s="96"/>
      <c r="N6" s="122"/>
      <c r="O6" s="123">
        <v>8000</v>
      </c>
      <c r="P6" s="115">
        <v>15000</v>
      </c>
      <c r="R6" s="160">
        <v>8000</v>
      </c>
      <c r="S6" s="131">
        <f>O6-R6</f>
        <v>0</v>
      </c>
      <c r="T6" s="42" t="s">
        <v>44</v>
      </c>
    </row>
    <row r="7" spans="1:20">
      <c r="A7" s="173"/>
      <c r="B7" s="38" t="s">
        <v>45</v>
      </c>
      <c r="C7" s="106">
        <v>270</v>
      </c>
      <c r="D7" s="79">
        <v>120</v>
      </c>
      <c r="E7" s="30">
        <f t="shared" si="0"/>
        <v>6.75</v>
      </c>
      <c r="F7" s="117">
        <f t="shared" si="1"/>
        <v>143.25</v>
      </c>
      <c r="G7" s="102"/>
      <c r="H7" s="77">
        <v>1.5</v>
      </c>
      <c r="I7" s="77"/>
      <c r="J7" s="77"/>
      <c r="K7" s="77">
        <v>2</v>
      </c>
      <c r="L7" s="77"/>
      <c r="M7" s="96"/>
      <c r="N7" s="122">
        <v>2800</v>
      </c>
      <c r="O7" s="123">
        <v>14733.333333333332</v>
      </c>
      <c r="P7" s="115"/>
      <c r="R7" s="160">
        <v>8067</v>
      </c>
      <c r="S7" s="131">
        <f t="shared" si="2"/>
        <v>6666.3333333333321</v>
      </c>
      <c r="T7" s="42" t="s">
        <v>45</v>
      </c>
    </row>
    <row r="8" spans="1:20" ht="17" thickBot="1">
      <c r="A8" s="166"/>
      <c r="B8" s="110" t="s">
        <v>46</v>
      </c>
      <c r="C8" s="107">
        <v>320</v>
      </c>
      <c r="D8" s="80">
        <v>140</v>
      </c>
      <c r="E8" s="49">
        <f t="shared" si="0"/>
        <v>24.75</v>
      </c>
      <c r="F8" s="118">
        <f t="shared" si="1"/>
        <v>155.25</v>
      </c>
      <c r="G8" s="103">
        <v>2.5</v>
      </c>
      <c r="H8" s="98">
        <v>1.5</v>
      </c>
      <c r="I8" s="98"/>
      <c r="J8" s="98"/>
      <c r="K8" s="98"/>
      <c r="L8" s="98"/>
      <c r="M8" s="99"/>
      <c r="N8" s="124">
        <f>0.6*P8</f>
        <v>3000</v>
      </c>
      <c r="O8" s="125">
        <v>5000</v>
      </c>
      <c r="P8" s="126">
        <v>5000</v>
      </c>
      <c r="R8" s="161">
        <v>4999</v>
      </c>
      <c r="S8" s="133">
        <f t="shared" si="2"/>
        <v>1</v>
      </c>
      <c r="T8" s="45" t="s">
        <v>46</v>
      </c>
    </row>
    <row r="9" spans="1:20">
      <c r="A9" s="165" t="s">
        <v>73</v>
      </c>
      <c r="B9" s="109" t="s">
        <v>47</v>
      </c>
      <c r="C9" s="105">
        <v>350</v>
      </c>
      <c r="D9" s="91">
        <v>174</v>
      </c>
      <c r="E9" s="35">
        <f t="shared" si="0"/>
        <v>39</v>
      </c>
      <c r="F9" s="116">
        <f t="shared" si="1"/>
        <v>137</v>
      </c>
      <c r="G9" s="101"/>
      <c r="H9" s="93">
        <v>2</v>
      </c>
      <c r="I9" s="93"/>
      <c r="J9" s="93"/>
      <c r="K9" s="93"/>
      <c r="L9" s="93">
        <v>3</v>
      </c>
      <c r="M9" s="95"/>
      <c r="N9" s="119"/>
      <c r="O9" s="120">
        <v>0</v>
      </c>
      <c r="P9" s="121">
        <v>5500</v>
      </c>
      <c r="R9" s="159">
        <v>0</v>
      </c>
      <c r="S9" s="132">
        <f t="shared" si="2"/>
        <v>0</v>
      </c>
      <c r="T9" s="100" t="s">
        <v>47</v>
      </c>
    </row>
    <row r="10" spans="1:20">
      <c r="A10" s="173"/>
      <c r="B10" s="38" t="s">
        <v>48</v>
      </c>
      <c r="C10" s="106">
        <v>130</v>
      </c>
      <c r="D10" s="79">
        <v>60</v>
      </c>
      <c r="E10" s="30">
        <f t="shared" si="0"/>
        <v>5</v>
      </c>
      <c r="F10" s="117">
        <f t="shared" si="1"/>
        <v>65</v>
      </c>
      <c r="G10" s="102"/>
      <c r="H10" s="77"/>
      <c r="I10" s="77"/>
      <c r="J10" s="77"/>
      <c r="K10" s="77"/>
      <c r="L10" s="77"/>
      <c r="M10" s="96">
        <v>2</v>
      </c>
      <c r="N10" s="122"/>
      <c r="O10" s="123">
        <v>0</v>
      </c>
      <c r="P10" s="115"/>
      <c r="R10" s="160">
        <v>0</v>
      </c>
      <c r="S10" s="131">
        <f t="shared" si="2"/>
        <v>0</v>
      </c>
      <c r="T10" s="42" t="s">
        <v>48</v>
      </c>
    </row>
    <row r="11" spans="1:20">
      <c r="A11" s="173"/>
      <c r="B11" s="38" t="s">
        <v>49</v>
      </c>
      <c r="C11" s="106">
        <v>75</v>
      </c>
      <c r="D11" s="79">
        <v>40</v>
      </c>
      <c r="E11" s="30">
        <f t="shared" si="0"/>
        <v>1.25</v>
      </c>
      <c r="F11" s="117">
        <f t="shared" si="1"/>
        <v>33.75</v>
      </c>
      <c r="G11" s="102"/>
      <c r="H11" s="77"/>
      <c r="I11" s="77"/>
      <c r="J11" s="77"/>
      <c r="K11" s="77"/>
      <c r="L11" s="77"/>
      <c r="M11" s="96">
        <v>0.5</v>
      </c>
      <c r="N11" s="122"/>
      <c r="O11" s="123">
        <v>60000</v>
      </c>
      <c r="P11" s="115"/>
      <c r="R11" s="160">
        <v>60000</v>
      </c>
      <c r="S11" s="131">
        <f t="shared" si="2"/>
        <v>0</v>
      </c>
      <c r="T11" s="42" t="s">
        <v>49</v>
      </c>
    </row>
    <row r="12" spans="1:20">
      <c r="A12" s="173"/>
      <c r="B12" s="38" t="s">
        <v>50</v>
      </c>
      <c r="C12" s="106">
        <v>200</v>
      </c>
      <c r="D12" s="79">
        <v>160</v>
      </c>
      <c r="E12" s="30">
        <f t="shared" si="0"/>
        <v>18</v>
      </c>
      <c r="F12" s="117">
        <f>C12-SUM(D12:E12)</f>
        <v>22</v>
      </c>
      <c r="G12" s="102"/>
      <c r="H12" s="77"/>
      <c r="I12" s="77"/>
      <c r="J12" s="77"/>
      <c r="K12" s="77"/>
      <c r="L12" s="77">
        <v>1.5</v>
      </c>
      <c r="M12" s="96"/>
      <c r="N12" s="122"/>
      <c r="O12" s="123">
        <v>6000</v>
      </c>
      <c r="P12" s="115">
        <v>6000</v>
      </c>
      <c r="R12" s="160">
        <v>6000</v>
      </c>
      <c r="S12" s="131">
        <f t="shared" si="2"/>
        <v>0</v>
      </c>
      <c r="T12" s="42" t="s">
        <v>50</v>
      </c>
    </row>
    <row r="13" spans="1:20" ht="17" thickBot="1">
      <c r="A13" s="166"/>
      <c r="B13" s="110" t="s">
        <v>51</v>
      </c>
      <c r="C13" s="107">
        <v>120</v>
      </c>
      <c r="D13" s="80">
        <v>90</v>
      </c>
      <c r="E13" s="49">
        <f t="shared" si="0"/>
        <v>3.375</v>
      </c>
      <c r="F13" s="118">
        <f t="shared" si="1"/>
        <v>26.625</v>
      </c>
      <c r="G13" s="103"/>
      <c r="H13" s="98"/>
      <c r="I13" s="98"/>
      <c r="J13" s="98"/>
      <c r="K13" s="98">
        <v>1.5</v>
      </c>
      <c r="L13" s="98"/>
      <c r="M13" s="99"/>
      <c r="N13" s="124"/>
      <c r="O13" s="125">
        <v>355.55555555555594</v>
      </c>
      <c r="P13" s="126"/>
      <c r="R13" s="161">
        <v>9243</v>
      </c>
      <c r="S13" s="133">
        <f t="shared" si="2"/>
        <v>-8887.4444444444434</v>
      </c>
      <c r="T13" s="45" t="s">
        <v>51</v>
      </c>
    </row>
    <row r="14" spans="1:20">
      <c r="A14" s="165" t="s">
        <v>84</v>
      </c>
      <c r="B14" s="109" t="s">
        <v>44</v>
      </c>
      <c r="C14" s="105">
        <f>C6</f>
        <v>120</v>
      </c>
      <c r="D14" s="87">
        <f>D6</f>
        <v>60</v>
      </c>
      <c r="E14" s="88">
        <v>0</v>
      </c>
      <c r="F14" s="105">
        <f>C14-D14</f>
        <v>60</v>
      </c>
      <c r="G14" s="101"/>
      <c r="H14" s="93"/>
      <c r="I14" s="93"/>
      <c r="J14" s="93">
        <v>0.5</v>
      </c>
      <c r="K14" s="93"/>
      <c r="L14" s="93"/>
      <c r="M14" s="95"/>
      <c r="N14" s="119"/>
      <c r="O14" s="120">
        <v>7000</v>
      </c>
      <c r="P14" s="121">
        <f>O5</f>
        <v>7000</v>
      </c>
      <c r="R14" s="159">
        <v>7000</v>
      </c>
      <c r="S14" s="132">
        <f t="shared" si="2"/>
        <v>0</v>
      </c>
      <c r="T14" s="100" t="s">
        <v>44</v>
      </c>
    </row>
    <row r="15" spans="1:20" ht="17" thickBot="1">
      <c r="A15" s="166"/>
      <c r="B15" s="110" t="s">
        <v>49</v>
      </c>
      <c r="C15" s="107">
        <f>C11</f>
        <v>75</v>
      </c>
      <c r="D15" s="80">
        <f>D11</f>
        <v>40</v>
      </c>
      <c r="E15" s="49">
        <v>0</v>
      </c>
      <c r="F15" s="107">
        <f>C15-D15</f>
        <v>35</v>
      </c>
      <c r="G15" s="103"/>
      <c r="H15" s="98"/>
      <c r="I15" s="98"/>
      <c r="J15" s="98"/>
      <c r="K15" s="98"/>
      <c r="L15" s="98"/>
      <c r="M15" s="99">
        <v>0.5</v>
      </c>
      <c r="N15" s="124"/>
      <c r="O15" s="125">
        <v>0</v>
      </c>
      <c r="P15" s="126">
        <f>O10</f>
        <v>0</v>
      </c>
      <c r="R15" s="161">
        <v>0</v>
      </c>
      <c r="S15" s="133">
        <f t="shared" si="2"/>
        <v>0</v>
      </c>
      <c r="T15" s="45" t="s">
        <v>49</v>
      </c>
    </row>
    <row r="16" spans="1:20" ht="17" thickBot="1">
      <c r="A16" s="170"/>
      <c r="B16" s="170"/>
      <c r="C16" s="170"/>
      <c r="D16" s="167"/>
      <c r="E16" s="174" t="s">
        <v>95</v>
      </c>
      <c r="F16" s="175"/>
      <c r="G16" s="93">
        <f>SUMPRODUCT(G3:G13,$O$3:$O$13)</f>
        <v>25100</v>
      </c>
      <c r="H16" s="93">
        <f t="shared" ref="H16:M16" si="3">SUMPRODUCT(H3:H13,$O$3:$O$13)</f>
        <v>38000</v>
      </c>
      <c r="I16" s="93">
        <f t="shared" si="3"/>
        <v>6000</v>
      </c>
      <c r="J16" s="93">
        <f t="shared" si="3"/>
        <v>18000</v>
      </c>
      <c r="K16" s="93">
        <f t="shared" si="3"/>
        <v>30000</v>
      </c>
      <c r="L16" s="93">
        <f t="shared" si="3"/>
        <v>9000</v>
      </c>
      <c r="M16" s="93">
        <f t="shared" si="3"/>
        <v>30000</v>
      </c>
      <c r="N16" t="s">
        <v>104</v>
      </c>
      <c r="O16" s="148">
        <f>O14+O6</f>
        <v>15000</v>
      </c>
      <c r="P16" s="148">
        <v>15000</v>
      </c>
    </row>
    <row r="17" spans="1:13">
      <c r="A17" s="47" t="s">
        <v>66</v>
      </c>
      <c r="B17" s="90" t="s">
        <v>76</v>
      </c>
      <c r="C17" s="35">
        <v>860000</v>
      </c>
      <c r="D17" s="167"/>
      <c r="E17" s="163"/>
      <c r="F17" s="164"/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76" t="s">
        <v>12</v>
      </c>
    </row>
    <row r="18" spans="1:13" ht="17" thickBot="1">
      <c r="A18" s="43"/>
      <c r="B18" s="44" t="s">
        <v>77</v>
      </c>
      <c r="C18" s="49">
        <v>2700000</v>
      </c>
      <c r="D18" s="167"/>
      <c r="E18" s="168" t="s">
        <v>93</v>
      </c>
      <c r="F18" s="169"/>
      <c r="G18" s="113">
        <v>45000</v>
      </c>
      <c r="H18" s="113">
        <f>28000+10000</f>
        <v>38000</v>
      </c>
      <c r="I18" s="114">
        <v>9000</v>
      </c>
      <c r="J18" s="113">
        <v>18000</v>
      </c>
      <c r="K18" s="113">
        <v>30000</v>
      </c>
      <c r="L18" s="113">
        <v>20000</v>
      </c>
      <c r="M18" s="115">
        <v>30000</v>
      </c>
    </row>
    <row r="19" spans="1:13" ht="17" thickBot="1">
      <c r="A19" s="167"/>
      <c r="B19" s="167"/>
      <c r="C19" s="167"/>
      <c r="D19" s="167"/>
      <c r="E19" s="168" t="s">
        <v>94</v>
      </c>
      <c r="F19" s="169"/>
      <c r="G19" s="10">
        <f>G18-G16</f>
        <v>19900</v>
      </c>
      <c r="H19" s="10">
        <f t="shared" ref="H19:M19" si="4">H18-H16</f>
        <v>0</v>
      </c>
      <c r="I19" s="10">
        <f t="shared" si="4"/>
        <v>3000</v>
      </c>
      <c r="J19" s="10">
        <f t="shared" si="4"/>
        <v>0</v>
      </c>
      <c r="K19" s="10">
        <f t="shared" si="4"/>
        <v>0</v>
      </c>
      <c r="L19" s="10">
        <f t="shared" si="4"/>
        <v>11000</v>
      </c>
      <c r="M19" s="62">
        <f t="shared" si="4"/>
        <v>0</v>
      </c>
    </row>
    <row r="20" spans="1:13">
      <c r="A20" s="47" t="s">
        <v>1</v>
      </c>
      <c r="B20" s="182" t="s">
        <v>89</v>
      </c>
      <c r="C20" s="182"/>
      <c r="D20" s="183"/>
      <c r="E20" s="168" t="s">
        <v>79</v>
      </c>
      <c r="F20" s="169"/>
      <c r="G20" s="9">
        <v>9</v>
      </c>
      <c r="H20" s="9">
        <v>1.5</v>
      </c>
      <c r="I20" s="9">
        <v>60</v>
      </c>
      <c r="J20" s="9">
        <v>13</v>
      </c>
      <c r="K20" s="9">
        <v>2.25</v>
      </c>
      <c r="L20" s="9">
        <v>12</v>
      </c>
      <c r="M20" s="30">
        <v>2.5</v>
      </c>
    </row>
    <row r="21" spans="1:13" ht="17" thickBot="1">
      <c r="A21" s="180"/>
      <c r="B21" s="176" t="s">
        <v>87</v>
      </c>
      <c r="C21" s="176"/>
      <c r="D21" s="177"/>
      <c r="E21" s="184" t="s">
        <v>92</v>
      </c>
      <c r="F21" s="185"/>
      <c r="G21" s="111">
        <f>G20*G19</f>
        <v>179100</v>
      </c>
      <c r="H21" s="111">
        <f t="shared" ref="H21:M21" si="5">H20*H19</f>
        <v>0</v>
      </c>
      <c r="I21" s="111">
        <f t="shared" si="5"/>
        <v>180000</v>
      </c>
      <c r="J21" s="111">
        <f t="shared" si="5"/>
        <v>0</v>
      </c>
      <c r="K21" s="111">
        <f t="shared" si="5"/>
        <v>0</v>
      </c>
      <c r="L21" s="111">
        <f t="shared" si="5"/>
        <v>132000</v>
      </c>
      <c r="M21" s="112">
        <f t="shared" si="5"/>
        <v>0</v>
      </c>
    </row>
    <row r="22" spans="1:13" ht="17" thickBot="1">
      <c r="A22" s="181"/>
      <c r="B22" s="178" t="s">
        <v>88</v>
      </c>
      <c r="C22" s="178"/>
      <c r="D22" s="179"/>
    </row>
    <row r="23" spans="1:13" ht="17" thickBot="1"/>
    <row r="24" spans="1:13" ht="17" thickBot="1">
      <c r="A24" s="127" t="s">
        <v>36</v>
      </c>
      <c r="B24" s="128">
        <f>SUMPRODUCT(F3:F15,O3:O15) + SUM(G21:M21)-SUM(C17:C18)</f>
        <v>4512366.666666667</v>
      </c>
      <c r="C24" t="s">
        <v>96</v>
      </c>
    </row>
  </sheetData>
  <mergeCells count="20">
    <mergeCell ref="A16:C16"/>
    <mergeCell ref="D16:D19"/>
    <mergeCell ref="E16:F16"/>
    <mergeCell ref="E17:F17"/>
    <mergeCell ref="E18:F18"/>
    <mergeCell ref="A19:C19"/>
    <mergeCell ref="E19:F19"/>
    <mergeCell ref="B20:D20"/>
    <mergeCell ref="E20:F20"/>
    <mergeCell ref="A21:A22"/>
    <mergeCell ref="B21:D21"/>
    <mergeCell ref="E21:F21"/>
    <mergeCell ref="B22:D22"/>
    <mergeCell ref="N1:P1"/>
    <mergeCell ref="A3:A8"/>
    <mergeCell ref="A9:A13"/>
    <mergeCell ref="A14:A15"/>
    <mergeCell ref="R1:T1"/>
    <mergeCell ref="D1:E1"/>
    <mergeCell ref="G1:M1"/>
  </mergeCells>
  <conditionalFormatting sqref="S3:S15">
    <cfRule type="cellIs" dxfId="5" priority="1" operator="greaterThan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F291-5EF8-2442-9015-9B6E1CD1C96B}">
  <dimension ref="A1:U54"/>
  <sheetViews>
    <sheetView tabSelected="1" topLeftCell="A28" workbookViewId="0">
      <selection activeCell="B53" sqref="B53"/>
    </sheetView>
  </sheetViews>
  <sheetFormatPr baseColWidth="10" defaultRowHeight="16"/>
  <cols>
    <col min="1" max="1" width="15.5" customWidth="1"/>
    <col min="2" max="2" width="19.83203125" customWidth="1"/>
    <col min="3" max="3" width="14" bestFit="1" customWidth="1"/>
    <col min="4" max="4" width="15.1640625" customWidth="1"/>
    <col min="5" max="5" width="12.5" customWidth="1"/>
    <col min="6" max="6" width="13.6640625" customWidth="1"/>
    <col min="7" max="7" width="14" bestFit="1" customWidth="1"/>
    <col min="8" max="8" width="12.83203125" customWidth="1"/>
    <col min="9" max="9" width="13.1640625" customWidth="1"/>
    <col min="10" max="10" width="13" customWidth="1"/>
    <col min="11" max="14" width="12.33203125" customWidth="1"/>
    <col min="21" max="21" width="17.33203125" customWidth="1"/>
  </cols>
  <sheetData>
    <row r="1" spans="1:21" ht="17" thickBot="1">
      <c r="A1" s="205" t="s">
        <v>103</v>
      </c>
      <c r="B1" s="206"/>
      <c r="C1" s="207">
        <v>0.6</v>
      </c>
      <c r="D1" s="208"/>
      <c r="E1" s="209" t="s">
        <v>91</v>
      </c>
      <c r="F1" s="172"/>
      <c r="G1" s="7"/>
      <c r="H1" s="210" t="s">
        <v>82</v>
      </c>
      <c r="I1" s="211"/>
      <c r="J1" s="211"/>
      <c r="K1" s="211"/>
      <c r="L1" s="211"/>
      <c r="M1" s="211"/>
      <c r="N1" s="212"/>
      <c r="O1" s="210" t="s">
        <v>83</v>
      </c>
      <c r="P1" s="211"/>
      <c r="Q1" s="212"/>
      <c r="S1" s="187" t="s">
        <v>98</v>
      </c>
      <c r="T1" s="188"/>
      <c r="U1" s="189"/>
    </row>
    <row r="2" spans="1:21" ht="18" thickTop="1" thickBot="1">
      <c r="A2" s="142"/>
      <c r="B2" s="75" t="s">
        <v>90</v>
      </c>
      <c r="C2" s="141" t="s">
        <v>33</v>
      </c>
      <c r="D2" s="1" t="s">
        <v>102</v>
      </c>
      <c r="E2" s="83" t="s">
        <v>74</v>
      </c>
      <c r="F2" s="84" t="s">
        <v>75</v>
      </c>
      <c r="G2" s="104" t="s">
        <v>78</v>
      </c>
      <c r="H2" s="136" t="s">
        <v>3</v>
      </c>
      <c r="I2" s="154" t="s">
        <v>4</v>
      </c>
      <c r="J2" s="154" t="s">
        <v>5</v>
      </c>
      <c r="K2" s="154" t="s">
        <v>6</v>
      </c>
      <c r="L2" s="154" t="s">
        <v>7</v>
      </c>
      <c r="M2" s="154" t="s">
        <v>8</v>
      </c>
      <c r="N2" s="137" t="s">
        <v>9</v>
      </c>
      <c r="O2" s="136" t="s">
        <v>80</v>
      </c>
      <c r="P2" s="154" t="s">
        <v>0</v>
      </c>
      <c r="Q2" s="137" t="s">
        <v>81</v>
      </c>
      <c r="S2" s="83" t="s">
        <v>0</v>
      </c>
      <c r="T2" s="130" t="s">
        <v>99</v>
      </c>
      <c r="U2" s="84" t="s">
        <v>90</v>
      </c>
    </row>
    <row r="3" spans="1:21" ht="17" thickBot="1">
      <c r="A3" s="165" t="s">
        <v>72</v>
      </c>
      <c r="B3" s="109" t="s">
        <v>41</v>
      </c>
      <c r="C3" s="144">
        <v>300</v>
      </c>
      <c r="D3" s="147">
        <f>C3</f>
        <v>300</v>
      </c>
      <c r="E3" s="92">
        <v>160</v>
      </c>
      <c r="F3" s="35">
        <f t="shared" ref="F3:F13" si="0">SUMPRODUCT($H$20:$N$20,H3:N3)</f>
        <v>30</v>
      </c>
      <c r="G3" s="116">
        <f>D3-SUM(E3:F3)</f>
        <v>110</v>
      </c>
      <c r="H3" s="101">
        <v>3</v>
      </c>
      <c r="I3" s="94">
        <v>2</v>
      </c>
      <c r="J3" s="93"/>
      <c r="K3" s="93"/>
      <c r="L3" s="93"/>
      <c r="M3" s="93"/>
      <c r="N3" s="95"/>
      <c r="O3" s="119">
        <f>0.6*Q3</f>
        <v>4200</v>
      </c>
      <c r="P3" s="120">
        <v>4200</v>
      </c>
      <c r="Q3" s="121">
        <v>7000</v>
      </c>
      <c r="S3" s="159">
        <v>4200</v>
      </c>
      <c r="T3" s="132">
        <f>P3-S3</f>
        <v>0</v>
      </c>
      <c r="U3" s="100" t="s">
        <v>41</v>
      </c>
    </row>
    <row r="4" spans="1:21" ht="17" thickBot="1">
      <c r="A4" s="173"/>
      <c r="B4" s="38" t="s">
        <v>42</v>
      </c>
      <c r="C4" s="145">
        <v>450</v>
      </c>
      <c r="D4" s="147">
        <f t="shared" ref="D4:D15" si="1">C4</f>
        <v>450</v>
      </c>
      <c r="E4" s="78">
        <v>150</v>
      </c>
      <c r="F4" s="30">
        <f t="shared" si="0"/>
        <v>90</v>
      </c>
      <c r="G4" s="116">
        <f t="shared" ref="G4:G15" si="2">D4-SUM(E4:F4)</f>
        <v>210</v>
      </c>
      <c r="H4" s="102"/>
      <c r="I4" s="77"/>
      <c r="J4" s="77">
        <v>1.5</v>
      </c>
      <c r="K4" s="77"/>
      <c r="L4" s="77"/>
      <c r="M4" s="77"/>
      <c r="N4" s="96"/>
      <c r="O4" s="122"/>
      <c r="P4" s="123">
        <v>4000</v>
      </c>
      <c r="Q4" s="115">
        <v>4000</v>
      </c>
      <c r="S4" s="160">
        <v>4000</v>
      </c>
      <c r="T4" s="131">
        <f>P4-S4</f>
        <v>0</v>
      </c>
      <c r="U4" s="42" t="s">
        <v>42</v>
      </c>
    </row>
    <row r="5" spans="1:21" ht="17" thickBot="1">
      <c r="A5" s="173"/>
      <c r="B5" s="38" t="s">
        <v>43</v>
      </c>
      <c r="C5" s="145">
        <v>180</v>
      </c>
      <c r="D5" s="147">
        <f t="shared" si="1"/>
        <v>180</v>
      </c>
      <c r="E5" s="78">
        <v>100</v>
      </c>
      <c r="F5" s="30">
        <f t="shared" si="0"/>
        <v>26</v>
      </c>
      <c r="G5" s="116">
        <f t="shared" si="2"/>
        <v>54</v>
      </c>
      <c r="H5" s="102"/>
      <c r="I5" s="77"/>
      <c r="J5" s="77"/>
      <c r="K5" s="77">
        <v>2</v>
      </c>
      <c r="L5" s="77"/>
      <c r="M5" s="77"/>
      <c r="N5" s="96"/>
      <c r="O5" s="122"/>
      <c r="P5" s="123">
        <v>7000</v>
      </c>
      <c r="Q5" s="115">
        <v>12000</v>
      </c>
      <c r="S5" s="160">
        <v>7000</v>
      </c>
      <c r="T5" s="131">
        <f t="shared" ref="T5:T15" si="3">P5-S5</f>
        <v>0</v>
      </c>
      <c r="U5" s="42" t="s">
        <v>43</v>
      </c>
    </row>
    <row r="6" spans="1:21" ht="17" thickBot="1">
      <c r="A6" s="173"/>
      <c r="B6" s="38" t="s">
        <v>44</v>
      </c>
      <c r="C6" s="145">
        <v>120</v>
      </c>
      <c r="D6" s="147">
        <f t="shared" si="1"/>
        <v>120</v>
      </c>
      <c r="E6" s="78">
        <v>60</v>
      </c>
      <c r="F6" s="30">
        <f t="shared" si="0"/>
        <v>6.5</v>
      </c>
      <c r="G6" s="116">
        <f t="shared" si="2"/>
        <v>53.5</v>
      </c>
      <c r="H6" s="102"/>
      <c r="I6" s="77"/>
      <c r="J6" s="77"/>
      <c r="K6" s="77">
        <v>0.5</v>
      </c>
      <c r="L6" s="77"/>
      <c r="M6" s="77"/>
      <c r="N6" s="96"/>
      <c r="O6" s="122"/>
      <c r="P6" s="123">
        <v>8000</v>
      </c>
      <c r="Q6" s="115">
        <v>15000</v>
      </c>
      <c r="S6" s="160">
        <v>8000</v>
      </c>
      <c r="T6" s="131">
        <f t="shared" si="3"/>
        <v>0</v>
      </c>
      <c r="U6" s="42" t="s">
        <v>44</v>
      </c>
    </row>
    <row r="7" spans="1:21" ht="17" thickBot="1">
      <c r="A7" s="173"/>
      <c r="B7" s="38" t="s">
        <v>45</v>
      </c>
      <c r="C7" s="145">
        <v>270</v>
      </c>
      <c r="D7" s="147">
        <f t="shared" si="1"/>
        <v>270</v>
      </c>
      <c r="E7" s="78">
        <v>120</v>
      </c>
      <c r="F7" s="30">
        <f t="shared" si="0"/>
        <v>6.75</v>
      </c>
      <c r="G7" s="116">
        <f t="shared" si="2"/>
        <v>143.25</v>
      </c>
      <c r="H7" s="102"/>
      <c r="I7" s="77">
        <v>1.5</v>
      </c>
      <c r="J7" s="77"/>
      <c r="K7" s="77"/>
      <c r="L7" s="77">
        <v>2</v>
      </c>
      <c r="M7" s="77"/>
      <c r="N7" s="96"/>
      <c r="O7" s="122">
        <v>2800</v>
      </c>
      <c r="P7" s="123">
        <v>8067</v>
      </c>
      <c r="Q7" s="115"/>
      <c r="S7" s="160">
        <v>8067</v>
      </c>
      <c r="T7" s="131">
        <f t="shared" si="3"/>
        <v>0</v>
      </c>
      <c r="U7" s="42" t="s">
        <v>45</v>
      </c>
    </row>
    <row r="8" spans="1:21" ht="17" thickBot="1">
      <c r="A8" s="166"/>
      <c r="B8" s="110" t="s">
        <v>46</v>
      </c>
      <c r="C8" s="146">
        <v>320</v>
      </c>
      <c r="D8" s="147">
        <f t="shared" si="1"/>
        <v>320</v>
      </c>
      <c r="E8" s="97">
        <v>140</v>
      </c>
      <c r="F8" s="49">
        <f t="shared" si="0"/>
        <v>24.75</v>
      </c>
      <c r="G8" s="116">
        <f t="shared" si="2"/>
        <v>155.25</v>
      </c>
      <c r="H8" s="103">
        <v>2.5</v>
      </c>
      <c r="I8" s="98">
        <v>1.5</v>
      </c>
      <c r="J8" s="98"/>
      <c r="K8" s="98"/>
      <c r="L8" s="98"/>
      <c r="M8" s="98"/>
      <c r="N8" s="99"/>
      <c r="O8" s="124">
        <f>0.6*Q8</f>
        <v>3000</v>
      </c>
      <c r="P8" s="125">
        <v>4999</v>
      </c>
      <c r="Q8" s="126">
        <v>5000</v>
      </c>
      <c r="S8" s="161">
        <v>4999</v>
      </c>
      <c r="T8" s="133">
        <f t="shared" si="3"/>
        <v>0</v>
      </c>
      <c r="U8" s="45" t="s">
        <v>46</v>
      </c>
    </row>
    <row r="9" spans="1:21" ht="17" thickBot="1">
      <c r="A9" s="165" t="s">
        <v>73</v>
      </c>
      <c r="B9" s="109" t="s">
        <v>47</v>
      </c>
      <c r="C9" s="144">
        <v>350</v>
      </c>
      <c r="D9" s="147">
        <f t="shared" si="1"/>
        <v>350</v>
      </c>
      <c r="E9" s="92">
        <v>174</v>
      </c>
      <c r="F9" s="35">
        <f t="shared" si="0"/>
        <v>39</v>
      </c>
      <c r="G9" s="116">
        <f t="shared" si="2"/>
        <v>137</v>
      </c>
      <c r="H9" s="101"/>
      <c r="I9" s="93">
        <v>2</v>
      </c>
      <c r="J9" s="93"/>
      <c r="K9" s="93"/>
      <c r="L9" s="93"/>
      <c r="M9" s="93">
        <v>3</v>
      </c>
      <c r="N9" s="95"/>
      <c r="O9" s="119"/>
      <c r="P9" s="120">
        <v>0</v>
      </c>
      <c r="Q9" s="121">
        <v>5500</v>
      </c>
      <c r="S9" s="159">
        <v>0</v>
      </c>
      <c r="T9" s="132">
        <f t="shared" si="3"/>
        <v>0</v>
      </c>
      <c r="U9" s="100" t="s">
        <v>47</v>
      </c>
    </row>
    <row r="10" spans="1:21" ht="17" thickBot="1">
      <c r="A10" s="173"/>
      <c r="B10" s="38" t="s">
        <v>48</v>
      </c>
      <c r="C10" s="145">
        <v>130</v>
      </c>
      <c r="D10" s="147">
        <f t="shared" si="1"/>
        <v>130</v>
      </c>
      <c r="E10" s="78">
        <v>60</v>
      </c>
      <c r="F10" s="30">
        <f t="shared" si="0"/>
        <v>5</v>
      </c>
      <c r="G10" s="116">
        <f t="shared" si="2"/>
        <v>65</v>
      </c>
      <c r="H10" s="102"/>
      <c r="I10" s="77"/>
      <c r="J10" s="77"/>
      <c r="K10" s="77"/>
      <c r="L10" s="77"/>
      <c r="M10" s="77"/>
      <c r="N10" s="96">
        <v>2</v>
      </c>
      <c r="O10" s="122"/>
      <c r="P10" s="123">
        <v>0</v>
      </c>
      <c r="Q10" s="115"/>
      <c r="S10" s="160">
        <v>0</v>
      </c>
      <c r="T10" s="131">
        <f t="shared" si="3"/>
        <v>0</v>
      </c>
      <c r="U10" s="42" t="s">
        <v>48</v>
      </c>
    </row>
    <row r="11" spans="1:21" ht="17" thickBot="1">
      <c r="A11" s="173"/>
      <c r="B11" s="38" t="s">
        <v>49</v>
      </c>
      <c r="C11" s="145">
        <v>75</v>
      </c>
      <c r="D11" s="147">
        <f t="shared" si="1"/>
        <v>75</v>
      </c>
      <c r="E11" s="78">
        <v>40</v>
      </c>
      <c r="F11" s="30">
        <f t="shared" si="0"/>
        <v>1.25</v>
      </c>
      <c r="G11" s="116">
        <f t="shared" si="2"/>
        <v>33.75</v>
      </c>
      <c r="H11" s="102"/>
      <c r="I11" s="77"/>
      <c r="J11" s="77"/>
      <c r="K11" s="77"/>
      <c r="L11" s="77"/>
      <c r="M11" s="77"/>
      <c r="N11" s="96">
        <v>0.5</v>
      </c>
      <c r="O11" s="122"/>
      <c r="P11" s="123">
        <v>60000</v>
      </c>
      <c r="Q11" s="115"/>
      <c r="S11" s="160">
        <v>60000</v>
      </c>
      <c r="T11" s="131">
        <f t="shared" si="3"/>
        <v>0</v>
      </c>
      <c r="U11" s="42" t="s">
        <v>49</v>
      </c>
    </row>
    <row r="12" spans="1:21" ht="17" thickBot="1">
      <c r="A12" s="173"/>
      <c r="B12" s="38" t="s">
        <v>50</v>
      </c>
      <c r="C12" s="145">
        <v>200</v>
      </c>
      <c r="D12" s="147">
        <f t="shared" si="1"/>
        <v>200</v>
      </c>
      <c r="E12" s="78">
        <v>160</v>
      </c>
      <c r="F12" s="30">
        <f t="shared" si="0"/>
        <v>18</v>
      </c>
      <c r="G12" s="116">
        <f t="shared" si="2"/>
        <v>22</v>
      </c>
      <c r="H12" s="102"/>
      <c r="I12" s="77"/>
      <c r="J12" s="77"/>
      <c r="K12" s="77"/>
      <c r="L12" s="77"/>
      <c r="M12" s="77">
        <v>1.5</v>
      </c>
      <c r="N12" s="96"/>
      <c r="O12" s="122"/>
      <c r="P12" s="123">
        <v>6000</v>
      </c>
      <c r="Q12" s="115">
        <v>6000</v>
      </c>
      <c r="S12" s="160">
        <v>6000</v>
      </c>
      <c r="T12" s="131">
        <f t="shared" si="3"/>
        <v>0</v>
      </c>
      <c r="U12" s="42" t="s">
        <v>50</v>
      </c>
    </row>
    <row r="13" spans="1:21" ht="17" thickBot="1">
      <c r="A13" s="166"/>
      <c r="B13" s="110" t="s">
        <v>51</v>
      </c>
      <c r="C13" s="146">
        <v>120</v>
      </c>
      <c r="D13" s="147">
        <f t="shared" si="1"/>
        <v>120</v>
      </c>
      <c r="E13" s="97">
        <v>90</v>
      </c>
      <c r="F13" s="49">
        <f t="shared" si="0"/>
        <v>3.375</v>
      </c>
      <c r="G13" s="116">
        <f t="shared" si="2"/>
        <v>26.625</v>
      </c>
      <c r="H13" s="103"/>
      <c r="I13" s="98"/>
      <c r="J13" s="98"/>
      <c r="K13" s="98"/>
      <c r="L13" s="98">
        <v>1.5</v>
      </c>
      <c r="M13" s="98"/>
      <c r="N13" s="99"/>
      <c r="O13" s="124"/>
      <c r="P13" s="125">
        <v>9243</v>
      </c>
      <c r="Q13" s="126"/>
      <c r="S13" s="161">
        <v>9243</v>
      </c>
      <c r="T13" s="133">
        <f t="shared" si="3"/>
        <v>0</v>
      </c>
      <c r="U13" s="45" t="s">
        <v>51</v>
      </c>
    </row>
    <row r="14" spans="1:21" ht="17" thickBot="1">
      <c r="A14" s="165" t="s">
        <v>84</v>
      </c>
      <c r="B14" s="109" t="s">
        <v>44</v>
      </c>
      <c r="C14" s="144">
        <f>C6</f>
        <v>120</v>
      </c>
      <c r="D14" s="147">
        <f t="shared" si="1"/>
        <v>120</v>
      </c>
      <c r="E14" s="89">
        <f>E6</f>
        <v>60</v>
      </c>
      <c r="F14" s="88">
        <v>0</v>
      </c>
      <c r="G14" s="116">
        <f t="shared" si="2"/>
        <v>60</v>
      </c>
      <c r="H14" s="101"/>
      <c r="I14" s="93"/>
      <c r="J14" s="93"/>
      <c r="K14" s="93">
        <v>0.5</v>
      </c>
      <c r="L14" s="93"/>
      <c r="M14" s="93"/>
      <c r="N14" s="95"/>
      <c r="O14" s="119"/>
      <c r="P14" s="120">
        <v>7000</v>
      </c>
      <c r="Q14" s="121">
        <f>P5</f>
        <v>7000</v>
      </c>
      <c r="S14" s="159">
        <v>7000</v>
      </c>
      <c r="T14" s="132">
        <f t="shared" si="3"/>
        <v>0</v>
      </c>
      <c r="U14" s="100" t="s">
        <v>44</v>
      </c>
    </row>
    <row r="15" spans="1:21" ht="17" thickBot="1">
      <c r="A15" s="166"/>
      <c r="B15" s="110" t="s">
        <v>49</v>
      </c>
      <c r="C15" s="146">
        <f>C11</f>
        <v>75</v>
      </c>
      <c r="D15" s="147">
        <f t="shared" si="1"/>
        <v>75</v>
      </c>
      <c r="E15" s="97">
        <f>E11</f>
        <v>40</v>
      </c>
      <c r="F15" s="49">
        <v>0</v>
      </c>
      <c r="G15" s="116">
        <f t="shared" si="2"/>
        <v>35</v>
      </c>
      <c r="H15" s="103"/>
      <c r="I15" s="98"/>
      <c r="J15" s="98"/>
      <c r="K15" s="98"/>
      <c r="L15" s="98"/>
      <c r="M15" s="98"/>
      <c r="N15" s="99">
        <v>0.5</v>
      </c>
      <c r="O15" s="124"/>
      <c r="P15" s="125">
        <v>0</v>
      </c>
      <c r="Q15" s="126">
        <f>P10</f>
        <v>0</v>
      </c>
      <c r="S15" s="161">
        <v>0</v>
      </c>
      <c r="T15" s="133">
        <f t="shared" si="3"/>
        <v>0</v>
      </c>
      <c r="U15" s="45" t="s">
        <v>49</v>
      </c>
    </row>
    <row r="16" spans="1:21" ht="17" thickBot="1">
      <c r="A16" s="170"/>
      <c r="B16" s="170"/>
      <c r="C16" s="170"/>
      <c r="D16" s="167"/>
      <c r="E16" s="202" t="s">
        <v>95</v>
      </c>
      <c r="F16" s="203"/>
      <c r="G16" s="204"/>
      <c r="H16" s="93">
        <f t="shared" ref="H16:N16" si="4">SUMPRODUCT(H3:H13,$P$3:$P$13)</f>
        <v>25097.5</v>
      </c>
      <c r="I16" s="93">
        <f t="shared" si="4"/>
        <v>27999</v>
      </c>
      <c r="J16" s="93">
        <f t="shared" si="4"/>
        <v>6000</v>
      </c>
      <c r="K16" s="93">
        <f t="shared" si="4"/>
        <v>18000</v>
      </c>
      <c r="L16" s="93">
        <f t="shared" si="4"/>
        <v>29998.5</v>
      </c>
      <c r="M16" s="93">
        <f t="shared" si="4"/>
        <v>9000</v>
      </c>
      <c r="N16" s="93">
        <f t="shared" si="4"/>
        <v>30000</v>
      </c>
      <c r="O16" t="s">
        <v>105</v>
      </c>
      <c r="P16" s="148">
        <f>P14+P6</f>
        <v>15000</v>
      </c>
      <c r="Q16" s="148">
        <v>15000</v>
      </c>
    </row>
    <row r="17" spans="1:17">
      <c r="A17" s="47" t="s">
        <v>66</v>
      </c>
      <c r="B17" s="90" t="s">
        <v>76</v>
      </c>
      <c r="C17" s="35">
        <v>860000</v>
      </c>
      <c r="D17" s="167"/>
      <c r="E17" s="196"/>
      <c r="F17" s="197"/>
      <c r="G17" s="198"/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12</v>
      </c>
      <c r="N17" s="76" t="s">
        <v>12</v>
      </c>
    </row>
    <row r="18" spans="1:17" ht="17" thickBot="1">
      <c r="A18" s="43"/>
      <c r="B18" s="44" t="s">
        <v>77</v>
      </c>
      <c r="C18" s="49">
        <v>2700000</v>
      </c>
      <c r="D18" s="167"/>
      <c r="E18" s="196" t="s">
        <v>93</v>
      </c>
      <c r="F18" s="197"/>
      <c r="G18" s="198"/>
      <c r="H18" s="157">
        <v>45000</v>
      </c>
      <c r="I18" s="157">
        <v>28000</v>
      </c>
      <c r="J18" s="157">
        <v>9000</v>
      </c>
      <c r="K18" s="157">
        <v>18000</v>
      </c>
      <c r="L18" s="157">
        <v>30000</v>
      </c>
      <c r="M18" s="157">
        <v>20000</v>
      </c>
      <c r="N18" s="158">
        <v>30000</v>
      </c>
    </row>
    <row r="19" spans="1:17" ht="17" thickBot="1">
      <c r="A19" s="167"/>
      <c r="B19" s="167"/>
      <c r="C19" s="167"/>
      <c r="D19" s="167"/>
      <c r="E19" s="196" t="s">
        <v>94</v>
      </c>
      <c r="F19" s="197"/>
      <c r="G19" s="198"/>
      <c r="H19" s="77">
        <f>H18-H16</f>
        <v>19902.5</v>
      </c>
      <c r="I19" s="77">
        <f t="shared" ref="I19:N19" si="5">I18-I16</f>
        <v>1</v>
      </c>
      <c r="J19" s="77">
        <f t="shared" si="5"/>
        <v>3000</v>
      </c>
      <c r="K19" s="77">
        <f t="shared" si="5"/>
        <v>0</v>
      </c>
      <c r="L19" s="77">
        <f>L18-L16</f>
        <v>1.5</v>
      </c>
      <c r="M19" s="77">
        <f t="shared" si="5"/>
        <v>11000</v>
      </c>
      <c r="N19" s="96">
        <f t="shared" si="5"/>
        <v>0</v>
      </c>
    </row>
    <row r="20" spans="1:17">
      <c r="A20" s="47" t="s">
        <v>1</v>
      </c>
      <c r="B20" s="182" t="s">
        <v>89</v>
      </c>
      <c r="C20" s="182"/>
      <c r="D20" s="183"/>
      <c r="E20" s="196" t="s">
        <v>79</v>
      </c>
      <c r="F20" s="197"/>
      <c r="G20" s="198"/>
      <c r="H20" s="9">
        <v>9</v>
      </c>
      <c r="I20" s="9">
        <v>1.5</v>
      </c>
      <c r="J20" s="9">
        <v>60</v>
      </c>
      <c r="K20" s="9">
        <v>13</v>
      </c>
      <c r="L20" s="9">
        <v>2.25</v>
      </c>
      <c r="M20" s="9">
        <v>12</v>
      </c>
      <c r="N20" s="30">
        <v>2.5</v>
      </c>
    </row>
    <row r="21" spans="1:17" ht="17" thickBot="1">
      <c r="A21" s="180"/>
      <c r="B21" s="176" t="s">
        <v>87</v>
      </c>
      <c r="C21" s="176"/>
      <c r="D21" s="177"/>
      <c r="E21" s="199" t="s">
        <v>92</v>
      </c>
      <c r="F21" s="200"/>
      <c r="G21" s="201"/>
      <c r="H21" s="111">
        <f>H20*H19</f>
        <v>179122.5</v>
      </c>
      <c r="I21" s="111">
        <f t="shared" ref="I21:N21" si="6">I20*I19</f>
        <v>1.5</v>
      </c>
      <c r="J21" s="111">
        <f t="shared" si="6"/>
        <v>180000</v>
      </c>
      <c r="K21" s="111">
        <f t="shared" si="6"/>
        <v>0</v>
      </c>
      <c r="L21" s="111">
        <f t="shared" si="6"/>
        <v>3.375</v>
      </c>
      <c r="M21" s="111">
        <f t="shared" si="6"/>
        <v>132000</v>
      </c>
      <c r="N21" s="112">
        <f t="shared" si="6"/>
        <v>0</v>
      </c>
    </row>
    <row r="22" spans="1:17" ht="17" thickBot="1">
      <c r="A22" s="181"/>
      <c r="B22" s="178" t="s">
        <v>88</v>
      </c>
      <c r="C22" s="178"/>
      <c r="D22" s="179"/>
    </row>
    <row r="23" spans="1:17" ht="17" thickBot="1"/>
    <row r="24" spans="1:17" ht="17" thickBot="1">
      <c r="A24" s="155" t="s">
        <v>109</v>
      </c>
      <c r="B24" s="156">
        <f>SUMPRODUCT(G3:G15,P3:P15) + SUM(H21:N21)-SUM(C17:C18)</f>
        <v>3793914.75</v>
      </c>
      <c r="C24" t="s">
        <v>96</v>
      </c>
    </row>
    <row r="27" spans="1:17" ht="24">
      <c r="A27" s="149" t="s">
        <v>106</v>
      </c>
    </row>
    <row r="28" spans="1:17" ht="17" thickBot="1"/>
    <row r="29" spans="1:17" ht="17" thickBot="1">
      <c r="A29" s="205" t="s">
        <v>103</v>
      </c>
      <c r="B29" s="206"/>
      <c r="C29" s="207">
        <v>0.6</v>
      </c>
      <c r="D29" s="208"/>
      <c r="E29" s="209" t="s">
        <v>91</v>
      </c>
      <c r="F29" s="172"/>
      <c r="G29" s="7"/>
      <c r="H29" s="210" t="s">
        <v>82</v>
      </c>
      <c r="I29" s="211"/>
      <c r="J29" s="211"/>
      <c r="K29" s="211"/>
      <c r="L29" s="211"/>
      <c r="M29" s="211"/>
      <c r="N29" s="212"/>
      <c r="O29" s="210" t="s">
        <v>83</v>
      </c>
      <c r="P29" s="211"/>
      <c r="Q29" s="212"/>
    </row>
    <row r="30" spans="1:17" ht="18" thickTop="1" thickBot="1">
      <c r="A30" s="142"/>
      <c r="B30" s="75" t="s">
        <v>90</v>
      </c>
      <c r="C30" s="141" t="s">
        <v>33</v>
      </c>
      <c r="D30" s="1" t="s">
        <v>102</v>
      </c>
      <c r="E30" s="83" t="s">
        <v>74</v>
      </c>
      <c r="F30" s="84" t="s">
        <v>75</v>
      </c>
      <c r="G30" s="104" t="s">
        <v>78</v>
      </c>
      <c r="H30" s="85" t="s">
        <v>3</v>
      </c>
      <c r="I30" s="86" t="s">
        <v>4</v>
      </c>
      <c r="J30" s="86" t="s">
        <v>5</v>
      </c>
      <c r="K30" s="86" t="s">
        <v>6</v>
      </c>
      <c r="L30" s="86" t="s">
        <v>7</v>
      </c>
      <c r="M30" s="86" t="s">
        <v>8</v>
      </c>
      <c r="N30" s="86" t="s">
        <v>9</v>
      </c>
      <c r="O30" s="86" t="s">
        <v>80</v>
      </c>
      <c r="P30" s="86" t="s">
        <v>0</v>
      </c>
      <c r="Q30" s="86" t="s">
        <v>81</v>
      </c>
    </row>
    <row r="31" spans="1:17" ht="17" customHeight="1" thickBot="1">
      <c r="A31" s="165" t="s">
        <v>72</v>
      </c>
      <c r="B31" s="109" t="s">
        <v>41</v>
      </c>
      <c r="C31" s="144">
        <v>300</v>
      </c>
      <c r="D31" s="147">
        <f>C31*$C$29</f>
        <v>180</v>
      </c>
      <c r="E31" s="92">
        <v>160</v>
      </c>
      <c r="F31" s="35">
        <v>0</v>
      </c>
      <c r="G31" s="116">
        <f>D31-E31</f>
        <v>20</v>
      </c>
      <c r="H31" s="101">
        <v>3</v>
      </c>
      <c r="I31" s="94">
        <v>2</v>
      </c>
      <c r="J31" s="93"/>
      <c r="K31" s="93"/>
      <c r="L31" s="93"/>
      <c r="M31" s="93"/>
      <c r="N31" s="95"/>
      <c r="O31" s="119">
        <f>0.6*Q31</f>
        <v>4200</v>
      </c>
      <c r="P31" s="120">
        <v>0</v>
      </c>
      <c r="Q31" s="121">
        <v>7000</v>
      </c>
    </row>
    <row r="32" spans="1:17" ht="17" thickBot="1">
      <c r="A32" s="173"/>
      <c r="B32" s="38" t="s">
        <v>42</v>
      </c>
      <c r="C32" s="145">
        <v>450</v>
      </c>
      <c r="D32" s="147">
        <f t="shared" ref="D32:D43" si="7">C32*$C$29</f>
        <v>270</v>
      </c>
      <c r="E32" s="78">
        <v>150</v>
      </c>
      <c r="F32" s="35">
        <v>0</v>
      </c>
      <c r="G32" s="116">
        <f t="shared" ref="G32:G43" si="8">D32-E32</f>
        <v>120</v>
      </c>
      <c r="H32" s="102"/>
      <c r="I32" s="77"/>
      <c r="J32" s="77">
        <v>1.5</v>
      </c>
      <c r="K32" s="77"/>
      <c r="L32" s="77"/>
      <c r="M32" s="77"/>
      <c r="N32" s="96"/>
      <c r="O32" s="122"/>
      <c r="P32" s="123">
        <v>2000</v>
      </c>
      <c r="Q32" s="115">
        <v>4000</v>
      </c>
    </row>
    <row r="33" spans="1:17" ht="17" thickBot="1">
      <c r="A33" s="173"/>
      <c r="B33" s="38" t="s">
        <v>43</v>
      </c>
      <c r="C33" s="145">
        <v>180</v>
      </c>
      <c r="D33" s="147">
        <f t="shared" si="7"/>
        <v>108</v>
      </c>
      <c r="E33" s="78">
        <v>100</v>
      </c>
      <c r="F33" s="35">
        <v>0</v>
      </c>
      <c r="G33" s="116">
        <f t="shared" si="8"/>
        <v>8</v>
      </c>
      <c r="H33" s="102"/>
      <c r="I33" s="77"/>
      <c r="J33" s="77"/>
      <c r="K33" s="77">
        <v>2</v>
      </c>
      <c r="L33" s="77"/>
      <c r="M33" s="77"/>
      <c r="N33" s="96"/>
      <c r="O33" s="122"/>
      <c r="P33" s="123">
        <v>0</v>
      </c>
      <c r="Q33" s="115">
        <v>12000</v>
      </c>
    </row>
    <row r="34" spans="1:17" ht="17" thickBot="1">
      <c r="A34" s="173"/>
      <c r="B34" s="38" t="s">
        <v>44</v>
      </c>
      <c r="C34" s="145">
        <v>120</v>
      </c>
      <c r="D34" s="147">
        <f t="shared" si="7"/>
        <v>72</v>
      </c>
      <c r="E34" s="78">
        <v>60</v>
      </c>
      <c r="F34" s="35">
        <v>0</v>
      </c>
      <c r="G34" s="116">
        <f t="shared" si="8"/>
        <v>12</v>
      </c>
      <c r="H34" s="102"/>
      <c r="I34" s="77"/>
      <c r="J34" s="77"/>
      <c r="K34" s="77">
        <v>0.5</v>
      </c>
      <c r="L34" s="77"/>
      <c r="M34" s="77"/>
      <c r="N34" s="96"/>
      <c r="O34" s="122"/>
      <c r="P34" s="123">
        <v>0</v>
      </c>
      <c r="Q34" s="115">
        <v>15000</v>
      </c>
    </row>
    <row r="35" spans="1:17" ht="17" thickBot="1">
      <c r="A35" s="173"/>
      <c r="B35" s="38" t="s">
        <v>45</v>
      </c>
      <c r="C35" s="145">
        <v>270</v>
      </c>
      <c r="D35" s="147">
        <f t="shared" si="7"/>
        <v>162</v>
      </c>
      <c r="E35" s="78">
        <v>120</v>
      </c>
      <c r="F35" s="35">
        <v>0</v>
      </c>
      <c r="G35" s="116">
        <f t="shared" si="8"/>
        <v>42</v>
      </c>
      <c r="H35" s="102"/>
      <c r="I35" s="77">
        <v>1.5</v>
      </c>
      <c r="J35" s="77"/>
      <c r="K35" s="77"/>
      <c r="L35" s="77">
        <v>2</v>
      </c>
      <c r="M35" s="77"/>
      <c r="N35" s="96"/>
      <c r="O35" s="122">
        <v>2800</v>
      </c>
      <c r="P35" s="123">
        <v>0.75</v>
      </c>
      <c r="Q35" s="115"/>
    </row>
    <row r="36" spans="1:17" ht="17" thickBot="1">
      <c r="A36" s="166"/>
      <c r="B36" s="110" t="s">
        <v>46</v>
      </c>
      <c r="C36" s="146">
        <v>320</v>
      </c>
      <c r="D36" s="147">
        <f t="shared" si="7"/>
        <v>192</v>
      </c>
      <c r="E36" s="97">
        <v>140</v>
      </c>
      <c r="F36" s="35">
        <v>0</v>
      </c>
      <c r="G36" s="116">
        <f t="shared" si="8"/>
        <v>52</v>
      </c>
      <c r="H36" s="103">
        <v>2.5</v>
      </c>
      <c r="I36" s="98">
        <v>1.5</v>
      </c>
      <c r="J36" s="98"/>
      <c r="K36" s="98"/>
      <c r="L36" s="98"/>
      <c r="M36" s="98"/>
      <c r="N36" s="99"/>
      <c r="O36" s="124">
        <f>0.6*Q36</f>
        <v>3000</v>
      </c>
      <c r="P36" s="125">
        <v>7961</v>
      </c>
      <c r="Q36" s="126">
        <v>5000</v>
      </c>
    </row>
    <row r="37" spans="1:17" ht="17" customHeight="1" thickBot="1">
      <c r="A37" s="165" t="s">
        <v>73</v>
      </c>
      <c r="B37" s="109" t="s">
        <v>47</v>
      </c>
      <c r="C37" s="144">
        <v>350</v>
      </c>
      <c r="D37" s="147">
        <f t="shared" si="7"/>
        <v>210</v>
      </c>
      <c r="E37" s="92">
        <v>174</v>
      </c>
      <c r="F37" s="35">
        <v>0</v>
      </c>
      <c r="G37" s="116">
        <f t="shared" si="8"/>
        <v>36</v>
      </c>
      <c r="H37" s="101"/>
      <c r="I37" s="93">
        <v>2</v>
      </c>
      <c r="J37" s="93"/>
      <c r="K37" s="93"/>
      <c r="L37" s="93"/>
      <c r="M37" s="93">
        <v>3</v>
      </c>
      <c r="N37" s="95"/>
      <c r="O37" s="119"/>
      <c r="P37" s="120">
        <v>360.1875</v>
      </c>
      <c r="Q37" s="121">
        <v>5500</v>
      </c>
    </row>
    <row r="38" spans="1:17" ht="17" thickBot="1">
      <c r="A38" s="173"/>
      <c r="B38" s="38" t="s">
        <v>48</v>
      </c>
      <c r="C38" s="145">
        <v>130</v>
      </c>
      <c r="D38" s="147">
        <f t="shared" si="7"/>
        <v>78</v>
      </c>
      <c r="E38" s="78">
        <v>60</v>
      </c>
      <c r="F38" s="35">
        <v>0</v>
      </c>
      <c r="G38" s="116">
        <f t="shared" si="8"/>
        <v>18</v>
      </c>
      <c r="H38" s="102"/>
      <c r="I38" s="77"/>
      <c r="J38" s="77"/>
      <c r="K38" s="77"/>
      <c r="L38" s="77"/>
      <c r="M38" s="77"/>
      <c r="N38" s="96">
        <v>2</v>
      </c>
      <c r="O38" s="122"/>
      <c r="P38" s="123">
        <v>0</v>
      </c>
      <c r="Q38" s="115"/>
    </row>
    <row r="39" spans="1:17" ht="17" thickBot="1">
      <c r="A39" s="173"/>
      <c r="B39" s="38" t="s">
        <v>49</v>
      </c>
      <c r="C39" s="145">
        <v>75</v>
      </c>
      <c r="D39" s="147">
        <f t="shared" si="7"/>
        <v>45</v>
      </c>
      <c r="E39" s="78">
        <v>40</v>
      </c>
      <c r="F39" s="35">
        <v>0</v>
      </c>
      <c r="G39" s="116">
        <f t="shared" si="8"/>
        <v>5</v>
      </c>
      <c r="H39" s="102"/>
      <c r="I39" s="77"/>
      <c r="J39" s="77"/>
      <c r="K39" s="77"/>
      <c r="L39" s="77"/>
      <c r="M39" s="77"/>
      <c r="N39" s="96">
        <v>0.5</v>
      </c>
      <c r="O39" s="122"/>
      <c r="P39" s="123">
        <v>0</v>
      </c>
      <c r="Q39" s="115"/>
    </row>
    <row r="40" spans="1:17" ht="17" thickBot="1">
      <c r="A40" s="173"/>
      <c r="B40" s="38" t="s">
        <v>50</v>
      </c>
      <c r="C40" s="145">
        <v>200</v>
      </c>
      <c r="D40" s="147">
        <f t="shared" si="7"/>
        <v>120</v>
      </c>
      <c r="E40" s="78">
        <v>160</v>
      </c>
      <c r="F40" s="35">
        <v>0</v>
      </c>
      <c r="G40" s="116">
        <f t="shared" si="8"/>
        <v>-40</v>
      </c>
      <c r="H40" s="102"/>
      <c r="I40" s="77"/>
      <c r="J40" s="77"/>
      <c r="K40" s="77"/>
      <c r="L40" s="77"/>
      <c r="M40" s="77">
        <v>1.5</v>
      </c>
      <c r="N40" s="96"/>
      <c r="O40" s="122"/>
      <c r="P40" s="123">
        <v>0</v>
      </c>
      <c r="Q40" s="115">
        <v>6000</v>
      </c>
    </row>
    <row r="41" spans="1:17" ht="17" thickBot="1">
      <c r="A41" s="166"/>
      <c r="B41" s="110" t="s">
        <v>51</v>
      </c>
      <c r="C41" s="146">
        <v>120</v>
      </c>
      <c r="D41" s="147">
        <f t="shared" si="7"/>
        <v>72</v>
      </c>
      <c r="E41" s="97">
        <v>90</v>
      </c>
      <c r="F41" s="35">
        <v>0</v>
      </c>
      <c r="G41" s="116">
        <f t="shared" si="8"/>
        <v>-18</v>
      </c>
      <c r="H41" s="103"/>
      <c r="I41" s="98"/>
      <c r="J41" s="98"/>
      <c r="K41" s="98"/>
      <c r="L41" s="98">
        <v>1.5</v>
      </c>
      <c r="M41" s="98"/>
      <c r="N41" s="99"/>
      <c r="O41" s="124"/>
      <c r="P41" s="125">
        <v>0</v>
      </c>
      <c r="Q41" s="126"/>
    </row>
    <row r="42" spans="1:17" ht="17" customHeight="1" thickBot="1">
      <c r="A42" s="165" t="s">
        <v>84</v>
      </c>
      <c r="B42" s="109" t="s">
        <v>44</v>
      </c>
      <c r="C42" s="144">
        <f>C34</f>
        <v>120</v>
      </c>
      <c r="D42" s="147">
        <f t="shared" si="7"/>
        <v>72</v>
      </c>
      <c r="E42" s="89">
        <f>E34</f>
        <v>60</v>
      </c>
      <c r="F42" s="88">
        <v>0</v>
      </c>
      <c r="G42" s="116">
        <f t="shared" si="8"/>
        <v>12</v>
      </c>
      <c r="H42" s="101"/>
      <c r="I42" s="93"/>
      <c r="J42" s="93"/>
      <c r="K42" s="93">
        <v>0.5</v>
      </c>
      <c r="L42" s="93"/>
      <c r="M42" s="93"/>
      <c r="N42" s="95"/>
      <c r="O42" s="119"/>
      <c r="P42" s="120">
        <v>0</v>
      </c>
      <c r="Q42" s="121">
        <f>P33</f>
        <v>0</v>
      </c>
    </row>
    <row r="43" spans="1:17" ht="17" thickBot="1">
      <c r="A43" s="166"/>
      <c r="B43" s="110" t="s">
        <v>49</v>
      </c>
      <c r="C43" s="146">
        <f>C39</f>
        <v>75</v>
      </c>
      <c r="D43" s="147">
        <f t="shared" si="7"/>
        <v>45</v>
      </c>
      <c r="E43" s="97">
        <f>E39</f>
        <v>40</v>
      </c>
      <c r="F43" s="49">
        <v>0</v>
      </c>
      <c r="G43" s="116">
        <f t="shared" si="8"/>
        <v>5</v>
      </c>
      <c r="H43" s="103"/>
      <c r="I43" s="98"/>
      <c r="J43" s="98"/>
      <c r="K43" s="98"/>
      <c r="L43" s="98"/>
      <c r="M43" s="98"/>
      <c r="N43" s="99">
        <v>0.5</v>
      </c>
      <c r="O43" s="124"/>
      <c r="P43" s="125">
        <v>0</v>
      </c>
      <c r="Q43" s="126">
        <f>P38</f>
        <v>0</v>
      </c>
    </row>
    <row r="44" spans="1:17" ht="17" thickBot="1">
      <c r="A44" s="170"/>
      <c r="B44" s="170"/>
      <c r="C44" s="170"/>
      <c r="D44" s="167"/>
      <c r="E44" s="202" t="s">
        <v>95</v>
      </c>
      <c r="F44" s="203"/>
      <c r="G44" s="204"/>
      <c r="H44" s="93">
        <f>SUMPRODUCT(H31:H43,$P$31:$P$43)</f>
        <v>19902.5</v>
      </c>
      <c r="I44" s="93">
        <f t="shared" ref="I44:N44" si="9">SUMPRODUCT(I31:I43,$P$31:$P$43)</f>
        <v>12663</v>
      </c>
      <c r="J44" s="93">
        <f t="shared" si="9"/>
        <v>3000</v>
      </c>
      <c r="K44" s="93">
        <f t="shared" si="9"/>
        <v>0</v>
      </c>
      <c r="L44" s="153">
        <f>SUMPRODUCT(L31:L43,$P$31:$P$43)</f>
        <v>1.5</v>
      </c>
      <c r="M44" s="93">
        <f t="shared" si="9"/>
        <v>1080.5625</v>
      </c>
      <c r="N44" s="93">
        <f t="shared" si="9"/>
        <v>0</v>
      </c>
      <c r="O44" t="s">
        <v>105</v>
      </c>
      <c r="P44" s="148">
        <f>P42+P34</f>
        <v>0</v>
      </c>
      <c r="Q44" s="148">
        <v>15000</v>
      </c>
    </row>
    <row r="45" spans="1:17">
      <c r="A45" s="47" t="s">
        <v>66</v>
      </c>
      <c r="B45" s="90" t="s">
        <v>76</v>
      </c>
      <c r="C45" s="35">
        <v>860000</v>
      </c>
      <c r="D45" s="167"/>
      <c r="E45" s="196"/>
      <c r="F45" s="197"/>
      <c r="G45" s="198"/>
      <c r="H45" s="5" t="s">
        <v>12</v>
      </c>
      <c r="I45" s="5" t="s">
        <v>12</v>
      </c>
      <c r="J45" s="5" t="s">
        <v>12</v>
      </c>
      <c r="K45" s="5" t="s">
        <v>12</v>
      </c>
      <c r="L45" s="5" t="s">
        <v>12</v>
      </c>
      <c r="M45" s="5" t="s">
        <v>12</v>
      </c>
      <c r="N45" s="76" t="s">
        <v>12</v>
      </c>
    </row>
    <row r="46" spans="1:17" ht="17" thickBot="1">
      <c r="A46" s="43"/>
      <c r="B46" s="44" t="s">
        <v>77</v>
      </c>
      <c r="C46" s="49">
        <v>2700000</v>
      </c>
      <c r="D46" s="167"/>
      <c r="E46" s="196" t="s">
        <v>108</v>
      </c>
      <c r="F46" s="197"/>
      <c r="G46" s="198"/>
      <c r="H46" s="152">
        <f>H19</f>
        <v>19902.5</v>
      </c>
      <c r="I46" s="113">
        <v>12663</v>
      </c>
      <c r="J46" s="113">
        <f t="shared" ref="J46:N46" si="10">J19</f>
        <v>3000</v>
      </c>
      <c r="K46" s="113">
        <f t="shared" si="10"/>
        <v>0</v>
      </c>
      <c r="L46" s="152">
        <f t="shared" si="10"/>
        <v>1.5</v>
      </c>
      <c r="M46" s="113">
        <f t="shared" si="10"/>
        <v>11000</v>
      </c>
      <c r="N46" s="113">
        <f t="shared" si="10"/>
        <v>0</v>
      </c>
    </row>
    <row r="47" spans="1:17" ht="17" thickBot="1">
      <c r="A47" s="167"/>
      <c r="B47" s="167"/>
      <c r="C47" s="167"/>
      <c r="D47" s="167"/>
      <c r="E47" s="196" t="s">
        <v>94</v>
      </c>
      <c r="F47" s="197"/>
      <c r="G47" s="198"/>
      <c r="H47" s="151">
        <f>H46-H44</f>
        <v>0</v>
      </c>
      <c r="I47" s="10">
        <f t="shared" ref="I47:N47" si="11">I46-I44</f>
        <v>0</v>
      </c>
      <c r="J47" s="10">
        <f t="shared" si="11"/>
        <v>0</v>
      </c>
      <c r="K47" s="10">
        <f t="shared" si="11"/>
        <v>0</v>
      </c>
      <c r="L47" s="10">
        <f t="shared" si="11"/>
        <v>0</v>
      </c>
      <c r="M47" s="10">
        <f t="shared" si="11"/>
        <v>9919.4375</v>
      </c>
      <c r="N47" s="62">
        <f t="shared" si="11"/>
        <v>0</v>
      </c>
    </row>
    <row r="48" spans="1:17">
      <c r="A48" s="47" t="s">
        <v>1</v>
      </c>
      <c r="B48" s="182" t="s">
        <v>89</v>
      </c>
      <c r="C48" s="182"/>
      <c r="D48" s="183"/>
      <c r="E48" s="196" t="s">
        <v>79</v>
      </c>
      <c r="F48" s="197"/>
      <c r="G48" s="198"/>
      <c r="H48" s="9">
        <v>9</v>
      </c>
      <c r="I48" s="9">
        <v>1.5</v>
      </c>
      <c r="J48" s="9">
        <v>60</v>
      </c>
      <c r="K48" s="9">
        <v>13</v>
      </c>
      <c r="L48" s="9">
        <v>2.25</v>
      </c>
      <c r="M48" s="9">
        <v>12</v>
      </c>
      <c r="N48" s="30">
        <v>2.5</v>
      </c>
    </row>
    <row r="49" spans="1:14" ht="17" thickBot="1">
      <c r="A49" s="180"/>
      <c r="B49" s="176" t="s">
        <v>87</v>
      </c>
      <c r="C49" s="176"/>
      <c r="D49" s="177"/>
      <c r="E49" s="199" t="s">
        <v>92</v>
      </c>
      <c r="F49" s="200"/>
      <c r="G49" s="201"/>
      <c r="H49" s="111">
        <f t="shared" ref="H49:N49" si="12">H21-H44*H48</f>
        <v>0</v>
      </c>
      <c r="I49" s="111">
        <f t="shared" si="12"/>
        <v>-18993</v>
      </c>
      <c r="J49" s="111">
        <f t="shared" si="12"/>
        <v>0</v>
      </c>
      <c r="K49" s="111">
        <f t="shared" si="12"/>
        <v>0</v>
      </c>
      <c r="L49" s="111">
        <f t="shared" si="12"/>
        <v>0</v>
      </c>
      <c r="M49" s="111">
        <f t="shared" si="12"/>
        <v>119033.25</v>
      </c>
      <c r="N49" s="111">
        <f t="shared" si="12"/>
        <v>0</v>
      </c>
    </row>
    <row r="50" spans="1:14" ht="17" thickBot="1">
      <c r="A50" s="181"/>
      <c r="B50" s="178" t="s">
        <v>88</v>
      </c>
      <c r="C50" s="178"/>
      <c r="D50" s="179"/>
      <c r="H50" s="150"/>
      <c r="I50" s="150"/>
      <c r="J50" s="150"/>
      <c r="K50" s="150"/>
      <c r="L50" s="150"/>
      <c r="M50" s="150"/>
      <c r="N50" s="150"/>
    </row>
    <row r="51" spans="1:14" ht="17" thickBot="1"/>
    <row r="52" spans="1:14" ht="17" thickBot="1">
      <c r="A52" s="155" t="s">
        <v>107</v>
      </c>
      <c r="B52" s="156">
        <f>SUMPRODUCT(G31:G43,P31:P43)-I48*I44</f>
        <v>647975.75</v>
      </c>
      <c r="C52" t="s">
        <v>96</v>
      </c>
    </row>
    <row r="53" spans="1:14" ht="17" thickBot="1"/>
    <row r="54" spans="1:14" ht="17" thickBot="1">
      <c r="A54" s="127" t="s">
        <v>36</v>
      </c>
      <c r="B54" s="128">
        <f>SUMPRODUCT(G3:G15,P3:P15) + SUMPRODUCT(G31:G43,P31:P43) +SUM(H49:N49) - SUM(C17:C18)</f>
        <v>4069797.875</v>
      </c>
    </row>
  </sheetData>
  <mergeCells count="43">
    <mergeCell ref="S1:U1"/>
    <mergeCell ref="E21:G21"/>
    <mergeCell ref="E20:G20"/>
    <mergeCell ref="E19:G19"/>
    <mergeCell ref="E18:G18"/>
    <mergeCell ref="E17:G17"/>
    <mergeCell ref="E16:G16"/>
    <mergeCell ref="E1:F1"/>
    <mergeCell ref="H1:N1"/>
    <mergeCell ref="O1:Q1"/>
    <mergeCell ref="B20:D20"/>
    <mergeCell ref="A21:A22"/>
    <mergeCell ref="B21:D21"/>
    <mergeCell ref="B22:D22"/>
    <mergeCell ref="A16:C16"/>
    <mergeCell ref="D16:D19"/>
    <mergeCell ref="A19:C19"/>
    <mergeCell ref="A3:A8"/>
    <mergeCell ref="A9:A13"/>
    <mergeCell ref="A14:A15"/>
    <mergeCell ref="C1:D1"/>
    <mergeCell ref="A1:B1"/>
    <mergeCell ref="A29:B29"/>
    <mergeCell ref="C29:D29"/>
    <mergeCell ref="E29:F29"/>
    <mergeCell ref="H29:N29"/>
    <mergeCell ref="O29:Q29"/>
    <mergeCell ref="A31:A36"/>
    <mergeCell ref="A37:A41"/>
    <mergeCell ref="A42:A43"/>
    <mergeCell ref="A44:C44"/>
    <mergeCell ref="D44:D47"/>
    <mergeCell ref="E44:G44"/>
    <mergeCell ref="E45:G45"/>
    <mergeCell ref="E46:G46"/>
    <mergeCell ref="A47:C47"/>
    <mergeCell ref="E47:G47"/>
    <mergeCell ref="B48:D48"/>
    <mergeCell ref="E48:G48"/>
    <mergeCell ref="A49:A50"/>
    <mergeCell ref="B49:D49"/>
    <mergeCell ref="E49:G49"/>
    <mergeCell ref="B50:D50"/>
  </mergeCells>
  <conditionalFormatting sqref="T3:T15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0AB9-1773-444A-8ACC-08885E06848E}">
  <dimension ref="A1:T44"/>
  <sheetViews>
    <sheetView zoomScale="90" zoomScaleNormal="90" workbookViewId="0">
      <selection activeCell="O33" sqref="O33"/>
    </sheetView>
  </sheetViews>
  <sheetFormatPr baseColWidth="10" defaultRowHeight="16"/>
  <cols>
    <col min="2" max="2" width="16.33203125" customWidth="1"/>
    <col min="3" max="3" width="16" customWidth="1"/>
    <col min="4" max="4" width="16.5" customWidth="1"/>
    <col min="5" max="5" width="15.83203125" customWidth="1"/>
    <col min="6" max="6" width="15.1640625" customWidth="1"/>
    <col min="7" max="7" width="16.33203125" customWidth="1"/>
    <col min="8" max="8" width="15.6640625" customWidth="1"/>
    <col min="9" max="9" width="15.83203125" customWidth="1"/>
    <col min="10" max="10" width="13" customWidth="1"/>
    <col min="12" max="12" width="15" customWidth="1"/>
    <col min="13" max="13" width="14.83203125" customWidth="1"/>
    <col min="14" max="14" width="15" customWidth="1"/>
    <col min="15" max="15" width="14" customWidth="1"/>
    <col min="16" max="16" width="14.1640625" customWidth="1"/>
    <col min="18" max="18" width="5.33203125" customWidth="1"/>
    <col min="24" max="24" width="12.6640625" customWidth="1"/>
    <col min="25" max="25" width="5" customWidth="1"/>
    <col min="26" max="26" width="13.1640625" customWidth="1"/>
    <col min="27" max="27" width="13.33203125" customWidth="1"/>
    <col min="28" max="28" width="5" customWidth="1"/>
  </cols>
  <sheetData>
    <row r="1" spans="1:20">
      <c r="D1" s="229" t="s">
        <v>24</v>
      </c>
      <c r="E1" s="230"/>
      <c r="F1" s="230"/>
      <c r="G1" s="230"/>
      <c r="H1" s="230"/>
      <c r="I1" s="230"/>
      <c r="J1" s="231" t="s">
        <v>25</v>
      </c>
      <c r="K1" s="232"/>
      <c r="L1" s="232"/>
      <c r="M1" s="232"/>
      <c r="N1" s="233"/>
      <c r="O1" s="231" t="s">
        <v>86</v>
      </c>
      <c r="P1" s="242"/>
    </row>
    <row r="2" spans="1:20" ht="18" customHeight="1">
      <c r="D2" s="218" t="s">
        <v>18</v>
      </c>
      <c r="E2" s="219" t="s">
        <v>19</v>
      </c>
      <c r="F2" s="219" t="s">
        <v>20</v>
      </c>
      <c r="G2" s="219" t="s">
        <v>21</v>
      </c>
      <c r="H2" s="219" t="s">
        <v>22</v>
      </c>
      <c r="I2" s="219" t="s">
        <v>23</v>
      </c>
      <c r="J2" s="219" t="s">
        <v>26</v>
      </c>
      <c r="K2" s="219" t="s">
        <v>27</v>
      </c>
      <c r="L2" s="219" t="s">
        <v>28</v>
      </c>
      <c r="M2" s="219" t="s">
        <v>29</v>
      </c>
      <c r="N2" s="219" t="s">
        <v>30</v>
      </c>
      <c r="O2" s="219" t="s">
        <v>28</v>
      </c>
      <c r="P2" s="220" t="s">
        <v>85</v>
      </c>
    </row>
    <row r="3" spans="1:20" ht="17" thickBot="1">
      <c r="D3" s="215"/>
      <c r="E3" s="216"/>
      <c r="F3" s="219"/>
      <c r="G3" s="216"/>
      <c r="H3" s="216"/>
      <c r="I3" s="216"/>
      <c r="J3" s="216"/>
      <c r="K3" s="216"/>
      <c r="L3" s="216"/>
      <c r="M3" s="216"/>
      <c r="N3" s="216"/>
      <c r="O3" s="216"/>
      <c r="P3" s="217"/>
    </row>
    <row r="4" spans="1:20" ht="17" thickBot="1">
      <c r="C4" s="46" t="s">
        <v>0</v>
      </c>
      <c r="D4" s="39">
        <v>4200</v>
      </c>
      <c r="E4" s="4">
        <v>4000</v>
      </c>
      <c r="F4" s="4">
        <v>5250</v>
      </c>
      <c r="G4" s="4">
        <v>15000</v>
      </c>
      <c r="H4" s="4">
        <v>8067</v>
      </c>
      <c r="I4" s="4">
        <v>4999</v>
      </c>
      <c r="J4" s="4">
        <v>0</v>
      </c>
      <c r="K4" s="4">
        <v>0</v>
      </c>
      <c r="L4" s="4">
        <v>60000</v>
      </c>
      <c r="M4" s="4">
        <v>6000</v>
      </c>
      <c r="N4" s="4">
        <v>9243</v>
      </c>
      <c r="O4" s="4">
        <v>0</v>
      </c>
      <c r="P4" s="40">
        <v>5250</v>
      </c>
      <c r="Q4" s="221" t="s">
        <v>62</v>
      </c>
      <c r="R4" s="65"/>
      <c r="S4" s="65"/>
      <c r="T4" s="66"/>
    </row>
    <row r="5" spans="1:20">
      <c r="B5" s="47" t="s">
        <v>2</v>
      </c>
      <c r="C5" s="48" t="s">
        <v>10</v>
      </c>
      <c r="D5" s="215" t="s">
        <v>31</v>
      </c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7"/>
      <c r="Q5" s="222"/>
      <c r="R5" s="24"/>
      <c r="S5" s="213" t="s">
        <v>13</v>
      </c>
      <c r="T5" s="214"/>
    </row>
    <row r="6" spans="1:20">
      <c r="B6" s="41" t="s">
        <v>3</v>
      </c>
      <c r="C6" s="30">
        <v>9</v>
      </c>
      <c r="D6" s="41">
        <v>3</v>
      </c>
      <c r="E6" s="6"/>
      <c r="F6" s="6"/>
      <c r="G6" s="6"/>
      <c r="H6" s="6"/>
      <c r="I6" s="6">
        <v>2.5</v>
      </c>
      <c r="J6" s="6"/>
      <c r="K6" s="6"/>
      <c r="L6" s="6"/>
      <c r="M6" s="6"/>
      <c r="N6" s="6"/>
      <c r="O6" s="6"/>
      <c r="P6" s="42"/>
      <c r="Q6" s="67">
        <f>SUMPRODUCT($D$4:$N$4,D6:N6)</f>
        <v>25097.5</v>
      </c>
      <c r="R6" s="6" t="s">
        <v>12</v>
      </c>
      <c r="S6" s="10">
        <v>45000</v>
      </c>
      <c r="T6" s="42" t="s">
        <v>14</v>
      </c>
    </row>
    <row r="7" spans="1:20">
      <c r="B7" s="41" t="s">
        <v>4</v>
      </c>
      <c r="C7" s="30">
        <v>1.5</v>
      </c>
      <c r="D7" s="41">
        <v>2</v>
      </c>
      <c r="E7" s="6"/>
      <c r="F7" s="6"/>
      <c r="G7" s="6"/>
      <c r="H7" s="6">
        <v>1.5</v>
      </c>
      <c r="I7" s="6">
        <v>1.5</v>
      </c>
      <c r="J7" s="6">
        <v>2</v>
      </c>
      <c r="K7" s="6"/>
      <c r="L7" s="6"/>
      <c r="M7" s="6"/>
      <c r="N7" s="6"/>
      <c r="O7" s="6"/>
      <c r="P7" s="42"/>
      <c r="Q7" s="67">
        <f t="shared" ref="Q7:Q12" si="0">SUMPRODUCT($D$4:$N$4,D7:N7)</f>
        <v>27999</v>
      </c>
      <c r="R7" s="6" t="s">
        <v>12</v>
      </c>
      <c r="S7" s="10">
        <v>28000</v>
      </c>
      <c r="T7" s="42" t="s">
        <v>14</v>
      </c>
    </row>
    <row r="8" spans="1:20">
      <c r="B8" s="41" t="s">
        <v>5</v>
      </c>
      <c r="C8" s="30">
        <v>60</v>
      </c>
      <c r="D8" s="41"/>
      <c r="E8" s="6">
        <v>1.5</v>
      </c>
      <c r="F8" s="6"/>
      <c r="G8" s="6"/>
      <c r="H8" s="6"/>
      <c r="I8" s="6"/>
      <c r="J8" s="6"/>
      <c r="K8" s="6"/>
      <c r="L8" s="6"/>
      <c r="M8" s="6"/>
      <c r="N8" s="6"/>
      <c r="O8" s="6"/>
      <c r="P8" s="42"/>
      <c r="Q8" s="67">
        <f t="shared" si="0"/>
        <v>6000</v>
      </c>
      <c r="R8" s="6" t="s">
        <v>12</v>
      </c>
      <c r="S8" s="10">
        <v>9000</v>
      </c>
      <c r="T8" s="42" t="s">
        <v>14</v>
      </c>
    </row>
    <row r="9" spans="1:20">
      <c r="B9" s="41" t="s">
        <v>6</v>
      </c>
      <c r="C9" s="30">
        <v>13</v>
      </c>
      <c r="D9" s="41"/>
      <c r="E9" s="6"/>
      <c r="F9" s="6">
        <v>2</v>
      </c>
      <c r="G9" s="6">
        <v>0.5</v>
      </c>
      <c r="H9" s="6"/>
      <c r="I9" s="6"/>
      <c r="J9" s="6"/>
      <c r="K9" s="6"/>
      <c r="L9" s="6"/>
      <c r="M9" s="6"/>
      <c r="N9" s="6"/>
      <c r="O9" s="6"/>
      <c r="P9" s="42">
        <v>0.5</v>
      </c>
      <c r="Q9" s="67">
        <f t="shared" si="0"/>
        <v>18000</v>
      </c>
      <c r="R9" s="6" t="s">
        <v>12</v>
      </c>
      <c r="S9" s="10">
        <v>18000</v>
      </c>
      <c r="T9" s="42" t="s">
        <v>14</v>
      </c>
    </row>
    <row r="10" spans="1:20">
      <c r="B10" s="41" t="s">
        <v>7</v>
      </c>
      <c r="C10" s="30">
        <v>2.25</v>
      </c>
      <c r="D10" s="41"/>
      <c r="E10" s="6"/>
      <c r="F10" s="6"/>
      <c r="G10" s="6"/>
      <c r="H10" s="6">
        <v>2</v>
      </c>
      <c r="I10" s="6"/>
      <c r="J10" s="6"/>
      <c r="K10" s="6"/>
      <c r="L10" s="6"/>
      <c r="M10" s="6"/>
      <c r="N10" s="6">
        <v>1.5</v>
      </c>
      <c r="O10" s="6"/>
      <c r="P10" s="42"/>
      <c r="Q10" s="67">
        <f t="shared" si="0"/>
        <v>29998.5</v>
      </c>
      <c r="R10" s="6" t="s">
        <v>12</v>
      </c>
      <c r="S10" s="10">
        <v>30000</v>
      </c>
      <c r="T10" s="42" t="s">
        <v>14</v>
      </c>
    </row>
    <row r="11" spans="1:20">
      <c r="B11" s="41" t="s">
        <v>8</v>
      </c>
      <c r="C11" s="30">
        <v>12</v>
      </c>
      <c r="D11" s="41"/>
      <c r="E11" s="6"/>
      <c r="F11" s="6"/>
      <c r="G11" s="6"/>
      <c r="H11" s="6"/>
      <c r="I11" s="6"/>
      <c r="J11" s="6">
        <v>3</v>
      </c>
      <c r="K11" s="6"/>
      <c r="L11" s="6"/>
      <c r="M11" s="6">
        <v>1.5</v>
      </c>
      <c r="N11" s="6"/>
      <c r="O11" s="6"/>
      <c r="P11" s="42"/>
      <c r="Q11" s="67">
        <f t="shared" si="0"/>
        <v>9000</v>
      </c>
      <c r="R11" s="6" t="s">
        <v>12</v>
      </c>
      <c r="S11" s="10">
        <v>20000</v>
      </c>
      <c r="T11" s="42" t="s">
        <v>14</v>
      </c>
    </row>
    <row r="12" spans="1:20" ht="17" thickBot="1">
      <c r="B12" s="43" t="s">
        <v>9</v>
      </c>
      <c r="C12" s="49">
        <v>2.5</v>
      </c>
      <c r="D12" s="43"/>
      <c r="E12" s="44"/>
      <c r="F12" s="44"/>
      <c r="G12" s="44"/>
      <c r="H12" s="44"/>
      <c r="I12" s="44"/>
      <c r="J12" s="44"/>
      <c r="K12" s="44">
        <v>2</v>
      </c>
      <c r="L12" s="44">
        <v>0.5</v>
      </c>
      <c r="M12" s="44"/>
      <c r="N12" s="44"/>
      <c r="O12" s="44">
        <v>0.5</v>
      </c>
      <c r="P12" s="45"/>
      <c r="Q12" s="68">
        <f t="shared" si="0"/>
        <v>30000</v>
      </c>
      <c r="R12" s="44" t="s">
        <v>12</v>
      </c>
      <c r="S12" s="69">
        <v>30000</v>
      </c>
      <c r="T12" s="45" t="s">
        <v>14</v>
      </c>
    </row>
    <row r="13" spans="1:20" s="12" customFormat="1">
      <c r="A13" s="243" t="s">
        <v>69</v>
      </c>
      <c r="B13" s="234" t="s">
        <v>11</v>
      </c>
      <c r="C13" s="235"/>
      <c r="D13" s="28">
        <f>SUMPRODUCT($C$6:$C$12,D6:D12)*D4</f>
        <v>126000</v>
      </c>
      <c r="E13" s="28">
        <f t="shared" ref="E13:N13" si="1">SUMPRODUCT($C$6:$C$12,E6:E12)*E4</f>
        <v>360000</v>
      </c>
      <c r="F13" s="28">
        <f t="shared" si="1"/>
        <v>136500</v>
      </c>
      <c r="G13" s="28">
        <f t="shared" si="1"/>
        <v>97500</v>
      </c>
      <c r="H13" s="28">
        <f t="shared" si="1"/>
        <v>54452.25</v>
      </c>
      <c r="I13" s="28">
        <f t="shared" si="1"/>
        <v>123725.25</v>
      </c>
      <c r="J13" s="28">
        <f t="shared" si="1"/>
        <v>0</v>
      </c>
      <c r="K13" s="28">
        <f t="shared" si="1"/>
        <v>0</v>
      </c>
      <c r="L13" s="28">
        <f t="shared" si="1"/>
        <v>75000</v>
      </c>
      <c r="M13" s="28">
        <f t="shared" si="1"/>
        <v>108000</v>
      </c>
      <c r="N13" s="28">
        <f t="shared" si="1"/>
        <v>31195.125</v>
      </c>
      <c r="O13" s="28">
        <v>0</v>
      </c>
      <c r="P13" s="29">
        <v>0</v>
      </c>
    </row>
    <row r="14" spans="1:20">
      <c r="A14" s="244"/>
      <c r="B14" s="236" t="s">
        <v>15</v>
      </c>
      <c r="C14" s="237"/>
      <c r="D14" s="9">
        <v>160</v>
      </c>
      <c r="E14" s="9">
        <v>150</v>
      </c>
      <c r="F14" s="9">
        <v>100</v>
      </c>
      <c r="G14" s="9">
        <v>60</v>
      </c>
      <c r="H14" s="9">
        <v>120</v>
      </c>
      <c r="I14" s="9">
        <v>140</v>
      </c>
      <c r="J14" s="9">
        <v>174</v>
      </c>
      <c r="K14" s="9">
        <v>60</v>
      </c>
      <c r="L14" s="9">
        <v>40</v>
      </c>
      <c r="M14" s="9">
        <v>160</v>
      </c>
      <c r="N14" s="9">
        <v>90</v>
      </c>
      <c r="O14" s="9">
        <f>$F$14</f>
        <v>100</v>
      </c>
      <c r="P14" s="30">
        <f>$K$14</f>
        <v>60</v>
      </c>
    </row>
    <row r="15" spans="1:20" s="12" customFormat="1">
      <c r="A15" s="244"/>
      <c r="B15" s="238" t="s">
        <v>16</v>
      </c>
      <c r="C15" s="239"/>
      <c r="D15" s="25">
        <f>D4*D14</f>
        <v>672000</v>
      </c>
      <c r="E15" s="25">
        <f t="shared" ref="E15:N15" si="2">E4*E14</f>
        <v>600000</v>
      </c>
      <c r="F15" s="25">
        <f t="shared" si="2"/>
        <v>525000</v>
      </c>
      <c r="G15" s="25">
        <f t="shared" si="2"/>
        <v>900000</v>
      </c>
      <c r="H15" s="25">
        <f t="shared" si="2"/>
        <v>968040</v>
      </c>
      <c r="I15" s="25">
        <f t="shared" si="2"/>
        <v>699860</v>
      </c>
      <c r="J15" s="25">
        <f t="shared" si="2"/>
        <v>0</v>
      </c>
      <c r="K15" s="25">
        <f t="shared" si="2"/>
        <v>0</v>
      </c>
      <c r="L15" s="25">
        <f t="shared" si="2"/>
        <v>2400000</v>
      </c>
      <c r="M15" s="25">
        <f t="shared" si="2"/>
        <v>960000</v>
      </c>
      <c r="N15" s="25">
        <f t="shared" si="2"/>
        <v>831870</v>
      </c>
      <c r="O15" s="25">
        <f>O4*O14</f>
        <v>0</v>
      </c>
      <c r="P15" s="31">
        <f>P4*P14</f>
        <v>315000</v>
      </c>
    </row>
    <row r="16" spans="1:20" s="16" customFormat="1" ht="17" thickBot="1">
      <c r="A16" s="245"/>
      <c r="B16" s="240" t="s">
        <v>71</v>
      </c>
      <c r="C16" s="241"/>
      <c r="D16" s="32">
        <f>SUM(D13,D15)</f>
        <v>798000</v>
      </c>
      <c r="E16" s="32">
        <f t="shared" ref="E16:N16" si="3">SUM(E13,E15)</f>
        <v>960000</v>
      </c>
      <c r="F16" s="32">
        <f t="shared" si="3"/>
        <v>661500</v>
      </c>
      <c r="G16" s="32">
        <f t="shared" si="3"/>
        <v>997500</v>
      </c>
      <c r="H16" s="32">
        <f t="shared" si="3"/>
        <v>1022492.25</v>
      </c>
      <c r="I16" s="32">
        <f t="shared" si="3"/>
        <v>823585.25</v>
      </c>
      <c r="J16" s="32">
        <f t="shared" si="3"/>
        <v>0</v>
      </c>
      <c r="K16" s="32">
        <f t="shared" si="3"/>
        <v>0</v>
      </c>
      <c r="L16" s="32">
        <f t="shared" si="3"/>
        <v>2475000</v>
      </c>
      <c r="M16" s="32">
        <f t="shared" si="3"/>
        <v>1068000</v>
      </c>
      <c r="N16" s="32">
        <f t="shared" si="3"/>
        <v>863065.125</v>
      </c>
      <c r="O16" s="32">
        <f>SUM(O13,O15)</f>
        <v>0</v>
      </c>
      <c r="P16" s="33">
        <f>SUM(P13,P15)</f>
        <v>315000</v>
      </c>
    </row>
    <row r="17" spans="1:16">
      <c r="A17" s="246" t="s">
        <v>61</v>
      </c>
      <c r="B17" s="227" t="s">
        <v>33</v>
      </c>
      <c r="C17" s="228"/>
      <c r="D17" s="34">
        <v>300</v>
      </c>
      <c r="E17" s="34">
        <v>450</v>
      </c>
      <c r="F17" s="34">
        <v>180</v>
      </c>
      <c r="G17" s="34">
        <v>120</v>
      </c>
      <c r="H17" s="34">
        <v>270</v>
      </c>
      <c r="I17" s="34">
        <v>320</v>
      </c>
      <c r="J17" s="34">
        <v>350</v>
      </c>
      <c r="K17" s="34">
        <v>130</v>
      </c>
      <c r="L17" s="34">
        <v>75</v>
      </c>
      <c r="M17" s="34">
        <v>200</v>
      </c>
      <c r="N17" s="34">
        <v>120</v>
      </c>
      <c r="O17" s="34">
        <f>$L$17</f>
        <v>75</v>
      </c>
      <c r="P17" s="35">
        <f>$G$17</f>
        <v>120</v>
      </c>
    </row>
    <row r="18" spans="1:16" s="12" customFormat="1" ht="17" thickBot="1">
      <c r="A18" s="247"/>
      <c r="B18" s="225" t="s">
        <v>37</v>
      </c>
      <c r="C18" s="226"/>
      <c r="D18" s="36">
        <f t="shared" ref="D18:P18" si="4">D4*D17</f>
        <v>1260000</v>
      </c>
      <c r="E18" s="36">
        <f t="shared" si="4"/>
        <v>1800000</v>
      </c>
      <c r="F18" s="36">
        <f t="shared" si="4"/>
        <v>945000</v>
      </c>
      <c r="G18" s="36">
        <f t="shared" si="4"/>
        <v>1800000</v>
      </c>
      <c r="H18" s="36">
        <f t="shared" si="4"/>
        <v>2178090</v>
      </c>
      <c r="I18" s="36">
        <f t="shared" si="4"/>
        <v>1599680</v>
      </c>
      <c r="J18" s="36">
        <f t="shared" si="4"/>
        <v>0</v>
      </c>
      <c r="K18" s="36">
        <f t="shared" si="4"/>
        <v>0</v>
      </c>
      <c r="L18" s="36">
        <f t="shared" si="4"/>
        <v>4500000</v>
      </c>
      <c r="M18" s="36">
        <f t="shared" si="4"/>
        <v>1200000</v>
      </c>
      <c r="N18" s="36">
        <f t="shared" si="4"/>
        <v>1109160</v>
      </c>
      <c r="O18" s="36">
        <f t="shared" si="4"/>
        <v>0</v>
      </c>
      <c r="P18" s="37">
        <f t="shared" si="4"/>
        <v>630000</v>
      </c>
    </row>
    <row r="19" spans="1:16" ht="17" thickBot="1">
      <c r="B19" s="254" t="s">
        <v>17</v>
      </c>
      <c r="C19" s="255"/>
      <c r="D19" s="50">
        <f>SUM(D13:P13)</f>
        <v>1112372.625</v>
      </c>
    </row>
    <row r="20" spans="1:16" s="16" customFormat="1">
      <c r="B20" s="256" t="s">
        <v>64</v>
      </c>
      <c r="C20" s="257"/>
      <c r="D20" s="51">
        <f>SUM(D15:P15)</f>
        <v>8871770</v>
      </c>
      <c r="E20" s="14"/>
      <c r="F20" s="14"/>
      <c r="G20" s="14"/>
      <c r="H20" s="14"/>
      <c r="I20" s="14"/>
      <c r="J20" s="229" t="s">
        <v>40</v>
      </c>
      <c r="K20" s="230"/>
      <c r="L20" s="61" t="s">
        <v>70</v>
      </c>
      <c r="M20" s="61"/>
      <c r="N20" s="61" t="s">
        <v>54</v>
      </c>
      <c r="O20" s="48" t="s">
        <v>55</v>
      </c>
      <c r="P20"/>
    </row>
    <row r="21" spans="1:16" s="16" customFormat="1">
      <c r="B21" s="258" t="s">
        <v>65</v>
      </c>
      <c r="C21" s="259"/>
      <c r="D21" s="52">
        <f>SUM(D19:D20)</f>
        <v>9984142.625</v>
      </c>
      <c r="E21" s="14"/>
      <c r="F21" s="14"/>
      <c r="G21" s="14"/>
      <c r="H21" s="14"/>
      <c r="I21" s="14"/>
      <c r="J21" s="218" t="s">
        <v>41</v>
      </c>
      <c r="K21" s="216"/>
      <c r="L21" s="59">
        <f>D4</f>
        <v>4200</v>
      </c>
      <c r="M21" s="6"/>
      <c r="N21" s="57">
        <f>O21*P21</f>
        <v>4200</v>
      </c>
      <c r="O21" s="42">
        <v>7000</v>
      </c>
      <c r="P21" s="11">
        <v>0.6</v>
      </c>
    </row>
    <row r="22" spans="1:16" s="16" customFormat="1" ht="17" thickBot="1">
      <c r="B22" s="223" t="s">
        <v>34</v>
      </c>
      <c r="C22" s="224"/>
      <c r="D22" s="53">
        <f>SUM(D18:P18,G38)</f>
        <v>17513057.375</v>
      </c>
      <c r="E22" s="14">
        <f>D22-D21</f>
        <v>7528914.75</v>
      </c>
      <c r="F22" s="14"/>
      <c r="G22" s="14"/>
      <c r="H22" s="14"/>
      <c r="I22" s="14"/>
      <c r="J22" s="218" t="s">
        <v>42</v>
      </c>
      <c r="K22" s="216"/>
      <c r="L22" s="59">
        <f>E4</f>
        <v>4000</v>
      </c>
      <c r="M22" s="6" t="s">
        <v>12</v>
      </c>
      <c r="N22" s="57"/>
      <c r="O22" s="42">
        <v>4000</v>
      </c>
      <c r="P22"/>
    </row>
    <row r="23" spans="1:16" s="16" customFormat="1" ht="17" thickBot="1">
      <c r="B23" s="20"/>
      <c r="C23" s="20"/>
      <c r="D23" s="14"/>
      <c r="E23" s="14"/>
      <c r="F23" s="14"/>
      <c r="G23" s="14"/>
      <c r="H23" s="14"/>
      <c r="I23" s="14"/>
      <c r="J23" s="218" t="s">
        <v>43</v>
      </c>
      <c r="K23" s="219"/>
      <c r="L23" s="60">
        <f>F4</f>
        <v>5250</v>
      </c>
      <c r="M23" s="6" t="s">
        <v>12</v>
      </c>
      <c r="N23" s="57"/>
      <c r="O23" s="62">
        <v>12000</v>
      </c>
      <c r="P23"/>
    </row>
    <row r="24" spans="1:16" s="16" customFormat="1">
      <c r="B24" s="248" t="s">
        <v>66</v>
      </c>
      <c r="C24" s="249"/>
      <c r="D24" s="14"/>
      <c r="E24" s="14"/>
      <c r="F24" s="14"/>
      <c r="G24" s="14"/>
      <c r="H24" s="14"/>
      <c r="I24" s="14"/>
      <c r="J24" s="218" t="s">
        <v>44</v>
      </c>
      <c r="K24" s="216"/>
      <c r="L24" s="59">
        <f>G4</f>
        <v>15000</v>
      </c>
      <c r="M24" s="6" t="s">
        <v>12</v>
      </c>
      <c r="N24" s="57"/>
      <c r="O24" s="62">
        <v>15000</v>
      </c>
      <c r="P24"/>
    </row>
    <row r="25" spans="1:16" s="16" customFormat="1">
      <c r="B25" s="71" t="s">
        <v>67</v>
      </c>
      <c r="C25" s="72">
        <v>860000</v>
      </c>
      <c r="D25" s="14"/>
      <c r="E25" s="14"/>
      <c r="F25" s="14"/>
      <c r="G25" s="14"/>
      <c r="H25" s="14"/>
      <c r="I25" s="14"/>
      <c r="J25" s="218" t="s">
        <v>45</v>
      </c>
      <c r="K25" s="216"/>
      <c r="L25" s="59">
        <f>H4</f>
        <v>8067</v>
      </c>
      <c r="M25" s="6" t="s">
        <v>32</v>
      </c>
      <c r="N25" s="42">
        <v>2800</v>
      </c>
      <c r="P25"/>
    </row>
    <row r="26" spans="1:16" s="16" customFormat="1">
      <c r="B26" s="71" t="s">
        <v>68</v>
      </c>
      <c r="C26" s="72">
        <v>2700000</v>
      </c>
      <c r="D26" s="14"/>
      <c r="E26" s="14"/>
      <c r="F26" s="14"/>
      <c r="G26" s="14"/>
      <c r="H26" s="14"/>
      <c r="I26" s="14"/>
      <c r="J26" s="218" t="s">
        <v>46</v>
      </c>
      <c r="K26" s="216"/>
      <c r="L26" s="59">
        <f>I4</f>
        <v>4999</v>
      </c>
      <c r="M26" s="6"/>
      <c r="N26" s="57">
        <f>O26*P26</f>
        <v>3000</v>
      </c>
      <c r="O26" s="42">
        <v>5000</v>
      </c>
      <c r="P26" s="11">
        <v>0.6</v>
      </c>
    </row>
    <row r="27" spans="1:16" s="16" customFormat="1" ht="17" thickBot="1">
      <c r="B27" s="73" t="s">
        <v>63</v>
      </c>
      <c r="C27" s="74">
        <f>SUM(C25:C26)</f>
        <v>3560000</v>
      </c>
      <c r="D27" s="14"/>
      <c r="E27" s="14"/>
      <c r="F27" s="14"/>
      <c r="G27" s="14"/>
      <c r="H27" s="14"/>
      <c r="I27" s="14"/>
      <c r="J27" s="218" t="s">
        <v>47</v>
      </c>
      <c r="K27" s="216"/>
      <c r="L27" s="59">
        <f>J4</f>
        <v>0</v>
      </c>
      <c r="M27" s="6" t="s">
        <v>12</v>
      </c>
      <c r="N27" s="6"/>
      <c r="O27" s="42">
        <v>5500</v>
      </c>
      <c r="P27"/>
    </row>
    <row r="28" spans="1:16">
      <c r="J28" s="218" t="s">
        <v>48</v>
      </c>
      <c r="K28" s="216"/>
      <c r="L28" s="59">
        <f>K4</f>
        <v>0</v>
      </c>
      <c r="M28" s="6"/>
      <c r="N28" s="6"/>
      <c r="O28" s="42"/>
    </row>
    <row r="29" spans="1:16" s="16" customFormat="1">
      <c r="B29" s="13" t="s">
        <v>57</v>
      </c>
      <c r="C29" s="20"/>
      <c r="D29" s="14"/>
      <c r="E29" s="14"/>
      <c r="F29" s="14"/>
      <c r="G29" s="14"/>
      <c r="H29" s="14"/>
      <c r="I29" s="14"/>
      <c r="J29" s="218" t="s">
        <v>49</v>
      </c>
      <c r="K29" s="216"/>
      <c r="L29" s="59">
        <f>L4</f>
        <v>60000</v>
      </c>
      <c r="M29" s="6"/>
      <c r="N29" s="6"/>
      <c r="O29" s="42"/>
      <c r="P29"/>
    </row>
    <row r="30" spans="1:16" s="18" customFormat="1">
      <c r="B30" s="8" t="s">
        <v>2</v>
      </c>
      <c r="C30" s="8" t="s">
        <v>10</v>
      </c>
      <c r="D30" s="19" t="s">
        <v>58</v>
      </c>
      <c r="E30" s="19" t="s">
        <v>59</v>
      </c>
      <c r="F30" s="19" t="s">
        <v>60</v>
      </c>
      <c r="G30" s="19" t="s">
        <v>61</v>
      </c>
      <c r="H30" s="17"/>
      <c r="I30" s="17"/>
      <c r="J30" s="218" t="s">
        <v>50</v>
      </c>
      <c r="K30" s="216"/>
      <c r="L30" s="59">
        <f>M4</f>
        <v>6000</v>
      </c>
      <c r="M30" s="6" t="s">
        <v>12</v>
      </c>
      <c r="N30" s="6"/>
      <c r="O30" s="42">
        <v>6000</v>
      </c>
      <c r="P30"/>
    </row>
    <row r="31" spans="1:16" s="16" customFormat="1">
      <c r="B31" s="15" t="s">
        <v>3</v>
      </c>
      <c r="C31" s="21">
        <v>9</v>
      </c>
      <c r="D31" s="22">
        <f t="shared" ref="D31:D37" si="5">S6</f>
        <v>45000</v>
      </c>
      <c r="E31" s="22">
        <f t="shared" ref="E31:E37" si="6">Q6</f>
        <v>25097.5</v>
      </c>
      <c r="F31" s="22">
        <f t="shared" ref="F31:F37" si="7">D31-E31</f>
        <v>19902.5</v>
      </c>
      <c r="G31" s="23">
        <f t="shared" ref="G31:G37" si="8">F31*C31</f>
        <v>179122.5</v>
      </c>
      <c r="H31" s="14"/>
      <c r="I31" s="14"/>
      <c r="J31" s="218" t="s">
        <v>51</v>
      </c>
      <c r="K31" s="216"/>
      <c r="L31" s="59">
        <f>N4</f>
        <v>9243</v>
      </c>
      <c r="M31" s="6"/>
      <c r="N31" s="6"/>
      <c r="O31" s="42"/>
      <c r="P31"/>
    </row>
    <row r="32" spans="1:16" s="16" customFormat="1">
      <c r="B32" s="15" t="s">
        <v>4</v>
      </c>
      <c r="C32" s="21">
        <v>1.5</v>
      </c>
      <c r="D32" s="22">
        <f t="shared" si="5"/>
        <v>28000</v>
      </c>
      <c r="E32" s="22">
        <f t="shared" si="6"/>
        <v>27999</v>
      </c>
      <c r="F32" s="22">
        <f t="shared" si="7"/>
        <v>1</v>
      </c>
      <c r="G32" s="23">
        <f t="shared" si="8"/>
        <v>1.5</v>
      </c>
      <c r="H32" s="14"/>
      <c r="I32" s="14"/>
      <c r="J32" s="252" t="s">
        <v>52</v>
      </c>
      <c r="K32" s="253"/>
      <c r="L32" s="59">
        <f>O4</f>
        <v>0</v>
      </c>
      <c r="M32" s="58" t="s">
        <v>12</v>
      </c>
      <c r="N32" s="58"/>
      <c r="O32" s="63">
        <f>K4</f>
        <v>0</v>
      </c>
      <c r="P32" s="12"/>
    </row>
    <row r="33" spans="2:16" s="16" customFormat="1" ht="17" thickBot="1">
      <c r="B33" s="15" t="s">
        <v>5</v>
      </c>
      <c r="C33" s="21">
        <v>60</v>
      </c>
      <c r="D33" s="22">
        <f t="shared" si="5"/>
        <v>9000</v>
      </c>
      <c r="E33" s="22">
        <f t="shared" si="6"/>
        <v>6000</v>
      </c>
      <c r="F33" s="22">
        <f t="shared" si="7"/>
        <v>3000</v>
      </c>
      <c r="G33" s="23">
        <f t="shared" si="8"/>
        <v>180000</v>
      </c>
      <c r="H33" s="14"/>
      <c r="I33" s="14"/>
      <c r="J33" s="250" t="s">
        <v>53</v>
      </c>
      <c r="K33" s="251"/>
      <c r="L33" s="64">
        <f>P4</f>
        <v>5250</v>
      </c>
      <c r="M33" s="44" t="s">
        <v>56</v>
      </c>
      <c r="N33" s="44"/>
      <c r="O33" s="45">
        <f>F4</f>
        <v>5250</v>
      </c>
      <c r="P33"/>
    </row>
    <row r="34" spans="2:16" s="16" customFormat="1">
      <c r="B34" s="15" t="s">
        <v>6</v>
      </c>
      <c r="C34" s="21">
        <v>13</v>
      </c>
      <c r="D34" s="22">
        <f t="shared" si="5"/>
        <v>18000</v>
      </c>
      <c r="E34" s="22">
        <f t="shared" si="6"/>
        <v>18000</v>
      </c>
      <c r="F34" s="22">
        <f t="shared" si="7"/>
        <v>0</v>
      </c>
      <c r="G34" s="23">
        <f t="shared" si="8"/>
        <v>0</v>
      </c>
      <c r="H34" s="14"/>
      <c r="I34" s="14"/>
      <c r="J34" s="14"/>
      <c r="K34" s="14"/>
      <c r="L34" s="14"/>
      <c r="M34" s="14"/>
      <c r="N34" s="14"/>
      <c r="O34" s="14"/>
      <c r="P34" s="14"/>
    </row>
    <row r="35" spans="2:16" s="16" customFormat="1">
      <c r="B35" s="15" t="s">
        <v>7</v>
      </c>
      <c r="C35" s="21">
        <v>2.25</v>
      </c>
      <c r="D35" s="22">
        <f t="shared" si="5"/>
        <v>30000</v>
      </c>
      <c r="E35" s="22">
        <f t="shared" si="6"/>
        <v>29998.5</v>
      </c>
      <c r="F35" s="22">
        <f t="shared" si="7"/>
        <v>1.5</v>
      </c>
      <c r="G35" s="23">
        <f t="shared" si="8"/>
        <v>3.375</v>
      </c>
      <c r="H35" s="14"/>
      <c r="I35" s="14"/>
      <c r="J35" s="14"/>
      <c r="K35" s="14"/>
      <c r="L35" s="14"/>
      <c r="M35" s="14"/>
      <c r="N35" s="14"/>
      <c r="O35" s="14"/>
      <c r="P35" s="14"/>
    </row>
    <row r="36" spans="2:16" s="16" customFormat="1">
      <c r="B36" s="15" t="s">
        <v>8</v>
      </c>
      <c r="C36" s="21">
        <v>12</v>
      </c>
      <c r="D36" s="22">
        <f t="shared" si="5"/>
        <v>20000</v>
      </c>
      <c r="E36" s="22">
        <f t="shared" si="6"/>
        <v>9000</v>
      </c>
      <c r="F36" s="22">
        <f t="shared" si="7"/>
        <v>11000</v>
      </c>
      <c r="G36" s="23">
        <f t="shared" si="8"/>
        <v>132000</v>
      </c>
      <c r="H36" s="14"/>
      <c r="I36" s="14"/>
      <c r="J36" s="14"/>
      <c r="K36" s="14"/>
      <c r="L36" s="14"/>
      <c r="M36" s="14"/>
      <c r="N36" s="14"/>
      <c r="O36" s="14"/>
      <c r="P36" s="14"/>
    </row>
    <row r="37" spans="2:16" s="16" customFormat="1">
      <c r="B37" s="15" t="s">
        <v>9</v>
      </c>
      <c r="C37" s="21">
        <v>2.5</v>
      </c>
      <c r="D37" s="22">
        <f t="shared" si="5"/>
        <v>30000</v>
      </c>
      <c r="E37" s="22">
        <f t="shared" si="6"/>
        <v>30000</v>
      </c>
      <c r="F37" s="22">
        <f t="shared" si="7"/>
        <v>0</v>
      </c>
      <c r="G37" s="23">
        <f t="shared" si="8"/>
        <v>0</v>
      </c>
      <c r="H37" s="14"/>
      <c r="I37" s="14"/>
      <c r="J37" s="14"/>
      <c r="K37" s="14"/>
      <c r="L37" s="14"/>
      <c r="M37" s="14"/>
      <c r="N37" s="14"/>
      <c r="O37" s="14"/>
      <c r="P37" s="14"/>
    </row>
    <row r="38" spans="2:16">
      <c r="F38" s="70" t="s">
        <v>63</v>
      </c>
      <c r="G38" s="26">
        <f>SUM(G31:G37)</f>
        <v>491127.375</v>
      </c>
    </row>
    <row r="39" spans="2:16">
      <c r="B39" s="1"/>
    </row>
    <row r="40" spans="2:16" s="16" customFormat="1">
      <c r="B40" s="20"/>
      <c r="C40" s="2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2:16">
      <c r="B41" s="1" t="s">
        <v>35</v>
      </c>
    </row>
    <row r="42" spans="2:16">
      <c r="B42" s="15" t="s">
        <v>38</v>
      </c>
      <c r="C42" s="6"/>
      <c r="D42" s="54">
        <f t="shared" ref="D42:P42" si="9">D18-D16</f>
        <v>462000</v>
      </c>
      <c r="E42" s="54">
        <f t="shared" si="9"/>
        <v>840000</v>
      </c>
      <c r="F42" s="54">
        <f t="shared" si="9"/>
        <v>283500</v>
      </c>
      <c r="G42" s="54">
        <f t="shared" si="9"/>
        <v>802500</v>
      </c>
      <c r="H42" s="54">
        <f t="shared" si="9"/>
        <v>1155597.75</v>
      </c>
      <c r="I42" s="54">
        <f t="shared" si="9"/>
        <v>776094.75</v>
      </c>
      <c r="J42" s="54">
        <f t="shared" si="9"/>
        <v>0</v>
      </c>
      <c r="K42" s="54">
        <f t="shared" si="9"/>
        <v>0</v>
      </c>
      <c r="L42" s="54">
        <f t="shared" si="9"/>
        <v>2025000</v>
      </c>
      <c r="M42" s="54">
        <f t="shared" si="9"/>
        <v>132000</v>
      </c>
      <c r="N42" s="54">
        <f t="shared" si="9"/>
        <v>246094.875</v>
      </c>
      <c r="O42" s="54">
        <f t="shared" si="9"/>
        <v>0</v>
      </c>
      <c r="P42" s="54">
        <f t="shared" si="9"/>
        <v>315000</v>
      </c>
    </row>
    <row r="43" spans="2:16">
      <c r="B43" s="55" t="s">
        <v>36</v>
      </c>
      <c r="C43" s="55"/>
      <c r="D43" s="56">
        <f>D22-C27-D21</f>
        <v>3968914.75</v>
      </c>
    </row>
    <row r="44" spans="2:16">
      <c r="D44" t="s">
        <v>39</v>
      </c>
    </row>
  </sheetData>
  <mergeCells count="46">
    <mergeCell ref="A13:A16"/>
    <mergeCell ref="A17:A18"/>
    <mergeCell ref="J20:K20"/>
    <mergeCell ref="B24:C24"/>
    <mergeCell ref="J33:K33"/>
    <mergeCell ref="J28:K28"/>
    <mergeCell ref="J29:K29"/>
    <mergeCell ref="J30:K30"/>
    <mergeCell ref="J31:K31"/>
    <mergeCell ref="J32:K32"/>
    <mergeCell ref="B19:C19"/>
    <mergeCell ref="B20:C20"/>
    <mergeCell ref="B21:C21"/>
    <mergeCell ref="J27:K27"/>
    <mergeCell ref="J21:K21"/>
    <mergeCell ref="J22:K22"/>
    <mergeCell ref="J23:K23"/>
    <mergeCell ref="J24:K24"/>
    <mergeCell ref="J25:K25"/>
    <mergeCell ref="J26:K26"/>
    <mergeCell ref="O1:P1"/>
    <mergeCell ref="B22:C22"/>
    <mergeCell ref="B18:C18"/>
    <mergeCell ref="B17:C17"/>
    <mergeCell ref="D1:I1"/>
    <mergeCell ref="J1:N1"/>
    <mergeCell ref="B13:C13"/>
    <mergeCell ref="B14:C14"/>
    <mergeCell ref="B15:C15"/>
    <mergeCell ref="B16:C16"/>
    <mergeCell ref="N2:N3"/>
    <mergeCell ref="M2:M3"/>
    <mergeCell ref="L2:L3"/>
    <mergeCell ref="K2:K3"/>
    <mergeCell ref="J2:J3"/>
    <mergeCell ref="I2:I3"/>
    <mergeCell ref="S5:T5"/>
    <mergeCell ref="D5:P5"/>
    <mergeCell ref="D2:D3"/>
    <mergeCell ref="E2:E3"/>
    <mergeCell ref="F2:F3"/>
    <mergeCell ref="H2:H3"/>
    <mergeCell ref="G2:G3"/>
    <mergeCell ref="P2:P3"/>
    <mergeCell ref="O2:O3"/>
    <mergeCell ref="Q4:Q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 - Formatted Optimal Solutions</vt:lpstr>
      <vt:lpstr>C &amp; D - No Velvet Refund</vt:lpstr>
      <vt:lpstr>E -Increase Machine Blazer Cost</vt:lpstr>
      <vt:lpstr>F - Add 10,000 yds of Acetate</vt:lpstr>
      <vt:lpstr>G - November Sale</vt:lpstr>
      <vt:lpstr>Optimal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 Maloney</dc:creator>
  <cp:lastModifiedBy>Jason P Maloney</cp:lastModifiedBy>
  <dcterms:created xsi:type="dcterms:W3CDTF">2019-07-22T18:40:25Z</dcterms:created>
  <dcterms:modified xsi:type="dcterms:W3CDTF">2019-07-30T02:24:19Z</dcterms:modified>
</cp:coreProperties>
</file>