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втоматизированный расчет" sheetId="1" r:id="rId4"/>
    <sheet state="visible" name="Соответствие" sheetId="2" r:id="rId5"/>
    <sheet state="visible" name="SummaryReport" sheetId="3" r:id="rId6"/>
    <sheet state="visible" name="Результаты всех тестов" sheetId="4" r:id="rId7"/>
  </sheets>
  <definedNames/>
  <calcPr/>
  <pivotCaches>
    <pivotCache cacheId="0" r:id="rId8"/>
    <pivotCache cacheId="1" r:id="rId9"/>
  </pivotCaches>
  <extLst>
    <ext uri="GoogleSheetsCustomDataVersion1">
      <go:sheetsCustomData xmlns:go="http://customooxmlschemas.google.com/" r:id="rId10" roundtripDataSignature="AMtx7mjHud2vu+66E8xnJ2Be5tkNDJQX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2">
      <text>
        <t xml:space="preserve">======
ID#AAAAngEhh8I
Microsoft Office User    (2023-01-18 17:45:30)
Количество пользователей для конкретного скрипта, заполняется вручную, сумма всех пользователей для 100% профиля не должна превышать 10.</t>
      </text>
    </comment>
    <comment authorId="0" ref="Q2">
      <text>
        <t xml:space="preserve">======
ID#AAAAngEhh8A
Microsoft Office User    (2023-01-18 17:45:30)
Pacing не должен быть меньше чем Duration + think time (столбец P). Изначально считается как Duration + think time * 2 (коэф запаса времени), далее подгоняется вручную</t>
      </text>
    </comment>
    <comment authorId="0" ref="N2">
      <text>
        <t xml:space="preserve">======
ID#AAAAngEhh8E
Microsoft Office User    (2023-01-18 17:45:30)
Duration - заполняется на основе данных после выполнения итерации соотвествующего скрипта в Vugen'е</t>
      </text>
    </comment>
    <comment authorId="0" ref="O2">
      <text>
        <t xml:space="preserve">======
ID#AAAAngEhh74
Microsoft Office User    (2023-01-18 17:45:30)
ThinkTime - заполнятеся на основе ThinkTime'ов по выполнению одной итерации соотвествующего скрипта в Vugen'е</t>
      </text>
    </comment>
    <comment authorId="0" ref="P2">
      <text>
        <t xml:space="preserve">======
ID#AAAAngEhh78
Microsoft Office User    (2023-01-18 17:45:30)
Общая длительность одной итерации скрипта ThinkTime + Duration, считается автоматически</t>
      </text>
    </comment>
  </commentList>
  <extLst>
    <ext uri="GoogleSheetsCustomDataVersion1">
      <go:sheetsCustomData xmlns:go="http://customooxmlschemas.google.com/" r:id="rId1" roundtripDataSignature="AMtx7mg2mKnXAwx0vNwRErZpub8jHzVwug=="/>
    </ext>
  </extLst>
</comments>
</file>

<file path=xl/sharedStrings.xml><?xml version="1.0" encoding="utf-8"?>
<sst xmlns="http://schemas.openxmlformats.org/spreadsheetml/2006/main" count="347" uniqueCount="133">
  <si>
    <t>Script name</t>
  </si>
  <si>
    <t>transaction rq</t>
  </si>
  <si>
    <t>count</t>
  </si>
  <si>
    <t>VU</t>
  </si>
  <si>
    <t>pacing</t>
  </si>
  <si>
    <t>одним пользователем в минуту</t>
  </si>
  <si>
    <t>Длительность ступени</t>
  </si>
  <si>
    <t>Итого</t>
  </si>
  <si>
    <t>Сумма по полю Итого</t>
  </si>
  <si>
    <t>Операция (бизнес процесс)</t>
  </si>
  <si>
    <t>Duration</t>
  </si>
  <si>
    <t>Think_time</t>
  </si>
  <si>
    <t>Duration + 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</si>
  <si>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</si>
  <si>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</si>
  <si>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</si>
  <si>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</si>
  <si>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</si>
  <si>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</si>
  <si>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Покупка билета</t>
  </si>
  <si>
    <t>Главная Welcome страница</t>
  </si>
  <si>
    <t>Вход в систему</t>
  </si>
  <si>
    <t xml:space="preserve">Выбор рейса из найденных </t>
  </si>
  <si>
    <t xml:space="preserve">Удаление бронирования </t>
  </si>
  <si>
    <t>переход на страницу поиска билета</t>
  </si>
  <si>
    <t>Выход из системы</t>
  </si>
  <si>
    <t xml:space="preserve">Заполнение полей для поиска билета </t>
  </si>
  <si>
    <t>Регистрация новых пользователей</t>
  </si>
  <si>
    <t>Поиск билета без покупки</t>
  </si>
  <si>
    <t>Оплата билета</t>
  </si>
  <si>
    <t>Заполнение полей регистарции</t>
  </si>
  <si>
    <t>Ознакомление с путевым листом</t>
  </si>
  <si>
    <t>Просмотр квитанций</t>
  </si>
  <si>
    <t>Логин</t>
  </si>
  <si>
    <t xml:space="preserve">Отмена бронирования </t>
  </si>
  <si>
    <t>Переход на следуюущий эран после регистарции</t>
  </si>
  <si>
    <t>Перход на страницу регистрации</t>
  </si>
  <si>
    <t>Статистика с ПРОДа</t>
  </si>
  <si>
    <t>Название запроса</t>
  </si>
  <si>
    <t>Интенсивность по статистике запросов / час</t>
  </si>
  <si>
    <t>Расчетная интенсивность запросов / час</t>
  </si>
  <si>
    <t>% Соотвествия расчетанной интенсивности статистики</t>
  </si>
  <si>
    <t>ScriptName</t>
  </si>
  <si>
    <t>Расчетная интенсивность запросов / 20 мин</t>
  </si>
  <si>
    <t>Фактическая интенсивность в тесте</t>
  </si>
  <si>
    <t>% Отклонение от Профиля</t>
  </si>
  <si>
    <t>Переход на страницу поиска билетов</t>
  </si>
  <si>
    <t>flight_selection</t>
  </si>
  <si>
    <t>payment</t>
  </si>
  <si>
    <t>itinerary</t>
  </si>
  <si>
    <t>delete</t>
  </si>
  <si>
    <t>logout</t>
  </si>
  <si>
    <t>sign_up_now</t>
  </si>
  <si>
    <t>registering</t>
  </si>
  <si>
    <t>transition_welcome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</si>
  <si>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</si>
  <si>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Статистика операций 20 мин</t>
  </si>
  <si>
    <t>pacing сек</t>
  </si>
  <si>
    <t>Кол-во в минуту</t>
  </si>
  <si>
    <t>мин</t>
  </si>
  <si>
    <t>vu</t>
  </si>
  <si>
    <t>округл</t>
  </si>
  <si>
    <t>Операций 20 мин</t>
  </si>
  <si>
    <t>Логин и логаут</t>
  </si>
  <si>
    <t>Удаление брони</t>
  </si>
  <si>
    <t>Поиск билета</t>
  </si>
  <si>
    <t>Просмотр текущих бронирований</t>
  </si>
  <si>
    <t>Операция/Скрипт</t>
  </si>
  <si>
    <t>Запросы</t>
  </si>
  <si>
    <t>Vus</t>
  </si>
  <si>
    <t>Кол-во одним Vu</t>
  </si>
  <si>
    <t>Главная страница</t>
  </si>
  <si>
    <t>Выбор рейса</t>
  </si>
  <si>
    <t>Переход на стр. Поиска</t>
  </si>
  <si>
    <t>Заполнение полей и поиск</t>
  </si>
  <si>
    <t>Логаут</t>
  </si>
  <si>
    <t>Покупка</t>
  </si>
  <si>
    <t>Просмотр путевых листов</t>
  </si>
  <si>
    <t>Удаление</t>
  </si>
  <si>
    <t>Имя в статистике</t>
  </si>
  <si>
    <t>Имя в скрипте</t>
  </si>
  <si>
    <t>open_home_page</t>
  </si>
  <si>
    <t>login</t>
  </si>
  <si>
    <t>click_flights</t>
  </si>
  <si>
    <t>find_flight</t>
  </si>
  <si>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</si>
  <si>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</si>
  <si>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</si>
  <si>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</si>
  <si>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</si>
  <si>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</si>
  <si>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</si>
  <si>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</si>
  <si>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</si>
  <si>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</si>
  <si>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Action_Transaction</t>
  </si>
  <si>
    <t>No Data</t>
  </si>
  <si>
    <t>browsingItenerary</t>
  </si>
  <si>
    <t>CancelingFlight</t>
  </si>
  <si>
    <t>choseFlightTime</t>
  </si>
  <si>
    <t>continueButtonClick</t>
  </si>
  <si>
    <t>flightsBottonClick</t>
  </si>
  <si>
    <t>newUserRegistration</t>
  </si>
  <si>
    <t>openHomePage</t>
  </si>
  <si>
    <t>paymentDetails</t>
  </si>
  <si>
    <t>signUpNowButtonClick</t>
  </si>
  <si>
    <t>startFindingFlights</t>
  </si>
  <si>
    <t>UC_01_LoginLogout</t>
  </si>
  <si>
    <t>UC_02_TicketSearchWithoutBuying</t>
  </si>
  <si>
    <t>UC_03_TicketBuying</t>
  </si>
  <si>
    <t>UC_04_ItineraryListBrowsing</t>
  </si>
  <si>
    <t>UC_06_RegistraitionRandomUser</t>
  </si>
  <si>
    <t>UC_07_TicketSearchWithoutBuyingWithFlightSelection</t>
  </si>
  <si>
    <t>Профиль для 5 пользаков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</si>
  <si>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</si>
  <si>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</si>
  <si>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</si>
  <si>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</si>
  <si>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</si>
  <si>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Заполнение полей для поиска билета</t>
  </si>
  <si>
    <t>fing_flight</t>
  </si>
  <si>
    <t>Выбор рейса из найденных</t>
  </si>
  <si>
    <t>select_ticket</t>
  </si>
  <si>
    <t>payment_details</t>
  </si>
  <si>
    <t>Просмотр квитанции</t>
  </si>
  <si>
    <t>Check_ticket</t>
  </si>
  <si>
    <t>Отмена бронирования билета</t>
  </si>
  <si>
    <t>Cancel_reservation</t>
  </si>
  <si>
    <t>Поиск максимума 3 ступень</t>
  </si>
  <si>
    <t>Подтверждение максимума</t>
  </si>
  <si>
    <t>1 315,</t>
  </si>
  <si>
    <t>1 970,</t>
  </si>
  <si>
    <t>1 675,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</si>
</sst>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12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rgb="FFBFBFBF"/>
      <name val="Calibri"/>
    </font>
    <font>
      <sz val="11.0"/>
      <color theme="1"/>
      <name val="Calibri"/>
    </font>
    <font/>
    <font>
      <sz val="14.0"/>
      <color theme="1"/>
      <name val="Calibri"/>
    </font>
    <font>
      <sz val="14.0"/>
      <color rgb="FF000000"/>
      <name val="Times New Roman"/>
    </font>
    <font>
      <b/>
      <sz val="14.0"/>
      <color rgb="FF000000"/>
      <name val="Times New Roman"/>
    </font>
    <font>
      <b/>
      <sz val="11.0"/>
      <color theme="1"/>
      <name val="Times New Roman"/>
    </font>
    <font>
      <b/>
      <sz val="12.0"/>
      <color rgb="FF000000"/>
      <name val="Times New Roman"/>
    </font>
    <font>
      <b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D9D9D9"/>
        <bgColor rgb="FFD9D9D9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0" fillId="0" fontId="3" numFmtId="0" xfId="0" applyFont="1"/>
    <xf borderId="0" fillId="0" fontId="4" numFmtId="0" xfId="0" applyFont="1"/>
    <xf borderId="1" fillId="2" fontId="4" numFmtId="0" xfId="0" applyBorder="1" applyFill="1" applyFont="1"/>
    <xf borderId="2" fillId="2" fontId="4" numFmtId="0" xfId="0" applyBorder="1" applyFont="1"/>
    <xf borderId="3" fillId="0" fontId="4" numFmtId="0" xfId="0" applyBorder="1" applyFont="1"/>
    <xf borderId="0" fillId="0" fontId="1" numFmtId="1" xfId="0" applyFont="1" applyNumberFormat="1"/>
    <xf borderId="0" fillId="0" fontId="4" numFmtId="2" xfId="0" applyFont="1" applyNumberFormat="1"/>
    <xf borderId="0" fillId="0" fontId="4" numFmtId="1" xfId="0" applyFont="1" applyNumberFormat="1"/>
    <xf borderId="0" fillId="0" fontId="2" numFmtId="1" xfId="0" applyFont="1" applyNumberFormat="1"/>
    <xf borderId="1" fillId="3" fontId="4" numFmtId="0" xfId="0" applyBorder="1" applyFill="1" applyFont="1"/>
    <xf borderId="1" fillId="3" fontId="4" numFmtId="1" xfId="0" applyBorder="1" applyFont="1" applyNumberFormat="1"/>
    <xf borderId="1" fillId="0" fontId="4" numFmtId="1" xfId="0" applyBorder="1" applyFont="1" applyNumberFormat="1"/>
    <xf borderId="1" fillId="4" fontId="4" numFmtId="1" xfId="0" applyAlignment="1" applyBorder="1" applyFill="1" applyFont="1" applyNumberFormat="1">
      <alignment readingOrder="0"/>
    </xf>
    <xf borderId="1" fillId="4" fontId="4" numFmtId="0" xfId="0" applyBorder="1" applyFont="1"/>
    <xf borderId="0" fillId="0" fontId="4" numFmtId="164" xfId="0" applyFont="1" applyNumberFormat="1"/>
    <xf borderId="0" fillId="0" fontId="3" numFmtId="1" xfId="0" applyFont="1" applyNumberFormat="1"/>
    <xf borderId="0" fillId="0" fontId="4" numFmtId="9" xfId="0" applyFont="1" applyNumberFormat="1"/>
    <xf borderId="1" fillId="4" fontId="4" numFmtId="0" xfId="0" applyAlignment="1" applyBorder="1" applyFont="1">
      <alignment readingOrder="0"/>
    </xf>
    <xf borderId="1" fillId="4" fontId="4" numFmtId="1" xfId="0" applyBorder="1" applyFont="1" applyNumberFormat="1"/>
    <xf borderId="1" fillId="3" fontId="4" numFmtId="1" xfId="0" applyAlignment="1" applyBorder="1" applyFont="1" applyNumberFormat="1">
      <alignment readingOrder="0"/>
    </xf>
    <xf borderId="1" fillId="3" fontId="4" numFmtId="0" xfId="0" applyAlignment="1" applyBorder="1" applyFont="1">
      <alignment readingOrder="0"/>
    </xf>
    <xf borderId="4" fillId="3" fontId="4" numFmtId="1" xfId="0" applyAlignment="1" applyBorder="1" applyFont="1" applyNumberFormat="1">
      <alignment readingOrder="0"/>
    </xf>
    <xf borderId="1" fillId="2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5" fillId="5" fontId="4" numFmtId="0" xfId="0" applyAlignment="1" applyBorder="1" applyFill="1" applyFont="1">
      <alignment horizontal="center"/>
    </xf>
    <xf borderId="6" fillId="0" fontId="5" numFmtId="0" xfId="0" applyBorder="1" applyFont="1"/>
    <xf borderId="7" fillId="6" fontId="6" numFmtId="0" xfId="0" applyAlignment="1" applyBorder="1" applyFill="1" applyFont="1">
      <alignment shrinkToFit="0" vertical="center" wrapText="1"/>
    </xf>
    <xf borderId="8" fillId="6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9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vertical="center" wrapText="1"/>
    </xf>
    <xf borderId="8" fillId="6" fontId="7" numFmtId="0" xfId="0" applyAlignment="1" applyBorder="1" applyFont="1">
      <alignment horizontal="center" shrinkToFit="0" vertical="center" wrapText="1"/>
    </xf>
    <xf borderId="11" fillId="0" fontId="4" numFmtId="1" xfId="0" applyBorder="1" applyFont="1" applyNumberFormat="1"/>
    <xf borderId="12" fillId="0" fontId="4" numFmtId="9" xfId="0" applyBorder="1" applyFont="1" applyNumberFormat="1"/>
    <xf borderId="9" fillId="0" fontId="4" numFmtId="0" xfId="0" applyBorder="1" applyFont="1"/>
    <xf borderId="1" fillId="7" fontId="4" numFmtId="1" xfId="0" applyBorder="1" applyFill="1" applyFont="1" applyNumberFormat="1"/>
    <xf borderId="13" fillId="2" fontId="4" numFmtId="0" xfId="0" applyAlignment="1" applyBorder="1" applyFont="1">
      <alignment readingOrder="0"/>
    </xf>
    <xf borderId="1" fillId="8" fontId="4" numFmtId="9" xfId="0" applyBorder="1" applyFill="1" applyFont="1" applyNumberFormat="1"/>
    <xf borderId="7" fillId="6" fontId="7" numFmtId="0" xfId="0" applyAlignment="1" applyBorder="1" applyFont="1">
      <alignment horizontal="left" shrinkToFit="0" vertical="center" wrapText="1"/>
    </xf>
    <xf borderId="7" fillId="9" fontId="7" numFmtId="0" xfId="0" applyAlignment="1" applyBorder="1" applyFill="1" applyFont="1">
      <alignment horizontal="left" shrinkToFit="0" vertical="center" wrapText="1"/>
    </xf>
    <xf borderId="11" fillId="0" fontId="4" numFmtId="1" xfId="0" applyAlignment="1" applyBorder="1" applyFont="1" applyNumberFormat="1">
      <alignment readingOrder="0"/>
    </xf>
    <xf borderId="10" fillId="0" fontId="4" numFmtId="9" xfId="0" applyBorder="1" applyFont="1" applyNumberFormat="1"/>
    <xf borderId="9" fillId="0" fontId="4" numFmtId="0" xfId="0" applyAlignment="1" applyBorder="1" applyFont="1">
      <alignment readingOrder="0"/>
    </xf>
    <xf borderId="14" fillId="6" fontId="8" numFmtId="0" xfId="0" applyAlignment="1" applyBorder="1" applyFont="1">
      <alignment horizontal="left" shrinkToFit="0" vertical="center" wrapText="1"/>
    </xf>
    <xf borderId="15" fillId="6" fontId="7" numFmtId="0" xfId="0" applyAlignment="1" applyBorder="1" applyFont="1">
      <alignment horizontal="center" shrinkToFit="0" vertical="center" wrapText="1"/>
    </xf>
    <xf borderId="9" fillId="0" fontId="7" numFmtId="1" xfId="0" applyAlignment="1" applyBorder="1" applyFont="1" applyNumberFormat="1">
      <alignment horizontal="center" shrinkToFit="0" vertical="center" wrapText="1"/>
    </xf>
    <xf borderId="1" fillId="0" fontId="4" numFmtId="9" xfId="0" applyBorder="1" applyFont="1" applyNumberFormat="1"/>
    <xf borderId="0" fillId="0" fontId="4" numFmtId="0" xfId="0" applyAlignment="1" applyFont="1">
      <alignment horizontal="center"/>
    </xf>
    <xf borderId="1" fillId="6" fontId="4" numFmtId="0" xfId="0" applyBorder="1" applyFont="1"/>
    <xf borderId="1" fillId="6" fontId="4" numFmtId="1" xfId="0" applyBorder="1" applyFont="1" applyNumberFormat="1"/>
    <xf borderId="1" fillId="5" fontId="4" numFmtId="165" xfId="0" applyBorder="1" applyFont="1" applyNumberFormat="1"/>
    <xf borderId="1" fillId="5" fontId="4" numFmtId="1" xfId="0" applyBorder="1" applyFont="1" applyNumberFormat="1"/>
    <xf borderId="13" fillId="4" fontId="4" numFmtId="165" xfId="0" applyBorder="1" applyFont="1" applyNumberFormat="1"/>
    <xf borderId="16" fillId="10" fontId="4" numFmtId="0" xfId="0" applyAlignment="1" applyBorder="1" applyFill="1" applyFont="1">
      <alignment horizontal="center"/>
    </xf>
    <xf borderId="17" fillId="0" fontId="5" numFmtId="0" xfId="0" applyBorder="1" applyFont="1"/>
    <xf borderId="18" fillId="11" fontId="9" numFmtId="0" xfId="0" applyAlignment="1" applyBorder="1" applyFill="1" applyFont="1">
      <alignment horizontal="center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center" vertical="top"/>
    </xf>
    <xf borderId="1" fillId="0" fontId="9" numFmtId="0" xfId="0" applyAlignment="1" applyBorder="1" applyFont="1">
      <alignment horizontal="center" vertical="top"/>
    </xf>
    <xf borderId="1" fillId="0" fontId="9" numFmtId="10" xfId="0" applyAlignment="1" applyBorder="1" applyFont="1" applyNumberFormat="1">
      <alignment horizontal="center" vertical="top"/>
    </xf>
    <xf borderId="1" fillId="11" fontId="9" numFmtId="0" xfId="0" applyAlignment="1" applyBorder="1" applyFont="1">
      <alignment horizontal="left" vertical="top"/>
    </xf>
    <xf borderId="1" fillId="0" fontId="10" numFmtId="0" xfId="0" applyAlignment="1" applyBorder="1" applyFont="1">
      <alignment horizontal="left" vertical="top"/>
    </xf>
    <xf borderId="1" fillId="0" fontId="11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vertical="top"/>
    </xf>
    <xf borderId="1" fillId="0" fontId="4" numFmtId="0" xfId="0" applyBorder="1" applyFont="1"/>
    <xf borderId="1" fillId="0" fontId="9" numFmtId="10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3" sheet="Автоматизированный расчет"/>
  </cacheSource>
  <cacheFields>
    <cacheField name="Script name" numFmtId="0">
      <sharedItems>
        <s v="Покупка билета"/>
        <s v="Удаление бронирования "/>
        <s v="Регистрация новых пользователей"/>
        <s v="Логин"/>
        <s v="Поиск билета без покупки"/>
        <s v="Ознакомление с путевым листом"/>
      </sharedItems>
    </cacheField>
    <cacheField name="transaction rq" numFmtId="0">
      <sharedItems>
        <s v="Главная Welcome страница"/>
        <s v="Вход в систему"/>
        <s v="переход на страницу поиска билета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>
        <n v="1.0"/>
      </sharedItems>
    </cacheField>
    <cacheField name="VU" numFmtId="0">
      <sharedItems containsSemiMixedTypes="0" containsString="0" containsNumber="1" containsInteger="1">
        <n v="2.0"/>
        <n v="1.0"/>
        <n v="3.0"/>
      </sharedItems>
    </cacheField>
    <cacheField name="pacing" numFmtId="1">
      <sharedItems containsSemiMixedTypes="0" containsString="0" containsNumber="1" containsInteger="1">
        <n v="42.0"/>
        <n v="50.0"/>
        <n v="73.0"/>
        <n v="120.0"/>
        <n v="115.0"/>
        <n v="100.0"/>
      </sharedItems>
    </cacheField>
    <cacheField name="одним пользователем в минуту" numFmtId="2">
      <sharedItems containsSemiMixedTypes="0" containsString="0" containsNumber="1">
        <n v="1.4285714285714286"/>
        <n v="1.2"/>
        <n v="0.821917808219178"/>
        <n v="0.5"/>
        <n v="0.5217391304347826"/>
        <n v="0.6"/>
      </sharedItems>
    </cacheField>
    <cacheField name="Длительность ступени" numFmtId="0">
      <sharedItems containsSemiMixedTypes="0" containsString="0" containsNumber="1" containsInteger="1">
        <n v="20.0"/>
      </sharedItems>
    </cacheField>
    <cacheField name="Итого" numFmtId="1">
      <sharedItems containsSemiMixedTypes="0" containsString="0" containsNumber="1">
        <n v="57.142857142857146"/>
        <n v="24.0"/>
        <n v="32.87671232876712"/>
        <n v="10.0"/>
        <n v="31.304347826086953"/>
        <n v="12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63:G89" sheet="Автоматизированный расчет"/>
  </cacheSource>
  <cacheFields>
    <cacheField name="Операция/Скрипт" numFmtId="0">
      <sharedItems>
        <s v="Покупка билета"/>
        <s v="Логин и логаут"/>
        <s v="Удаление брони"/>
        <s v="Поиск билета"/>
        <s v="Просмотр текущих бронирований"/>
      </sharedItems>
    </cacheField>
    <cacheField name="Запросы" numFmtId="0">
      <sharedItems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>
        <n v="1.9633333333333336"/>
        <n v="1.0416666666666667"/>
        <n v="0.9583333333333334"/>
        <n v="1.0000000000000002"/>
        <n v="1.0"/>
      </sharedItems>
    </cacheField>
    <cacheField name="Pacing" numFmtId="1">
      <sharedItems containsSemiMixedTypes="0" containsString="0" containsNumber="1" containsInteger="1">
        <n v="57.0"/>
        <n v="25.0"/>
        <n v="115.0"/>
        <n v="180.0"/>
        <n v="30.0"/>
      </sharedItems>
    </cacheField>
    <cacheField name="Кол-во одним Vu" numFmtId="1">
      <sharedItems containsSemiMixedTypes="0" containsString="0" containsNumber="1">
        <n v="1.0526315789473684"/>
        <n v="2.4"/>
        <n v="0.5217391304347826"/>
        <n v="0.3333333333333333"/>
        <n v="2.0"/>
      </sharedItems>
    </cacheField>
    <cacheField name="Длительность ступени" numFmtId="0">
      <sharedItems containsSemiMixedTypes="0" containsString="0" containsNumber="1" containsInteger="1">
        <n v="20.0"/>
      </sharedItems>
    </cacheField>
    <cacheField name="Итого" numFmtId="1">
      <sharedItems containsSemiMixedTypes="0" containsString="0" containsNumber="1">
        <n v="41.333333333333336"/>
        <n v="50.0"/>
        <n v="10.0"/>
        <n v="6.666666666666668"/>
        <n v="4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Автоматизированный расчет" cacheId="0" dataCaption="" compact="0" compactData="0">
  <location ref="I1:J14" firstHeaderRow="0" firstDataRow="1" firstDataCol="0"/>
  <pivotFields>
    <pivotField name="Script 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ansaction rq" axis="axisRow" compact="0" outline="0" multipleItemSelectionAllowed="1" showAll="0" sortType="ascending">
      <items>
        <item x="1"/>
        <item x="4"/>
        <item x="8"/>
        <item x="0"/>
        <item x="3"/>
        <item x="10"/>
        <item x="5"/>
        <item x="7"/>
        <item x="11"/>
        <item x="2"/>
        <item x="9"/>
        <item x="6"/>
        <item t="default"/>
      </items>
    </pivotField>
    <pivotField name="count" compact="0" outline="0" multipleItemSelectionAllowed="1" showAll="0">
      <items>
        <item x="0"/>
        <item t="default"/>
      </items>
    </pivotField>
    <pivotField name="VU" compact="0" outline="0" multipleItemSelectionAllowed="1" showAll="0">
      <items>
        <item x="0"/>
        <item x="1"/>
        <item x="2"/>
        <item t="default"/>
      </items>
    </pivotField>
    <pivotField name="pacing" compact="0" numFmtId="1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одним пользователем в минуту" compact="0" numFmtId="2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Длительность ступени" compact="0" outline="0" multipleItemSelectionAllowed="1" showAll="0">
      <items>
        <item x="0"/>
        <item t="default"/>
      </items>
    </pivotField>
    <pivotField name="Итого" dataField="1" compact="0" numFmtId="1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1"/>
  </rowFields>
  <dataFields>
    <dataField name="Сумма по полю Итого" fld="7" baseField="0"/>
  </dataFields>
</pivotTableDefinition>
</file>

<file path=xl/pivotTables/pivotTable2.xml><?xml version="1.0" encoding="utf-8"?>
<pivotTableDefinition xmlns="http://schemas.openxmlformats.org/spreadsheetml/2006/main" name="Автоматизированный расчет 2" cacheId="1" dataCaption="" compact="0" compactData="0">
  <location ref="I63:J73" firstHeaderRow="0" firstDataRow="1" firstDataCol="0"/>
  <pivotFields>
    <pivotField name="Операция/Скрипт" compact="0" outline="0" multipleItemSelectionAllowed="1" showAll="0">
      <items>
        <item x="0"/>
        <item x="1"/>
        <item x="2"/>
        <item x="3"/>
        <item x="4"/>
        <item t="default"/>
      </items>
    </pivotField>
    <pivotField name="Запросы" axis="axisRow" compact="0" outline="0" multipleItemSelectionAllowed="1" showAll="0" sortType="ascending">
      <items>
        <item x="4"/>
        <item x="0"/>
        <item x="3"/>
        <item x="6"/>
        <item x="1"/>
        <item x="2"/>
        <item x="5"/>
        <item x="7"/>
        <item x="8"/>
        <item t="default"/>
      </items>
    </pivotField>
    <pivotField name="Vus" compact="0" numFmtId="1" outline="0" multipleItemSelectionAllowed="1" showAll="0">
      <items>
        <item x="0"/>
        <item x="1"/>
        <item x="2"/>
        <item x="3"/>
        <item x="4"/>
        <item t="default"/>
      </items>
    </pivotField>
    <pivotField name="Pacing" compact="0" numFmtId="1" outline="0" multipleItemSelectionAllowed="1" showAll="0">
      <items>
        <item x="0"/>
        <item x="1"/>
        <item x="2"/>
        <item x="3"/>
        <item x="4"/>
        <item t="default"/>
      </items>
    </pivotField>
    <pivotField name="Кол-во одним Vu" compact="0" numFmtId="1" outline="0" multipleItemSelectionAllowed="1" showAll="0">
      <items>
        <item x="0"/>
        <item x="1"/>
        <item x="2"/>
        <item x="3"/>
        <item x="4"/>
        <item t="default"/>
      </items>
    </pivotField>
    <pivotField name="Длительность ступени" compact="0" outline="0" multipleItemSelectionAllowed="1" showAll="0">
      <items>
        <item x="0"/>
        <item t="default"/>
      </items>
    </pivotField>
    <pivotField name="Итого" dataField="1" compact="0" numFmtId="1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"/>
  </rowFields>
  <dataFields>
    <dataField name="Сумма по полю Итого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1.xml"/><Relationship Id="rId3" Type="http://schemas.openxmlformats.org/officeDocument/2006/relationships/pivotTable" Target="../pivotTables/pivotTable2.xm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57"/>
    <col customWidth="1" min="2" max="2" width="48.71"/>
    <col customWidth="1" min="3" max="3" width="10.86"/>
    <col customWidth="1" min="4" max="4" width="9.43"/>
    <col customWidth="1" min="5" max="5" width="10.29"/>
    <col customWidth="1" min="6" max="6" width="29.29"/>
    <col customWidth="1" min="7" max="7" width="21.0"/>
    <col customWidth="1" min="8" max="8" width="16.86"/>
    <col customWidth="1" min="9" max="9" width="45.14"/>
    <col customWidth="1" min="10" max="10" width="20.43"/>
    <col customWidth="1" min="11" max="11" width="18.14"/>
    <col customWidth="1" min="12" max="12" width="26.71"/>
    <col customWidth="1" min="13" max="13" width="35.14"/>
    <col customWidth="1" min="14" max="14" width="17.86"/>
    <col customWidth="1" min="15" max="15" width="23.86"/>
    <col customWidth="1" min="16" max="16" width="23.43"/>
    <col customWidth="1" min="17" max="17" width="26.0"/>
    <col customWidth="1" min="18" max="18" width="10.57"/>
    <col customWidth="1" min="19" max="19" width="12.29"/>
    <col customWidth="1" min="20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M1" s="3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</v>
      </c>
      <c r="S1" s="1" t="s">
        <v>14</v>
      </c>
      <c r="T1" s="4" t="s">
        <v>15</v>
      </c>
      <c r="U1" s="4" t="s">
        <v>16</v>
      </c>
      <c r="V1" s="5" t="s">
        <v>17</v>
      </c>
      <c r="X1" s="1" t="s">
        <v>18</v>
      </c>
    </row>
    <row r="2">
      <c r="A2" s="6" t="s">
        <v>19</v>
      </c>
      <c r="B2" s="6" t="s">
        <v>20</v>
      </c>
      <c r="C2" s="7">
        <v>1.0</v>
      </c>
      <c r="D2" s="8">
        <f t="shared" ref="D2:D16" si="1">VLOOKUP(A2,$M$1:$W$9,6,FALSE)</f>
        <v>2</v>
      </c>
      <c r="E2" s="9">
        <f t="shared" ref="E2:E33" si="2">VLOOKUP(A2,$M$1:$W$9,5,FALSE)</f>
        <v>42</v>
      </c>
      <c r="F2" s="10">
        <f t="shared" ref="F2:F33" si="3">60/E2*C2</f>
        <v>1.428571429</v>
      </c>
      <c r="G2" s="1">
        <f t="shared" ref="G2:G33" si="4">VLOOKUP(A2,$M$1:$W$9,8,FALSE)</f>
        <v>20</v>
      </c>
      <c r="H2" s="11">
        <f t="shared" ref="H2:H33" si="5">D2*F2*G2</f>
        <v>57.14285714</v>
      </c>
      <c r="K2" s="5"/>
      <c r="M2" s="3" t="s">
        <v>19</v>
      </c>
      <c r="N2" s="13">
        <v>2.0</v>
      </c>
      <c r="O2" s="14">
        <v>23.0</v>
      </c>
      <c r="P2" s="15">
        <f t="shared" ref="P2:P8" si="6">N2+O2</f>
        <v>25</v>
      </c>
      <c r="Q2" s="16">
        <v>42.0</v>
      </c>
      <c r="R2" s="17">
        <v>2.0</v>
      </c>
      <c r="S2" s="18">
        <f t="shared" ref="S2:S3" si="7">60/(Q2)</f>
        <v>1.428571429</v>
      </c>
      <c r="T2" s="4">
        <v>20.0</v>
      </c>
      <c r="U2" s="19">
        <f t="shared" ref="U2:U3" si="8">ROUND(R2*S2*T2,0)</f>
        <v>57</v>
      </c>
      <c r="V2" s="20">
        <f t="shared" ref="V2:V3" si="9">R2/W$2</f>
        <v>0.2</v>
      </c>
      <c r="W2" s="1">
        <f>SUM(R2:R8)</f>
        <v>10</v>
      </c>
    </row>
    <row r="3">
      <c r="A3" s="6" t="s">
        <v>19</v>
      </c>
      <c r="B3" s="6" t="s">
        <v>21</v>
      </c>
      <c r="C3" s="7">
        <v>1.0</v>
      </c>
      <c r="D3" s="8">
        <f t="shared" si="1"/>
        <v>2</v>
      </c>
      <c r="E3" s="9">
        <f t="shared" si="2"/>
        <v>42</v>
      </c>
      <c r="F3" s="10">
        <f t="shared" si="3"/>
        <v>1.428571429</v>
      </c>
      <c r="G3" s="1">
        <f t="shared" si="4"/>
        <v>20</v>
      </c>
      <c r="H3" s="11">
        <f t="shared" si="5"/>
        <v>57.14285714</v>
      </c>
      <c r="K3" s="5"/>
      <c r="M3" s="3" t="s">
        <v>23</v>
      </c>
      <c r="N3" s="13">
        <v>2.0</v>
      </c>
      <c r="O3" s="14">
        <v>16.0</v>
      </c>
      <c r="P3" s="15">
        <f t="shared" si="6"/>
        <v>18</v>
      </c>
      <c r="Q3" s="16">
        <v>50.0</v>
      </c>
      <c r="R3" s="21">
        <v>1.0</v>
      </c>
      <c r="S3" s="18">
        <f t="shared" si="7"/>
        <v>1.2</v>
      </c>
      <c r="T3" s="4">
        <v>20.0</v>
      </c>
      <c r="U3" s="19">
        <f t="shared" si="8"/>
        <v>24</v>
      </c>
      <c r="V3" s="20">
        <f t="shared" si="9"/>
        <v>0.1</v>
      </c>
    </row>
    <row r="4">
      <c r="A4" s="6" t="s">
        <v>19</v>
      </c>
      <c r="B4" s="6" t="s">
        <v>24</v>
      </c>
      <c r="C4" s="7">
        <v>1.0</v>
      </c>
      <c r="D4" s="8">
        <f t="shared" si="1"/>
        <v>2</v>
      </c>
      <c r="E4" s="9">
        <f t="shared" si="2"/>
        <v>42</v>
      </c>
      <c r="F4" s="10">
        <f t="shared" si="3"/>
        <v>1.428571429</v>
      </c>
      <c r="G4" s="1">
        <f t="shared" si="4"/>
        <v>20</v>
      </c>
      <c r="H4" s="11">
        <f t="shared" si="5"/>
        <v>57.14285714</v>
      </c>
      <c r="K4" s="5"/>
      <c r="M4" s="3"/>
      <c r="N4" s="13"/>
      <c r="O4" s="14"/>
      <c r="P4" s="15">
        <f t="shared" si="6"/>
        <v>0</v>
      </c>
      <c r="Q4" s="22"/>
      <c r="R4" s="17"/>
      <c r="S4" s="18"/>
      <c r="T4" s="4"/>
      <c r="U4" s="19"/>
      <c r="V4" s="20"/>
    </row>
    <row r="5">
      <c r="A5" s="6" t="s">
        <v>19</v>
      </c>
      <c r="B5" s="6" t="s">
        <v>26</v>
      </c>
      <c r="C5" s="7">
        <v>1.0</v>
      </c>
      <c r="D5" s="8">
        <f t="shared" si="1"/>
        <v>2</v>
      </c>
      <c r="E5" s="9">
        <f t="shared" si="2"/>
        <v>42</v>
      </c>
      <c r="F5" s="10">
        <f t="shared" si="3"/>
        <v>1.428571429</v>
      </c>
      <c r="G5" s="1">
        <f t="shared" si="4"/>
        <v>20</v>
      </c>
      <c r="H5" s="11">
        <f t="shared" si="5"/>
        <v>57.14285714</v>
      </c>
      <c r="K5" s="5"/>
      <c r="M5" s="3" t="s">
        <v>27</v>
      </c>
      <c r="N5" s="13">
        <v>1.0</v>
      </c>
      <c r="O5" s="23">
        <v>20.0</v>
      </c>
      <c r="P5" s="15">
        <f t="shared" si="6"/>
        <v>21</v>
      </c>
      <c r="Q5" s="16">
        <v>73.0</v>
      </c>
      <c r="R5" s="21">
        <v>2.0</v>
      </c>
      <c r="S5" s="18">
        <f t="shared" ref="S5:S8" si="10">60/(Q5)</f>
        <v>0.8219178082</v>
      </c>
      <c r="T5" s="4">
        <v>20.0</v>
      </c>
      <c r="U5" s="19">
        <f t="shared" ref="U5:U7" si="11">ROUND(R5*S5*T5,0)</f>
        <v>33</v>
      </c>
      <c r="V5" s="20">
        <f t="shared" ref="V5:V8" si="12">R5/W$2</f>
        <v>0.2</v>
      </c>
    </row>
    <row r="6">
      <c r="A6" s="6" t="s">
        <v>19</v>
      </c>
      <c r="B6" s="6" t="s">
        <v>22</v>
      </c>
      <c r="C6" s="7">
        <v>1.0</v>
      </c>
      <c r="D6" s="8">
        <f t="shared" si="1"/>
        <v>2</v>
      </c>
      <c r="E6" s="9">
        <f t="shared" si="2"/>
        <v>42</v>
      </c>
      <c r="F6" s="10">
        <f t="shared" si="3"/>
        <v>1.428571429</v>
      </c>
      <c r="G6" s="1">
        <f t="shared" si="4"/>
        <v>20</v>
      </c>
      <c r="H6" s="11">
        <f t="shared" si="5"/>
        <v>57.14285714</v>
      </c>
      <c r="K6" s="5"/>
      <c r="M6" s="3" t="s">
        <v>28</v>
      </c>
      <c r="N6" s="13">
        <v>2.0</v>
      </c>
      <c r="O6" s="14">
        <v>22.0</v>
      </c>
      <c r="P6" s="15">
        <f t="shared" si="6"/>
        <v>24</v>
      </c>
      <c r="Q6" s="16">
        <v>115.0</v>
      </c>
      <c r="R6" s="21">
        <v>3.0</v>
      </c>
      <c r="S6" s="18">
        <f t="shared" si="10"/>
        <v>0.5217391304</v>
      </c>
      <c r="T6" s="4">
        <v>20.0</v>
      </c>
      <c r="U6" s="19">
        <f t="shared" si="11"/>
        <v>31</v>
      </c>
      <c r="V6" s="20">
        <f t="shared" si="12"/>
        <v>0.3</v>
      </c>
    </row>
    <row r="7">
      <c r="A7" s="6" t="s">
        <v>19</v>
      </c>
      <c r="B7" s="6" t="s">
        <v>29</v>
      </c>
      <c r="C7" s="7">
        <v>1.0</v>
      </c>
      <c r="D7" s="8">
        <f t="shared" si="1"/>
        <v>2</v>
      </c>
      <c r="E7" s="9">
        <f t="shared" si="2"/>
        <v>42</v>
      </c>
      <c r="F7" s="10">
        <f t="shared" si="3"/>
        <v>1.428571429</v>
      </c>
      <c r="G7" s="1">
        <f t="shared" si="4"/>
        <v>20</v>
      </c>
      <c r="H7" s="11">
        <f t="shared" si="5"/>
        <v>57.14285714</v>
      </c>
      <c r="K7" s="5"/>
      <c r="M7" s="3" t="s">
        <v>31</v>
      </c>
      <c r="N7" s="13">
        <v>2.0</v>
      </c>
      <c r="O7" s="14">
        <v>13.0</v>
      </c>
      <c r="P7" s="15">
        <f t="shared" si="6"/>
        <v>15</v>
      </c>
      <c r="Q7" s="16">
        <v>100.0</v>
      </c>
      <c r="R7" s="21">
        <v>1.0</v>
      </c>
      <c r="S7" s="18">
        <f t="shared" si="10"/>
        <v>0.6</v>
      </c>
      <c r="T7" s="4">
        <v>20.0</v>
      </c>
      <c r="U7" s="19">
        <f t="shared" si="11"/>
        <v>12</v>
      </c>
      <c r="V7" s="20">
        <f t="shared" si="12"/>
        <v>0.1</v>
      </c>
    </row>
    <row r="8">
      <c r="A8" s="6" t="s">
        <v>19</v>
      </c>
      <c r="B8" s="6" t="s">
        <v>32</v>
      </c>
      <c r="C8" s="7">
        <v>1.0</v>
      </c>
      <c r="D8" s="8">
        <f t="shared" si="1"/>
        <v>2</v>
      </c>
      <c r="E8" s="9">
        <f t="shared" si="2"/>
        <v>42</v>
      </c>
      <c r="F8" s="10">
        <f t="shared" si="3"/>
        <v>1.428571429</v>
      </c>
      <c r="G8" s="1">
        <f t="shared" si="4"/>
        <v>20</v>
      </c>
      <c r="H8" s="11">
        <f t="shared" si="5"/>
        <v>57.14285714</v>
      </c>
      <c r="K8" s="5"/>
      <c r="M8" s="3" t="s">
        <v>33</v>
      </c>
      <c r="N8" s="24">
        <v>2.0</v>
      </c>
      <c r="O8" s="25">
        <v>18.0</v>
      </c>
      <c r="P8" s="15">
        <f t="shared" si="6"/>
        <v>20</v>
      </c>
      <c r="Q8" s="16">
        <v>120.0</v>
      </c>
      <c r="R8" s="21">
        <v>1.0</v>
      </c>
      <c r="S8" s="18">
        <f t="shared" si="10"/>
        <v>0.5</v>
      </c>
      <c r="T8" s="4">
        <v>20.0</v>
      </c>
      <c r="U8" s="19">
        <f>SUM(U2:U7)</f>
        <v>157</v>
      </c>
      <c r="V8" s="20">
        <f t="shared" si="12"/>
        <v>0.1</v>
      </c>
    </row>
    <row r="9">
      <c r="A9" s="6" t="s">
        <v>23</v>
      </c>
      <c r="B9" s="6" t="s">
        <v>20</v>
      </c>
      <c r="C9" s="6">
        <v>1.0</v>
      </c>
      <c r="D9" s="8">
        <f t="shared" si="1"/>
        <v>1</v>
      </c>
      <c r="E9" s="9">
        <f t="shared" si="2"/>
        <v>50</v>
      </c>
      <c r="F9" s="10">
        <f t="shared" si="3"/>
        <v>1.2</v>
      </c>
      <c r="G9" s="1">
        <f t="shared" si="4"/>
        <v>20</v>
      </c>
      <c r="H9" s="11">
        <f t="shared" si="5"/>
        <v>24</v>
      </c>
      <c r="K9" s="5"/>
      <c r="V9" s="20">
        <f>SUM(V2:V8)</f>
        <v>1</v>
      </c>
    </row>
    <row r="10">
      <c r="A10" s="6" t="s">
        <v>23</v>
      </c>
      <c r="B10" s="6" t="s">
        <v>21</v>
      </c>
      <c r="C10" s="6">
        <v>1.0</v>
      </c>
      <c r="D10" s="8">
        <f t="shared" si="1"/>
        <v>1</v>
      </c>
      <c r="E10" s="9">
        <f t="shared" si="2"/>
        <v>50</v>
      </c>
      <c r="F10" s="10">
        <f t="shared" si="3"/>
        <v>1.2</v>
      </c>
      <c r="G10" s="1">
        <f t="shared" si="4"/>
        <v>20</v>
      </c>
      <c r="H10" s="11">
        <f t="shared" si="5"/>
        <v>24</v>
      </c>
      <c r="K10" s="5"/>
    </row>
    <row r="11">
      <c r="A11" s="6" t="s">
        <v>23</v>
      </c>
      <c r="B11" s="6" t="s">
        <v>32</v>
      </c>
      <c r="C11" s="6">
        <v>1.0</v>
      </c>
      <c r="D11" s="8">
        <f t="shared" si="1"/>
        <v>1</v>
      </c>
      <c r="E11" s="9">
        <f t="shared" si="2"/>
        <v>50</v>
      </c>
      <c r="F11" s="10">
        <f t="shared" si="3"/>
        <v>1.2</v>
      </c>
      <c r="G11" s="1">
        <f t="shared" si="4"/>
        <v>20</v>
      </c>
      <c r="H11" s="11">
        <f t="shared" si="5"/>
        <v>24</v>
      </c>
    </row>
    <row r="12">
      <c r="A12" s="6" t="s">
        <v>23</v>
      </c>
      <c r="B12" s="6" t="s">
        <v>34</v>
      </c>
      <c r="C12" s="6">
        <v>1.0</v>
      </c>
      <c r="D12" s="8">
        <f t="shared" si="1"/>
        <v>1</v>
      </c>
      <c r="E12" s="9">
        <f t="shared" si="2"/>
        <v>50</v>
      </c>
      <c r="F12" s="10">
        <f t="shared" si="3"/>
        <v>1.2</v>
      </c>
      <c r="G12" s="1">
        <f t="shared" si="4"/>
        <v>20</v>
      </c>
      <c r="H12" s="11">
        <f t="shared" si="5"/>
        <v>24</v>
      </c>
    </row>
    <row r="13">
      <c r="A13" s="6" t="s">
        <v>23</v>
      </c>
      <c r="B13" s="6" t="s">
        <v>25</v>
      </c>
      <c r="C13" s="6">
        <v>1.0</v>
      </c>
      <c r="D13" s="8">
        <f t="shared" si="1"/>
        <v>1</v>
      </c>
      <c r="E13" s="9">
        <f t="shared" si="2"/>
        <v>50</v>
      </c>
      <c r="F13" s="10">
        <f t="shared" si="3"/>
        <v>1.2</v>
      </c>
      <c r="G13" s="1">
        <f t="shared" si="4"/>
        <v>20</v>
      </c>
      <c r="H13" s="11">
        <f t="shared" si="5"/>
        <v>24</v>
      </c>
    </row>
    <row r="14">
      <c r="A14" s="6" t="s">
        <v>27</v>
      </c>
      <c r="B14" s="6" t="s">
        <v>20</v>
      </c>
      <c r="C14" s="6">
        <v>1.0</v>
      </c>
      <c r="D14" s="8">
        <f t="shared" si="1"/>
        <v>2</v>
      </c>
      <c r="E14" s="9">
        <f t="shared" si="2"/>
        <v>73</v>
      </c>
      <c r="F14" s="10">
        <f t="shared" si="3"/>
        <v>0.8219178082</v>
      </c>
      <c r="G14" s="1">
        <f t="shared" si="4"/>
        <v>20</v>
      </c>
      <c r="H14" s="11">
        <f t="shared" si="5"/>
        <v>32.87671233</v>
      </c>
    </row>
    <row r="15">
      <c r="A15" s="6" t="s">
        <v>27</v>
      </c>
      <c r="B15" s="6" t="s">
        <v>36</v>
      </c>
      <c r="C15" s="6">
        <v>1.0</v>
      </c>
      <c r="D15" s="8">
        <f t="shared" si="1"/>
        <v>2</v>
      </c>
      <c r="E15" s="9">
        <f t="shared" si="2"/>
        <v>73</v>
      </c>
      <c r="F15" s="10">
        <f t="shared" si="3"/>
        <v>0.8219178082</v>
      </c>
      <c r="G15" s="1">
        <f t="shared" si="4"/>
        <v>20</v>
      </c>
      <c r="H15" s="11">
        <f t="shared" si="5"/>
        <v>32.87671233</v>
      </c>
    </row>
    <row r="16">
      <c r="A16" s="6" t="s">
        <v>27</v>
      </c>
      <c r="B16" s="6" t="s">
        <v>30</v>
      </c>
      <c r="C16" s="6">
        <v>1.0</v>
      </c>
      <c r="D16" s="8">
        <f t="shared" si="1"/>
        <v>2</v>
      </c>
      <c r="E16" s="9">
        <f t="shared" si="2"/>
        <v>73</v>
      </c>
      <c r="F16" s="10">
        <f t="shared" si="3"/>
        <v>0.8219178082</v>
      </c>
      <c r="G16" s="1">
        <f t="shared" si="4"/>
        <v>20</v>
      </c>
      <c r="H16" s="11">
        <f t="shared" si="5"/>
        <v>32.87671233</v>
      </c>
    </row>
    <row r="17">
      <c r="A17" s="6" t="s">
        <v>27</v>
      </c>
      <c r="B17" s="6" t="s">
        <v>35</v>
      </c>
      <c r="C17" s="26">
        <v>1.0</v>
      </c>
      <c r="D17" s="27">
        <v>2.0</v>
      </c>
      <c r="E17" s="9">
        <f t="shared" si="2"/>
        <v>73</v>
      </c>
      <c r="F17" s="10">
        <f t="shared" si="3"/>
        <v>0.8219178082</v>
      </c>
      <c r="G17" s="1">
        <f t="shared" si="4"/>
        <v>20</v>
      </c>
      <c r="H17" s="11">
        <f t="shared" si="5"/>
        <v>32.87671233</v>
      </c>
    </row>
    <row r="18">
      <c r="A18" s="6" t="s">
        <v>27</v>
      </c>
      <c r="B18" s="6" t="s">
        <v>25</v>
      </c>
      <c r="C18" s="6">
        <v>1.0</v>
      </c>
      <c r="D18" s="8">
        <f t="shared" ref="D18:D33" si="13">VLOOKUP(A18,$M$1:$W$9,6,FALSE)</f>
        <v>2</v>
      </c>
      <c r="E18" s="9">
        <f t="shared" si="2"/>
        <v>73</v>
      </c>
      <c r="F18" s="10">
        <f t="shared" si="3"/>
        <v>0.8219178082</v>
      </c>
      <c r="G18" s="1">
        <f t="shared" si="4"/>
        <v>20</v>
      </c>
      <c r="H18" s="11">
        <f t="shared" si="5"/>
        <v>32.87671233</v>
      </c>
    </row>
    <row r="19">
      <c r="A19" s="6" t="s">
        <v>33</v>
      </c>
      <c r="B19" s="6" t="s">
        <v>20</v>
      </c>
      <c r="C19" s="7">
        <v>1.0</v>
      </c>
      <c r="D19" s="8">
        <f t="shared" si="13"/>
        <v>1</v>
      </c>
      <c r="E19" s="9">
        <f t="shared" si="2"/>
        <v>120</v>
      </c>
      <c r="F19" s="10">
        <f t="shared" si="3"/>
        <v>0.5</v>
      </c>
      <c r="G19" s="1">
        <f t="shared" si="4"/>
        <v>20</v>
      </c>
      <c r="H19" s="11">
        <f t="shared" si="5"/>
        <v>10</v>
      </c>
    </row>
    <row r="20">
      <c r="A20" s="6" t="s">
        <v>33</v>
      </c>
      <c r="B20" s="6" t="s">
        <v>21</v>
      </c>
      <c r="C20" s="7">
        <v>1.0</v>
      </c>
      <c r="D20" s="8">
        <f t="shared" si="13"/>
        <v>1</v>
      </c>
      <c r="E20" s="9">
        <f t="shared" si="2"/>
        <v>120</v>
      </c>
      <c r="F20" s="10">
        <f t="shared" si="3"/>
        <v>0.5</v>
      </c>
      <c r="G20" s="1">
        <f t="shared" si="4"/>
        <v>20</v>
      </c>
      <c r="H20" s="11">
        <f t="shared" si="5"/>
        <v>10</v>
      </c>
    </row>
    <row r="21">
      <c r="A21" s="6" t="s">
        <v>33</v>
      </c>
      <c r="B21" s="6" t="s">
        <v>24</v>
      </c>
      <c r="C21" s="7">
        <v>1.0</v>
      </c>
      <c r="D21" s="8">
        <f t="shared" si="13"/>
        <v>1</v>
      </c>
      <c r="E21" s="9">
        <f t="shared" si="2"/>
        <v>120</v>
      </c>
      <c r="F21" s="10">
        <f t="shared" si="3"/>
        <v>0.5</v>
      </c>
      <c r="G21" s="1">
        <f t="shared" si="4"/>
        <v>20</v>
      </c>
      <c r="H21" s="11">
        <f t="shared" si="5"/>
        <v>10</v>
      </c>
    </row>
    <row r="22">
      <c r="A22" s="6" t="s">
        <v>33</v>
      </c>
      <c r="B22" s="6" t="s">
        <v>26</v>
      </c>
      <c r="C22" s="7">
        <v>1.0</v>
      </c>
      <c r="D22" s="8">
        <f t="shared" si="13"/>
        <v>1</v>
      </c>
      <c r="E22" s="9">
        <f t="shared" si="2"/>
        <v>120</v>
      </c>
      <c r="F22" s="10">
        <f t="shared" si="3"/>
        <v>0.5</v>
      </c>
      <c r="G22" s="1">
        <f t="shared" si="4"/>
        <v>20</v>
      </c>
      <c r="H22" s="11">
        <f t="shared" si="5"/>
        <v>10</v>
      </c>
    </row>
    <row r="23" ht="15.75" customHeight="1">
      <c r="A23" s="6" t="s">
        <v>33</v>
      </c>
      <c r="B23" s="6" t="s">
        <v>25</v>
      </c>
      <c r="C23" s="7">
        <v>1.0</v>
      </c>
      <c r="D23" s="8">
        <f t="shared" si="13"/>
        <v>1</v>
      </c>
      <c r="E23" s="9">
        <f t="shared" si="2"/>
        <v>120</v>
      </c>
      <c r="F23" s="10">
        <f t="shared" si="3"/>
        <v>0.5</v>
      </c>
      <c r="G23" s="1">
        <f t="shared" si="4"/>
        <v>20</v>
      </c>
      <c r="H23" s="11">
        <f t="shared" si="5"/>
        <v>10</v>
      </c>
    </row>
    <row r="24" ht="15.75" customHeight="1">
      <c r="A24" s="6" t="s">
        <v>28</v>
      </c>
      <c r="B24" s="6" t="s">
        <v>20</v>
      </c>
      <c r="C24" s="6">
        <v>1.0</v>
      </c>
      <c r="D24" s="8">
        <f t="shared" si="13"/>
        <v>3</v>
      </c>
      <c r="E24" s="9">
        <f t="shared" si="2"/>
        <v>115</v>
      </c>
      <c r="F24" s="10">
        <f t="shared" si="3"/>
        <v>0.5217391304</v>
      </c>
      <c r="G24" s="1">
        <f t="shared" si="4"/>
        <v>20</v>
      </c>
      <c r="H24" s="11">
        <f t="shared" si="5"/>
        <v>31.30434783</v>
      </c>
    </row>
    <row r="25" ht="15.75" customHeight="1">
      <c r="A25" s="6" t="s">
        <v>28</v>
      </c>
      <c r="B25" s="6" t="s">
        <v>21</v>
      </c>
      <c r="C25" s="6">
        <v>1.0</v>
      </c>
      <c r="D25" s="8">
        <f t="shared" si="13"/>
        <v>3</v>
      </c>
      <c r="E25" s="9">
        <f t="shared" si="2"/>
        <v>115</v>
      </c>
      <c r="F25" s="10">
        <f t="shared" si="3"/>
        <v>0.5217391304</v>
      </c>
      <c r="G25" s="1">
        <f t="shared" si="4"/>
        <v>20</v>
      </c>
      <c r="H25" s="11">
        <f t="shared" si="5"/>
        <v>31.30434783</v>
      </c>
    </row>
    <row r="26" ht="15.75" customHeight="1">
      <c r="A26" s="6" t="s">
        <v>28</v>
      </c>
      <c r="B26" s="6" t="s">
        <v>24</v>
      </c>
      <c r="C26" s="6">
        <v>1.0</v>
      </c>
      <c r="D26" s="8">
        <f t="shared" si="13"/>
        <v>3</v>
      </c>
      <c r="E26" s="9">
        <f t="shared" si="2"/>
        <v>115</v>
      </c>
      <c r="F26" s="10">
        <f t="shared" si="3"/>
        <v>0.5217391304</v>
      </c>
      <c r="G26" s="1">
        <f t="shared" si="4"/>
        <v>20</v>
      </c>
      <c r="H26" s="11">
        <f t="shared" si="5"/>
        <v>31.30434783</v>
      </c>
    </row>
    <row r="27" ht="15.75" customHeight="1">
      <c r="A27" s="6" t="s">
        <v>28</v>
      </c>
      <c r="B27" s="6" t="s">
        <v>26</v>
      </c>
      <c r="C27" s="6">
        <v>1.0</v>
      </c>
      <c r="D27" s="8">
        <f t="shared" si="13"/>
        <v>3</v>
      </c>
      <c r="E27" s="9">
        <f t="shared" si="2"/>
        <v>115</v>
      </c>
      <c r="F27" s="10">
        <f t="shared" si="3"/>
        <v>0.5217391304</v>
      </c>
      <c r="G27" s="1">
        <f t="shared" si="4"/>
        <v>20</v>
      </c>
      <c r="H27" s="11">
        <f t="shared" si="5"/>
        <v>31.30434783</v>
      </c>
    </row>
    <row r="28" ht="15.75" customHeight="1">
      <c r="A28" s="6" t="s">
        <v>28</v>
      </c>
      <c r="B28" s="6" t="s">
        <v>22</v>
      </c>
      <c r="C28" s="6">
        <v>1.0</v>
      </c>
      <c r="D28" s="8">
        <f t="shared" si="13"/>
        <v>3</v>
      </c>
      <c r="E28" s="9">
        <f t="shared" si="2"/>
        <v>115</v>
      </c>
      <c r="F28" s="10">
        <f t="shared" si="3"/>
        <v>0.5217391304</v>
      </c>
      <c r="G28" s="1">
        <f t="shared" si="4"/>
        <v>20</v>
      </c>
      <c r="H28" s="11">
        <f t="shared" si="5"/>
        <v>31.30434783</v>
      </c>
    </row>
    <row r="29" ht="15.75" customHeight="1">
      <c r="A29" s="6" t="s">
        <v>28</v>
      </c>
      <c r="B29" s="6" t="s">
        <v>25</v>
      </c>
      <c r="C29" s="6">
        <v>1.0</v>
      </c>
      <c r="D29" s="8">
        <f t="shared" si="13"/>
        <v>3</v>
      </c>
      <c r="E29" s="9">
        <f t="shared" si="2"/>
        <v>115</v>
      </c>
      <c r="F29" s="10">
        <f t="shared" si="3"/>
        <v>0.5217391304</v>
      </c>
      <c r="G29" s="1">
        <f t="shared" si="4"/>
        <v>20</v>
      </c>
      <c r="H29" s="11">
        <f t="shared" si="5"/>
        <v>31.30434783</v>
      </c>
    </row>
    <row r="30" ht="15.75" customHeight="1">
      <c r="A30" s="6" t="s">
        <v>31</v>
      </c>
      <c r="B30" s="6" t="s">
        <v>20</v>
      </c>
      <c r="C30" s="6">
        <v>1.0</v>
      </c>
      <c r="D30" s="8">
        <f t="shared" si="13"/>
        <v>1</v>
      </c>
      <c r="E30" s="9">
        <f t="shared" si="2"/>
        <v>100</v>
      </c>
      <c r="F30" s="10">
        <f t="shared" si="3"/>
        <v>0.6</v>
      </c>
      <c r="G30" s="1">
        <f t="shared" si="4"/>
        <v>20</v>
      </c>
      <c r="H30" s="11">
        <f t="shared" si="5"/>
        <v>12</v>
      </c>
    </row>
    <row r="31" ht="15.75" customHeight="1">
      <c r="A31" s="6" t="s">
        <v>31</v>
      </c>
      <c r="B31" s="6" t="s">
        <v>21</v>
      </c>
      <c r="C31" s="6">
        <v>1.0</v>
      </c>
      <c r="D31" s="8">
        <f t="shared" si="13"/>
        <v>1</v>
      </c>
      <c r="E31" s="9">
        <f t="shared" si="2"/>
        <v>100</v>
      </c>
      <c r="F31" s="10">
        <f t="shared" si="3"/>
        <v>0.6</v>
      </c>
      <c r="G31" s="1">
        <f t="shared" si="4"/>
        <v>20</v>
      </c>
      <c r="H31" s="11">
        <f t="shared" si="5"/>
        <v>12</v>
      </c>
    </row>
    <row r="32" ht="15.75" customHeight="1">
      <c r="A32" s="6" t="s">
        <v>31</v>
      </c>
      <c r="B32" s="6" t="s">
        <v>32</v>
      </c>
      <c r="C32" s="6">
        <v>1.0</v>
      </c>
      <c r="D32" s="8">
        <f t="shared" si="13"/>
        <v>1</v>
      </c>
      <c r="E32" s="9">
        <f t="shared" si="2"/>
        <v>100</v>
      </c>
      <c r="F32" s="10">
        <f t="shared" si="3"/>
        <v>0.6</v>
      </c>
      <c r="G32" s="1">
        <f t="shared" si="4"/>
        <v>20</v>
      </c>
      <c r="H32" s="11">
        <f t="shared" si="5"/>
        <v>12</v>
      </c>
    </row>
    <row r="33" ht="15.75" customHeight="1">
      <c r="A33" s="6" t="s">
        <v>31</v>
      </c>
      <c r="B33" s="6" t="s">
        <v>25</v>
      </c>
      <c r="C33" s="6">
        <v>1.0</v>
      </c>
      <c r="D33" s="8">
        <f t="shared" si="13"/>
        <v>1</v>
      </c>
      <c r="E33" s="9">
        <f t="shared" si="2"/>
        <v>100</v>
      </c>
      <c r="F33" s="10">
        <f t="shared" si="3"/>
        <v>0.6</v>
      </c>
      <c r="G33" s="1">
        <f t="shared" si="4"/>
        <v>20</v>
      </c>
      <c r="H33" s="11">
        <f t="shared" si="5"/>
        <v>12</v>
      </c>
    </row>
    <row r="34" ht="15.75" customHeight="1"/>
    <row r="35" ht="15.75" customHeight="1"/>
    <row r="36" ht="15.75" customHeight="1">
      <c r="A36" s="28" t="s">
        <v>37</v>
      </c>
      <c r="B36" s="29"/>
    </row>
    <row r="37" ht="15.75" customHeight="1">
      <c r="A37" s="30" t="s">
        <v>38</v>
      </c>
      <c r="B37" s="31" t="s">
        <v>39</v>
      </c>
      <c r="C37" s="32" t="s">
        <v>40</v>
      </c>
      <c r="D37" s="33" t="s">
        <v>41</v>
      </c>
      <c r="E37" s="34"/>
      <c r="F37" s="35" t="s">
        <v>42</v>
      </c>
      <c r="G37" s="36" t="s">
        <v>43</v>
      </c>
      <c r="H37" s="36" t="s">
        <v>44</v>
      </c>
      <c r="I37" s="36" t="s">
        <v>45</v>
      </c>
    </row>
    <row r="38" ht="15.75" customHeight="1">
      <c r="A38" s="30" t="s">
        <v>20</v>
      </c>
      <c r="B38" s="37">
        <v>520.0</v>
      </c>
      <c r="C38" s="38">
        <f t="shared" ref="C38:C39" si="14">GETPIVOTDATA("Итого",$I$1,"transaction rq",A38)*3</f>
        <v>501.9717519</v>
      </c>
      <c r="D38" s="39">
        <f t="shared" ref="D38:D50" si="15">1-B38/C38</f>
        <v>-0.0359148658</v>
      </c>
      <c r="E38" s="20"/>
      <c r="F38" s="40" t="str">
        <f>VLOOKUP(A38,'Соответствие'!A:B,2,FALSE)</f>
        <v>open_home_page</v>
      </c>
      <c r="G38" s="41">
        <f t="shared" ref="G38:G49" si="16">C38/3</f>
        <v>167.3239173</v>
      </c>
      <c r="H38" s="42">
        <v>166.0</v>
      </c>
      <c r="I38" s="43">
        <f t="shared" ref="I38:I49" si="17">1-G38/H38</f>
        <v>-0.007975405408</v>
      </c>
    </row>
    <row r="39" ht="15.75" customHeight="1">
      <c r="A39" s="44" t="s">
        <v>21</v>
      </c>
      <c r="B39" s="37">
        <v>422.0</v>
      </c>
      <c r="C39" s="38">
        <f t="shared" si="14"/>
        <v>403.3416149</v>
      </c>
      <c r="D39" s="39">
        <f t="shared" si="15"/>
        <v>-0.04625950907</v>
      </c>
      <c r="E39" s="20"/>
      <c r="F39" s="40" t="str">
        <f>VLOOKUP(A39,'Соответствие'!A:B,2,FALSE)</f>
        <v>login</v>
      </c>
      <c r="G39" s="41">
        <f t="shared" si="16"/>
        <v>134.447205</v>
      </c>
      <c r="H39" s="42">
        <v>134.0</v>
      </c>
      <c r="I39" s="43">
        <f t="shared" si="17"/>
        <v>-0.003337350515</v>
      </c>
    </row>
    <row r="40" ht="15.75" customHeight="1">
      <c r="A40" s="45" t="s">
        <v>46</v>
      </c>
      <c r="B40" s="37">
        <v>305.0</v>
      </c>
      <c r="C40" s="46">
        <f>98*3</f>
        <v>294</v>
      </c>
      <c r="D40" s="39">
        <f t="shared" si="15"/>
        <v>-0.03741496599</v>
      </c>
      <c r="E40" s="20"/>
      <c r="F40" s="40" t="str">
        <f>VLOOKUP(A40,'Соответствие'!A:B,2,FALSE)</f>
        <v>click_flights</v>
      </c>
      <c r="G40" s="41">
        <f t="shared" si="16"/>
        <v>98</v>
      </c>
      <c r="H40" s="42">
        <v>97.0</v>
      </c>
      <c r="I40" s="43">
        <f t="shared" si="17"/>
        <v>-0.01030927835</v>
      </c>
    </row>
    <row r="41" ht="15.75" customHeight="1">
      <c r="A41" s="44" t="s">
        <v>26</v>
      </c>
      <c r="B41" s="37">
        <v>282.0</v>
      </c>
      <c r="C41" s="38">
        <f t="shared" ref="C41:C49" si="18">GETPIVOTDATA("Итого",$I$1,"transaction rq",A41)*3</f>
        <v>295.3416149</v>
      </c>
      <c r="D41" s="47">
        <f t="shared" si="15"/>
        <v>0.04517350158</v>
      </c>
      <c r="E41" s="20"/>
      <c r="F41" s="40" t="str">
        <f>VLOOKUP(A41,'Соответствие'!A:B,2,FALSE)</f>
        <v>find_flight</v>
      </c>
      <c r="G41" s="41">
        <f t="shared" si="16"/>
        <v>98.44720497</v>
      </c>
      <c r="H41" s="42">
        <v>97.0</v>
      </c>
      <c r="I41" s="43">
        <f t="shared" si="17"/>
        <v>-0.01491963886</v>
      </c>
    </row>
    <row r="42" ht="15.75" customHeight="1">
      <c r="A42" s="44" t="s">
        <v>22</v>
      </c>
      <c r="B42" s="37">
        <v>270.0</v>
      </c>
      <c r="C42" s="38">
        <f t="shared" si="18"/>
        <v>265.3416149</v>
      </c>
      <c r="D42" s="47">
        <f t="shared" si="15"/>
        <v>-0.01755617978</v>
      </c>
      <c r="E42" s="20"/>
      <c r="F42" s="48" t="s">
        <v>47</v>
      </c>
      <c r="G42" s="41">
        <f t="shared" si="16"/>
        <v>88.44720497</v>
      </c>
      <c r="H42" s="42">
        <v>88.0</v>
      </c>
      <c r="I42" s="43">
        <f t="shared" si="17"/>
        <v>-0.005081874647</v>
      </c>
    </row>
    <row r="43" ht="15.75" customHeight="1">
      <c r="A43" s="44" t="s">
        <v>29</v>
      </c>
      <c r="B43" s="37">
        <v>175.0</v>
      </c>
      <c r="C43" s="38">
        <f t="shared" si="18"/>
        <v>171.4285714</v>
      </c>
      <c r="D43" s="47">
        <f t="shared" si="15"/>
        <v>-0.02083333333</v>
      </c>
      <c r="E43" s="20"/>
      <c r="F43" s="48" t="s">
        <v>48</v>
      </c>
      <c r="G43" s="41">
        <f t="shared" si="16"/>
        <v>57.14285714</v>
      </c>
      <c r="H43" s="42">
        <v>58.0</v>
      </c>
      <c r="I43" s="43">
        <f t="shared" si="17"/>
        <v>0.01477832512</v>
      </c>
    </row>
    <row r="44" ht="15.75" customHeight="1">
      <c r="A44" s="44" t="s">
        <v>32</v>
      </c>
      <c r="B44" s="37">
        <v>280.0</v>
      </c>
      <c r="C44" s="38">
        <f t="shared" si="18"/>
        <v>279.4285714</v>
      </c>
      <c r="D44" s="47">
        <f t="shared" si="15"/>
        <v>-0.002044989775</v>
      </c>
      <c r="E44" s="10"/>
      <c r="F44" s="48" t="s">
        <v>49</v>
      </c>
      <c r="G44" s="41">
        <f t="shared" si="16"/>
        <v>93.14285714</v>
      </c>
      <c r="H44" s="42">
        <v>94.0</v>
      </c>
      <c r="I44" s="43">
        <f t="shared" si="17"/>
        <v>0.009118541033</v>
      </c>
    </row>
    <row r="45" ht="15.75" customHeight="1">
      <c r="A45" s="44" t="s">
        <v>34</v>
      </c>
      <c r="B45" s="37">
        <v>73.0</v>
      </c>
      <c r="C45" s="38">
        <f t="shared" si="18"/>
        <v>72</v>
      </c>
      <c r="D45" s="47">
        <f t="shared" si="15"/>
        <v>-0.01388888889</v>
      </c>
      <c r="E45" s="20"/>
      <c r="F45" s="48" t="s">
        <v>50</v>
      </c>
      <c r="G45" s="41">
        <f t="shared" si="16"/>
        <v>24</v>
      </c>
      <c r="H45" s="42">
        <v>23.0</v>
      </c>
      <c r="I45" s="43">
        <f t="shared" si="17"/>
        <v>-0.04347826087</v>
      </c>
    </row>
    <row r="46" ht="15.75" customHeight="1">
      <c r="A46" s="44" t="s">
        <v>25</v>
      </c>
      <c r="B46" s="37">
        <v>326.0</v>
      </c>
      <c r="C46" s="38">
        <f t="shared" si="18"/>
        <v>330.5431805</v>
      </c>
      <c r="D46" s="47">
        <f t="shared" si="15"/>
        <v>0.01374458991</v>
      </c>
      <c r="E46" s="20"/>
      <c r="F46" s="48" t="s">
        <v>51</v>
      </c>
      <c r="G46" s="41">
        <f t="shared" si="16"/>
        <v>110.1810602</v>
      </c>
      <c r="H46" s="42">
        <v>110.0</v>
      </c>
      <c r="I46" s="43">
        <f t="shared" si="17"/>
        <v>-0.001646001408</v>
      </c>
    </row>
    <row r="47" ht="15.75" customHeight="1">
      <c r="A47" s="44" t="s">
        <v>36</v>
      </c>
      <c r="B47" s="37">
        <v>97.0</v>
      </c>
      <c r="C47" s="38">
        <f t="shared" si="18"/>
        <v>98.63013699</v>
      </c>
      <c r="D47" s="47">
        <f t="shared" si="15"/>
        <v>0.01652777778</v>
      </c>
      <c r="E47" s="20"/>
      <c r="F47" s="48" t="s">
        <v>52</v>
      </c>
      <c r="G47" s="41">
        <f t="shared" si="16"/>
        <v>32.87671233</v>
      </c>
      <c r="H47" s="42">
        <v>33.0</v>
      </c>
      <c r="I47" s="43">
        <f t="shared" si="17"/>
        <v>0.003735990037</v>
      </c>
    </row>
    <row r="48" ht="15.75" customHeight="1">
      <c r="A48" s="44" t="s">
        <v>30</v>
      </c>
      <c r="B48" s="37">
        <v>97.0</v>
      </c>
      <c r="C48" s="38">
        <f t="shared" si="18"/>
        <v>98.63013699</v>
      </c>
      <c r="D48" s="47">
        <f t="shared" si="15"/>
        <v>0.01652777778</v>
      </c>
      <c r="E48" s="20"/>
      <c r="F48" s="48" t="s">
        <v>53</v>
      </c>
      <c r="G48" s="41">
        <f t="shared" si="16"/>
        <v>32.87671233</v>
      </c>
      <c r="H48" s="42">
        <v>33.0</v>
      </c>
      <c r="I48" s="43">
        <f t="shared" si="17"/>
        <v>0.003735990037</v>
      </c>
    </row>
    <row r="49" ht="15.75" customHeight="1">
      <c r="A49" s="44" t="s">
        <v>35</v>
      </c>
      <c r="B49" s="37">
        <v>97.0</v>
      </c>
      <c r="C49" s="38">
        <f t="shared" si="18"/>
        <v>98.63013699</v>
      </c>
      <c r="D49" s="47">
        <f t="shared" si="15"/>
        <v>0.01652777778</v>
      </c>
      <c r="E49" s="20"/>
      <c r="F49" s="48" t="s">
        <v>54</v>
      </c>
      <c r="G49" s="41">
        <f t="shared" si="16"/>
        <v>32.87671233</v>
      </c>
      <c r="H49" s="42">
        <v>33.0</v>
      </c>
      <c r="I49" s="43">
        <f t="shared" si="17"/>
        <v>0.003735990037</v>
      </c>
    </row>
    <row r="50" ht="15.75" customHeight="1">
      <c r="A50" s="49" t="s">
        <v>7</v>
      </c>
      <c r="B50" s="50">
        <f t="shared" ref="B50:C50" si="19">SUM(B38:B49)</f>
        <v>2944</v>
      </c>
      <c r="C50" s="51">
        <f t="shared" si="19"/>
        <v>2909.287331</v>
      </c>
      <c r="D50" s="52">
        <f t="shared" si="15"/>
        <v>-0.01193167438</v>
      </c>
    </row>
    <row r="51" ht="15.75" customHeight="1">
      <c r="I51" s="53"/>
    </row>
    <row r="52" ht="15.75" customHeight="1">
      <c r="C52" s="53" t="s">
        <v>55</v>
      </c>
      <c r="D52" s="53"/>
      <c r="E52" s="53"/>
      <c r="F52" s="53"/>
      <c r="G52" s="53"/>
      <c r="H52" s="53"/>
    </row>
    <row r="53" ht="15.75" customHeight="1">
      <c r="B53" s="1" t="s">
        <v>56</v>
      </c>
      <c r="C53" s="1" t="s">
        <v>57</v>
      </c>
      <c r="D53" s="1" t="s">
        <v>58</v>
      </c>
      <c r="E53" s="1" t="s">
        <v>59</v>
      </c>
      <c r="F53" s="1" t="s">
        <v>60</v>
      </c>
      <c r="G53" s="1" t="s">
        <v>61</v>
      </c>
      <c r="H53" s="1" t="s">
        <v>62</v>
      </c>
    </row>
    <row r="54" ht="15.75" customHeight="1">
      <c r="A54" s="54" t="s">
        <v>19</v>
      </c>
      <c r="B54" s="55">
        <f>124/3</f>
        <v>41.33333333</v>
      </c>
      <c r="C54" s="22">
        <v>57.0</v>
      </c>
      <c r="D54" s="56">
        <f>60/C54</f>
        <v>1.052631579</v>
      </c>
      <c r="E54" s="57">
        <v>20.0</v>
      </c>
      <c r="F54" s="58">
        <f>B54/(D54*E54)</f>
        <v>1.963333333</v>
      </c>
      <c r="G54" s="11">
        <f>ROUND(F54,0)</f>
        <v>2</v>
      </c>
      <c r="H54" s="11">
        <f>G54*D54*E54</f>
        <v>42.10526316</v>
      </c>
      <c r="I54" s="20">
        <f>1-B54/H54</f>
        <v>0.01833333333</v>
      </c>
    </row>
    <row r="55" ht="15.75" customHeight="1">
      <c r="A55" s="54"/>
      <c r="B55" s="55"/>
      <c r="C55" s="22"/>
      <c r="D55" s="56"/>
      <c r="E55" s="57"/>
      <c r="F55" s="58"/>
      <c r="G55" s="11"/>
      <c r="H55" s="11"/>
      <c r="I55" s="20"/>
    </row>
    <row r="56" ht="15.75" customHeight="1">
      <c r="A56" s="54" t="s">
        <v>63</v>
      </c>
      <c r="B56" s="55">
        <f>150/3</f>
        <v>50</v>
      </c>
      <c r="C56" s="22">
        <v>25.0</v>
      </c>
      <c r="D56" s="56">
        <f t="shared" ref="D56:D59" si="20">60/C56</f>
        <v>2.4</v>
      </c>
      <c r="E56" s="57">
        <v>20.0</v>
      </c>
      <c r="F56" s="58">
        <f t="shared" ref="F56:F59" si="21">B56/(D56*E56)</f>
        <v>1.041666667</v>
      </c>
      <c r="G56" s="11">
        <f>ROUND(F56,0)</f>
        <v>1</v>
      </c>
      <c r="H56" s="11">
        <f t="shared" ref="H56:H59" si="22">G56*D56*E56</f>
        <v>48</v>
      </c>
      <c r="I56" s="20">
        <f t="shared" ref="I56:I59" si="23">1-B56/H56</f>
        <v>-0.04166666667</v>
      </c>
    </row>
    <row r="57" ht="15.75" customHeight="1">
      <c r="A57" s="54" t="s">
        <v>64</v>
      </c>
      <c r="B57" s="55">
        <f>30/3</f>
        <v>10</v>
      </c>
      <c r="C57" s="22">
        <v>115.0</v>
      </c>
      <c r="D57" s="56">
        <f t="shared" si="20"/>
        <v>0.5217391304</v>
      </c>
      <c r="E57" s="57">
        <v>20.0</v>
      </c>
      <c r="F57" s="58">
        <f t="shared" si="21"/>
        <v>0.9583333333</v>
      </c>
      <c r="G57" s="11">
        <v>1.0</v>
      </c>
      <c r="H57" s="11">
        <f t="shared" si="22"/>
        <v>10.43478261</v>
      </c>
      <c r="I57" s="20">
        <f t="shared" si="23"/>
        <v>0.04166666667</v>
      </c>
    </row>
    <row r="58" ht="15.75" customHeight="1">
      <c r="A58" s="54" t="s">
        <v>65</v>
      </c>
      <c r="B58" s="55">
        <f>20/3</f>
        <v>6.666666667</v>
      </c>
      <c r="C58" s="22">
        <v>180.0</v>
      </c>
      <c r="D58" s="56">
        <f t="shared" si="20"/>
        <v>0.3333333333</v>
      </c>
      <c r="E58" s="57">
        <v>20.0</v>
      </c>
      <c r="F58" s="58">
        <f t="shared" si="21"/>
        <v>1</v>
      </c>
      <c r="G58" s="11">
        <v>1.0</v>
      </c>
      <c r="H58" s="11">
        <f t="shared" si="22"/>
        <v>6.666666667</v>
      </c>
      <c r="I58" s="20">
        <f t="shared" si="23"/>
        <v>0</v>
      </c>
    </row>
    <row r="59" ht="15.75" customHeight="1">
      <c r="A59" s="54" t="s">
        <v>66</v>
      </c>
      <c r="B59" s="55">
        <f>120/3</f>
        <v>40</v>
      </c>
      <c r="C59" s="22">
        <v>30.0</v>
      </c>
      <c r="D59" s="56">
        <f t="shared" si="20"/>
        <v>2</v>
      </c>
      <c r="E59" s="57">
        <v>20.0</v>
      </c>
      <c r="F59" s="58">
        <f t="shared" si="21"/>
        <v>1</v>
      </c>
      <c r="G59" s="11">
        <f>ROUND(F59,0)</f>
        <v>1</v>
      </c>
      <c r="H59" s="11">
        <f t="shared" si="22"/>
        <v>40</v>
      </c>
      <c r="I59" s="20">
        <f t="shared" si="23"/>
        <v>0</v>
      </c>
    </row>
    <row r="60" ht="15.75" customHeight="1">
      <c r="G60" s="11">
        <f>SUM(G54:G59)</f>
        <v>6</v>
      </c>
    </row>
    <row r="61" ht="15.75" customHeight="1"/>
    <row r="62" ht="15.75" customHeight="1"/>
    <row r="63" ht="15.75" customHeight="1">
      <c r="A63" s="1" t="s">
        <v>67</v>
      </c>
      <c r="B63" s="1" t="s">
        <v>68</v>
      </c>
      <c r="C63" s="1" t="s">
        <v>69</v>
      </c>
      <c r="D63" s="1" t="s">
        <v>13</v>
      </c>
      <c r="E63" s="1" t="s">
        <v>70</v>
      </c>
      <c r="F63" s="1" t="s">
        <v>6</v>
      </c>
      <c r="G63" s="1" t="s">
        <v>7</v>
      </c>
    </row>
    <row r="64" ht="15.75" customHeight="1">
      <c r="A64" s="1" t="s">
        <v>19</v>
      </c>
      <c r="B64" s="1" t="s">
        <v>71</v>
      </c>
      <c r="C64" s="11">
        <f t="shared" ref="C64:C89" si="24">VLOOKUP(A64,$A$54:$H$59,6,FALSE)</f>
        <v>1.963333333</v>
      </c>
      <c r="D64" s="9">
        <f t="shared" ref="D64:D89" si="25">VLOOKUP(A64,$A$54:$H$59,3,FALSE)</f>
        <v>57</v>
      </c>
      <c r="E64" s="11">
        <f t="shared" ref="E64:E89" si="26">60/D64</f>
        <v>1.052631579</v>
      </c>
      <c r="F64" s="1">
        <v>20.0</v>
      </c>
      <c r="G64" s="11">
        <f t="shared" ref="G64:G89" si="27">C64*E64*F64</f>
        <v>41.33333333</v>
      </c>
    </row>
    <row r="65" ht="15.75" customHeight="1">
      <c r="A65" s="1" t="s">
        <v>19</v>
      </c>
      <c r="B65" s="1" t="s">
        <v>33</v>
      </c>
      <c r="C65" s="11">
        <f t="shared" si="24"/>
        <v>1.963333333</v>
      </c>
      <c r="D65" s="9">
        <f t="shared" si="25"/>
        <v>57</v>
      </c>
      <c r="E65" s="11">
        <f t="shared" si="26"/>
        <v>1.052631579</v>
      </c>
      <c r="F65" s="1">
        <v>20.0</v>
      </c>
      <c r="G65" s="11">
        <f t="shared" si="27"/>
        <v>41.33333333</v>
      </c>
    </row>
    <row r="66" ht="15.75" customHeight="1">
      <c r="A66" s="1" t="s">
        <v>19</v>
      </c>
      <c r="B66" s="1" t="s">
        <v>73</v>
      </c>
      <c r="C66" s="11">
        <f t="shared" si="24"/>
        <v>1.963333333</v>
      </c>
      <c r="D66" s="9">
        <f t="shared" si="25"/>
        <v>57</v>
      </c>
      <c r="E66" s="11">
        <f t="shared" si="26"/>
        <v>1.052631579</v>
      </c>
      <c r="F66" s="1">
        <v>20.0</v>
      </c>
      <c r="G66" s="11">
        <f t="shared" si="27"/>
        <v>41.33333333</v>
      </c>
    </row>
    <row r="67" ht="15.75" customHeight="1">
      <c r="A67" s="1" t="s">
        <v>19</v>
      </c>
      <c r="B67" s="1" t="s">
        <v>74</v>
      </c>
      <c r="C67" s="11">
        <f t="shared" si="24"/>
        <v>1.963333333</v>
      </c>
      <c r="D67" s="9">
        <f t="shared" si="25"/>
        <v>57</v>
      </c>
      <c r="E67" s="11">
        <f t="shared" si="26"/>
        <v>1.052631579</v>
      </c>
      <c r="F67" s="1">
        <v>20.0</v>
      </c>
      <c r="G67" s="11">
        <f t="shared" si="27"/>
        <v>41.33333333</v>
      </c>
    </row>
    <row r="68" ht="15.75" customHeight="1">
      <c r="A68" s="1" t="s">
        <v>19</v>
      </c>
      <c r="B68" s="1" t="s">
        <v>72</v>
      </c>
      <c r="C68" s="11">
        <f t="shared" si="24"/>
        <v>1.963333333</v>
      </c>
      <c r="D68" s="9">
        <f t="shared" si="25"/>
        <v>57</v>
      </c>
      <c r="E68" s="11">
        <f t="shared" si="26"/>
        <v>1.052631579</v>
      </c>
      <c r="F68" s="1">
        <v>20.0</v>
      </c>
      <c r="G68" s="11">
        <f t="shared" si="27"/>
        <v>41.33333333</v>
      </c>
    </row>
    <row r="69" ht="15.75" customHeight="1">
      <c r="A69" s="1" t="s">
        <v>19</v>
      </c>
      <c r="B69" s="1" t="s">
        <v>76</v>
      </c>
      <c r="C69" s="11">
        <f t="shared" si="24"/>
        <v>1.963333333</v>
      </c>
      <c r="D69" s="9">
        <f t="shared" si="25"/>
        <v>57</v>
      </c>
      <c r="E69" s="11">
        <f t="shared" si="26"/>
        <v>1.052631579</v>
      </c>
      <c r="F69" s="1">
        <v>20.0</v>
      </c>
      <c r="G69" s="11">
        <f t="shared" si="27"/>
        <v>41.33333333</v>
      </c>
    </row>
    <row r="70" ht="15.75" customHeight="1">
      <c r="A70" s="1" t="s">
        <v>19</v>
      </c>
      <c r="B70" s="1" t="s">
        <v>75</v>
      </c>
      <c r="C70" s="11">
        <f t="shared" si="24"/>
        <v>1.963333333</v>
      </c>
      <c r="D70" s="9">
        <f t="shared" si="25"/>
        <v>57</v>
      </c>
      <c r="E70" s="11">
        <f t="shared" si="26"/>
        <v>1.052631579</v>
      </c>
      <c r="F70" s="1">
        <v>20.0</v>
      </c>
      <c r="G70" s="11">
        <f t="shared" si="27"/>
        <v>41.33333333</v>
      </c>
    </row>
    <row r="71" ht="15.75" customHeight="1">
      <c r="A71" s="1" t="s">
        <v>63</v>
      </c>
      <c r="B71" s="1" t="s">
        <v>71</v>
      </c>
      <c r="C71" s="11">
        <f t="shared" si="24"/>
        <v>1.041666667</v>
      </c>
      <c r="D71" s="9">
        <f t="shared" si="25"/>
        <v>25</v>
      </c>
      <c r="E71" s="11">
        <f t="shared" si="26"/>
        <v>2.4</v>
      </c>
      <c r="F71" s="1">
        <v>20.0</v>
      </c>
      <c r="G71" s="11">
        <f t="shared" si="27"/>
        <v>50</v>
      </c>
    </row>
    <row r="72" ht="15.75" customHeight="1">
      <c r="A72" s="1" t="s">
        <v>63</v>
      </c>
      <c r="B72" s="1" t="s">
        <v>33</v>
      </c>
      <c r="C72" s="11">
        <f t="shared" si="24"/>
        <v>1.041666667</v>
      </c>
      <c r="D72" s="9">
        <f t="shared" si="25"/>
        <v>25</v>
      </c>
      <c r="E72" s="11">
        <f t="shared" si="26"/>
        <v>2.4</v>
      </c>
      <c r="F72" s="1">
        <v>20.0</v>
      </c>
      <c r="G72" s="11">
        <f t="shared" si="27"/>
        <v>50</v>
      </c>
    </row>
    <row r="73" ht="15.75" customHeight="1">
      <c r="A73" s="1" t="s">
        <v>63</v>
      </c>
      <c r="B73" s="1" t="s">
        <v>75</v>
      </c>
      <c r="C73" s="11">
        <f t="shared" si="24"/>
        <v>1.041666667</v>
      </c>
      <c r="D73" s="9">
        <f t="shared" si="25"/>
        <v>25</v>
      </c>
      <c r="E73" s="11">
        <f t="shared" si="26"/>
        <v>2.4</v>
      </c>
      <c r="F73" s="1">
        <v>20.0</v>
      </c>
      <c r="G73" s="11">
        <f t="shared" si="27"/>
        <v>50</v>
      </c>
    </row>
    <row r="74" ht="15.75" customHeight="1">
      <c r="A74" s="1" t="s">
        <v>64</v>
      </c>
      <c r="B74" s="1" t="s">
        <v>71</v>
      </c>
      <c r="C74" s="11">
        <f t="shared" si="24"/>
        <v>0.9583333333</v>
      </c>
      <c r="D74" s="9">
        <f t="shared" si="25"/>
        <v>115</v>
      </c>
      <c r="E74" s="11">
        <f t="shared" si="26"/>
        <v>0.5217391304</v>
      </c>
      <c r="F74" s="1">
        <v>20.0</v>
      </c>
      <c r="G74" s="11">
        <f t="shared" si="27"/>
        <v>10</v>
      </c>
    </row>
    <row r="75" ht="15.75" customHeight="1">
      <c r="A75" s="1" t="s">
        <v>64</v>
      </c>
      <c r="B75" s="1" t="s">
        <v>33</v>
      </c>
      <c r="C75" s="11">
        <f t="shared" si="24"/>
        <v>0.9583333333</v>
      </c>
      <c r="D75" s="9">
        <f t="shared" si="25"/>
        <v>115</v>
      </c>
      <c r="E75" s="11">
        <f t="shared" si="26"/>
        <v>0.5217391304</v>
      </c>
      <c r="F75" s="1">
        <v>20.0</v>
      </c>
      <c r="G75" s="11">
        <f t="shared" si="27"/>
        <v>10</v>
      </c>
    </row>
    <row r="76" ht="15.75" customHeight="1">
      <c r="A76" s="1" t="s">
        <v>64</v>
      </c>
      <c r="B76" s="1" t="s">
        <v>77</v>
      </c>
      <c r="C76" s="11">
        <f t="shared" si="24"/>
        <v>0.9583333333</v>
      </c>
      <c r="D76" s="9">
        <f t="shared" si="25"/>
        <v>115</v>
      </c>
      <c r="E76" s="11">
        <f t="shared" si="26"/>
        <v>0.5217391304</v>
      </c>
      <c r="F76" s="1">
        <v>20.0</v>
      </c>
      <c r="G76" s="11">
        <f t="shared" si="27"/>
        <v>10</v>
      </c>
    </row>
    <row r="77" ht="15.75" customHeight="1">
      <c r="A77" s="1" t="s">
        <v>64</v>
      </c>
      <c r="B77" s="1" t="s">
        <v>78</v>
      </c>
      <c r="C77" s="11">
        <f t="shared" si="24"/>
        <v>0.9583333333</v>
      </c>
      <c r="D77" s="9">
        <f t="shared" si="25"/>
        <v>115</v>
      </c>
      <c r="E77" s="11">
        <f t="shared" si="26"/>
        <v>0.5217391304</v>
      </c>
      <c r="F77" s="1">
        <v>20.0</v>
      </c>
      <c r="G77" s="11">
        <f t="shared" si="27"/>
        <v>10</v>
      </c>
    </row>
    <row r="78" ht="15.75" customHeight="1">
      <c r="A78" s="1" t="s">
        <v>64</v>
      </c>
      <c r="B78" s="1" t="s">
        <v>75</v>
      </c>
      <c r="C78" s="11">
        <f t="shared" si="24"/>
        <v>0.9583333333</v>
      </c>
      <c r="D78" s="9">
        <f t="shared" si="25"/>
        <v>115</v>
      </c>
      <c r="E78" s="11">
        <f t="shared" si="26"/>
        <v>0.5217391304</v>
      </c>
      <c r="F78" s="1">
        <v>20.0</v>
      </c>
      <c r="G78" s="11">
        <f t="shared" si="27"/>
        <v>10</v>
      </c>
    </row>
    <row r="79" ht="15.75" customHeight="1">
      <c r="A79" s="1" t="s">
        <v>65</v>
      </c>
      <c r="B79" s="1" t="s">
        <v>71</v>
      </c>
      <c r="C79" s="11">
        <f t="shared" si="24"/>
        <v>1</v>
      </c>
      <c r="D79" s="9">
        <f t="shared" si="25"/>
        <v>180</v>
      </c>
      <c r="E79" s="11">
        <f t="shared" si="26"/>
        <v>0.3333333333</v>
      </c>
      <c r="F79" s="1">
        <v>20.0</v>
      </c>
      <c r="G79" s="11">
        <f t="shared" si="27"/>
        <v>6.666666667</v>
      </c>
    </row>
    <row r="80" ht="15.75" customHeight="1">
      <c r="A80" s="1" t="s">
        <v>65</v>
      </c>
      <c r="B80" s="1" t="s">
        <v>71</v>
      </c>
      <c r="C80" s="11">
        <f t="shared" si="24"/>
        <v>1</v>
      </c>
      <c r="D80" s="9">
        <f t="shared" si="25"/>
        <v>180</v>
      </c>
      <c r="E80" s="11">
        <f t="shared" si="26"/>
        <v>0.3333333333</v>
      </c>
      <c r="F80" s="1">
        <v>20.0</v>
      </c>
      <c r="G80" s="11">
        <f t="shared" si="27"/>
        <v>6.666666667</v>
      </c>
    </row>
    <row r="81" ht="15.75" customHeight="1">
      <c r="A81" s="1" t="s">
        <v>65</v>
      </c>
      <c r="B81" s="1" t="s">
        <v>33</v>
      </c>
      <c r="C81" s="11">
        <f t="shared" si="24"/>
        <v>1</v>
      </c>
      <c r="D81" s="9">
        <f t="shared" si="25"/>
        <v>180</v>
      </c>
      <c r="E81" s="11">
        <f t="shared" si="26"/>
        <v>0.3333333333</v>
      </c>
      <c r="F81" s="1">
        <v>20.0</v>
      </c>
      <c r="G81" s="11">
        <f t="shared" si="27"/>
        <v>6.666666667</v>
      </c>
    </row>
    <row r="82" ht="15.75" customHeight="1">
      <c r="A82" s="1" t="s">
        <v>65</v>
      </c>
      <c r="B82" s="1" t="s">
        <v>73</v>
      </c>
      <c r="C82" s="11">
        <f t="shared" si="24"/>
        <v>1</v>
      </c>
      <c r="D82" s="9">
        <f t="shared" si="25"/>
        <v>180</v>
      </c>
      <c r="E82" s="11">
        <f t="shared" si="26"/>
        <v>0.3333333333</v>
      </c>
      <c r="F82" s="1">
        <v>20.0</v>
      </c>
      <c r="G82" s="11">
        <f t="shared" si="27"/>
        <v>6.666666667</v>
      </c>
    </row>
    <row r="83" ht="15.75" customHeight="1">
      <c r="A83" s="1" t="s">
        <v>65</v>
      </c>
      <c r="B83" s="1" t="s">
        <v>74</v>
      </c>
      <c r="C83" s="11">
        <f t="shared" si="24"/>
        <v>1</v>
      </c>
      <c r="D83" s="9">
        <f t="shared" si="25"/>
        <v>180</v>
      </c>
      <c r="E83" s="11">
        <f t="shared" si="26"/>
        <v>0.3333333333</v>
      </c>
      <c r="F83" s="1">
        <v>20.0</v>
      </c>
      <c r="G83" s="11">
        <f t="shared" si="27"/>
        <v>6.666666667</v>
      </c>
    </row>
    <row r="84" ht="15.75" customHeight="1">
      <c r="A84" s="1" t="s">
        <v>65</v>
      </c>
      <c r="B84" s="1" t="s">
        <v>72</v>
      </c>
      <c r="C84" s="11">
        <f t="shared" si="24"/>
        <v>1</v>
      </c>
      <c r="D84" s="9">
        <f t="shared" si="25"/>
        <v>180</v>
      </c>
      <c r="E84" s="11">
        <f t="shared" si="26"/>
        <v>0.3333333333</v>
      </c>
      <c r="F84" s="1">
        <v>20.0</v>
      </c>
      <c r="G84" s="11">
        <f t="shared" si="27"/>
        <v>6.666666667</v>
      </c>
    </row>
    <row r="85" ht="15.75" customHeight="1">
      <c r="A85" s="1" t="s">
        <v>65</v>
      </c>
      <c r="B85" s="1" t="s">
        <v>75</v>
      </c>
      <c r="C85" s="11">
        <f t="shared" si="24"/>
        <v>1</v>
      </c>
      <c r="D85" s="9">
        <f t="shared" si="25"/>
        <v>180</v>
      </c>
      <c r="E85" s="11">
        <f t="shared" si="26"/>
        <v>0.3333333333</v>
      </c>
      <c r="F85" s="1">
        <v>20.0</v>
      </c>
      <c r="G85" s="11">
        <f t="shared" si="27"/>
        <v>6.666666667</v>
      </c>
    </row>
    <row r="86" ht="15.75" customHeight="1">
      <c r="A86" s="1" t="s">
        <v>66</v>
      </c>
      <c r="B86" s="1" t="s">
        <v>71</v>
      </c>
      <c r="C86" s="11">
        <f t="shared" si="24"/>
        <v>1</v>
      </c>
      <c r="D86" s="9">
        <f t="shared" si="25"/>
        <v>30</v>
      </c>
      <c r="E86" s="11">
        <f t="shared" si="26"/>
        <v>2</v>
      </c>
      <c r="F86" s="1">
        <v>20.0</v>
      </c>
      <c r="G86" s="11">
        <f t="shared" si="27"/>
        <v>40</v>
      </c>
    </row>
    <row r="87" ht="15.75" customHeight="1">
      <c r="A87" s="1" t="s">
        <v>66</v>
      </c>
      <c r="B87" s="1" t="s">
        <v>33</v>
      </c>
      <c r="C87" s="11">
        <f t="shared" si="24"/>
        <v>1</v>
      </c>
      <c r="D87" s="9">
        <f t="shared" si="25"/>
        <v>30</v>
      </c>
      <c r="E87" s="11">
        <f t="shared" si="26"/>
        <v>2</v>
      </c>
      <c r="F87" s="1">
        <v>20.0</v>
      </c>
      <c r="G87" s="11">
        <f t="shared" si="27"/>
        <v>40</v>
      </c>
    </row>
    <row r="88" ht="15.75" customHeight="1">
      <c r="A88" s="1" t="s">
        <v>66</v>
      </c>
      <c r="B88" s="1" t="s">
        <v>77</v>
      </c>
      <c r="C88" s="11">
        <f t="shared" si="24"/>
        <v>1</v>
      </c>
      <c r="D88" s="9">
        <f t="shared" si="25"/>
        <v>30</v>
      </c>
      <c r="E88" s="11">
        <f t="shared" si="26"/>
        <v>2</v>
      </c>
      <c r="F88" s="1">
        <v>20.0</v>
      </c>
      <c r="G88" s="11">
        <f t="shared" si="27"/>
        <v>40</v>
      </c>
    </row>
    <row r="89" ht="15.75" customHeight="1">
      <c r="A89" s="1" t="s">
        <v>66</v>
      </c>
      <c r="B89" s="1" t="s">
        <v>75</v>
      </c>
      <c r="C89" s="11">
        <f t="shared" si="24"/>
        <v>1</v>
      </c>
      <c r="D89" s="9">
        <f t="shared" si="25"/>
        <v>30</v>
      </c>
      <c r="E89" s="11">
        <f t="shared" si="26"/>
        <v>2</v>
      </c>
      <c r="F89" s="1">
        <v>20.0</v>
      </c>
      <c r="G89" s="11">
        <f t="shared" si="27"/>
        <v>40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6:B36"/>
  </mergeCells>
  <printOptions/>
  <pageMargins bottom="0.75" footer="0.0" header="0.0" left="0.7" right="0.7" top="0.75"/>
  <pageSetup paperSize="9" orientation="portrait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43"/>
    <col customWidth="1" min="2" max="2" width="14.14"/>
    <col customWidth="1" min="3" max="26" width="8.71"/>
  </cols>
  <sheetData>
    <row r="1">
      <c r="A1" s="1" t="s">
        <v>79</v>
      </c>
      <c r="B1" s="1" t="s">
        <v>80</v>
      </c>
    </row>
    <row r="2">
      <c r="A2" s="1" t="str">
        <f>'Автоматизированный расчет'!A38</f>
        <v>Главная Welcome страница</v>
      </c>
      <c r="B2" s="1" t="s">
        <v>81</v>
      </c>
    </row>
    <row r="3">
      <c r="A3" s="1" t="str">
        <f>'Автоматизированный расчет'!A39</f>
        <v>Вход в систему</v>
      </c>
      <c r="B3" s="1" t="s">
        <v>82</v>
      </c>
    </row>
    <row r="4">
      <c r="A4" s="1" t="str">
        <f>'Автоматизированный расчет'!A40</f>
        <v>Переход на страницу поиска билетов</v>
      </c>
      <c r="B4" s="1" t="s">
        <v>83</v>
      </c>
    </row>
    <row r="5">
      <c r="A5" s="1" t="str">
        <f>'Автоматизированный расчет'!A41</f>
        <v>Заполнение полей для поиска билета </v>
      </c>
      <c r="B5" s="1" t="s">
        <v>84</v>
      </c>
    </row>
    <row r="6">
      <c r="A6" s="1" t="str">
        <f>'Автоматизированный расчет'!A42</f>
        <v>Выбор рейса из найденных </v>
      </c>
    </row>
    <row r="7">
      <c r="A7" s="1" t="str">
        <f>'Автоматизированный расчет'!A43</f>
        <v>Оплата билета</v>
      </c>
    </row>
    <row r="8">
      <c r="A8" s="1" t="str">
        <f>'Автоматизированный расчет'!A44</f>
        <v>Просмотр квитанций</v>
      </c>
    </row>
    <row r="9">
      <c r="A9" s="1" t="str">
        <f>'Автоматизированный расчет'!A45</f>
        <v>Отмена бронирования </v>
      </c>
    </row>
    <row r="10">
      <c r="A10" s="1" t="str">
        <f>'Автоматизированный расчет'!A46</f>
        <v>Выход из системы</v>
      </c>
    </row>
    <row r="11">
      <c r="A11" s="1" t="str">
        <f>'Автоматизированный расчет'!A47</f>
        <v>Перход на страницу регистрации</v>
      </c>
    </row>
    <row r="12">
      <c r="A12" s="1" t="str">
        <f>'Автоматизированный расчет'!A48</f>
        <v>Заполнение полей регистарции</v>
      </c>
    </row>
    <row r="13">
      <c r="A13" s="1" t="str">
        <f>'Автоматизированный расчет'!A49</f>
        <v>Переход на следуюущий эран после регистарции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6" width="8.71"/>
  </cols>
  <sheetData>
    <row r="1">
      <c r="A1" s="5" t="s">
        <v>85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</row>
    <row r="2">
      <c r="A2" s="5" t="s">
        <v>95</v>
      </c>
      <c r="B2" s="5" t="s">
        <v>96</v>
      </c>
      <c r="C2" s="5">
        <v>0.188</v>
      </c>
      <c r="D2" s="5">
        <v>0.434</v>
      </c>
      <c r="E2" s="5">
        <v>0.728</v>
      </c>
      <c r="F2" s="5">
        <v>0.148</v>
      </c>
      <c r="G2" s="5">
        <v>0.633</v>
      </c>
      <c r="H2" s="5">
        <v>169.0</v>
      </c>
      <c r="I2" s="5">
        <v>0.0</v>
      </c>
      <c r="J2" s="5">
        <v>0.0</v>
      </c>
    </row>
    <row r="3">
      <c r="A3" s="5" t="s">
        <v>97</v>
      </c>
      <c r="B3" s="5" t="s">
        <v>96</v>
      </c>
      <c r="C3" s="5">
        <v>0.072</v>
      </c>
      <c r="D3" s="5">
        <v>0.111</v>
      </c>
      <c r="E3" s="5">
        <v>0.156</v>
      </c>
      <c r="F3" s="5">
        <v>0.013</v>
      </c>
      <c r="G3" s="5">
        <v>0.128</v>
      </c>
      <c r="H3" s="5">
        <v>97.0</v>
      </c>
      <c r="I3" s="5">
        <v>0.0</v>
      </c>
      <c r="J3" s="5">
        <v>0.0</v>
      </c>
    </row>
    <row r="4">
      <c r="A4" s="5" t="s">
        <v>98</v>
      </c>
      <c r="B4" s="5" t="s">
        <v>96</v>
      </c>
      <c r="C4" s="5">
        <v>0.033</v>
      </c>
      <c r="D4" s="5">
        <v>0.045</v>
      </c>
      <c r="E4" s="5">
        <v>0.063</v>
      </c>
      <c r="F4" s="5">
        <v>0.01</v>
      </c>
      <c r="G4" s="5">
        <v>0.059</v>
      </c>
      <c r="H4" s="5">
        <v>24.0</v>
      </c>
      <c r="I4" s="5">
        <v>0.0</v>
      </c>
      <c r="J4" s="5">
        <v>0.0</v>
      </c>
    </row>
    <row r="5">
      <c r="A5" s="5" t="s">
        <v>99</v>
      </c>
      <c r="B5" s="5" t="s">
        <v>96</v>
      </c>
      <c r="C5" s="5">
        <v>0.033</v>
      </c>
      <c r="D5" s="5">
        <v>0.048</v>
      </c>
      <c r="E5" s="5">
        <v>0.072</v>
      </c>
      <c r="F5" s="5">
        <v>0.01</v>
      </c>
      <c r="G5" s="5">
        <v>0.063</v>
      </c>
      <c r="H5" s="5">
        <v>92.0</v>
      </c>
      <c r="I5" s="5">
        <v>0.0</v>
      </c>
      <c r="J5" s="5">
        <v>0.0</v>
      </c>
    </row>
    <row r="6">
      <c r="A6" s="5" t="s">
        <v>100</v>
      </c>
      <c r="B6" s="5" t="s">
        <v>96</v>
      </c>
      <c r="C6" s="5">
        <v>0.072</v>
      </c>
      <c r="D6" s="5">
        <v>0.086</v>
      </c>
      <c r="E6" s="5">
        <v>0.123</v>
      </c>
      <c r="F6" s="5">
        <v>0.013</v>
      </c>
      <c r="G6" s="5">
        <v>0.102</v>
      </c>
      <c r="H6" s="5">
        <v>32.0</v>
      </c>
      <c r="I6" s="5">
        <v>0.0</v>
      </c>
      <c r="J6" s="5">
        <v>0.0</v>
      </c>
    </row>
    <row r="7">
      <c r="A7" s="5" t="s">
        <v>101</v>
      </c>
      <c r="B7" s="5" t="s">
        <v>96</v>
      </c>
      <c r="C7" s="5">
        <v>0.093</v>
      </c>
      <c r="D7" s="5">
        <v>0.111</v>
      </c>
      <c r="E7" s="5">
        <v>0.134</v>
      </c>
      <c r="F7" s="5">
        <v>0.011</v>
      </c>
      <c r="G7" s="5">
        <v>0.128</v>
      </c>
      <c r="H7" s="5">
        <v>98.0</v>
      </c>
      <c r="I7" s="5">
        <v>0.0</v>
      </c>
      <c r="J7" s="5">
        <v>0.0</v>
      </c>
    </row>
    <row r="8">
      <c r="A8" s="5" t="s">
        <v>82</v>
      </c>
      <c r="B8" s="5" t="s">
        <v>96</v>
      </c>
      <c r="C8" s="5">
        <v>0.073</v>
      </c>
      <c r="D8" s="5">
        <v>0.093</v>
      </c>
      <c r="E8" s="5">
        <v>0.144</v>
      </c>
      <c r="F8" s="5">
        <v>0.015</v>
      </c>
      <c r="G8" s="5">
        <v>0.107</v>
      </c>
      <c r="H8" s="5">
        <v>136.0</v>
      </c>
      <c r="I8" s="5">
        <v>0.0</v>
      </c>
      <c r="J8" s="5">
        <v>0.0</v>
      </c>
    </row>
    <row r="9">
      <c r="A9" s="5" t="s">
        <v>51</v>
      </c>
      <c r="B9" s="5" t="s">
        <v>96</v>
      </c>
      <c r="C9" s="5">
        <v>0.051</v>
      </c>
      <c r="D9" s="5">
        <v>0.078</v>
      </c>
      <c r="E9" s="5">
        <v>0.133</v>
      </c>
      <c r="F9" s="5">
        <v>0.018</v>
      </c>
      <c r="G9" s="5">
        <v>0.1</v>
      </c>
      <c r="H9" s="5">
        <v>107.0</v>
      </c>
      <c r="I9" s="5">
        <v>0.0</v>
      </c>
      <c r="J9" s="5">
        <v>0.0</v>
      </c>
    </row>
    <row r="10">
      <c r="A10" s="5" t="s">
        <v>102</v>
      </c>
      <c r="B10" s="5" t="s">
        <v>96</v>
      </c>
      <c r="C10" s="5">
        <v>0.03</v>
      </c>
      <c r="D10" s="5">
        <v>0.045</v>
      </c>
      <c r="E10" s="5">
        <v>0.066</v>
      </c>
      <c r="F10" s="5">
        <v>0.011</v>
      </c>
      <c r="G10" s="5">
        <v>0.063</v>
      </c>
      <c r="H10" s="5">
        <v>32.0</v>
      </c>
      <c r="I10" s="5">
        <v>0.0</v>
      </c>
      <c r="J10" s="5">
        <v>0.0</v>
      </c>
    </row>
    <row r="11">
      <c r="A11" s="5" t="s">
        <v>103</v>
      </c>
      <c r="B11" s="5" t="s">
        <v>96</v>
      </c>
      <c r="C11" s="5">
        <v>0.053</v>
      </c>
      <c r="D11" s="5">
        <v>0.069</v>
      </c>
      <c r="E11" s="5">
        <v>0.105</v>
      </c>
      <c r="F11" s="5">
        <v>0.011</v>
      </c>
      <c r="G11" s="5">
        <v>0.084</v>
      </c>
      <c r="H11" s="5">
        <v>169.0</v>
      </c>
      <c r="I11" s="5">
        <v>0.0</v>
      </c>
      <c r="J11" s="5">
        <v>0.0</v>
      </c>
    </row>
    <row r="12">
      <c r="A12" s="5" t="s">
        <v>104</v>
      </c>
      <c r="B12" s="5" t="s">
        <v>96</v>
      </c>
      <c r="C12" s="5">
        <v>0.033</v>
      </c>
      <c r="D12" s="5">
        <v>0.049</v>
      </c>
      <c r="E12" s="5">
        <v>0.084</v>
      </c>
      <c r="F12" s="5">
        <v>0.011</v>
      </c>
      <c r="G12" s="5">
        <v>0.062</v>
      </c>
      <c r="H12" s="5">
        <v>58.0</v>
      </c>
      <c r="I12" s="5">
        <v>0.0</v>
      </c>
      <c r="J12" s="5">
        <v>0.0</v>
      </c>
    </row>
    <row r="13">
      <c r="A13" s="5" t="s">
        <v>105</v>
      </c>
      <c r="B13" s="5" t="s">
        <v>96</v>
      </c>
      <c r="C13" s="5">
        <v>0.028</v>
      </c>
      <c r="D13" s="5">
        <v>0.043</v>
      </c>
      <c r="E13" s="5">
        <v>0.059</v>
      </c>
      <c r="F13" s="5">
        <v>0.01</v>
      </c>
      <c r="G13" s="5">
        <v>0.056</v>
      </c>
      <c r="H13" s="5">
        <v>32.0</v>
      </c>
      <c r="I13" s="5">
        <v>0.0</v>
      </c>
      <c r="J13" s="5">
        <v>0.0</v>
      </c>
    </row>
    <row r="14">
      <c r="A14" s="5" t="s">
        <v>106</v>
      </c>
      <c r="B14" s="5" t="s">
        <v>96</v>
      </c>
      <c r="C14" s="5">
        <v>0.032</v>
      </c>
      <c r="D14" s="5">
        <v>0.049</v>
      </c>
      <c r="E14" s="5">
        <v>0.154</v>
      </c>
      <c r="F14" s="5">
        <v>0.016</v>
      </c>
      <c r="G14" s="5">
        <v>0.064</v>
      </c>
      <c r="H14" s="5">
        <v>98.0</v>
      </c>
      <c r="I14" s="5">
        <v>0.0</v>
      </c>
      <c r="J14" s="5">
        <v>0.0</v>
      </c>
    </row>
    <row r="15">
      <c r="A15" s="5" t="s">
        <v>107</v>
      </c>
      <c r="B15" s="5" t="s">
        <v>96</v>
      </c>
      <c r="C15" s="5">
        <v>0.288</v>
      </c>
      <c r="D15" s="5">
        <v>0.338</v>
      </c>
      <c r="E15" s="5">
        <v>0.385</v>
      </c>
      <c r="F15" s="5">
        <v>0.029</v>
      </c>
      <c r="G15" s="5">
        <v>0.383</v>
      </c>
      <c r="H15" s="5">
        <v>14.0</v>
      </c>
      <c r="I15" s="5">
        <v>0.0</v>
      </c>
      <c r="J15" s="5">
        <v>0.0</v>
      </c>
    </row>
    <row r="16">
      <c r="A16" s="5" t="s">
        <v>108</v>
      </c>
      <c r="B16" s="5" t="s">
        <v>96</v>
      </c>
      <c r="C16" s="5">
        <v>0.263</v>
      </c>
      <c r="D16" s="5">
        <v>0.309</v>
      </c>
      <c r="E16" s="5">
        <v>0.337</v>
      </c>
      <c r="F16" s="5">
        <v>0.028</v>
      </c>
      <c r="G16" s="5">
        <v>0.337</v>
      </c>
      <c r="H16" s="5">
        <v>6.0</v>
      </c>
      <c r="I16" s="5">
        <v>0.0</v>
      </c>
      <c r="J16" s="5">
        <v>0.0</v>
      </c>
    </row>
    <row r="17">
      <c r="A17" s="5" t="s">
        <v>109</v>
      </c>
      <c r="B17" s="5" t="s">
        <v>96</v>
      </c>
      <c r="C17" s="5">
        <v>0.519</v>
      </c>
      <c r="D17" s="5">
        <v>0.601</v>
      </c>
      <c r="E17" s="5">
        <v>0.728</v>
      </c>
      <c r="F17" s="5">
        <v>0.051</v>
      </c>
      <c r="G17" s="5">
        <v>0.684</v>
      </c>
      <c r="H17" s="5">
        <v>59.0</v>
      </c>
      <c r="I17" s="5">
        <v>0.0</v>
      </c>
      <c r="J17" s="5">
        <v>0.0</v>
      </c>
    </row>
    <row r="18">
      <c r="A18" s="5" t="s">
        <v>110</v>
      </c>
      <c r="B18" s="5" t="s">
        <v>96</v>
      </c>
      <c r="C18" s="5">
        <v>0.236</v>
      </c>
      <c r="D18" s="5">
        <v>0.312</v>
      </c>
      <c r="E18" s="5">
        <v>0.369</v>
      </c>
      <c r="F18" s="5">
        <v>0.031</v>
      </c>
      <c r="G18" s="5">
        <v>0.36</v>
      </c>
      <c r="H18" s="5">
        <v>24.0</v>
      </c>
      <c r="I18" s="5">
        <v>0.0</v>
      </c>
      <c r="J18" s="5">
        <v>0.0</v>
      </c>
    </row>
    <row r="19">
      <c r="A19" s="5" t="s">
        <v>111</v>
      </c>
      <c r="B19" s="5" t="s">
        <v>96</v>
      </c>
      <c r="C19" s="5">
        <v>0.188</v>
      </c>
      <c r="D19" s="5">
        <v>0.245</v>
      </c>
      <c r="E19" s="5">
        <v>0.33</v>
      </c>
      <c r="F19" s="5">
        <v>0.033</v>
      </c>
      <c r="G19" s="5">
        <v>0.293</v>
      </c>
      <c r="H19" s="5">
        <v>32.0</v>
      </c>
      <c r="I19" s="5">
        <v>0.0</v>
      </c>
      <c r="J19" s="5">
        <v>0.0</v>
      </c>
    </row>
    <row r="20">
      <c r="A20" s="5" t="s">
        <v>112</v>
      </c>
      <c r="B20" s="5" t="s">
        <v>96</v>
      </c>
      <c r="C20" s="5">
        <v>0.395</v>
      </c>
      <c r="D20" s="5">
        <v>0.47</v>
      </c>
      <c r="E20" s="5">
        <v>0.598</v>
      </c>
      <c r="F20" s="5">
        <v>0.045</v>
      </c>
      <c r="G20" s="5">
        <v>0.532</v>
      </c>
      <c r="H20" s="5">
        <v>34.0</v>
      </c>
      <c r="I20" s="5">
        <v>0.0</v>
      </c>
      <c r="J20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.43"/>
    <col customWidth="1" hidden="1" min="3" max="4" width="9.14"/>
    <col customWidth="1" min="5" max="5" width="20.43"/>
    <col customWidth="1" min="6" max="6" width="18.86"/>
    <col customWidth="1" min="7" max="7" width="15.29"/>
    <col customWidth="1" min="8" max="8" width="15.14"/>
    <col customWidth="1" min="9" max="9" width="14.0"/>
    <col customWidth="1" min="10" max="10" width="8.86"/>
    <col customWidth="1" min="11" max="11" width="1.43"/>
    <col customWidth="1" min="12" max="12" width="40.29"/>
    <col customWidth="1" min="13" max="13" width="6.0"/>
    <col customWidth="1" min="14" max="14" width="4.14"/>
    <col customWidth="1" min="15" max="15" width="5.0"/>
    <col customWidth="1" min="16" max="26" width="8.86"/>
  </cols>
  <sheetData>
    <row r="9">
      <c r="E9" s="59" t="s">
        <v>113</v>
      </c>
      <c r="F9" s="60"/>
      <c r="G9" s="60"/>
      <c r="H9" s="60"/>
      <c r="I9" s="60"/>
    </row>
    <row r="11">
      <c r="E11" s="61" t="s">
        <v>114</v>
      </c>
      <c r="F11" s="61" t="s">
        <v>115</v>
      </c>
      <c r="G11" s="61" t="s">
        <v>116</v>
      </c>
      <c r="H11" s="61" t="s">
        <v>117</v>
      </c>
      <c r="I11" s="61" t="s">
        <v>118</v>
      </c>
    </row>
    <row r="12">
      <c r="E12" s="62" t="s">
        <v>21</v>
      </c>
      <c r="F12" s="63" t="s">
        <v>82</v>
      </c>
      <c r="G12" s="64">
        <v>368.0</v>
      </c>
      <c r="H12" s="63">
        <f>121*3</f>
        <v>363</v>
      </c>
      <c r="I12" s="65">
        <f t="shared" ref="I12:I18" si="1">1-G12/H12</f>
        <v>-0.01377410468</v>
      </c>
    </row>
    <row r="13">
      <c r="E13" s="62" t="s">
        <v>119</v>
      </c>
      <c r="F13" s="63" t="s">
        <v>120</v>
      </c>
      <c r="G13" s="64">
        <v>251.0</v>
      </c>
      <c r="H13" s="63">
        <f t="shared" ref="H13:H14" si="2">82*3</f>
        <v>246</v>
      </c>
      <c r="I13" s="65">
        <f t="shared" si="1"/>
        <v>-0.02032520325</v>
      </c>
    </row>
    <row r="14">
      <c r="E14" s="62" t="s">
        <v>121</v>
      </c>
      <c r="F14" s="63" t="s">
        <v>122</v>
      </c>
      <c r="G14" s="64">
        <v>251.0</v>
      </c>
      <c r="H14" s="63">
        <f t="shared" si="2"/>
        <v>246</v>
      </c>
      <c r="I14" s="65">
        <f t="shared" si="1"/>
        <v>-0.02032520325</v>
      </c>
    </row>
    <row r="15">
      <c r="E15" s="62" t="s">
        <v>29</v>
      </c>
      <c r="F15" s="63" t="s">
        <v>123</v>
      </c>
      <c r="G15" s="64">
        <v>175.0</v>
      </c>
      <c r="H15" s="63">
        <f t="shared" ref="H15:H16" si="3">56*3</f>
        <v>168</v>
      </c>
      <c r="I15" s="65">
        <f t="shared" si="1"/>
        <v>-0.04166666667</v>
      </c>
    </row>
    <row r="16">
      <c r="E16" s="62" t="s">
        <v>124</v>
      </c>
      <c r="F16" s="63" t="s">
        <v>125</v>
      </c>
      <c r="G16" s="64">
        <v>159.0</v>
      </c>
      <c r="H16" s="64">
        <f t="shared" si="3"/>
        <v>168</v>
      </c>
      <c r="I16" s="65">
        <f t="shared" si="1"/>
        <v>0.05357142857</v>
      </c>
    </row>
    <row r="17">
      <c r="E17" s="62" t="s">
        <v>126</v>
      </c>
      <c r="F17" s="63" t="s">
        <v>127</v>
      </c>
      <c r="G17" s="64">
        <v>73.0</v>
      </c>
      <c r="H17" s="63">
        <f>25*3</f>
        <v>75</v>
      </c>
      <c r="I17" s="65">
        <f t="shared" si="1"/>
        <v>0.02666666667</v>
      </c>
    </row>
    <row r="18">
      <c r="E18" s="62" t="s">
        <v>25</v>
      </c>
      <c r="F18" s="63" t="s">
        <v>51</v>
      </c>
      <c r="G18" s="64">
        <v>326.0</v>
      </c>
      <c r="H18" s="63">
        <f>104*3</f>
        <v>312</v>
      </c>
      <c r="I18" s="65">
        <f t="shared" si="1"/>
        <v>-0.04487179487</v>
      </c>
    </row>
    <row r="21" ht="15.75" customHeight="1"/>
    <row r="22" ht="15.75" customHeight="1"/>
    <row r="23" ht="15.75" customHeight="1">
      <c r="E23" s="59" t="s">
        <v>128</v>
      </c>
      <c r="F23" s="60"/>
      <c r="G23" s="60"/>
      <c r="H23" s="60"/>
      <c r="I23" s="60"/>
    </row>
    <row r="24" ht="15.75" customHeight="1"/>
    <row r="25" ht="15.75" customHeight="1">
      <c r="E25" s="66" t="s">
        <v>114</v>
      </c>
      <c r="F25" s="66" t="s">
        <v>115</v>
      </c>
      <c r="G25" s="66" t="s">
        <v>116</v>
      </c>
      <c r="H25" s="66" t="s">
        <v>117</v>
      </c>
      <c r="I25" s="66" t="s">
        <v>118</v>
      </c>
    </row>
    <row r="26" ht="15.75" customHeight="1">
      <c r="E26" s="67" t="s">
        <v>21</v>
      </c>
      <c r="F26" s="68" t="s">
        <v>82</v>
      </c>
      <c r="G26" s="69">
        <f>5*368</f>
        <v>1840</v>
      </c>
      <c r="H26" s="70">
        <f>721*3</f>
        <v>2163</v>
      </c>
      <c r="I26" s="71">
        <f t="shared" ref="I26:I32" si="4">1-G26/H26</f>
        <v>0.1493296348</v>
      </c>
    </row>
    <row r="27" ht="15.75" customHeight="1">
      <c r="E27" s="67" t="s">
        <v>119</v>
      </c>
      <c r="F27" s="68" t="s">
        <v>120</v>
      </c>
      <c r="G27" s="69">
        <f t="shared" ref="G27:G28" si="5">5*251</f>
        <v>1255</v>
      </c>
      <c r="H27" s="70">
        <f>3*464</f>
        <v>1392</v>
      </c>
      <c r="I27" s="71">
        <f t="shared" si="4"/>
        <v>0.09841954023</v>
      </c>
    </row>
    <row r="28" ht="15.75" customHeight="1">
      <c r="E28" s="67" t="s">
        <v>121</v>
      </c>
      <c r="F28" s="68" t="s">
        <v>122</v>
      </c>
      <c r="G28" s="69">
        <f t="shared" si="5"/>
        <v>1255</v>
      </c>
      <c r="H28" s="70">
        <f>3*462</f>
        <v>1386</v>
      </c>
      <c r="I28" s="71">
        <f t="shared" si="4"/>
        <v>0.09451659452</v>
      </c>
    </row>
    <row r="29" ht="15.75" customHeight="1">
      <c r="E29" s="67" t="s">
        <v>29</v>
      </c>
      <c r="F29" s="68" t="s">
        <v>123</v>
      </c>
      <c r="G29" s="69">
        <f>5*175</f>
        <v>875</v>
      </c>
      <c r="H29" s="70">
        <f>3*314</f>
        <v>942</v>
      </c>
      <c r="I29" s="71">
        <f t="shared" si="4"/>
        <v>0.07112526539</v>
      </c>
    </row>
    <row r="30" ht="15.75" customHeight="1">
      <c r="E30" s="67" t="s">
        <v>124</v>
      </c>
      <c r="F30" s="68" t="s">
        <v>125</v>
      </c>
      <c r="G30" s="69">
        <f>5*159</f>
        <v>795</v>
      </c>
      <c r="H30" s="70">
        <f>3*330</f>
        <v>990</v>
      </c>
      <c r="I30" s="71">
        <f t="shared" si="4"/>
        <v>0.196969697</v>
      </c>
    </row>
    <row r="31" ht="15.75" customHeight="1">
      <c r="E31" s="67" t="s">
        <v>126</v>
      </c>
      <c r="F31" s="68" t="s">
        <v>127</v>
      </c>
      <c r="G31" s="69">
        <f>5*73</f>
        <v>365</v>
      </c>
      <c r="H31" s="70">
        <f>3*141</f>
        <v>423</v>
      </c>
      <c r="I31" s="71">
        <f t="shared" si="4"/>
        <v>0.1371158392</v>
      </c>
    </row>
    <row r="32" ht="15.75" customHeight="1">
      <c r="E32" s="67" t="s">
        <v>25</v>
      </c>
      <c r="F32" s="68" t="s">
        <v>51</v>
      </c>
      <c r="G32" s="69">
        <f>5*326</f>
        <v>1630</v>
      </c>
      <c r="H32" s="70">
        <f>3*599</f>
        <v>1797</v>
      </c>
      <c r="I32" s="71">
        <f t="shared" si="4"/>
        <v>0.09293266555</v>
      </c>
    </row>
    <row r="33" ht="15.75" customHeight="1"/>
    <row r="34" ht="15.75" customHeight="1"/>
    <row r="35" ht="15.75" customHeight="1">
      <c r="E35" s="59" t="s">
        <v>129</v>
      </c>
      <c r="F35" s="60"/>
      <c r="G35" s="60"/>
      <c r="H35" s="60"/>
      <c r="I35" s="60"/>
    </row>
    <row r="36" ht="15.75" customHeight="1"/>
    <row r="37" ht="15.75" customHeight="1">
      <c r="E37" s="66" t="s">
        <v>114</v>
      </c>
      <c r="F37" s="66" t="s">
        <v>115</v>
      </c>
      <c r="G37" s="66" t="s">
        <v>116</v>
      </c>
      <c r="H37" s="66" t="s">
        <v>117</v>
      </c>
      <c r="I37" s="66" t="s">
        <v>118</v>
      </c>
      <c r="L37" s="5" t="s">
        <v>85</v>
      </c>
      <c r="M37" s="5" t="s">
        <v>92</v>
      </c>
      <c r="N37" s="5" t="s">
        <v>93</v>
      </c>
      <c r="O37" s="5" t="s">
        <v>94</v>
      </c>
    </row>
    <row r="38" ht="15.75" customHeight="1">
      <c r="E38" s="67" t="s">
        <v>21</v>
      </c>
      <c r="F38" s="68" t="s">
        <v>82</v>
      </c>
      <c r="G38" s="69">
        <f>5*368</f>
        <v>1840</v>
      </c>
      <c r="H38" s="70">
        <v>2109.0</v>
      </c>
      <c r="I38" s="71">
        <f t="shared" ref="I38:I44" si="6">1-G38/H38</f>
        <v>0.1275486012</v>
      </c>
      <c r="L38" s="5" t="s">
        <v>127</v>
      </c>
      <c r="M38" s="5">
        <v>377.0</v>
      </c>
      <c r="N38" s="5">
        <v>27.0</v>
      </c>
      <c r="O38" s="5">
        <v>0.0</v>
      </c>
    </row>
    <row r="39" ht="15.75" customHeight="1">
      <c r="E39" s="67" t="s">
        <v>119</v>
      </c>
      <c r="F39" s="68" t="s">
        <v>120</v>
      </c>
      <c r="G39" s="69">
        <f t="shared" ref="G39:G40" si="7">5*251</f>
        <v>1255</v>
      </c>
      <c r="H39" s="5">
        <v>1315.0</v>
      </c>
      <c r="I39" s="71">
        <f t="shared" si="6"/>
        <v>0.04562737643</v>
      </c>
      <c r="L39" s="5" t="s">
        <v>125</v>
      </c>
      <c r="M39" s="5">
        <v>998.0</v>
      </c>
      <c r="N39" s="5">
        <v>1.0</v>
      </c>
      <c r="O39" s="5">
        <v>0.0</v>
      </c>
    </row>
    <row r="40" ht="15.75" customHeight="1">
      <c r="E40" s="67" t="s">
        <v>121</v>
      </c>
      <c r="F40" s="68" t="s">
        <v>122</v>
      </c>
      <c r="G40" s="69">
        <f t="shared" si="7"/>
        <v>1255</v>
      </c>
      <c r="H40" s="70">
        <v>1315.0</v>
      </c>
      <c r="I40" s="71">
        <f t="shared" si="6"/>
        <v>0.04562737643</v>
      </c>
      <c r="L40" s="5" t="s">
        <v>120</v>
      </c>
      <c r="M40" s="5" t="s">
        <v>130</v>
      </c>
      <c r="N40" s="5">
        <v>0.0</v>
      </c>
      <c r="O40" s="5">
        <v>0.0</v>
      </c>
    </row>
    <row r="41" ht="15.75" customHeight="1">
      <c r="E41" s="67" t="s">
        <v>29</v>
      </c>
      <c r="F41" s="68" t="s">
        <v>123</v>
      </c>
      <c r="G41" s="69">
        <f>5*175</f>
        <v>875</v>
      </c>
      <c r="H41" s="5">
        <v>924.0</v>
      </c>
      <c r="I41" s="71">
        <f t="shared" si="6"/>
        <v>0.05303030303</v>
      </c>
      <c r="L41" s="5" t="s">
        <v>82</v>
      </c>
      <c r="M41" s="5" t="s">
        <v>131</v>
      </c>
      <c r="N41" s="5">
        <v>139.0</v>
      </c>
      <c r="O41" s="5">
        <v>0.0</v>
      </c>
    </row>
    <row r="42" ht="15.75" customHeight="1">
      <c r="E42" s="67" t="s">
        <v>124</v>
      </c>
      <c r="F42" s="68" t="s">
        <v>125</v>
      </c>
      <c r="G42" s="69">
        <f>5*159</f>
        <v>795</v>
      </c>
      <c r="H42" s="5">
        <v>998.0</v>
      </c>
      <c r="I42" s="71">
        <f t="shared" si="6"/>
        <v>0.2034068136</v>
      </c>
      <c r="L42" s="5" t="s">
        <v>51</v>
      </c>
      <c r="M42" s="5" t="s">
        <v>132</v>
      </c>
      <c r="N42" s="5">
        <v>1.0</v>
      </c>
      <c r="O42" s="5">
        <v>0.0</v>
      </c>
    </row>
    <row r="43" ht="15.75" customHeight="1">
      <c r="E43" s="67" t="s">
        <v>126</v>
      </c>
      <c r="F43" s="68" t="s">
        <v>127</v>
      </c>
      <c r="G43" s="69">
        <f>5*73</f>
        <v>365</v>
      </c>
      <c r="H43" s="5">
        <v>404.0</v>
      </c>
      <c r="I43" s="71">
        <f t="shared" si="6"/>
        <v>0.09653465347</v>
      </c>
      <c r="L43" s="5" t="s">
        <v>123</v>
      </c>
      <c r="M43" s="5">
        <v>924.0</v>
      </c>
      <c r="N43" s="5">
        <v>0.0</v>
      </c>
      <c r="O43" s="5">
        <v>0.0</v>
      </c>
    </row>
    <row r="44" ht="15.75" customHeight="1">
      <c r="E44" s="67" t="s">
        <v>25</v>
      </c>
      <c r="F44" s="68" t="s">
        <v>51</v>
      </c>
      <c r="G44" s="69">
        <f>5*326</f>
        <v>1630</v>
      </c>
      <c r="H44" s="70">
        <v>1675.0</v>
      </c>
      <c r="I44" s="71">
        <f t="shared" si="6"/>
        <v>0.02686567164</v>
      </c>
      <c r="L44" s="5" t="s">
        <v>122</v>
      </c>
      <c r="M44" s="5" t="s">
        <v>130</v>
      </c>
      <c r="N44" s="5">
        <v>0.0</v>
      </c>
      <c r="O44" s="5">
        <v>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9:I9"/>
    <mergeCell ref="E23:I23"/>
    <mergeCell ref="E35:I3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Назар Грехов</dc:creator>
</cp:coreProperties>
</file>